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587838ffad9f248/Documents/Books/Python_In_Excel/"/>
    </mc:Choice>
  </mc:AlternateContent>
  <xr:revisionPtr revIDLastSave="1619" documentId="13_ncr:1_{E8A777BE-BB8A-41AB-9088-53E06B2C7833}" xr6:coauthVersionLast="47" xr6:coauthVersionMax="47" xr10:uidLastSave="{093A60D3-E3E7-426E-843B-7DF12B27AC5F}"/>
  <bookViews>
    <workbookView xWindow="-108" yWindow="-108" windowWidth="23256" windowHeight="12456" tabRatio="813" firstSheet="5" activeTab="7" xr2:uid="{00000000-000D-0000-FFFF-FFFF00000000}"/>
  </bookViews>
  <sheets>
    <sheet name="Cover" sheetId="1" r:id="rId1"/>
    <sheet name="How to be More Productive Prmpt" sheetId="21" r:id="rId2"/>
    <sheet name="Navigator" sheetId="3" r:id="rId3"/>
    <sheet name="Model Parameters" sheetId="2" r:id="rId4"/>
    <sheet name="Style Guide" sheetId="4" r:id="rId5"/>
    <sheet name="Project" sheetId="19" r:id="rId6"/>
    <sheet name="Transactions" sheetId="17" r:id="rId7"/>
    <sheet name="Prompts" sheetId="23" r:id="rId8"/>
    <sheet name="Financial" sheetId="18" r:id="rId9"/>
    <sheet name="Error Checks" sheetId="5" r:id="rId10"/>
    <sheet name="Transaction Summary" sheetId="24" r:id="rId11"/>
    <sheet name="Data Insights" sheetId="25" r:id="rId12"/>
    <sheet name="Advanced Insights" sheetId="26" r:id="rId13"/>
    <sheet name="Underperforming Analysis" sheetId="27" r:id="rId14"/>
    <sheet name="Wide World Importers Analysis" sheetId="28" r:id="rId15"/>
  </sheets>
  <externalReferences>
    <externalReference r:id="rId16"/>
  </externalReferences>
  <definedNames>
    <definedName name="Client_Name">'Model Parameters'!$G$12</definedName>
    <definedName name="Days_in_Year">'Model Parameters'!$G$19</definedName>
    <definedName name="Days_in_Yr">'Model Parameters'!$G$19</definedName>
    <definedName name="HL_1">Cover!$A$3</definedName>
    <definedName name="HL_10">'Error Checks'!$A$3</definedName>
    <definedName name="HL_2">'Model Parameters'!$A$3</definedName>
    <definedName name="HL_3">'Model Parameters'!$A$3</definedName>
    <definedName name="HL_4" localSheetId="8">Financial!$A$3</definedName>
    <definedName name="HL_4" localSheetId="5">Project!$A$3</definedName>
    <definedName name="HL_4" localSheetId="6">Transactions!$A$3</definedName>
    <definedName name="HL_4">'Style Guide'!$A$3</definedName>
    <definedName name="HL_5" localSheetId="8">Financial!$A$3</definedName>
    <definedName name="HL_5" localSheetId="5">Project!$A$3</definedName>
    <definedName name="HL_5">Transactions!$A$3</definedName>
    <definedName name="HL_6" localSheetId="8">Financial!$A$3</definedName>
    <definedName name="HL_6" localSheetId="5">Project!$A$3</definedName>
    <definedName name="HL_6" localSheetId="6">Transactions!$A$3</definedName>
    <definedName name="HL_6">Project!$A$3</definedName>
    <definedName name="HL_7">Financial!$A$3</definedName>
    <definedName name="HL_8">'Error Checks'!$A$3</definedName>
    <definedName name="HL_Model_Parameters">'Model Parameters'!$A$5</definedName>
    <definedName name="HL_Navigator">Navigator!$A$1</definedName>
    <definedName name="Model_Name">"SP Python in Excel Example Starter File Chapter 5"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Quarter">'Model Parameters'!$G$21</definedName>
    <definedName name="Months_in_Year">'Model Parameters'!$G$23</definedName>
    <definedName name="Overall_Error_Check" localSheetId="8">'[1]Error Checks'!$I$17</definedName>
    <definedName name="Overall_Error_Check" localSheetId="5">'[1]Error Checks'!$I$17</definedName>
    <definedName name="Overall_Error_Check">'Error Checks'!$I$17</definedName>
    <definedName name="Quarters_in_Year">'Model Parameters'!$G$24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  <definedName name="VRange">#REF!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" i="18" l="1"/>
  <c r="S21" i="18"/>
  <c r="R21" i="18"/>
  <c r="T20" i="18"/>
  <c r="S20" i="18"/>
  <c r="R20" i="18"/>
  <c r="T19" i="18"/>
  <c r="S19" i="18"/>
  <c r="R19" i="18"/>
  <c r="T18" i="18"/>
  <c r="S18" i="18"/>
  <c r="R18" i="18"/>
  <c r="T17" i="18"/>
  <c r="S17" i="18"/>
  <c r="R17" i="18"/>
  <c r="T16" i="18"/>
  <c r="S16" i="18"/>
  <c r="R16" i="18"/>
  <c r="T15" i="18"/>
  <c r="S15" i="18"/>
  <c r="R15" i="18"/>
  <c r="T14" i="18"/>
  <c r="S14" i="18"/>
  <c r="R14" i="18"/>
  <c r="T13" i="18"/>
  <c r="S13" i="18"/>
  <c r="R13" i="18"/>
  <c r="T12" i="18"/>
  <c r="S12" i="18"/>
  <c r="R12" i="18"/>
  <c r="T11" i="18"/>
  <c r="S11" i="18"/>
  <c r="R11" i="18"/>
  <c r="T10" i="18"/>
  <c r="S10" i="18"/>
  <c r="R10" i="18"/>
  <c r="R6" i="18"/>
  <c r="B51" i="28"/>
  <c r="B52" i="28" s="1"/>
  <c r="B50" i="28"/>
  <c r="B49" i="28"/>
  <c r="E43" i="28"/>
  <c r="D43" i="28"/>
  <c r="C43" i="28"/>
  <c r="B43" i="28"/>
  <c r="E42" i="28"/>
  <c r="C42" i="28"/>
  <c r="D42" i="28" s="1"/>
  <c r="B42" i="28"/>
  <c r="E41" i="28"/>
  <c r="C41" i="28"/>
  <c r="D41" i="28" s="1"/>
  <c r="B41" i="28"/>
  <c r="E40" i="28"/>
  <c r="C40" i="28"/>
  <c r="D40" i="28" s="1"/>
  <c r="B40" i="28"/>
  <c r="E39" i="28"/>
  <c r="C39" i="28"/>
  <c r="D39" i="28" s="1"/>
  <c r="B39" i="28"/>
  <c r="E38" i="28"/>
  <c r="C38" i="28"/>
  <c r="D38" i="28" s="1"/>
  <c r="B38" i="28"/>
  <c r="M24" i="28"/>
  <c r="L24" i="28"/>
  <c r="K24" i="28"/>
  <c r="J24" i="28"/>
  <c r="M23" i="28"/>
  <c r="L23" i="28"/>
  <c r="K23" i="28"/>
  <c r="J23" i="28"/>
  <c r="M22" i="28"/>
  <c r="L22" i="28"/>
  <c r="K22" i="28"/>
  <c r="J22" i="28"/>
  <c r="M21" i="28"/>
  <c r="L21" i="28"/>
  <c r="K21" i="28"/>
  <c r="J21" i="28"/>
  <c r="M20" i="28"/>
  <c r="L20" i="28"/>
  <c r="K20" i="28"/>
  <c r="J20" i="28"/>
  <c r="M19" i="28"/>
  <c r="L19" i="28"/>
  <c r="K19" i="28"/>
  <c r="J19" i="28"/>
  <c r="M18" i="28"/>
  <c r="L18" i="28"/>
  <c r="K18" i="28"/>
  <c r="J18" i="28"/>
  <c r="M17" i="28"/>
  <c r="B55" i="28" s="1"/>
  <c r="L17" i="28"/>
  <c r="K17" i="28"/>
  <c r="J17" i="28"/>
  <c r="L12" i="28"/>
  <c r="K12" i="28"/>
  <c r="M12" i="28" s="1"/>
  <c r="J12" i="28"/>
  <c r="L11" i="28"/>
  <c r="K11" i="28"/>
  <c r="M11" i="28" s="1"/>
  <c r="J11" i="28"/>
  <c r="L10" i="28"/>
  <c r="K10" i="28"/>
  <c r="M10" i="28" s="1"/>
  <c r="J10" i="28"/>
  <c r="L9" i="28"/>
  <c r="K9" i="28"/>
  <c r="M9" i="28" s="1"/>
  <c r="J9" i="28"/>
  <c r="L8" i="28"/>
  <c r="K8" i="28"/>
  <c r="M8" i="28" s="1"/>
  <c r="J8" i="28"/>
  <c r="L7" i="28"/>
  <c r="B54" i="28" s="1"/>
  <c r="K7" i="28"/>
  <c r="M7" i="28" s="1"/>
  <c r="J7" i="28"/>
  <c r="F32" i="28"/>
  <c r="G32" i="28" s="1"/>
  <c r="E32" i="28"/>
  <c r="D32" i="28"/>
  <c r="C32" i="28"/>
  <c r="F31" i="28"/>
  <c r="G31" i="28" s="1"/>
  <c r="E31" i="28"/>
  <c r="D31" i="28"/>
  <c r="C31" i="28"/>
  <c r="F30" i="28"/>
  <c r="G30" i="28" s="1"/>
  <c r="E30" i="28"/>
  <c r="D30" i="28"/>
  <c r="C30" i="28"/>
  <c r="G29" i="28"/>
  <c r="F29" i="28"/>
  <c r="E29" i="28"/>
  <c r="D29" i="28"/>
  <c r="C29" i="28"/>
  <c r="F28" i="28"/>
  <c r="G28" i="28" s="1"/>
  <c r="E28" i="28"/>
  <c r="D28" i="28"/>
  <c r="C28" i="28"/>
  <c r="F27" i="28"/>
  <c r="G27" i="28" s="1"/>
  <c r="E27" i="28"/>
  <c r="D27" i="28"/>
  <c r="C27" i="28"/>
  <c r="F26" i="28"/>
  <c r="G26" i="28" s="1"/>
  <c r="E26" i="28"/>
  <c r="D26" i="28"/>
  <c r="C26" i="28"/>
  <c r="G25" i="28"/>
  <c r="F25" i="28"/>
  <c r="E25" i="28"/>
  <c r="D25" i="28"/>
  <c r="C25" i="28"/>
  <c r="F24" i="28"/>
  <c r="G24" i="28" s="1"/>
  <c r="E24" i="28"/>
  <c r="D24" i="28"/>
  <c r="C24" i="28"/>
  <c r="F23" i="28"/>
  <c r="G23" i="28" s="1"/>
  <c r="E23" i="28"/>
  <c r="D23" i="28"/>
  <c r="C23" i="28"/>
  <c r="F22" i="28"/>
  <c r="G22" i="28" s="1"/>
  <c r="E22" i="28"/>
  <c r="D22" i="28"/>
  <c r="C22" i="28"/>
  <c r="G21" i="28"/>
  <c r="B53" i="28" s="1"/>
  <c r="F21" i="28"/>
  <c r="E21" i="28"/>
  <c r="D21" i="28"/>
  <c r="C21" i="28"/>
  <c r="G9" i="28"/>
  <c r="H9" i="28" s="1"/>
  <c r="F9" i="28"/>
  <c r="E9" i="28"/>
  <c r="G8" i="28"/>
  <c r="H8" i="28" s="1"/>
  <c r="F8" i="28"/>
  <c r="E8" i="28"/>
  <c r="G7" i="28"/>
  <c r="H7" i="28" s="1"/>
  <c r="F7" i="28"/>
  <c r="F10" i="28" s="1"/>
  <c r="E7" i="28"/>
  <c r="E10" i="28" s="1"/>
  <c r="B15" i="28"/>
  <c r="B14" i="28"/>
  <c r="B13" i="28"/>
  <c r="B48" i="28" s="1"/>
  <c r="B12" i="28"/>
  <c r="B11" i="28"/>
  <c r="B16" i="28" s="1"/>
  <c r="B10" i="28"/>
  <c r="B9" i="28"/>
  <c r="B8" i="28"/>
  <c r="B7" i="28"/>
  <c r="B48" i="27"/>
  <c r="B47" i="27"/>
  <c r="B46" i="27"/>
  <c r="B45" i="27"/>
  <c r="B44" i="27"/>
  <c r="B43" i="27"/>
  <c r="B42" i="27"/>
  <c r="B41" i="27"/>
  <c r="B40" i="27"/>
  <c r="M34" i="27"/>
  <c r="L34" i="27"/>
  <c r="K34" i="27"/>
  <c r="J34" i="27"/>
  <c r="M33" i="27"/>
  <c r="L33" i="27"/>
  <c r="K33" i="27"/>
  <c r="J33" i="27"/>
  <c r="M32" i="27"/>
  <c r="L32" i="27"/>
  <c r="K32" i="27"/>
  <c r="J32" i="27"/>
  <c r="M31" i="27"/>
  <c r="L31" i="27"/>
  <c r="K31" i="27"/>
  <c r="J31" i="27"/>
  <c r="M30" i="27"/>
  <c r="L30" i="27"/>
  <c r="K30" i="27"/>
  <c r="J30" i="27"/>
  <c r="M29" i="27"/>
  <c r="L29" i="27"/>
  <c r="K29" i="27"/>
  <c r="J29" i="27"/>
  <c r="M24" i="27"/>
  <c r="L24" i="27"/>
  <c r="K24" i="27"/>
  <c r="J24" i="27"/>
  <c r="M23" i="27"/>
  <c r="L23" i="27"/>
  <c r="K23" i="27"/>
  <c r="J23" i="27"/>
  <c r="M22" i="27"/>
  <c r="L22" i="27"/>
  <c r="K22" i="27"/>
  <c r="J22" i="27"/>
  <c r="M21" i="27"/>
  <c r="L21" i="27"/>
  <c r="K21" i="27"/>
  <c r="J21" i="27"/>
  <c r="M20" i="27"/>
  <c r="L20" i="27"/>
  <c r="K20" i="27"/>
  <c r="J20" i="27"/>
  <c r="M19" i="27"/>
  <c r="L19" i="27"/>
  <c r="K19" i="27"/>
  <c r="J19" i="27"/>
  <c r="M18" i="27"/>
  <c r="L18" i="27"/>
  <c r="K18" i="27"/>
  <c r="J18" i="27"/>
  <c r="M17" i="27"/>
  <c r="L17" i="27"/>
  <c r="K17" i="27"/>
  <c r="J17" i="27"/>
  <c r="M12" i="27"/>
  <c r="L12" i="27"/>
  <c r="K12" i="27"/>
  <c r="J12" i="27"/>
  <c r="M11" i="27"/>
  <c r="L11" i="27"/>
  <c r="K11" i="27"/>
  <c r="J11" i="27"/>
  <c r="M10" i="27"/>
  <c r="L10" i="27"/>
  <c r="K10" i="27"/>
  <c r="J10" i="27"/>
  <c r="M9" i="27"/>
  <c r="L9" i="27"/>
  <c r="K9" i="27"/>
  <c r="J9" i="27"/>
  <c r="M8" i="27"/>
  <c r="L8" i="27"/>
  <c r="K8" i="27"/>
  <c r="J8" i="27"/>
  <c r="M7" i="27"/>
  <c r="L7" i="27"/>
  <c r="K7" i="27"/>
  <c r="J7" i="27"/>
  <c r="G35" i="27"/>
  <c r="F35" i="27"/>
  <c r="E35" i="27"/>
  <c r="D35" i="27"/>
  <c r="C35" i="27"/>
  <c r="G34" i="27"/>
  <c r="F34" i="27"/>
  <c r="E34" i="27"/>
  <c r="D34" i="27"/>
  <c r="C34" i="27"/>
  <c r="G33" i="27"/>
  <c r="F33" i="27"/>
  <c r="E33" i="27"/>
  <c r="D33" i="27"/>
  <c r="C33" i="27"/>
  <c r="G32" i="27"/>
  <c r="F32" i="27"/>
  <c r="E32" i="27"/>
  <c r="D32" i="27"/>
  <c r="C32" i="27"/>
  <c r="G31" i="27"/>
  <c r="F31" i="27"/>
  <c r="E31" i="27"/>
  <c r="D31" i="27"/>
  <c r="C31" i="27"/>
  <c r="G30" i="27"/>
  <c r="F30" i="27"/>
  <c r="E30" i="27"/>
  <c r="D30" i="27"/>
  <c r="C30" i="27"/>
  <c r="G29" i="27"/>
  <c r="F29" i="27"/>
  <c r="E29" i="27"/>
  <c r="D29" i="27"/>
  <c r="C29" i="27"/>
  <c r="G28" i="27"/>
  <c r="F28" i="27"/>
  <c r="E28" i="27"/>
  <c r="D28" i="27"/>
  <c r="C28" i="27"/>
  <c r="G27" i="27"/>
  <c r="F27" i="27"/>
  <c r="E27" i="27"/>
  <c r="D27" i="27"/>
  <c r="C27" i="27"/>
  <c r="G26" i="27"/>
  <c r="F26" i="27"/>
  <c r="E26" i="27"/>
  <c r="D26" i="27"/>
  <c r="C26" i="27"/>
  <c r="G25" i="27"/>
  <c r="F25" i="27"/>
  <c r="E25" i="27"/>
  <c r="D25" i="27"/>
  <c r="C25" i="27"/>
  <c r="G24" i="27"/>
  <c r="F24" i="27"/>
  <c r="E24" i="27"/>
  <c r="D24" i="27"/>
  <c r="C24" i="27"/>
  <c r="F19" i="27"/>
  <c r="E19" i="27"/>
  <c r="D19" i="27"/>
  <c r="C19" i="27"/>
  <c r="B19" i="27"/>
  <c r="F18" i="27"/>
  <c r="E18" i="27"/>
  <c r="D18" i="27"/>
  <c r="C18" i="27"/>
  <c r="B18" i="27"/>
  <c r="F17" i="27"/>
  <c r="E17" i="27"/>
  <c r="D17" i="27"/>
  <c r="C17" i="27"/>
  <c r="B17" i="27"/>
  <c r="F16" i="27"/>
  <c r="E16" i="27"/>
  <c r="D16" i="27"/>
  <c r="C16" i="27"/>
  <c r="B16" i="27"/>
  <c r="E11" i="27"/>
  <c r="D11" i="27"/>
  <c r="C11" i="27"/>
  <c r="B11" i="27"/>
  <c r="E10" i="27"/>
  <c r="D10" i="27"/>
  <c r="C10" i="27"/>
  <c r="B10" i="27"/>
  <c r="E9" i="27"/>
  <c r="D9" i="27"/>
  <c r="C9" i="27"/>
  <c r="B9" i="27"/>
  <c r="E8" i="27"/>
  <c r="D8" i="27"/>
  <c r="C8" i="27"/>
  <c r="B8" i="27"/>
  <c r="E7" i="27"/>
  <c r="D7" i="27"/>
  <c r="C7" i="27"/>
  <c r="B7" i="2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Q52" i="17"/>
  <c r="Q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8" i="17"/>
  <c r="Q69" i="17"/>
  <c r="Q70" i="17"/>
  <c r="Q71" i="17"/>
  <c r="Q72" i="17"/>
  <c r="Q73" i="17"/>
  <c r="Q74" i="17"/>
  <c r="Q75" i="17"/>
  <c r="Q76" i="17"/>
  <c r="Q77" i="17"/>
  <c r="Q78" i="17"/>
  <c r="Q79" i="17"/>
  <c r="Q80" i="17"/>
  <c r="Q81" i="17"/>
  <c r="Q82" i="17"/>
  <c r="Q83" i="17"/>
  <c r="Q84" i="17"/>
  <c r="Q85" i="17"/>
  <c r="Q86" i="17"/>
  <c r="Q87" i="17"/>
  <c r="Q88" i="17"/>
  <c r="Q89" i="17"/>
  <c r="Q90" i="17"/>
  <c r="Q91" i="17"/>
  <c r="Q92" i="17"/>
  <c r="Q93" i="17"/>
  <c r="Q94" i="17"/>
  <c r="Q95" i="17"/>
  <c r="Q96" i="17"/>
  <c r="Q97" i="17"/>
  <c r="Q98" i="17"/>
  <c r="Q99" i="17"/>
  <c r="Q100" i="17"/>
  <c r="Q101" i="17"/>
  <c r="Q102" i="17"/>
  <c r="Q103" i="17"/>
  <c r="Q104" i="17"/>
  <c r="Q105" i="17"/>
  <c r="Q106" i="17"/>
  <c r="Q107" i="17"/>
  <c r="Q108" i="17"/>
  <c r="Q109" i="17"/>
  <c r="Q110" i="17"/>
  <c r="Q111" i="17"/>
  <c r="Q112" i="17"/>
  <c r="Q113" i="17"/>
  <c r="Q114" i="17"/>
  <c r="Q115" i="17"/>
  <c r="Q116" i="17"/>
  <c r="Q117" i="17"/>
  <c r="Q118" i="17"/>
  <c r="Q119" i="17"/>
  <c r="Q120" i="17"/>
  <c r="Q121" i="17"/>
  <c r="Q122" i="17"/>
  <c r="Q123" i="17"/>
  <c r="Q124" i="17"/>
  <c r="Q125" i="17"/>
  <c r="Q126" i="17"/>
  <c r="Q127" i="17"/>
  <c r="Q128" i="17"/>
  <c r="Q129" i="17"/>
  <c r="Q130" i="17"/>
  <c r="Q131" i="17"/>
  <c r="Q132" i="17"/>
  <c r="Q133" i="17"/>
  <c r="Q134" i="17"/>
  <c r="Q135" i="17"/>
  <c r="Q136" i="17"/>
  <c r="Q137" i="17"/>
  <c r="Q138" i="17"/>
  <c r="Q139" i="17"/>
  <c r="Q140" i="17"/>
  <c r="Q141" i="17"/>
  <c r="Q142" i="17"/>
  <c r="Q143" i="17"/>
  <c r="Q144" i="17"/>
  <c r="Q145" i="17"/>
  <c r="Q146" i="17"/>
  <c r="Q147" i="17"/>
  <c r="Q148" i="17"/>
  <c r="Q149" i="17"/>
  <c r="Q150" i="17"/>
  <c r="Q151" i="17"/>
  <c r="Q152" i="17"/>
  <c r="Q153" i="17"/>
  <c r="Q154" i="17"/>
  <c r="Q155" i="17"/>
  <c r="Q156" i="17"/>
  <c r="Q157" i="17"/>
  <c r="Q158" i="17"/>
  <c r="Q159" i="17"/>
  <c r="Q160" i="17"/>
  <c r="Q161" i="17"/>
  <c r="Q162" i="17"/>
  <c r="Q163" i="17"/>
  <c r="Q164" i="17"/>
  <c r="Q165" i="17"/>
  <c r="Q166" i="17"/>
  <c r="Q167" i="17"/>
  <c r="Q168" i="17"/>
  <c r="Q169" i="17"/>
  <c r="Q170" i="17"/>
  <c r="Q171" i="17"/>
  <c r="Q172" i="17"/>
  <c r="Q173" i="17"/>
  <c r="Q174" i="17"/>
  <c r="Q175" i="17"/>
  <c r="Q176" i="17"/>
  <c r="Q177" i="17"/>
  <c r="Q178" i="17"/>
  <c r="Q179" i="17"/>
  <c r="Q180" i="17"/>
  <c r="Q181" i="17"/>
  <c r="Q182" i="17"/>
  <c r="Q183" i="17"/>
  <c r="Q184" i="17"/>
  <c r="Q185" i="17"/>
  <c r="Q186" i="17"/>
  <c r="Q187" i="17"/>
  <c r="Q188" i="17"/>
  <c r="Q189" i="17"/>
  <c r="Q190" i="17"/>
  <c r="Q191" i="17"/>
  <c r="Q192" i="17"/>
  <c r="Q193" i="17"/>
  <c r="Q194" i="17"/>
  <c r="Q195" i="17"/>
  <c r="Q196" i="17"/>
  <c r="Q197" i="17"/>
  <c r="Q198" i="17"/>
  <c r="Q199" i="17"/>
  <c r="Q200" i="17"/>
  <c r="Q201" i="17"/>
  <c r="Q202" i="17"/>
  <c r="Q203" i="17"/>
  <c r="Q204" i="17"/>
  <c r="Q205" i="17"/>
  <c r="Q206" i="17"/>
  <c r="Q207" i="17"/>
  <c r="Q208" i="17"/>
  <c r="Q209" i="17"/>
  <c r="Q210" i="17"/>
  <c r="Q211" i="17"/>
  <c r="Q212" i="17"/>
  <c r="Q213" i="17"/>
  <c r="Q214" i="17"/>
  <c r="Q215" i="17"/>
  <c r="Q216" i="17"/>
  <c r="Q217" i="17"/>
  <c r="Q218" i="17"/>
  <c r="Q219" i="17"/>
  <c r="Q220" i="17"/>
  <c r="Q221" i="17"/>
  <c r="Q222" i="17"/>
  <c r="Q223" i="17"/>
  <c r="Q224" i="17"/>
  <c r="Q225" i="17"/>
  <c r="Q226" i="17"/>
  <c r="Q227" i="17"/>
  <c r="Q228" i="17"/>
  <c r="Q229" i="17"/>
  <c r="Q230" i="17"/>
  <c r="Q231" i="17"/>
  <c r="Q232" i="17"/>
  <c r="Q233" i="17"/>
  <c r="Q234" i="17"/>
  <c r="Q235" i="17"/>
  <c r="Q236" i="17"/>
  <c r="Q237" i="17"/>
  <c r="Q238" i="17"/>
  <c r="Q239" i="17"/>
  <c r="Q240" i="17"/>
  <c r="Q241" i="17"/>
  <c r="Q242" i="17"/>
  <c r="Q243" i="17"/>
  <c r="Q244" i="17"/>
  <c r="Q245" i="17"/>
  <c r="Q246" i="17"/>
  <c r="Q247" i="17"/>
  <c r="Q248" i="17"/>
  <c r="Q249" i="17"/>
  <c r="Q250" i="17"/>
  <c r="Q251" i="17"/>
  <c r="Q252" i="17"/>
  <c r="Q253" i="17"/>
  <c r="Q254" i="17"/>
  <c r="Q255" i="17"/>
  <c r="Q256" i="17"/>
  <c r="Q257" i="17"/>
  <c r="Q258" i="17"/>
  <c r="Q259" i="17"/>
  <c r="Q260" i="17"/>
  <c r="Q261" i="17"/>
  <c r="Q262" i="17"/>
  <c r="Q263" i="17"/>
  <c r="Q264" i="17"/>
  <c r="Q265" i="17"/>
  <c r="Q266" i="17"/>
  <c r="Q267" i="17"/>
  <c r="Q268" i="17"/>
  <c r="Q269" i="17"/>
  <c r="Q270" i="17"/>
  <c r="Q271" i="17"/>
  <c r="Q272" i="17"/>
  <c r="Q273" i="17"/>
  <c r="Q274" i="17"/>
  <c r="Q275" i="17"/>
  <c r="Q276" i="17"/>
  <c r="Q277" i="17"/>
  <c r="Q278" i="17"/>
  <c r="Q279" i="17"/>
  <c r="Q280" i="17"/>
  <c r="Q281" i="17"/>
  <c r="Q282" i="17"/>
  <c r="Q283" i="17"/>
  <c r="Q284" i="17"/>
  <c r="Q285" i="17"/>
  <c r="Q286" i="17"/>
  <c r="Q287" i="17"/>
  <c r="Q288" i="17"/>
  <c r="Q289" i="17"/>
  <c r="Q290" i="17"/>
  <c r="Q291" i="17"/>
  <c r="Q292" i="17"/>
  <c r="Q293" i="17"/>
  <c r="Q294" i="17"/>
  <c r="Q295" i="17"/>
  <c r="Q296" i="17"/>
  <c r="Q297" i="17"/>
  <c r="Q298" i="17"/>
  <c r="Q299" i="17"/>
  <c r="Q300" i="17"/>
  <c r="Q301" i="17"/>
  <c r="Q302" i="17"/>
  <c r="Q303" i="17"/>
  <c r="Q304" i="17"/>
  <c r="Q305" i="17"/>
  <c r="Q306" i="17"/>
  <c r="Q307" i="17"/>
  <c r="Q308" i="17"/>
  <c r="Q309" i="17"/>
  <c r="Q310" i="17"/>
  <c r="Q311" i="17"/>
  <c r="Q312" i="17"/>
  <c r="Q313" i="17"/>
  <c r="Q314" i="17"/>
  <c r="Q315" i="17"/>
  <c r="Q316" i="17"/>
  <c r="Q317" i="17"/>
  <c r="Q318" i="17"/>
  <c r="Q319" i="17"/>
  <c r="Q320" i="17"/>
  <c r="Q321" i="17"/>
  <c r="Q322" i="17"/>
  <c r="Q323" i="17"/>
  <c r="Q324" i="17"/>
  <c r="Q325" i="17"/>
  <c r="Q326" i="17"/>
  <c r="Q327" i="17"/>
  <c r="Q328" i="17"/>
  <c r="Q329" i="17"/>
  <c r="Q330" i="17"/>
  <c r="Q331" i="17"/>
  <c r="Q332" i="17"/>
  <c r="Q333" i="17"/>
  <c r="Q334" i="17"/>
  <c r="Q335" i="17"/>
  <c r="Q336" i="17"/>
  <c r="Q337" i="17"/>
  <c r="Q338" i="17"/>
  <c r="Q339" i="17"/>
  <c r="Q340" i="17"/>
  <c r="Q341" i="17"/>
  <c r="Q342" i="17"/>
  <c r="Q343" i="17"/>
  <c r="Q344" i="17"/>
  <c r="Q345" i="17"/>
  <c r="Q346" i="17"/>
  <c r="Q347" i="17"/>
  <c r="Q348" i="17"/>
  <c r="Q349" i="17"/>
  <c r="Q350" i="17"/>
  <c r="Q351" i="17"/>
  <c r="Q352" i="17"/>
  <c r="Q353" i="17"/>
  <c r="Q354" i="17"/>
  <c r="Q355" i="17"/>
  <c r="Q356" i="17"/>
  <c r="Q357" i="17"/>
  <c r="Q358" i="17"/>
  <c r="Q359" i="17"/>
  <c r="Q360" i="17"/>
  <c r="Q361" i="17"/>
  <c r="Q362" i="17"/>
  <c r="Q363" i="17"/>
  <c r="Q364" i="17"/>
  <c r="Q365" i="17"/>
  <c r="Q366" i="17"/>
  <c r="Q367" i="17"/>
  <c r="Q368" i="17"/>
  <c r="Q369" i="17"/>
  <c r="Q370" i="17"/>
  <c r="Q371" i="17"/>
  <c r="Q372" i="17"/>
  <c r="Q373" i="17"/>
  <c r="Q374" i="17"/>
  <c r="Q375" i="17"/>
  <c r="Q376" i="17"/>
  <c r="Q377" i="17"/>
  <c r="Q378" i="17"/>
  <c r="Q379" i="17"/>
  <c r="Q380" i="17"/>
  <c r="Q381" i="17"/>
  <c r="Q382" i="17"/>
  <c r="Q383" i="17"/>
  <c r="Q384" i="17"/>
  <c r="Q385" i="17"/>
  <c r="Q386" i="17"/>
  <c r="Q387" i="17"/>
  <c r="Q388" i="17"/>
  <c r="Q389" i="17"/>
  <c r="Q390" i="17"/>
  <c r="Q391" i="17"/>
  <c r="Q392" i="17"/>
  <c r="Q393" i="17"/>
  <c r="Q394" i="17"/>
  <c r="Q395" i="17"/>
  <c r="Q396" i="17"/>
  <c r="Q397" i="17"/>
  <c r="Q398" i="17"/>
  <c r="Q399" i="17"/>
  <c r="Q400" i="17"/>
  <c r="Q401" i="17"/>
  <c r="Q402" i="17"/>
  <c r="Q403" i="17"/>
  <c r="Q404" i="17"/>
  <c r="Q405" i="17"/>
  <c r="Q406" i="17"/>
  <c r="Q407" i="17"/>
  <c r="Q408" i="17"/>
  <c r="Q409" i="17"/>
  <c r="Q410" i="17"/>
  <c r="Q411" i="17"/>
  <c r="Q412" i="17"/>
  <c r="Q413" i="17"/>
  <c r="Q414" i="17"/>
  <c r="Q415" i="17"/>
  <c r="Q416" i="17"/>
  <c r="Q417" i="17"/>
  <c r="Q418" i="17"/>
  <c r="Q419" i="17"/>
  <c r="Q420" i="17"/>
  <c r="Q421" i="17"/>
  <c r="Q422" i="17"/>
  <c r="Q423" i="17"/>
  <c r="Q424" i="17"/>
  <c r="Q425" i="17"/>
  <c r="Q426" i="17"/>
  <c r="Q427" i="17"/>
  <c r="Q428" i="17"/>
  <c r="Q429" i="17"/>
  <c r="Q430" i="17"/>
  <c r="Q431" i="17"/>
  <c r="Q432" i="17"/>
  <c r="Q433" i="17"/>
  <c r="Q434" i="17"/>
  <c r="Q435" i="17"/>
  <c r="Q436" i="17"/>
  <c r="Q437" i="17"/>
  <c r="Q438" i="17"/>
  <c r="Q439" i="17"/>
  <c r="Q440" i="17"/>
  <c r="Q441" i="17"/>
  <c r="Q442" i="17"/>
  <c r="Q443" i="17"/>
  <c r="Q444" i="17"/>
  <c r="Q445" i="17"/>
  <c r="Q446" i="17"/>
  <c r="Q447" i="17"/>
  <c r="Q448" i="17"/>
  <c r="Q449" i="17"/>
  <c r="Q450" i="17"/>
  <c r="Q451" i="17"/>
  <c r="Q452" i="17"/>
  <c r="Q453" i="17"/>
  <c r="Q454" i="17"/>
  <c r="Q455" i="17"/>
  <c r="Q456" i="17"/>
  <c r="Q457" i="17"/>
  <c r="Q458" i="17"/>
  <c r="Q459" i="17"/>
  <c r="Q460" i="17"/>
  <c r="Q461" i="17"/>
  <c r="Q462" i="17"/>
  <c r="Q463" i="17"/>
  <c r="Q464" i="17"/>
  <c r="Q465" i="17"/>
  <c r="Q466" i="17"/>
  <c r="Q467" i="17"/>
  <c r="Q468" i="17"/>
  <c r="Q469" i="17"/>
  <c r="Q470" i="17"/>
  <c r="Q471" i="17"/>
  <c r="Q472" i="17"/>
  <c r="Q473" i="17"/>
  <c r="Q474" i="17"/>
  <c r="Q475" i="17"/>
  <c r="Q476" i="17"/>
  <c r="Q477" i="17"/>
  <c r="Q478" i="17"/>
  <c r="Q479" i="17"/>
  <c r="Q480" i="17"/>
  <c r="Q481" i="17"/>
  <c r="Q482" i="17"/>
  <c r="Q483" i="17"/>
  <c r="Q484" i="17"/>
  <c r="Q485" i="17"/>
  <c r="Q486" i="17"/>
  <c r="Q487" i="17"/>
  <c r="Q488" i="17"/>
  <c r="Q489" i="17"/>
  <c r="Q490" i="17"/>
  <c r="Q491" i="17"/>
  <c r="Q492" i="17"/>
  <c r="Q493" i="17"/>
  <c r="Q494" i="17"/>
  <c r="Q495" i="17"/>
  <c r="Q496" i="17"/>
  <c r="Q497" i="17"/>
  <c r="Q498" i="17"/>
  <c r="Q499" i="17"/>
  <c r="Q500" i="17"/>
  <c r="Q501" i="17"/>
  <c r="Q502" i="17"/>
  <c r="Q503" i="17"/>
  <c r="Q504" i="17"/>
  <c r="Q505" i="17"/>
  <c r="Q506" i="17"/>
  <c r="Q507" i="17"/>
  <c r="Q508" i="17"/>
  <c r="Q509" i="17"/>
  <c r="Q510" i="17"/>
  <c r="Q511" i="17"/>
  <c r="Q512" i="17"/>
  <c r="Q513" i="17"/>
  <c r="Q514" i="17"/>
  <c r="Q515" i="17"/>
  <c r="Q516" i="17"/>
  <c r="Q517" i="17"/>
  <c r="Q518" i="17"/>
  <c r="Q519" i="17"/>
  <c r="Q520" i="17"/>
  <c r="Q521" i="17"/>
  <c r="Q522" i="17"/>
  <c r="Q523" i="17"/>
  <c r="Q524" i="17"/>
  <c r="Q525" i="17"/>
  <c r="Q526" i="17"/>
  <c r="Q527" i="17"/>
  <c r="Q528" i="17"/>
  <c r="Q529" i="17"/>
  <c r="Q530" i="17"/>
  <c r="Q531" i="17"/>
  <c r="Q532" i="17"/>
  <c r="Q533" i="17"/>
  <c r="Q534" i="17"/>
  <c r="Q535" i="17"/>
  <c r="Q536" i="17"/>
  <c r="Q537" i="17"/>
  <c r="Q538" i="17"/>
  <c r="Q539" i="17"/>
  <c r="Q540" i="17"/>
  <c r="Q541" i="17"/>
  <c r="Q542" i="17"/>
  <c r="Q543" i="17"/>
  <c r="Q544" i="17"/>
  <c r="Q545" i="17"/>
  <c r="Q546" i="17"/>
  <c r="Q547" i="17"/>
  <c r="Q548" i="17"/>
  <c r="Q549" i="17"/>
  <c r="Q550" i="17"/>
  <c r="Q551" i="17"/>
  <c r="Q552" i="17"/>
  <c r="Q553" i="17"/>
  <c r="Q554" i="17"/>
  <c r="Q555" i="17"/>
  <c r="Q556" i="17"/>
  <c r="Q557" i="17"/>
  <c r="Q558" i="17"/>
  <c r="Q559" i="17"/>
  <c r="Q560" i="17"/>
  <c r="Q561" i="17"/>
  <c r="Q562" i="17"/>
  <c r="Q563" i="17"/>
  <c r="Q564" i="17"/>
  <c r="Q565" i="17"/>
  <c r="Q566" i="17"/>
  <c r="Q567" i="17"/>
  <c r="Q568" i="17"/>
  <c r="Q569" i="17"/>
  <c r="Q570" i="17"/>
  <c r="Q571" i="17"/>
  <c r="Q572" i="17"/>
  <c r="Q573" i="17"/>
  <c r="Q574" i="17"/>
  <c r="Q575" i="17"/>
  <c r="Q576" i="17"/>
  <c r="Q577" i="17"/>
  <c r="Q578" i="17"/>
  <c r="Q579" i="17"/>
  <c r="Q580" i="17"/>
  <c r="Q581" i="17"/>
  <c r="Q582" i="17"/>
  <c r="Q583" i="17"/>
  <c r="Q584" i="17"/>
  <c r="Q585" i="17"/>
  <c r="Q586" i="17"/>
  <c r="Q587" i="17"/>
  <c r="Q588" i="17"/>
  <c r="Q589" i="17"/>
  <c r="Q590" i="17"/>
  <c r="Q591" i="17"/>
  <c r="Q592" i="17"/>
  <c r="Q593" i="17"/>
  <c r="Q594" i="17"/>
  <c r="Q595" i="17"/>
  <c r="Q596" i="17"/>
  <c r="Q597" i="17"/>
  <c r="Q598" i="17"/>
  <c r="Q599" i="17"/>
  <c r="Q600" i="17"/>
  <c r="Q601" i="17"/>
  <c r="Q602" i="17"/>
  <c r="Q603" i="17"/>
  <c r="Q604" i="17"/>
  <c r="Q605" i="17"/>
  <c r="Q606" i="17"/>
  <c r="Q607" i="17"/>
  <c r="Q608" i="17"/>
  <c r="Q609" i="17"/>
  <c r="Q610" i="17"/>
  <c r="Q611" i="17"/>
  <c r="Q612" i="17"/>
  <c r="Q613" i="17"/>
  <c r="Q614" i="17"/>
  <c r="Q615" i="17"/>
  <c r="Q616" i="17"/>
  <c r="Q617" i="17"/>
  <c r="Q618" i="17"/>
  <c r="Q619" i="17"/>
  <c r="Q620" i="17"/>
  <c r="Q621" i="17"/>
  <c r="Q622" i="17"/>
  <c r="Q623" i="17"/>
  <c r="Q624" i="17"/>
  <c r="Q625" i="17"/>
  <c r="Q626" i="17"/>
  <c r="Q627" i="17"/>
  <c r="Q628" i="17"/>
  <c r="Q629" i="17"/>
  <c r="Q630" i="17"/>
  <c r="Q631" i="17"/>
  <c r="Q632" i="17"/>
  <c r="Q633" i="17"/>
  <c r="Q634" i="17"/>
  <c r="Q635" i="17"/>
  <c r="Q636" i="17"/>
  <c r="Q637" i="17"/>
  <c r="Q638" i="17"/>
  <c r="Q639" i="17"/>
  <c r="Q640" i="17"/>
  <c r="Q641" i="17"/>
  <c r="Q642" i="17"/>
  <c r="Q643" i="17"/>
  <c r="Q644" i="17"/>
  <c r="Q645" i="17"/>
  <c r="Q646" i="17"/>
  <c r="Q647" i="17"/>
  <c r="Q648" i="17"/>
  <c r="Q649" i="17"/>
  <c r="Q650" i="17"/>
  <c r="Q651" i="17"/>
  <c r="Q652" i="17"/>
  <c r="Q653" i="17"/>
  <c r="Q654" i="17"/>
  <c r="Q655" i="17"/>
  <c r="Q656" i="17"/>
  <c r="Q657" i="17"/>
  <c r="Q658" i="17"/>
  <c r="Q659" i="17"/>
  <c r="Q660" i="17"/>
  <c r="Q661" i="17"/>
  <c r="Q662" i="17"/>
  <c r="Q663" i="17"/>
  <c r="Q664" i="17"/>
  <c r="Q665" i="17"/>
  <c r="Q666" i="17"/>
  <c r="Q667" i="17"/>
  <c r="Q668" i="17"/>
  <c r="Q669" i="17"/>
  <c r="Q670" i="17"/>
  <c r="Q671" i="17"/>
  <c r="Q672" i="17"/>
  <c r="Q673" i="17"/>
  <c r="Q674" i="17"/>
  <c r="Q675" i="17"/>
  <c r="Q676" i="17"/>
  <c r="Q677" i="17"/>
  <c r="Q678" i="17"/>
  <c r="Q679" i="17"/>
  <c r="Q680" i="17"/>
  <c r="Q681" i="17"/>
  <c r="Q682" i="17"/>
  <c r="Q683" i="17"/>
  <c r="Q684" i="17"/>
  <c r="Q685" i="17"/>
  <c r="Q686" i="17"/>
  <c r="Q687" i="17"/>
  <c r="Q688" i="17"/>
  <c r="Q689" i="17"/>
  <c r="Q690" i="17"/>
  <c r="Q691" i="17"/>
  <c r="Q692" i="17"/>
  <c r="Q693" i="17"/>
  <c r="Q694" i="17"/>
  <c r="Q695" i="17"/>
  <c r="Q696" i="17"/>
  <c r="Q697" i="17"/>
  <c r="Q698" i="17"/>
  <c r="Q699" i="17"/>
  <c r="Q700" i="17"/>
  <c r="Q701" i="17"/>
  <c r="Q702" i="17"/>
  <c r="Q703" i="17"/>
  <c r="Q704" i="17"/>
  <c r="Q705" i="17"/>
  <c r="Q706" i="17"/>
  <c r="Q707" i="17"/>
  <c r="Q708" i="17"/>
  <c r="Q709" i="17"/>
  <c r="Q710" i="17"/>
  <c r="Q711" i="17"/>
  <c r="Q712" i="17"/>
  <c r="Q713" i="17"/>
  <c r="Q714" i="17"/>
  <c r="Q715" i="17"/>
  <c r="Q716" i="17"/>
  <c r="Q717" i="17"/>
  <c r="Q718" i="17"/>
  <c r="Q719" i="17"/>
  <c r="Q720" i="17"/>
  <c r="Q721" i="17"/>
  <c r="Q722" i="17"/>
  <c r="Q723" i="17"/>
  <c r="Q724" i="17"/>
  <c r="Q725" i="17"/>
  <c r="Q726" i="17"/>
  <c r="Q727" i="17"/>
  <c r="Q728" i="17"/>
  <c r="Q729" i="17"/>
  <c r="Q730" i="17"/>
  <c r="Q731" i="17"/>
  <c r="Q732" i="17"/>
  <c r="Q733" i="17"/>
  <c r="Q734" i="17"/>
  <c r="Q735" i="17"/>
  <c r="Q736" i="17"/>
  <c r="Q737" i="17"/>
  <c r="Q738" i="17"/>
  <c r="Q739" i="17"/>
  <c r="Q740" i="17"/>
  <c r="Q741" i="17"/>
  <c r="Q742" i="17"/>
  <c r="Q743" i="17"/>
  <c r="Q744" i="17"/>
  <c r="Q745" i="17"/>
  <c r="Q746" i="17"/>
  <c r="Q747" i="17"/>
  <c r="Q748" i="17"/>
  <c r="Q749" i="17"/>
  <c r="Q750" i="17"/>
  <c r="Q751" i="17"/>
  <c r="Q752" i="17"/>
  <c r="Q753" i="17"/>
  <c r="Q754" i="17"/>
  <c r="Q755" i="17"/>
  <c r="Q756" i="17"/>
  <c r="Q757" i="17"/>
  <c r="Q758" i="17"/>
  <c r="Q759" i="17"/>
  <c r="Q760" i="17"/>
  <c r="Q761" i="17"/>
  <c r="Q762" i="17"/>
  <c r="Q763" i="17"/>
  <c r="Q764" i="17"/>
  <c r="Q765" i="17"/>
  <c r="Q766" i="17"/>
  <c r="Q767" i="17"/>
  <c r="Q768" i="17"/>
  <c r="Q769" i="17"/>
  <c r="Q770" i="17"/>
  <c r="Q771" i="17"/>
  <c r="Q772" i="17"/>
  <c r="Q773" i="17"/>
  <c r="Q774" i="17"/>
  <c r="Q775" i="17"/>
  <c r="Q776" i="17"/>
  <c r="Q777" i="17"/>
  <c r="Q778" i="17"/>
  <c r="Q779" i="17"/>
  <c r="Q780" i="17"/>
  <c r="Q781" i="17"/>
  <c r="Q782" i="17"/>
  <c r="Q783" i="17"/>
  <c r="Q784" i="17"/>
  <c r="Q785" i="17"/>
  <c r="Q786" i="17"/>
  <c r="Q787" i="17"/>
  <c r="Q788" i="17"/>
  <c r="Q789" i="17"/>
  <c r="Q790" i="17"/>
  <c r="Q791" i="17"/>
  <c r="Q792" i="17"/>
  <c r="Q793" i="17"/>
  <c r="Q794" i="17"/>
  <c r="Q795" i="17"/>
  <c r="Q796" i="17"/>
  <c r="Q797" i="17"/>
  <c r="Q798" i="17"/>
  <c r="Q799" i="17"/>
  <c r="Q800" i="17"/>
  <c r="Q801" i="17"/>
  <c r="Q802" i="17"/>
  <c r="Q803" i="17"/>
  <c r="Q804" i="17"/>
  <c r="Q805" i="17"/>
  <c r="Q806" i="17"/>
  <c r="Q807" i="17"/>
  <c r="Q808" i="17"/>
  <c r="Q809" i="17"/>
  <c r="Q810" i="17"/>
  <c r="Q811" i="17"/>
  <c r="Q812" i="17"/>
  <c r="Q813" i="17"/>
  <c r="Q814" i="17"/>
  <c r="Q815" i="17"/>
  <c r="Q816" i="17"/>
  <c r="Q817" i="17"/>
  <c r="Q818" i="17"/>
  <c r="Q819" i="17"/>
  <c r="Q820" i="17"/>
  <c r="Q821" i="17"/>
  <c r="Q822" i="17"/>
  <c r="Q823" i="17"/>
  <c r="Q824" i="17"/>
  <c r="Q825" i="17"/>
  <c r="Q826" i="17"/>
  <c r="Q827" i="17"/>
  <c r="Q828" i="17"/>
  <c r="Q829" i="17"/>
  <c r="Q830" i="17"/>
  <c r="Q831" i="17"/>
  <c r="Q832" i="17"/>
  <c r="Q833" i="17"/>
  <c r="Q834" i="17"/>
  <c r="Q835" i="17"/>
  <c r="Q836" i="17"/>
  <c r="Q837" i="17"/>
  <c r="Q838" i="17"/>
  <c r="Q839" i="17"/>
  <c r="Q840" i="17"/>
  <c r="Q841" i="17"/>
  <c r="Q842" i="17"/>
  <c r="Q843" i="17"/>
  <c r="Q844" i="17"/>
  <c r="Q845" i="17"/>
  <c r="Q846" i="17"/>
  <c r="Q847" i="17"/>
  <c r="Q848" i="17"/>
  <c r="Q849" i="17"/>
  <c r="Q850" i="17"/>
  <c r="Q851" i="17"/>
  <c r="Q852" i="17"/>
  <c r="Q853" i="17"/>
  <c r="Q854" i="17"/>
  <c r="Q855" i="17"/>
  <c r="Q856" i="17"/>
  <c r="Q857" i="17"/>
  <c r="Q858" i="17"/>
  <c r="Q859" i="17"/>
  <c r="Q860" i="17"/>
  <c r="Q861" i="17"/>
  <c r="Q862" i="17"/>
  <c r="Q863" i="17"/>
  <c r="Q864" i="17"/>
  <c r="Q865" i="17"/>
  <c r="Q866" i="17"/>
  <c r="Q867" i="17"/>
  <c r="Q868" i="17"/>
  <c r="Q869" i="17"/>
  <c r="Q870" i="17"/>
  <c r="Q871" i="17"/>
  <c r="Q872" i="17"/>
  <c r="Q873" i="17"/>
  <c r="Q874" i="17"/>
  <c r="Q875" i="17"/>
  <c r="Q876" i="17"/>
  <c r="Q877" i="17"/>
  <c r="Q878" i="17"/>
  <c r="Q879" i="17"/>
  <c r="Q880" i="17"/>
  <c r="Q881" i="17"/>
  <c r="Q882" i="17"/>
  <c r="Q883" i="17"/>
  <c r="Q884" i="17"/>
  <c r="Q885" i="17"/>
  <c r="Q886" i="17"/>
  <c r="Q887" i="17"/>
  <c r="Q888" i="17"/>
  <c r="Q889" i="17"/>
  <c r="Q890" i="17"/>
  <c r="Q891" i="17"/>
  <c r="Q892" i="17"/>
  <c r="Q893" i="17"/>
  <c r="Q894" i="17"/>
  <c r="Q895" i="17"/>
  <c r="Q896" i="17"/>
  <c r="Q897" i="17"/>
  <c r="Q898" i="17"/>
  <c r="Q899" i="17"/>
  <c r="Q900" i="17"/>
  <c r="Q901" i="17"/>
  <c r="Q902" i="17"/>
  <c r="Q903" i="17"/>
  <c r="Q904" i="17"/>
  <c r="Q905" i="17"/>
  <c r="Q906" i="17"/>
  <c r="Q907" i="17"/>
  <c r="Q908" i="17"/>
  <c r="Q909" i="17"/>
  <c r="Q910" i="17"/>
  <c r="Q911" i="17"/>
  <c r="Q912" i="17"/>
  <c r="Q913" i="17"/>
  <c r="Q914" i="17"/>
  <c r="Q915" i="17"/>
  <c r="Q916" i="17"/>
  <c r="Q917" i="17"/>
  <c r="Q918" i="17"/>
  <c r="Q919" i="17"/>
  <c r="Q920" i="17"/>
  <c r="Q921" i="17"/>
  <c r="Q922" i="17"/>
  <c r="Q923" i="17"/>
  <c r="Q924" i="17"/>
  <c r="Q925" i="17"/>
  <c r="Q926" i="17"/>
  <c r="Q927" i="17"/>
  <c r="Q928" i="17"/>
  <c r="Q929" i="17"/>
  <c r="Q930" i="17"/>
  <c r="Q931" i="17"/>
  <c r="Q932" i="17"/>
  <c r="Q933" i="17"/>
  <c r="Q934" i="17"/>
  <c r="Q935" i="17"/>
  <c r="Q936" i="17"/>
  <c r="Q937" i="17"/>
  <c r="Q938" i="17"/>
  <c r="Q939" i="17"/>
  <c r="Q940" i="17"/>
  <c r="Q941" i="17"/>
  <c r="Q942" i="17"/>
  <c r="Q943" i="17"/>
  <c r="Q944" i="17"/>
  <c r="Q945" i="17"/>
  <c r="Q946" i="17"/>
  <c r="Q947" i="17"/>
  <c r="Q948" i="17"/>
  <c r="Q949" i="17"/>
  <c r="Q950" i="17"/>
  <c r="Q951" i="17"/>
  <c r="Q952" i="17"/>
  <c r="Q953" i="17"/>
  <c r="Q954" i="17"/>
  <c r="Q955" i="17"/>
  <c r="Q956" i="17"/>
  <c r="Q957" i="17"/>
  <c r="Q958" i="17"/>
  <c r="Q959" i="17"/>
  <c r="Q960" i="17"/>
  <c r="Q961" i="17"/>
  <c r="Q962" i="17"/>
  <c r="Q963" i="17"/>
  <c r="Q964" i="17"/>
  <c r="Q965" i="17"/>
  <c r="Q966" i="17"/>
  <c r="Q967" i="17"/>
  <c r="Q968" i="17"/>
  <c r="Q969" i="17"/>
  <c r="Q970" i="17"/>
  <c r="Q971" i="17"/>
  <c r="Q972" i="17"/>
  <c r="Q973" i="17"/>
  <c r="Q974" i="17"/>
  <c r="Q975" i="17"/>
  <c r="Q976" i="17"/>
  <c r="Q977" i="17"/>
  <c r="Q978" i="17"/>
  <c r="Q979" i="17"/>
  <c r="Q980" i="17"/>
  <c r="Q981" i="17"/>
  <c r="Q982" i="17"/>
  <c r="Q983" i="17"/>
  <c r="Q984" i="17"/>
  <c r="Q985" i="17"/>
  <c r="Q986" i="17"/>
  <c r="Q987" i="17"/>
  <c r="Q988" i="17"/>
  <c r="Q989" i="17"/>
  <c r="Q990" i="17"/>
  <c r="Q991" i="17"/>
  <c r="Q992" i="17"/>
  <c r="Q993" i="17"/>
  <c r="Q994" i="17"/>
  <c r="Q995" i="17"/>
  <c r="Q996" i="17"/>
  <c r="Q997" i="17"/>
  <c r="Q998" i="17"/>
  <c r="Q999" i="17"/>
  <c r="Q1000" i="17"/>
  <c r="Q1001" i="17"/>
  <c r="Q1002" i="17"/>
  <c r="Q1003" i="17"/>
  <c r="Q1004" i="17"/>
  <c r="Q1005" i="17"/>
  <c r="Q1006" i="17"/>
  <c r="Q1007" i="17"/>
  <c r="Q1008" i="17"/>
  <c r="Q1009" i="17"/>
  <c r="Q1010" i="17"/>
  <c r="Q1011" i="17"/>
  <c r="Q1012" i="17"/>
  <c r="Q1013" i="17"/>
  <c r="Q1014" i="17"/>
  <c r="Q1015" i="17"/>
  <c r="Q1016" i="17"/>
  <c r="Q1017" i="17"/>
  <c r="Q1018" i="17"/>
  <c r="Q1019" i="17"/>
  <c r="Q1020" i="17"/>
  <c r="Q1021" i="17"/>
  <c r="Q1022" i="17"/>
  <c r="Q1023" i="17"/>
  <c r="Q1024" i="17"/>
  <c r="Q1025" i="17"/>
  <c r="Q1026" i="17"/>
  <c r="Q1027" i="17"/>
  <c r="Q1028" i="17"/>
  <c r="Q1029" i="17"/>
  <c r="Q1030" i="17"/>
  <c r="Q1031" i="17"/>
  <c r="Q1032" i="17"/>
  <c r="Q1033" i="17"/>
  <c r="Q1034" i="17"/>
  <c r="Q1035" i="17"/>
  <c r="Q1036" i="17"/>
  <c r="Q1037" i="17"/>
  <c r="Q1038" i="17"/>
  <c r="Q1039" i="17"/>
  <c r="Q1040" i="17"/>
  <c r="Q1041" i="17"/>
  <c r="Q1042" i="17"/>
  <c r="Q1043" i="17"/>
  <c r="Q1044" i="17"/>
  <c r="Q1045" i="17"/>
  <c r="Q1046" i="17"/>
  <c r="Q1047" i="17"/>
  <c r="Q1048" i="17"/>
  <c r="Q1049" i="17"/>
  <c r="Q1050" i="17"/>
  <c r="Q1051" i="17"/>
  <c r="Q1052" i="17"/>
  <c r="Q1053" i="17"/>
  <c r="Q1054" i="17"/>
  <c r="Q1055" i="17"/>
  <c r="Q1056" i="17"/>
  <c r="Q1057" i="17"/>
  <c r="Q1058" i="17"/>
  <c r="Q1059" i="17"/>
  <c r="Q1060" i="17"/>
  <c r="Q1061" i="17"/>
  <c r="Q1062" i="17"/>
  <c r="Q1063" i="17"/>
  <c r="Q1064" i="17"/>
  <c r="Q1065" i="17"/>
  <c r="Q1066" i="17"/>
  <c r="Q1067" i="17"/>
  <c r="Q1068" i="17"/>
  <c r="Q1069" i="17"/>
  <c r="Q1070" i="17"/>
  <c r="Q1071" i="17"/>
  <c r="Q1072" i="17"/>
  <c r="Q1073" i="17"/>
  <c r="Q1074" i="17"/>
  <c r="Q1075" i="17"/>
  <c r="Q1076" i="17"/>
  <c r="Q1077" i="17"/>
  <c r="Q1078" i="17"/>
  <c r="Q1079" i="17"/>
  <c r="Q1080" i="17"/>
  <c r="Q1081" i="17"/>
  <c r="Q1082" i="17"/>
  <c r="Q1083" i="17"/>
  <c r="Q1084" i="17"/>
  <c r="Q1085" i="17"/>
  <c r="Q1086" i="17"/>
  <c r="Q1087" i="17"/>
  <c r="Q1088" i="17"/>
  <c r="Q1089" i="17"/>
  <c r="Q1090" i="17"/>
  <c r="Q1091" i="17"/>
  <c r="Q1092" i="17"/>
  <c r="Q1093" i="17"/>
  <c r="Q1094" i="17"/>
  <c r="Q1095" i="17"/>
  <c r="Q1096" i="17"/>
  <c r="Q1097" i="17"/>
  <c r="Q1098" i="17"/>
  <c r="Q1099" i="17"/>
  <c r="Q1100" i="17"/>
  <c r="Q1101" i="17"/>
  <c r="Q1102" i="17"/>
  <c r="Q1103" i="17"/>
  <c r="Q1104" i="17"/>
  <c r="Q1105" i="17"/>
  <c r="Q1106" i="17"/>
  <c r="Q1107" i="17"/>
  <c r="Q1108" i="17"/>
  <c r="Q1109" i="17"/>
  <c r="Q1110" i="17"/>
  <c r="Q1111" i="17"/>
  <c r="Q1112" i="17"/>
  <c r="Q1113" i="17"/>
  <c r="Q1114" i="17"/>
  <c r="Q1115" i="17"/>
  <c r="Q1116" i="17"/>
  <c r="Q1117" i="17"/>
  <c r="Q1118" i="17"/>
  <c r="Q1119" i="17"/>
  <c r="Q1120" i="17"/>
  <c r="Q1121" i="17"/>
  <c r="Q1122" i="17"/>
  <c r="Q1123" i="17"/>
  <c r="Q1124" i="17"/>
  <c r="Q1125" i="17"/>
  <c r="Q1126" i="17"/>
  <c r="Q1127" i="17"/>
  <c r="Q1128" i="17"/>
  <c r="Q1129" i="17"/>
  <c r="Q1130" i="17"/>
  <c r="Q1131" i="17"/>
  <c r="Q1132" i="17"/>
  <c r="Q1133" i="17"/>
  <c r="Q1134" i="17"/>
  <c r="Q1135" i="17"/>
  <c r="Q1136" i="17"/>
  <c r="Q1137" i="17"/>
  <c r="Q1138" i="17"/>
  <c r="Q1139" i="17"/>
  <c r="Q1140" i="17"/>
  <c r="Q1141" i="17"/>
  <c r="Q1142" i="17"/>
  <c r="Q1143" i="17"/>
  <c r="Q1144" i="17"/>
  <c r="Q1145" i="17"/>
  <c r="Q1146" i="17"/>
  <c r="Q1147" i="17"/>
  <c r="Q1148" i="17"/>
  <c r="Q1149" i="17"/>
  <c r="Q1150" i="17"/>
  <c r="Q1151" i="17"/>
  <c r="Q1152" i="17"/>
  <c r="Q1153" i="17"/>
  <c r="Q1154" i="17"/>
  <c r="Q1155" i="17"/>
  <c r="Q1156" i="17"/>
  <c r="Q1157" i="17"/>
  <c r="Q1158" i="17"/>
  <c r="Q1159" i="17"/>
  <c r="Q1160" i="17"/>
  <c r="Q1161" i="17"/>
  <c r="Q1162" i="17"/>
  <c r="Q1163" i="17"/>
  <c r="Q1164" i="17"/>
  <c r="Q1165" i="17"/>
  <c r="Q1166" i="17"/>
  <c r="Q1167" i="17"/>
  <c r="Q1168" i="17"/>
  <c r="Q1169" i="17"/>
  <c r="Q1170" i="17"/>
  <c r="Q1171" i="17"/>
  <c r="Q1172" i="17"/>
  <c r="Q1173" i="17"/>
  <c r="Q1174" i="17"/>
  <c r="Q1175" i="17"/>
  <c r="Q1176" i="17"/>
  <c r="Q1177" i="17"/>
  <c r="Q1178" i="17"/>
  <c r="Q1179" i="17"/>
  <c r="Q1180" i="17"/>
  <c r="Q1181" i="17"/>
  <c r="Q1182" i="17"/>
  <c r="Q1183" i="17"/>
  <c r="Q1184" i="17"/>
  <c r="Q1185" i="17"/>
  <c r="Q1186" i="17"/>
  <c r="Q1187" i="17"/>
  <c r="Q1188" i="17"/>
  <c r="Q1189" i="17"/>
  <c r="Q1190" i="17"/>
  <c r="Q1191" i="17"/>
  <c r="Q1192" i="17"/>
  <c r="Q1193" i="17"/>
  <c r="Q1194" i="17"/>
  <c r="Q1195" i="17"/>
  <c r="Q1196" i="17"/>
  <c r="Q1197" i="17"/>
  <c r="Q1198" i="17"/>
  <c r="Q1199" i="17"/>
  <c r="Q1200" i="17"/>
  <c r="Q1201" i="17"/>
  <c r="Q1202" i="17"/>
  <c r="Q1203" i="17"/>
  <c r="Q1204" i="17"/>
  <c r="Q1205" i="17"/>
  <c r="Q1206" i="17"/>
  <c r="Q1207" i="17"/>
  <c r="Q1208" i="17"/>
  <c r="Q1209" i="17"/>
  <c r="Q1210" i="17"/>
  <c r="Q1211" i="17"/>
  <c r="Q1212" i="17"/>
  <c r="Q1213" i="17"/>
  <c r="Q1214" i="17"/>
  <c r="Q1215" i="17"/>
  <c r="Q1216" i="17"/>
  <c r="Q1217" i="17"/>
  <c r="Q1218" i="17"/>
  <c r="Q1219" i="17"/>
  <c r="Q1220" i="17"/>
  <c r="Q1221" i="17"/>
  <c r="Q1222" i="17"/>
  <c r="Q1223" i="17"/>
  <c r="Q1224" i="17"/>
  <c r="Q1225" i="17"/>
  <c r="Q1226" i="17"/>
  <c r="Q1227" i="17"/>
  <c r="Q1228" i="17"/>
  <c r="Q1229" i="17"/>
  <c r="Q1230" i="17"/>
  <c r="Q1231" i="17"/>
  <c r="Q1232" i="17"/>
  <c r="Q1233" i="17"/>
  <c r="Q1234" i="17"/>
  <c r="Q1235" i="17"/>
  <c r="Q1236" i="17"/>
  <c r="Q1237" i="17"/>
  <c r="Q1238" i="17"/>
  <c r="Q1239" i="17"/>
  <c r="Q1240" i="17"/>
  <c r="Q1241" i="17"/>
  <c r="Q1242" i="17"/>
  <c r="Q1243" i="17"/>
  <c r="Q1244" i="17"/>
  <c r="Q1245" i="17"/>
  <c r="Q1246" i="17"/>
  <c r="Q1247" i="17"/>
  <c r="Q1248" i="17"/>
  <c r="Q1249" i="17"/>
  <c r="Q1250" i="17"/>
  <c r="Q1251" i="17"/>
  <c r="Q1252" i="17"/>
  <c r="Q1253" i="17"/>
  <c r="Q1254" i="17"/>
  <c r="Q1255" i="17"/>
  <c r="Q1256" i="17"/>
  <c r="Q1257" i="17"/>
  <c r="Q1258" i="17"/>
  <c r="Q1259" i="17"/>
  <c r="Q1260" i="17"/>
  <c r="Q1261" i="17"/>
  <c r="Q1262" i="17"/>
  <c r="Q1263" i="17"/>
  <c r="Q1264" i="17"/>
  <c r="Q1265" i="17"/>
  <c r="Q1266" i="17"/>
  <c r="Q1267" i="17"/>
  <c r="Q1268" i="17"/>
  <c r="Q1269" i="17"/>
  <c r="Q1270" i="17"/>
  <c r="Q1271" i="17"/>
  <c r="Q1272" i="17"/>
  <c r="Q1273" i="17"/>
  <c r="Q1274" i="17"/>
  <c r="Q1275" i="17"/>
  <c r="Q1276" i="17"/>
  <c r="Q1277" i="17"/>
  <c r="Q1278" i="17"/>
  <c r="Q1279" i="17"/>
  <c r="Q1280" i="17"/>
  <c r="Q1281" i="17"/>
  <c r="Q1282" i="17"/>
  <c r="Q1283" i="17"/>
  <c r="Q1284" i="17"/>
  <c r="Q1285" i="17"/>
  <c r="Q1286" i="17"/>
  <c r="Q1287" i="17"/>
  <c r="Q1288" i="17"/>
  <c r="Q1289" i="17"/>
  <c r="Q1290" i="17"/>
  <c r="Q1291" i="17"/>
  <c r="Q1292" i="17"/>
  <c r="Q1293" i="17"/>
  <c r="Q1294" i="17"/>
  <c r="Q1295" i="17"/>
  <c r="Q1296" i="17"/>
  <c r="Q1297" i="17"/>
  <c r="Q1298" i="17"/>
  <c r="Q1299" i="17"/>
  <c r="Q1300" i="17"/>
  <c r="Q1301" i="17"/>
  <c r="Q1302" i="17"/>
  <c r="Q1303" i="17"/>
  <c r="Q1304" i="17"/>
  <c r="Q1305" i="17"/>
  <c r="Q1306" i="17"/>
  <c r="Q1307" i="17"/>
  <c r="Q1308" i="17"/>
  <c r="Q1309" i="17"/>
  <c r="Q1310" i="17"/>
  <c r="Q1311" i="17"/>
  <c r="Q1312" i="17"/>
  <c r="Q1313" i="17"/>
  <c r="Q1314" i="17"/>
  <c r="Q1315" i="17"/>
  <c r="Q1316" i="17"/>
  <c r="Q1317" i="17"/>
  <c r="Q1318" i="17"/>
  <c r="Q1319" i="17"/>
  <c r="Q1320" i="17"/>
  <c r="Q1321" i="17"/>
  <c r="Q1322" i="17"/>
  <c r="Q1323" i="17"/>
  <c r="Q1324" i="17"/>
  <c r="Q1325" i="17"/>
  <c r="Q1326" i="17"/>
  <c r="Q1327" i="17"/>
  <c r="Q1328" i="17"/>
  <c r="Q1329" i="17"/>
  <c r="Q1330" i="17"/>
  <c r="Q1331" i="17"/>
  <c r="Q1332" i="17"/>
  <c r="Q1333" i="17"/>
  <c r="Q1334" i="17"/>
  <c r="Q1335" i="17"/>
  <c r="Q1336" i="17"/>
  <c r="Q1337" i="17"/>
  <c r="Q1338" i="17"/>
  <c r="Q1339" i="17"/>
  <c r="Q1340" i="17"/>
  <c r="Q1341" i="17"/>
  <c r="Q1342" i="17"/>
  <c r="Q1343" i="17"/>
  <c r="Q1344" i="17"/>
  <c r="Q1345" i="17"/>
  <c r="Q1346" i="17"/>
  <c r="Q1347" i="17"/>
  <c r="Q1348" i="17"/>
  <c r="Q1349" i="17"/>
  <c r="Q1350" i="17"/>
  <c r="Q1351" i="17"/>
  <c r="Q1352" i="17"/>
  <c r="Q1353" i="17"/>
  <c r="Q1354" i="17"/>
  <c r="Q1355" i="17"/>
  <c r="Q1356" i="17"/>
  <c r="Q1357" i="17"/>
  <c r="Q1358" i="17"/>
  <c r="Q1359" i="17"/>
  <c r="Q1360" i="17"/>
  <c r="Q1361" i="17"/>
  <c r="Q1362" i="17"/>
  <c r="Q1363" i="17"/>
  <c r="Q1364" i="17"/>
  <c r="Q1365" i="17"/>
  <c r="Q1366" i="17"/>
  <c r="Q1367" i="17"/>
  <c r="Q1368" i="17"/>
  <c r="Q1369" i="17"/>
  <c r="Q1370" i="17"/>
  <c r="Q1371" i="17"/>
  <c r="Q1372" i="17"/>
  <c r="Q1373" i="17"/>
  <c r="Q1374" i="17"/>
  <c r="Q1375" i="17"/>
  <c r="Q1376" i="17"/>
  <c r="Q1377" i="17"/>
  <c r="Q1378" i="17"/>
  <c r="Q1379" i="17"/>
  <c r="Q1380" i="17"/>
  <c r="Q1381" i="17"/>
  <c r="Q1382" i="17"/>
  <c r="Q1383" i="17"/>
  <c r="Q1384" i="17"/>
  <c r="Q1385" i="17"/>
  <c r="Q1386" i="17"/>
  <c r="Q1387" i="17"/>
  <c r="Q1388" i="17"/>
  <c r="Q1389" i="17"/>
  <c r="Q1390" i="17"/>
  <c r="Q1391" i="17"/>
  <c r="Q1392" i="17"/>
  <c r="Q1393" i="17"/>
  <c r="Q1394" i="17"/>
  <c r="Q1395" i="17"/>
  <c r="Q1396" i="17"/>
  <c r="Q1397" i="17"/>
  <c r="Q1398" i="17"/>
  <c r="Q1399" i="17"/>
  <c r="Q1400" i="17"/>
  <c r="Q1401" i="17"/>
  <c r="Q1402" i="17"/>
  <c r="Q1403" i="17"/>
  <c r="Q1404" i="17"/>
  <c r="Q1405" i="17"/>
  <c r="Q1406" i="17"/>
  <c r="Q1407" i="17"/>
  <c r="Q1408" i="17"/>
  <c r="Q1409" i="17"/>
  <c r="Q1410" i="17"/>
  <c r="Q1411" i="17"/>
  <c r="Q1412" i="17"/>
  <c r="Q1413" i="17"/>
  <c r="Q1414" i="17"/>
  <c r="Q1415" i="17"/>
  <c r="Q1416" i="17"/>
  <c r="Q1417" i="17"/>
  <c r="Q1418" i="17"/>
  <c r="Q1419" i="17"/>
  <c r="Q1420" i="17"/>
  <c r="Q1421" i="17"/>
  <c r="Q1422" i="17"/>
  <c r="Q1423" i="17"/>
  <c r="Q1424" i="17"/>
  <c r="Q1425" i="17"/>
  <c r="Q1426" i="17"/>
  <c r="Q1427" i="17"/>
  <c r="Q1428" i="17"/>
  <c r="Q1429" i="17"/>
  <c r="Q1430" i="17"/>
  <c r="Q1431" i="17"/>
  <c r="Q1432" i="17"/>
  <c r="Q1433" i="17"/>
  <c r="Q1434" i="17"/>
  <c r="Q1435" i="17"/>
  <c r="Q1436" i="17"/>
  <c r="Q1437" i="17"/>
  <c r="Q1438" i="17"/>
  <c r="Q1439" i="17"/>
  <c r="Q1440" i="17"/>
  <c r="Q1441" i="17"/>
  <c r="Q1442" i="17"/>
  <c r="Q1443" i="17"/>
  <c r="Q1444" i="17"/>
  <c r="Q1445" i="17"/>
  <c r="Q1446" i="17"/>
  <c r="Q1447" i="17"/>
  <c r="Q1448" i="17"/>
  <c r="Q1449" i="17"/>
  <c r="Q1450" i="17"/>
  <c r="Q1451" i="17"/>
  <c r="Q1452" i="17"/>
  <c r="Q1453" i="17"/>
  <c r="Q1454" i="17"/>
  <c r="Q1455" i="17"/>
  <c r="Q1456" i="17"/>
  <c r="Q1457" i="17"/>
  <c r="Q1458" i="17"/>
  <c r="Q1459" i="17"/>
  <c r="Q1460" i="17"/>
  <c r="Q1461" i="17"/>
  <c r="Q1462" i="17"/>
  <c r="Q1463" i="17"/>
  <c r="Q1464" i="17"/>
  <c r="Q1465" i="17"/>
  <c r="Q1466" i="17"/>
  <c r="Q1467" i="17"/>
  <c r="Q1468" i="17"/>
  <c r="Q1469" i="17"/>
  <c r="Q1470" i="17"/>
  <c r="Q1471" i="17"/>
  <c r="Q1472" i="17"/>
  <c r="Q1473" i="17"/>
  <c r="Q1474" i="17"/>
  <c r="Q1475" i="17"/>
  <c r="Q1476" i="17"/>
  <c r="Q1477" i="17"/>
  <c r="Q1478" i="17"/>
  <c r="Q1479" i="17"/>
  <c r="Q1480" i="17"/>
  <c r="Q1481" i="17"/>
  <c r="Q1482" i="17"/>
  <c r="Q1483" i="17"/>
  <c r="Q1484" i="17"/>
  <c r="Q1485" i="17"/>
  <c r="Q1486" i="17"/>
  <c r="Q1487" i="17"/>
  <c r="Q1488" i="17"/>
  <c r="Q1489" i="17"/>
  <c r="Q1490" i="17"/>
  <c r="Q1491" i="17"/>
  <c r="Q1492" i="17"/>
  <c r="Q1493" i="17"/>
  <c r="Q1494" i="17"/>
  <c r="Q1495" i="17"/>
  <c r="Q1496" i="17"/>
  <c r="Q1497" i="17"/>
  <c r="Q1498" i="17"/>
  <c r="Q1499" i="17"/>
  <c r="Q1500" i="17"/>
  <c r="Q1501" i="17"/>
  <c r="Q1502" i="17"/>
  <c r="Q1503" i="17"/>
  <c r="Q1504" i="17"/>
  <c r="Q1505" i="17"/>
  <c r="Q1506" i="17"/>
  <c r="Q1507" i="17"/>
  <c r="Q1508" i="17"/>
  <c r="Q1509" i="17"/>
  <c r="Q15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106" i="17"/>
  <c r="O107" i="17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O204" i="17"/>
  <c r="O205" i="17"/>
  <c r="O206" i="17"/>
  <c r="O207" i="17"/>
  <c r="O208" i="17"/>
  <c r="O209" i="17"/>
  <c r="O210" i="17"/>
  <c r="O211" i="17"/>
  <c r="O212" i="17"/>
  <c r="O213" i="17"/>
  <c r="O214" i="17"/>
  <c r="O215" i="17"/>
  <c r="O216" i="17"/>
  <c r="O217" i="17"/>
  <c r="O218" i="17"/>
  <c r="O219" i="17"/>
  <c r="O220" i="17"/>
  <c r="O221" i="17"/>
  <c r="O222" i="17"/>
  <c r="O223" i="17"/>
  <c r="O224" i="17"/>
  <c r="O225" i="17"/>
  <c r="O226" i="17"/>
  <c r="O227" i="17"/>
  <c r="O228" i="17"/>
  <c r="O229" i="17"/>
  <c r="O230" i="17"/>
  <c r="O231" i="17"/>
  <c r="O232" i="17"/>
  <c r="O233" i="17"/>
  <c r="O234" i="17"/>
  <c r="O235" i="17"/>
  <c r="O236" i="17"/>
  <c r="O237" i="17"/>
  <c r="O238" i="17"/>
  <c r="O239" i="17"/>
  <c r="O240" i="17"/>
  <c r="O241" i="17"/>
  <c r="O242" i="17"/>
  <c r="O243" i="17"/>
  <c r="O244" i="17"/>
  <c r="O245" i="17"/>
  <c r="O246" i="17"/>
  <c r="O247" i="17"/>
  <c r="O248" i="17"/>
  <c r="O249" i="17"/>
  <c r="O250" i="17"/>
  <c r="O251" i="17"/>
  <c r="O252" i="17"/>
  <c r="O253" i="17"/>
  <c r="O254" i="17"/>
  <c r="O255" i="17"/>
  <c r="O256" i="17"/>
  <c r="O257" i="17"/>
  <c r="O258" i="17"/>
  <c r="O259" i="17"/>
  <c r="O260" i="17"/>
  <c r="O261" i="17"/>
  <c r="O262" i="17"/>
  <c r="O263" i="17"/>
  <c r="O264" i="17"/>
  <c r="O265" i="17"/>
  <c r="O266" i="17"/>
  <c r="O267" i="17"/>
  <c r="O268" i="17"/>
  <c r="O269" i="17"/>
  <c r="O270" i="17"/>
  <c r="O271" i="17"/>
  <c r="O272" i="17"/>
  <c r="O273" i="17"/>
  <c r="O274" i="17"/>
  <c r="O275" i="17"/>
  <c r="O276" i="17"/>
  <c r="O277" i="17"/>
  <c r="O278" i="17"/>
  <c r="O279" i="17"/>
  <c r="O280" i="17"/>
  <c r="O281" i="17"/>
  <c r="O282" i="17"/>
  <c r="O283" i="17"/>
  <c r="O284" i="17"/>
  <c r="O285" i="17"/>
  <c r="O286" i="17"/>
  <c r="O287" i="17"/>
  <c r="O288" i="17"/>
  <c r="O289" i="17"/>
  <c r="O290" i="17"/>
  <c r="O291" i="17"/>
  <c r="O292" i="17"/>
  <c r="O293" i="17"/>
  <c r="O294" i="17"/>
  <c r="O295" i="17"/>
  <c r="O296" i="17"/>
  <c r="O297" i="17"/>
  <c r="O298" i="17"/>
  <c r="O299" i="17"/>
  <c r="O300" i="17"/>
  <c r="O301" i="17"/>
  <c r="O302" i="17"/>
  <c r="O303" i="17"/>
  <c r="O304" i="17"/>
  <c r="O305" i="17"/>
  <c r="O306" i="17"/>
  <c r="O307" i="17"/>
  <c r="O308" i="17"/>
  <c r="O309" i="17"/>
  <c r="O310" i="17"/>
  <c r="O311" i="17"/>
  <c r="O312" i="17"/>
  <c r="O313" i="17"/>
  <c r="O314" i="17"/>
  <c r="O315" i="17"/>
  <c r="O316" i="17"/>
  <c r="O317" i="17"/>
  <c r="O318" i="17"/>
  <c r="O319" i="17"/>
  <c r="O320" i="17"/>
  <c r="O321" i="17"/>
  <c r="O322" i="17"/>
  <c r="O323" i="17"/>
  <c r="O324" i="17"/>
  <c r="O325" i="17"/>
  <c r="O326" i="17"/>
  <c r="O327" i="17"/>
  <c r="O328" i="17"/>
  <c r="O329" i="17"/>
  <c r="O330" i="17"/>
  <c r="O331" i="17"/>
  <c r="O332" i="17"/>
  <c r="O333" i="17"/>
  <c r="O334" i="17"/>
  <c r="O335" i="17"/>
  <c r="O336" i="17"/>
  <c r="O337" i="17"/>
  <c r="O338" i="17"/>
  <c r="O339" i="17"/>
  <c r="O340" i="17"/>
  <c r="O341" i="17"/>
  <c r="O342" i="17"/>
  <c r="O343" i="17"/>
  <c r="O344" i="17"/>
  <c r="O345" i="17"/>
  <c r="O346" i="17"/>
  <c r="O347" i="17"/>
  <c r="O348" i="17"/>
  <c r="O349" i="17"/>
  <c r="O350" i="17"/>
  <c r="O351" i="17"/>
  <c r="O352" i="17"/>
  <c r="O353" i="17"/>
  <c r="O354" i="17"/>
  <c r="O355" i="17"/>
  <c r="O356" i="17"/>
  <c r="O357" i="17"/>
  <c r="O358" i="17"/>
  <c r="O359" i="17"/>
  <c r="O360" i="17"/>
  <c r="O361" i="17"/>
  <c r="O362" i="17"/>
  <c r="O363" i="17"/>
  <c r="O364" i="17"/>
  <c r="O365" i="17"/>
  <c r="O366" i="17"/>
  <c r="O367" i="17"/>
  <c r="O368" i="17"/>
  <c r="O369" i="17"/>
  <c r="O370" i="17"/>
  <c r="O371" i="17"/>
  <c r="O372" i="17"/>
  <c r="O373" i="17"/>
  <c r="O374" i="17"/>
  <c r="O375" i="17"/>
  <c r="O376" i="17"/>
  <c r="O377" i="17"/>
  <c r="O378" i="17"/>
  <c r="O379" i="17"/>
  <c r="O380" i="17"/>
  <c r="O381" i="17"/>
  <c r="O382" i="17"/>
  <c r="O383" i="17"/>
  <c r="O384" i="17"/>
  <c r="O385" i="17"/>
  <c r="O386" i="17"/>
  <c r="O387" i="17"/>
  <c r="O388" i="17"/>
  <c r="O389" i="17"/>
  <c r="O390" i="17"/>
  <c r="O391" i="17"/>
  <c r="O392" i="17"/>
  <c r="O393" i="17"/>
  <c r="O394" i="17"/>
  <c r="O395" i="17"/>
  <c r="O396" i="17"/>
  <c r="O397" i="17"/>
  <c r="O398" i="17"/>
  <c r="O399" i="17"/>
  <c r="O400" i="17"/>
  <c r="O401" i="17"/>
  <c r="O402" i="17"/>
  <c r="O403" i="17"/>
  <c r="O404" i="17"/>
  <c r="O405" i="17"/>
  <c r="O406" i="17"/>
  <c r="O407" i="17"/>
  <c r="O408" i="17"/>
  <c r="O409" i="17"/>
  <c r="O410" i="17"/>
  <c r="O411" i="17"/>
  <c r="O412" i="17"/>
  <c r="O413" i="17"/>
  <c r="O414" i="17"/>
  <c r="O415" i="17"/>
  <c r="O416" i="17"/>
  <c r="O417" i="17"/>
  <c r="O418" i="17"/>
  <c r="O419" i="17"/>
  <c r="O420" i="17"/>
  <c r="O421" i="17"/>
  <c r="O422" i="17"/>
  <c r="O423" i="17"/>
  <c r="O424" i="17"/>
  <c r="O425" i="17"/>
  <c r="O426" i="17"/>
  <c r="O427" i="17"/>
  <c r="O428" i="17"/>
  <c r="O429" i="17"/>
  <c r="O430" i="17"/>
  <c r="O431" i="17"/>
  <c r="O432" i="17"/>
  <c r="O433" i="17"/>
  <c r="O434" i="17"/>
  <c r="O435" i="17"/>
  <c r="O436" i="17"/>
  <c r="O437" i="17"/>
  <c r="O438" i="17"/>
  <c r="O439" i="17"/>
  <c r="O440" i="17"/>
  <c r="O441" i="17"/>
  <c r="O442" i="17"/>
  <c r="O443" i="17"/>
  <c r="O444" i="17"/>
  <c r="O445" i="17"/>
  <c r="O446" i="17"/>
  <c r="O447" i="17"/>
  <c r="O448" i="17"/>
  <c r="O449" i="17"/>
  <c r="O450" i="17"/>
  <c r="O451" i="17"/>
  <c r="O452" i="17"/>
  <c r="O453" i="17"/>
  <c r="O454" i="17"/>
  <c r="O455" i="17"/>
  <c r="O456" i="17"/>
  <c r="O457" i="17"/>
  <c r="O458" i="17"/>
  <c r="O459" i="17"/>
  <c r="O460" i="17"/>
  <c r="O461" i="17"/>
  <c r="O462" i="17"/>
  <c r="O463" i="17"/>
  <c r="O464" i="17"/>
  <c r="O465" i="17"/>
  <c r="O466" i="17"/>
  <c r="O467" i="17"/>
  <c r="O468" i="17"/>
  <c r="O469" i="17"/>
  <c r="O470" i="17"/>
  <c r="O471" i="17"/>
  <c r="O472" i="17"/>
  <c r="O473" i="17"/>
  <c r="O474" i="17"/>
  <c r="O475" i="17"/>
  <c r="O476" i="17"/>
  <c r="O477" i="17"/>
  <c r="O478" i="17"/>
  <c r="O479" i="17"/>
  <c r="O480" i="17"/>
  <c r="O481" i="17"/>
  <c r="O482" i="17"/>
  <c r="O483" i="17"/>
  <c r="O484" i="17"/>
  <c r="O485" i="17"/>
  <c r="O486" i="17"/>
  <c r="O487" i="17"/>
  <c r="O488" i="17"/>
  <c r="O489" i="17"/>
  <c r="O490" i="17"/>
  <c r="O491" i="17"/>
  <c r="O492" i="17"/>
  <c r="O493" i="17"/>
  <c r="O494" i="17"/>
  <c r="O495" i="17"/>
  <c r="O496" i="17"/>
  <c r="O497" i="17"/>
  <c r="O498" i="17"/>
  <c r="O499" i="17"/>
  <c r="O500" i="17"/>
  <c r="O501" i="17"/>
  <c r="O502" i="17"/>
  <c r="O503" i="17"/>
  <c r="O504" i="17"/>
  <c r="O505" i="17"/>
  <c r="O506" i="17"/>
  <c r="O507" i="17"/>
  <c r="O508" i="17"/>
  <c r="O509" i="17"/>
  <c r="O510" i="17"/>
  <c r="O511" i="17"/>
  <c r="O512" i="17"/>
  <c r="O513" i="17"/>
  <c r="O514" i="17"/>
  <c r="O515" i="17"/>
  <c r="O516" i="17"/>
  <c r="O517" i="17"/>
  <c r="O518" i="17"/>
  <c r="O519" i="17"/>
  <c r="O520" i="17"/>
  <c r="O521" i="17"/>
  <c r="O522" i="17"/>
  <c r="O523" i="17"/>
  <c r="O524" i="17"/>
  <c r="O525" i="17"/>
  <c r="O526" i="17"/>
  <c r="O527" i="17"/>
  <c r="O528" i="17"/>
  <c r="O529" i="17"/>
  <c r="O530" i="17"/>
  <c r="O531" i="17"/>
  <c r="O532" i="17"/>
  <c r="O533" i="17"/>
  <c r="O534" i="17"/>
  <c r="O535" i="17"/>
  <c r="O536" i="17"/>
  <c r="O537" i="17"/>
  <c r="O538" i="17"/>
  <c r="O539" i="17"/>
  <c r="O540" i="17"/>
  <c r="O541" i="17"/>
  <c r="O542" i="17"/>
  <c r="O543" i="17"/>
  <c r="O544" i="17"/>
  <c r="O545" i="17"/>
  <c r="O546" i="17"/>
  <c r="O547" i="17"/>
  <c r="O548" i="17"/>
  <c r="O549" i="17"/>
  <c r="O550" i="17"/>
  <c r="O551" i="17"/>
  <c r="O552" i="17"/>
  <c r="O553" i="17"/>
  <c r="O554" i="17"/>
  <c r="O555" i="17"/>
  <c r="O556" i="17"/>
  <c r="O557" i="17"/>
  <c r="O558" i="17"/>
  <c r="O559" i="17"/>
  <c r="O560" i="17"/>
  <c r="O561" i="17"/>
  <c r="O562" i="17"/>
  <c r="O563" i="17"/>
  <c r="O564" i="17"/>
  <c r="O565" i="17"/>
  <c r="O566" i="17"/>
  <c r="O567" i="17"/>
  <c r="O568" i="17"/>
  <c r="O569" i="17"/>
  <c r="O570" i="17"/>
  <c r="O571" i="17"/>
  <c r="O572" i="17"/>
  <c r="O573" i="17"/>
  <c r="O574" i="17"/>
  <c r="O575" i="17"/>
  <c r="O576" i="17"/>
  <c r="O577" i="17"/>
  <c r="O578" i="17"/>
  <c r="O579" i="17"/>
  <c r="O580" i="17"/>
  <c r="O581" i="17"/>
  <c r="O582" i="17"/>
  <c r="O583" i="17"/>
  <c r="O584" i="17"/>
  <c r="O585" i="17"/>
  <c r="O586" i="17"/>
  <c r="O587" i="17"/>
  <c r="O588" i="17"/>
  <c r="O589" i="17"/>
  <c r="O590" i="17"/>
  <c r="O591" i="17"/>
  <c r="O592" i="17"/>
  <c r="O593" i="17"/>
  <c r="O594" i="17"/>
  <c r="O595" i="17"/>
  <c r="O596" i="17"/>
  <c r="O597" i="17"/>
  <c r="O598" i="17"/>
  <c r="O599" i="17"/>
  <c r="O600" i="17"/>
  <c r="O601" i="17"/>
  <c r="O602" i="17"/>
  <c r="O603" i="17"/>
  <c r="O604" i="17"/>
  <c r="O605" i="17"/>
  <c r="O606" i="17"/>
  <c r="O607" i="17"/>
  <c r="O608" i="17"/>
  <c r="O609" i="17"/>
  <c r="O610" i="17"/>
  <c r="O611" i="17"/>
  <c r="O612" i="17"/>
  <c r="O613" i="17"/>
  <c r="O614" i="17"/>
  <c r="O615" i="17"/>
  <c r="O616" i="17"/>
  <c r="O617" i="17"/>
  <c r="O618" i="17"/>
  <c r="O619" i="17"/>
  <c r="O620" i="17"/>
  <c r="O621" i="17"/>
  <c r="O622" i="17"/>
  <c r="O623" i="17"/>
  <c r="O624" i="17"/>
  <c r="O625" i="17"/>
  <c r="O626" i="17"/>
  <c r="O627" i="17"/>
  <c r="O628" i="17"/>
  <c r="O629" i="17"/>
  <c r="O630" i="17"/>
  <c r="O631" i="17"/>
  <c r="O632" i="17"/>
  <c r="O633" i="17"/>
  <c r="O634" i="17"/>
  <c r="O635" i="17"/>
  <c r="O636" i="17"/>
  <c r="O637" i="17"/>
  <c r="O638" i="17"/>
  <c r="O639" i="17"/>
  <c r="O640" i="17"/>
  <c r="O641" i="17"/>
  <c r="O642" i="17"/>
  <c r="O643" i="17"/>
  <c r="O644" i="17"/>
  <c r="O645" i="17"/>
  <c r="O646" i="17"/>
  <c r="O647" i="17"/>
  <c r="O648" i="17"/>
  <c r="O649" i="17"/>
  <c r="O650" i="17"/>
  <c r="O651" i="17"/>
  <c r="O652" i="17"/>
  <c r="O653" i="17"/>
  <c r="O654" i="17"/>
  <c r="O655" i="17"/>
  <c r="O656" i="17"/>
  <c r="O657" i="17"/>
  <c r="O658" i="17"/>
  <c r="O659" i="17"/>
  <c r="O660" i="17"/>
  <c r="O661" i="17"/>
  <c r="O662" i="17"/>
  <c r="O663" i="17"/>
  <c r="O664" i="17"/>
  <c r="O665" i="17"/>
  <c r="O666" i="17"/>
  <c r="O667" i="17"/>
  <c r="O668" i="17"/>
  <c r="O669" i="17"/>
  <c r="O670" i="17"/>
  <c r="O671" i="17"/>
  <c r="O672" i="17"/>
  <c r="O673" i="17"/>
  <c r="O674" i="17"/>
  <c r="O675" i="17"/>
  <c r="O676" i="17"/>
  <c r="O677" i="17"/>
  <c r="O678" i="17"/>
  <c r="O679" i="17"/>
  <c r="O680" i="17"/>
  <c r="O681" i="17"/>
  <c r="O682" i="17"/>
  <c r="O683" i="17"/>
  <c r="O684" i="17"/>
  <c r="O685" i="17"/>
  <c r="O686" i="17"/>
  <c r="O687" i="17"/>
  <c r="O688" i="17"/>
  <c r="O689" i="17"/>
  <c r="O690" i="17"/>
  <c r="O691" i="17"/>
  <c r="O692" i="17"/>
  <c r="O693" i="17"/>
  <c r="O694" i="17"/>
  <c r="O695" i="17"/>
  <c r="O696" i="17"/>
  <c r="O697" i="17"/>
  <c r="O698" i="17"/>
  <c r="O699" i="17"/>
  <c r="O700" i="17"/>
  <c r="O701" i="17"/>
  <c r="O702" i="17"/>
  <c r="O703" i="17"/>
  <c r="O704" i="17"/>
  <c r="O705" i="17"/>
  <c r="O706" i="17"/>
  <c r="O707" i="17"/>
  <c r="O708" i="17"/>
  <c r="O709" i="17"/>
  <c r="O710" i="17"/>
  <c r="O711" i="17"/>
  <c r="O712" i="17"/>
  <c r="O713" i="17"/>
  <c r="O714" i="17"/>
  <c r="O715" i="17"/>
  <c r="O716" i="17"/>
  <c r="O717" i="17"/>
  <c r="O718" i="17"/>
  <c r="O719" i="17"/>
  <c r="O720" i="17"/>
  <c r="O721" i="17"/>
  <c r="O722" i="17"/>
  <c r="O723" i="17"/>
  <c r="O724" i="17"/>
  <c r="O725" i="17"/>
  <c r="O726" i="17"/>
  <c r="O727" i="17"/>
  <c r="O728" i="17"/>
  <c r="O729" i="17"/>
  <c r="O730" i="17"/>
  <c r="O731" i="17"/>
  <c r="O732" i="17"/>
  <c r="O733" i="17"/>
  <c r="O734" i="17"/>
  <c r="O735" i="17"/>
  <c r="O736" i="17"/>
  <c r="O737" i="17"/>
  <c r="O738" i="17"/>
  <c r="O739" i="17"/>
  <c r="O740" i="17"/>
  <c r="O741" i="17"/>
  <c r="O742" i="17"/>
  <c r="O743" i="17"/>
  <c r="O744" i="17"/>
  <c r="O745" i="17"/>
  <c r="O746" i="17"/>
  <c r="O747" i="17"/>
  <c r="O748" i="17"/>
  <c r="O749" i="17"/>
  <c r="O750" i="17"/>
  <c r="O751" i="17"/>
  <c r="O752" i="17"/>
  <c r="O753" i="17"/>
  <c r="O754" i="17"/>
  <c r="O755" i="17"/>
  <c r="O756" i="17"/>
  <c r="O757" i="17"/>
  <c r="O758" i="17"/>
  <c r="O759" i="17"/>
  <c r="O760" i="17"/>
  <c r="O761" i="17"/>
  <c r="O762" i="17"/>
  <c r="O763" i="17"/>
  <c r="O764" i="17"/>
  <c r="O765" i="17"/>
  <c r="O766" i="17"/>
  <c r="O767" i="17"/>
  <c r="O768" i="17"/>
  <c r="O769" i="17"/>
  <c r="O770" i="17"/>
  <c r="O771" i="17"/>
  <c r="O772" i="17"/>
  <c r="O773" i="17"/>
  <c r="O774" i="17"/>
  <c r="O775" i="17"/>
  <c r="O776" i="17"/>
  <c r="O777" i="17"/>
  <c r="O778" i="17"/>
  <c r="O779" i="17"/>
  <c r="O780" i="17"/>
  <c r="O781" i="17"/>
  <c r="O782" i="17"/>
  <c r="O783" i="17"/>
  <c r="O784" i="17"/>
  <c r="O785" i="17"/>
  <c r="O786" i="17"/>
  <c r="O787" i="17"/>
  <c r="O788" i="17"/>
  <c r="O789" i="17"/>
  <c r="O790" i="17"/>
  <c r="O791" i="17"/>
  <c r="O792" i="17"/>
  <c r="O793" i="17"/>
  <c r="O794" i="17"/>
  <c r="O795" i="17"/>
  <c r="O796" i="17"/>
  <c r="O797" i="17"/>
  <c r="O798" i="17"/>
  <c r="O799" i="17"/>
  <c r="O800" i="17"/>
  <c r="O801" i="17"/>
  <c r="O802" i="17"/>
  <c r="O803" i="17"/>
  <c r="O804" i="17"/>
  <c r="O805" i="17"/>
  <c r="O806" i="17"/>
  <c r="O807" i="17"/>
  <c r="O808" i="17"/>
  <c r="O809" i="17"/>
  <c r="O810" i="17"/>
  <c r="O811" i="17"/>
  <c r="O812" i="17"/>
  <c r="O813" i="17"/>
  <c r="O814" i="17"/>
  <c r="O815" i="17"/>
  <c r="O816" i="17"/>
  <c r="O817" i="17"/>
  <c r="O818" i="17"/>
  <c r="O819" i="17"/>
  <c r="O820" i="17"/>
  <c r="O821" i="17"/>
  <c r="O822" i="17"/>
  <c r="O823" i="17"/>
  <c r="O824" i="17"/>
  <c r="O825" i="17"/>
  <c r="O826" i="17"/>
  <c r="O827" i="17"/>
  <c r="O828" i="17"/>
  <c r="O829" i="17"/>
  <c r="O830" i="17"/>
  <c r="O831" i="17"/>
  <c r="O832" i="17"/>
  <c r="O833" i="17"/>
  <c r="O834" i="17"/>
  <c r="O835" i="17"/>
  <c r="O836" i="17"/>
  <c r="O837" i="17"/>
  <c r="O838" i="17"/>
  <c r="O839" i="17"/>
  <c r="O840" i="17"/>
  <c r="O841" i="17"/>
  <c r="O842" i="17"/>
  <c r="O843" i="17"/>
  <c r="O844" i="17"/>
  <c r="O845" i="17"/>
  <c r="O846" i="17"/>
  <c r="O847" i="17"/>
  <c r="O848" i="17"/>
  <c r="O849" i="17"/>
  <c r="O850" i="17"/>
  <c r="O851" i="17"/>
  <c r="O852" i="17"/>
  <c r="O853" i="17"/>
  <c r="O854" i="17"/>
  <c r="O855" i="17"/>
  <c r="O856" i="17"/>
  <c r="O857" i="17"/>
  <c r="O858" i="17"/>
  <c r="O859" i="17"/>
  <c r="O860" i="17"/>
  <c r="O861" i="17"/>
  <c r="O862" i="17"/>
  <c r="O863" i="17"/>
  <c r="O864" i="17"/>
  <c r="O865" i="17"/>
  <c r="O866" i="17"/>
  <c r="O867" i="17"/>
  <c r="O868" i="17"/>
  <c r="O869" i="17"/>
  <c r="O870" i="17"/>
  <c r="O871" i="17"/>
  <c r="O872" i="17"/>
  <c r="O873" i="17"/>
  <c r="O874" i="17"/>
  <c r="O875" i="17"/>
  <c r="O876" i="17"/>
  <c r="O877" i="17"/>
  <c r="O878" i="17"/>
  <c r="O879" i="17"/>
  <c r="O880" i="17"/>
  <c r="O881" i="17"/>
  <c r="O882" i="17"/>
  <c r="O883" i="17"/>
  <c r="O884" i="17"/>
  <c r="O885" i="17"/>
  <c r="O886" i="17"/>
  <c r="O887" i="17"/>
  <c r="O888" i="17"/>
  <c r="O889" i="17"/>
  <c r="O890" i="17"/>
  <c r="O891" i="17"/>
  <c r="O892" i="17"/>
  <c r="O893" i="17"/>
  <c r="O894" i="17"/>
  <c r="O895" i="17"/>
  <c r="O896" i="17"/>
  <c r="O897" i="17"/>
  <c r="O898" i="17"/>
  <c r="O899" i="17"/>
  <c r="O900" i="17"/>
  <c r="O901" i="17"/>
  <c r="O902" i="17"/>
  <c r="O903" i="17"/>
  <c r="O904" i="17"/>
  <c r="O905" i="17"/>
  <c r="O906" i="17"/>
  <c r="O907" i="17"/>
  <c r="O908" i="17"/>
  <c r="O909" i="17"/>
  <c r="O910" i="17"/>
  <c r="O911" i="17"/>
  <c r="O912" i="17"/>
  <c r="O913" i="17"/>
  <c r="O914" i="17"/>
  <c r="O915" i="17"/>
  <c r="O916" i="17"/>
  <c r="O917" i="17"/>
  <c r="O918" i="17"/>
  <c r="O919" i="17"/>
  <c r="O920" i="17"/>
  <c r="O921" i="17"/>
  <c r="O922" i="17"/>
  <c r="O923" i="17"/>
  <c r="O924" i="17"/>
  <c r="O925" i="17"/>
  <c r="O926" i="17"/>
  <c r="O927" i="17"/>
  <c r="O928" i="17"/>
  <c r="O929" i="17"/>
  <c r="O930" i="17"/>
  <c r="O931" i="17"/>
  <c r="O932" i="17"/>
  <c r="O933" i="17"/>
  <c r="O934" i="17"/>
  <c r="O935" i="17"/>
  <c r="O936" i="17"/>
  <c r="O937" i="17"/>
  <c r="O938" i="17"/>
  <c r="O939" i="17"/>
  <c r="O940" i="17"/>
  <c r="O941" i="17"/>
  <c r="O942" i="17"/>
  <c r="O943" i="17"/>
  <c r="O944" i="17"/>
  <c r="O945" i="17"/>
  <c r="O946" i="17"/>
  <c r="O947" i="17"/>
  <c r="O948" i="17"/>
  <c r="O949" i="17"/>
  <c r="O950" i="17"/>
  <c r="O951" i="17"/>
  <c r="O952" i="17"/>
  <c r="O953" i="17"/>
  <c r="O954" i="17"/>
  <c r="O955" i="17"/>
  <c r="O956" i="17"/>
  <c r="O957" i="17"/>
  <c r="O958" i="17"/>
  <c r="O959" i="17"/>
  <c r="O960" i="17"/>
  <c r="O961" i="17"/>
  <c r="O962" i="17"/>
  <c r="O963" i="17"/>
  <c r="O964" i="17"/>
  <c r="O965" i="17"/>
  <c r="O966" i="17"/>
  <c r="O967" i="17"/>
  <c r="O968" i="17"/>
  <c r="O969" i="17"/>
  <c r="O970" i="17"/>
  <c r="O971" i="17"/>
  <c r="O972" i="17"/>
  <c r="O973" i="17"/>
  <c r="O974" i="17"/>
  <c r="O975" i="17"/>
  <c r="O976" i="17"/>
  <c r="O977" i="17"/>
  <c r="O978" i="17"/>
  <c r="O979" i="17"/>
  <c r="O980" i="17"/>
  <c r="O981" i="17"/>
  <c r="O982" i="17"/>
  <c r="O983" i="17"/>
  <c r="O984" i="17"/>
  <c r="O985" i="17"/>
  <c r="O986" i="17"/>
  <c r="O987" i="17"/>
  <c r="O988" i="17"/>
  <c r="O989" i="17"/>
  <c r="O990" i="17"/>
  <c r="O991" i="17"/>
  <c r="O992" i="17"/>
  <c r="O993" i="17"/>
  <c r="O994" i="17"/>
  <c r="O995" i="17"/>
  <c r="O996" i="17"/>
  <c r="O997" i="17"/>
  <c r="O998" i="17"/>
  <c r="O999" i="17"/>
  <c r="O1000" i="17"/>
  <c r="O1001" i="17"/>
  <c r="O1002" i="17"/>
  <c r="O1003" i="17"/>
  <c r="O1004" i="17"/>
  <c r="O1005" i="17"/>
  <c r="O1006" i="17"/>
  <c r="O1007" i="17"/>
  <c r="O1008" i="17"/>
  <c r="O1009" i="17"/>
  <c r="O1010" i="17"/>
  <c r="O1011" i="17"/>
  <c r="O1012" i="17"/>
  <c r="O1013" i="17"/>
  <c r="O1014" i="17"/>
  <c r="O1015" i="17"/>
  <c r="O1016" i="17"/>
  <c r="O1017" i="17"/>
  <c r="O1018" i="17"/>
  <c r="O1019" i="17"/>
  <c r="O1020" i="17"/>
  <c r="O1021" i="17"/>
  <c r="O1022" i="17"/>
  <c r="O1023" i="17"/>
  <c r="O1024" i="17"/>
  <c r="O1025" i="17"/>
  <c r="O1026" i="17"/>
  <c r="O1027" i="17"/>
  <c r="O1028" i="17"/>
  <c r="O1029" i="17"/>
  <c r="O1030" i="17"/>
  <c r="O1031" i="17"/>
  <c r="O1032" i="17"/>
  <c r="O1033" i="17"/>
  <c r="O1034" i="17"/>
  <c r="O1035" i="17"/>
  <c r="O1036" i="17"/>
  <c r="O1037" i="17"/>
  <c r="O1038" i="17"/>
  <c r="O1039" i="17"/>
  <c r="O1040" i="17"/>
  <c r="O1041" i="17"/>
  <c r="O1042" i="17"/>
  <c r="O1043" i="17"/>
  <c r="O1044" i="17"/>
  <c r="O1045" i="17"/>
  <c r="O1046" i="17"/>
  <c r="O1047" i="17"/>
  <c r="O1048" i="17"/>
  <c r="O1049" i="17"/>
  <c r="O1050" i="17"/>
  <c r="O1051" i="17"/>
  <c r="O1052" i="17"/>
  <c r="O1053" i="17"/>
  <c r="O1054" i="17"/>
  <c r="O1055" i="17"/>
  <c r="O1056" i="17"/>
  <c r="O1057" i="17"/>
  <c r="O1058" i="17"/>
  <c r="O1059" i="17"/>
  <c r="O1060" i="17"/>
  <c r="O1061" i="17"/>
  <c r="O1062" i="17"/>
  <c r="O1063" i="17"/>
  <c r="O1064" i="17"/>
  <c r="O1065" i="17"/>
  <c r="O1066" i="17"/>
  <c r="O1067" i="17"/>
  <c r="O1068" i="17"/>
  <c r="O1069" i="17"/>
  <c r="O1070" i="17"/>
  <c r="O1071" i="17"/>
  <c r="O1072" i="17"/>
  <c r="O1073" i="17"/>
  <c r="O1074" i="17"/>
  <c r="O1075" i="17"/>
  <c r="O1076" i="17"/>
  <c r="O1077" i="17"/>
  <c r="O1078" i="17"/>
  <c r="O1079" i="17"/>
  <c r="O1080" i="17"/>
  <c r="O1081" i="17"/>
  <c r="O1082" i="17"/>
  <c r="O1083" i="17"/>
  <c r="O1084" i="17"/>
  <c r="O1085" i="17"/>
  <c r="O1086" i="17"/>
  <c r="O1087" i="17"/>
  <c r="O1088" i="17"/>
  <c r="O1089" i="17"/>
  <c r="O1090" i="17"/>
  <c r="O1091" i="17"/>
  <c r="O1092" i="17"/>
  <c r="O1093" i="17"/>
  <c r="O1094" i="17"/>
  <c r="O1095" i="17"/>
  <c r="O1096" i="17"/>
  <c r="O1097" i="17"/>
  <c r="O1098" i="17"/>
  <c r="O1099" i="17"/>
  <c r="O1100" i="17"/>
  <c r="O1101" i="17"/>
  <c r="O1102" i="17"/>
  <c r="O1103" i="17"/>
  <c r="O1104" i="17"/>
  <c r="O1105" i="17"/>
  <c r="O1106" i="17"/>
  <c r="O1107" i="17"/>
  <c r="O1108" i="17"/>
  <c r="O1109" i="17"/>
  <c r="O1110" i="17"/>
  <c r="O1111" i="17"/>
  <c r="O1112" i="17"/>
  <c r="O1113" i="17"/>
  <c r="O1114" i="17"/>
  <c r="O1115" i="17"/>
  <c r="O1116" i="17"/>
  <c r="O1117" i="17"/>
  <c r="O1118" i="17"/>
  <c r="O1119" i="17"/>
  <c r="O1120" i="17"/>
  <c r="O1121" i="17"/>
  <c r="O1122" i="17"/>
  <c r="O1123" i="17"/>
  <c r="O1124" i="17"/>
  <c r="O1125" i="17"/>
  <c r="O1126" i="17"/>
  <c r="O1127" i="17"/>
  <c r="O1128" i="17"/>
  <c r="O1129" i="17"/>
  <c r="O1130" i="17"/>
  <c r="O1131" i="17"/>
  <c r="O1132" i="17"/>
  <c r="O1133" i="17"/>
  <c r="O1134" i="17"/>
  <c r="O1135" i="17"/>
  <c r="O1136" i="17"/>
  <c r="O1137" i="17"/>
  <c r="O1138" i="17"/>
  <c r="O1139" i="17"/>
  <c r="O1140" i="17"/>
  <c r="O1141" i="17"/>
  <c r="O1142" i="17"/>
  <c r="O1143" i="17"/>
  <c r="O1144" i="17"/>
  <c r="O1145" i="17"/>
  <c r="O1146" i="17"/>
  <c r="O1147" i="17"/>
  <c r="O1148" i="17"/>
  <c r="O1149" i="17"/>
  <c r="O1150" i="17"/>
  <c r="O1151" i="17"/>
  <c r="O1152" i="17"/>
  <c r="O1153" i="17"/>
  <c r="O1154" i="17"/>
  <c r="O1155" i="17"/>
  <c r="O1156" i="17"/>
  <c r="O1157" i="17"/>
  <c r="O1158" i="17"/>
  <c r="O1159" i="17"/>
  <c r="O1160" i="17"/>
  <c r="O1161" i="17"/>
  <c r="O1162" i="17"/>
  <c r="O1163" i="17"/>
  <c r="O1164" i="17"/>
  <c r="O1165" i="17"/>
  <c r="O1166" i="17"/>
  <c r="O1167" i="17"/>
  <c r="O1168" i="17"/>
  <c r="O1169" i="17"/>
  <c r="O1170" i="17"/>
  <c r="O1171" i="17"/>
  <c r="O1172" i="17"/>
  <c r="O1173" i="17"/>
  <c r="O1174" i="17"/>
  <c r="O1175" i="17"/>
  <c r="O1176" i="17"/>
  <c r="O1177" i="17"/>
  <c r="O1178" i="17"/>
  <c r="O1179" i="17"/>
  <c r="O1180" i="17"/>
  <c r="O1181" i="17"/>
  <c r="O1182" i="17"/>
  <c r="O1183" i="17"/>
  <c r="O1184" i="17"/>
  <c r="O1185" i="17"/>
  <c r="O1186" i="17"/>
  <c r="O1187" i="17"/>
  <c r="O1188" i="17"/>
  <c r="O1189" i="17"/>
  <c r="O1190" i="17"/>
  <c r="O1191" i="17"/>
  <c r="O1192" i="17"/>
  <c r="O1193" i="17"/>
  <c r="O1194" i="17"/>
  <c r="O1195" i="17"/>
  <c r="O1196" i="17"/>
  <c r="O1197" i="17"/>
  <c r="O1198" i="17"/>
  <c r="O1199" i="17"/>
  <c r="O1200" i="17"/>
  <c r="O1201" i="17"/>
  <c r="O1202" i="17"/>
  <c r="O1203" i="17"/>
  <c r="O1204" i="17"/>
  <c r="O1205" i="17"/>
  <c r="O1206" i="17"/>
  <c r="O1207" i="17"/>
  <c r="O1208" i="17"/>
  <c r="O1209" i="17"/>
  <c r="O1210" i="17"/>
  <c r="O1211" i="17"/>
  <c r="O1212" i="17"/>
  <c r="O1213" i="17"/>
  <c r="O1214" i="17"/>
  <c r="O1215" i="17"/>
  <c r="O1216" i="17"/>
  <c r="O1217" i="17"/>
  <c r="O1218" i="17"/>
  <c r="O1219" i="17"/>
  <c r="O1220" i="17"/>
  <c r="O1221" i="17"/>
  <c r="O1222" i="17"/>
  <c r="O1223" i="17"/>
  <c r="O1224" i="17"/>
  <c r="O1225" i="17"/>
  <c r="O1226" i="17"/>
  <c r="O1227" i="17"/>
  <c r="O1228" i="17"/>
  <c r="O1229" i="17"/>
  <c r="O1230" i="17"/>
  <c r="O1231" i="17"/>
  <c r="O1232" i="17"/>
  <c r="O1233" i="17"/>
  <c r="O1234" i="17"/>
  <c r="O1235" i="17"/>
  <c r="O1236" i="17"/>
  <c r="O1237" i="17"/>
  <c r="O1238" i="17"/>
  <c r="O1239" i="17"/>
  <c r="O1240" i="17"/>
  <c r="O1241" i="17"/>
  <c r="O1242" i="17"/>
  <c r="O1243" i="17"/>
  <c r="O1244" i="17"/>
  <c r="O1245" i="17"/>
  <c r="O1246" i="17"/>
  <c r="O1247" i="17"/>
  <c r="O1248" i="17"/>
  <c r="O1249" i="17"/>
  <c r="O1250" i="17"/>
  <c r="O1251" i="17"/>
  <c r="O1252" i="17"/>
  <c r="O1253" i="17"/>
  <c r="O1254" i="17"/>
  <c r="O1255" i="17"/>
  <c r="O1256" i="17"/>
  <c r="O1257" i="17"/>
  <c r="O1258" i="17"/>
  <c r="O1259" i="17"/>
  <c r="O1260" i="17"/>
  <c r="O1261" i="17"/>
  <c r="O1262" i="17"/>
  <c r="O1263" i="17"/>
  <c r="O1264" i="17"/>
  <c r="O1265" i="17"/>
  <c r="O1266" i="17"/>
  <c r="O1267" i="17"/>
  <c r="O1268" i="17"/>
  <c r="O1269" i="17"/>
  <c r="O1270" i="17"/>
  <c r="O1271" i="17"/>
  <c r="O1272" i="17"/>
  <c r="O1273" i="17"/>
  <c r="O1274" i="17"/>
  <c r="O1275" i="17"/>
  <c r="O1276" i="17"/>
  <c r="O1277" i="17"/>
  <c r="O1278" i="17"/>
  <c r="O1279" i="17"/>
  <c r="O1280" i="17"/>
  <c r="O1281" i="17"/>
  <c r="O1282" i="17"/>
  <c r="O1283" i="17"/>
  <c r="O1284" i="17"/>
  <c r="O1285" i="17"/>
  <c r="O1286" i="17"/>
  <c r="O1287" i="17"/>
  <c r="O1288" i="17"/>
  <c r="O1289" i="17"/>
  <c r="O1290" i="17"/>
  <c r="O1291" i="17"/>
  <c r="O1292" i="17"/>
  <c r="O1293" i="17"/>
  <c r="O1294" i="17"/>
  <c r="O1295" i="17"/>
  <c r="O1296" i="17"/>
  <c r="O1297" i="17"/>
  <c r="O1298" i="17"/>
  <c r="O1299" i="17"/>
  <c r="O1300" i="17"/>
  <c r="O1301" i="17"/>
  <c r="O1302" i="17"/>
  <c r="O1303" i="17"/>
  <c r="O1304" i="17"/>
  <c r="O1305" i="17"/>
  <c r="O1306" i="17"/>
  <c r="O1307" i="17"/>
  <c r="O1308" i="17"/>
  <c r="O1309" i="17"/>
  <c r="O1310" i="17"/>
  <c r="O1311" i="17"/>
  <c r="O1312" i="17"/>
  <c r="O1313" i="17"/>
  <c r="O1314" i="17"/>
  <c r="O1315" i="17"/>
  <c r="O1316" i="17"/>
  <c r="O1317" i="17"/>
  <c r="O1318" i="17"/>
  <c r="O1319" i="17"/>
  <c r="O1320" i="17"/>
  <c r="O1321" i="17"/>
  <c r="O1322" i="17"/>
  <c r="O1323" i="17"/>
  <c r="O1324" i="17"/>
  <c r="O1325" i="17"/>
  <c r="O1326" i="17"/>
  <c r="O1327" i="17"/>
  <c r="O1328" i="17"/>
  <c r="O1329" i="17"/>
  <c r="O1330" i="17"/>
  <c r="O1331" i="17"/>
  <c r="O1332" i="17"/>
  <c r="O1333" i="17"/>
  <c r="O1334" i="17"/>
  <c r="O1335" i="17"/>
  <c r="O1336" i="17"/>
  <c r="O1337" i="17"/>
  <c r="O1338" i="17"/>
  <c r="O1339" i="17"/>
  <c r="O1340" i="17"/>
  <c r="O1341" i="17"/>
  <c r="O1342" i="17"/>
  <c r="O1343" i="17"/>
  <c r="O1344" i="17"/>
  <c r="O1345" i="17"/>
  <c r="O1346" i="17"/>
  <c r="O1347" i="17"/>
  <c r="O1348" i="17"/>
  <c r="O1349" i="17"/>
  <c r="O1350" i="17"/>
  <c r="O1351" i="17"/>
  <c r="O1352" i="17"/>
  <c r="O1353" i="17"/>
  <c r="O1354" i="17"/>
  <c r="O1355" i="17"/>
  <c r="O1356" i="17"/>
  <c r="O1357" i="17"/>
  <c r="O1358" i="17"/>
  <c r="O1359" i="17"/>
  <c r="O1360" i="17"/>
  <c r="O1361" i="17"/>
  <c r="O1362" i="17"/>
  <c r="O1363" i="17"/>
  <c r="O1364" i="17"/>
  <c r="O1365" i="17"/>
  <c r="O1366" i="17"/>
  <c r="O1367" i="17"/>
  <c r="O1368" i="17"/>
  <c r="O1369" i="17"/>
  <c r="O1370" i="17"/>
  <c r="O1371" i="17"/>
  <c r="O1372" i="17"/>
  <c r="O1373" i="17"/>
  <c r="O1374" i="17"/>
  <c r="O1375" i="17"/>
  <c r="O1376" i="17"/>
  <c r="O1377" i="17"/>
  <c r="O1378" i="17"/>
  <c r="O1379" i="17"/>
  <c r="O1380" i="17"/>
  <c r="O1381" i="17"/>
  <c r="O1382" i="17"/>
  <c r="O1383" i="17"/>
  <c r="O1384" i="17"/>
  <c r="O1385" i="17"/>
  <c r="O1386" i="17"/>
  <c r="O1387" i="17"/>
  <c r="O1388" i="17"/>
  <c r="O1389" i="17"/>
  <c r="O1390" i="17"/>
  <c r="O1391" i="17"/>
  <c r="O1392" i="17"/>
  <c r="O1393" i="17"/>
  <c r="O1394" i="17"/>
  <c r="O1395" i="17"/>
  <c r="O1396" i="17"/>
  <c r="O1397" i="17"/>
  <c r="O1398" i="17"/>
  <c r="O1399" i="17"/>
  <c r="O1400" i="17"/>
  <c r="O1401" i="17"/>
  <c r="O1402" i="17"/>
  <c r="O1403" i="17"/>
  <c r="O1404" i="17"/>
  <c r="O1405" i="17"/>
  <c r="O1406" i="17"/>
  <c r="O1407" i="17"/>
  <c r="O1408" i="17"/>
  <c r="O1409" i="17"/>
  <c r="O1410" i="17"/>
  <c r="O1411" i="17"/>
  <c r="O1412" i="17"/>
  <c r="O1413" i="17"/>
  <c r="O1414" i="17"/>
  <c r="O1415" i="17"/>
  <c r="O1416" i="17"/>
  <c r="O1417" i="17"/>
  <c r="O1418" i="17"/>
  <c r="O1419" i="17"/>
  <c r="O1420" i="17"/>
  <c r="O1421" i="17"/>
  <c r="O1422" i="17"/>
  <c r="O1423" i="17"/>
  <c r="O1424" i="17"/>
  <c r="O1425" i="17"/>
  <c r="O1426" i="17"/>
  <c r="O1427" i="17"/>
  <c r="O1428" i="17"/>
  <c r="O1429" i="17"/>
  <c r="O1430" i="17"/>
  <c r="O1431" i="17"/>
  <c r="O1432" i="17"/>
  <c r="O1433" i="17"/>
  <c r="O1434" i="17"/>
  <c r="O1435" i="17"/>
  <c r="O1436" i="17"/>
  <c r="O1437" i="17"/>
  <c r="O1438" i="17"/>
  <c r="O1439" i="17"/>
  <c r="O1440" i="17"/>
  <c r="O1441" i="17"/>
  <c r="O1442" i="17"/>
  <c r="O1443" i="17"/>
  <c r="O1444" i="17"/>
  <c r="O1445" i="17"/>
  <c r="O1446" i="17"/>
  <c r="O1447" i="17"/>
  <c r="O1448" i="17"/>
  <c r="O1449" i="17"/>
  <c r="O1450" i="17"/>
  <c r="O1451" i="17"/>
  <c r="O1452" i="17"/>
  <c r="O1453" i="17"/>
  <c r="O1454" i="17"/>
  <c r="O1455" i="17"/>
  <c r="O1456" i="17"/>
  <c r="O1457" i="17"/>
  <c r="O1458" i="17"/>
  <c r="O1459" i="17"/>
  <c r="O1460" i="17"/>
  <c r="O1461" i="17"/>
  <c r="O1462" i="17"/>
  <c r="O1463" i="17"/>
  <c r="O1464" i="17"/>
  <c r="O1465" i="17"/>
  <c r="O1466" i="17"/>
  <c r="O1467" i="17"/>
  <c r="O1468" i="17"/>
  <c r="O1469" i="17"/>
  <c r="O1470" i="17"/>
  <c r="O1471" i="17"/>
  <c r="O1472" i="17"/>
  <c r="O1473" i="17"/>
  <c r="O1474" i="17"/>
  <c r="O1475" i="17"/>
  <c r="O1476" i="17"/>
  <c r="O1477" i="17"/>
  <c r="O1478" i="17"/>
  <c r="O1479" i="17"/>
  <c r="O1480" i="17"/>
  <c r="O1481" i="17"/>
  <c r="O1482" i="17"/>
  <c r="O1483" i="17"/>
  <c r="O1484" i="17"/>
  <c r="O1485" i="17"/>
  <c r="O1486" i="17"/>
  <c r="O1487" i="17"/>
  <c r="O1488" i="17"/>
  <c r="O1489" i="17"/>
  <c r="O1490" i="17"/>
  <c r="O1491" i="17"/>
  <c r="O1492" i="17"/>
  <c r="O1493" i="17"/>
  <c r="O1494" i="17"/>
  <c r="O1495" i="17"/>
  <c r="O1496" i="17"/>
  <c r="O1497" i="17"/>
  <c r="O1498" i="17"/>
  <c r="O1499" i="17"/>
  <c r="O1500" i="17"/>
  <c r="O1501" i="17"/>
  <c r="O1502" i="17"/>
  <c r="O1503" i="17"/>
  <c r="O1504" i="17"/>
  <c r="O1505" i="17"/>
  <c r="O1506" i="17"/>
  <c r="O1507" i="17"/>
  <c r="O1508" i="17"/>
  <c r="O1509" i="17"/>
  <c r="O15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108" i="17"/>
  <c r="P109" i="17"/>
  <c r="P110" i="17"/>
  <c r="P111" i="17"/>
  <c r="P112" i="17"/>
  <c r="P113" i="17"/>
  <c r="P114" i="17"/>
  <c r="P115" i="17"/>
  <c r="P116" i="17"/>
  <c r="P117" i="17"/>
  <c r="P118" i="17"/>
  <c r="P119" i="17"/>
  <c r="P120" i="17"/>
  <c r="P121" i="17"/>
  <c r="P122" i="17"/>
  <c r="P123" i="17"/>
  <c r="P124" i="17"/>
  <c r="P125" i="17"/>
  <c r="P126" i="17"/>
  <c r="P127" i="17"/>
  <c r="P128" i="17"/>
  <c r="P129" i="17"/>
  <c r="P130" i="17"/>
  <c r="P131" i="17"/>
  <c r="P132" i="17"/>
  <c r="P133" i="17"/>
  <c r="P134" i="17"/>
  <c r="P135" i="17"/>
  <c r="P136" i="17"/>
  <c r="P137" i="17"/>
  <c r="P138" i="17"/>
  <c r="P139" i="17"/>
  <c r="P140" i="17"/>
  <c r="P141" i="17"/>
  <c r="P142" i="17"/>
  <c r="P143" i="17"/>
  <c r="P144" i="17"/>
  <c r="P145" i="17"/>
  <c r="P146" i="17"/>
  <c r="P147" i="17"/>
  <c r="P148" i="17"/>
  <c r="P149" i="17"/>
  <c r="P150" i="17"/>
  <c r="P151" i="17"/>
  <c r="P152" i="17"/>
  <c r="P153" i="17"/>
  <c r="P154" i="17"/>
  <c r="P155" i="17"/>
  <c r="P156" i="17"/>
  <c r="P157" i="17"/>
  <c r="P158" i="17"/>
  <c r="P159" i="17"/>
  <c r="P160" i="17"/>
  <c r="P161" i="17"/>
  <c r="P162" i="17"/>
  <c r="P163" i="17"/>
  <c r="P164" i="17"/>
  <c r="P165" i="17"/>
  <c r="P166" i="17"/>
  <c r="P167" i="17"/>
  <c r="P168" i="17"/>
  <c r="P169" i="17"/>
  <c r="P170" i="17"/>
  <c r="P171" i="17"/>
  <c r="P172" i="17"/>
  <c r="P173" i="17"/>
  <c r="P174" i="17"/>
  <c r="P175" i="17"/>
  <c r="P176" i="17"/>
  <c r="P177" i="17"/>
  <c r="P178" i="17"/>
  <c r="P179" i="17"/>
  <c r="P180" i="17"/>
  <c r="P181" i="17"/>
  <c r="P182" i="17"/>
  <c r="P183" i="17"/>
  <c r="P184" i="17"/>
  <c r="P185" i="17"/>
  <c r="P186" i="17"/>
  <c r="P187" i="17"/>
  <c r="P188" i="17"/>
  <c r="P189" i="17"/>
  <c r="P190" i="17"/>
  <c r="P191" i="17"/>
  <c r="P192" i="17"/>
  <c r="P193" i="17"/>
  <c r="P194" i="17"/>
  <c r="P195" i="17"/>
  <c r="P196" i="17"/>
  <c r="P197" i="17"/>
  <c r="P198" i="17"/>
  <c r="P199" i="17"/>
  <c r="P200" i="17"/>
  <c r="P201" i="17"/>
  <c r="P202" i="17"/>
  <c r="P203" i="17"/>
  <c r="P204" i="17"/>
  <c r="P205" i="17"/>
  <c r="P206" i="17"/>
  <c r="P207" i="17"/>
  <c r="P208" i="17"/>
  <c r="P209" i="17"/>
  <c r="P210" i="17"/>
  <c r="P211" i="17"/>
  <c r="P212" i="17"/>
  <c r="P213" i="17"/>
  <c r="P214" i="17"/>
  <c r="P215" i="17"/>
  <c r="P216" i="17"/>
  <c r="P217" i="17"/>
  <c r="P218" i="17"/>
  <c r="P219" i="17"/>
  <c r="P220" i="17"/>
  <c r="P221" i="17"/>
  <c r="P222" i="17"/>
  <c r="P223" i="17"/>
  <c r="P224" i="17"/>
  <c r="P225" i="17"/>
  <c r="P226" i="17"/>
  <c r="P227" i="17"/>
  <c r="P228" i="17"/>
  <c r="P229" i="17"/>
  <c r="P230" i="17"/>
  <c r="P231" i="17"/>
  <c r="P232" i="17"/>
  <c r="P233" i="17"/>
  <c r="P234" i="17"/>
  <c r="P235" i="17"/>
  <c r="P236" i="17"/>
  <c r="P237" i="17"/>
  <c r="P238" i="17"/>
  <c r="P239" i="17"/>
  <c r="P240" i="17"/>
  <c r="P241" i="17"/>
  <c r="P242" i="17"/>
  <c r="P243" i="17"/>
  <c r="P244" i="17"/>
  <c r="P245" i="17"/>
  <c r="P246" i="17"/>
  <c r="P247" i="17"/>
  <c r="P248" i="17"/>
  <c r="P249" i="17"/>
  <c r="P250" i="17"/>
  <c r="P251" i="17"/>
  <c r="P252" i="17"/>
  <c r="P253" i="17"/>
  <c r="P254" i="17"/>
  <c r="P255" i="17"/>
  <c r="P256" i="17"/>
  <c r="P257" i="17"/>
  <c r="P258" i="17"/>
  <c r="P259" i="17"/>
  <c r="P260" i="17"/>
  <c r="P261" i="17"/>
  <c r="P262" i="17"/>
  <c r="P263" i="17"/>
  <c r="P264" i="17"/>
  <c r="P265" i="17"/>
  <c r="P266" i="17"/>
  <c r="P267" i="17"/>
  <c r="P268" i="17"/>
  <c r="P269" i="17"/>
  <c r="P270" i="17"/>
  <c r="P271" i="17"/>
  <c r="P272" i="17"/>
  <c r="P273" i="17"/>
  <c r="P274" i="17"/>
  <c r="P275" i="17"/>
  <c r="P276" i="17"/>
  <c r="P277" i="17"/>
  <c r="P278" i="17"/>
  <c r="P279" i="17"/>
  <c r="P280" i="17"/>
  <c r="P281" i="17"/>
  <c r="P282" i="17"/>
  <c r="P283" i="17"/>
  <c r="P284" i="17"/>
  <c r="P285" i="17"/>
  <c r="P286" i="17"/>
  <c r="P287" i="17"/>
  <c r="P288" i="17"/>
  <c r="P289" i="17"/>
  <c r="P290" i="17"/>
  <c r="P291" i="17"/>
  <c r="P292" i="17"/>
  <c r="P293" i="17"/>
  <c r="P294" i="17"/>
  <c r="P295" i="17"/>
  <c r="P296" i="17"/>
  <c r="P297" i="17"/>
  <c r="P298" i="17"/>
  <c r="P299" i="17"/>
  <c r="P300" i="17"/>
  <c r="P301" i="17"/>
  <c r="P302" i="17"/>
  <c r="P303" i="17"/>
  <c r="P304" i="17"/>
  <c r="P305" i="17"/>
  <c r="P306" i="17"/>
  <c r="P307" i="17"/>
  <c r="P308" i="17"/>
  <c r="P309" i="17"/>
  <c r="P310" i="17"/>
  <c r="P311" i="17"/>
  <c r="P312" i="17"/>
  <c r="P313" i="17"/>
  <c r="P314" i="17"/>
  <c r="P315" i="17"/>
  <c r="P316" i="17"/>
  <c r="P317" i="17"/>
  <c r="P318" i="17"/>
  <c r="P319" i="17"/>
  <c r="P320" i="17"/>
  <c r="P321" i="17"/>
  <c r="P322" i="17"/>
  <c r="P323" i="17"/>
  <c r="P324" i="17"/>
  <c r="P325" i="17"/>
  <c r="P326" i="17"/>
  <c r="P327" i="17"/>
  <c r="P328" i="17"/>
  <c r="P329" i="17"/>
  <c r="P330" i="17"/>
  <c r="P331" i="17"/>
  <c r="P332" i="17"/>
  <c r="P333" i="17"/>
  <c r="P334" i="17"/>
  <c r="P335" i="17"/>
  <c r="P336" i="17"/>
  <c r="P337" i="17"/>
  <c r="P338" i="17"/>
  <c r="P339" i="17"/>
  <c r="P340" i="17"/>
  <c r="P341" i="17"/>
  <c r="P342" i="17"/>
  <c r="P343" i="17"/>
  <c r="P344" i="17"/>
  <c r="P345" i="17"/>
  <c r="P346" i="17"/>
  <c r="P347" i="17"/>
  <c r="P348" i="17"/>
  <c r="P349" i="17"/>
  <c r="P350" i="17"/>
  <c r="P351" i="17"/>
  <c r="P352" i="17"/>
  <c r="P353" i="17"/>
  <c r="P354" i="17"/>
  <c r="P355" i="17"/>
  <c r="P356" i="17"/>
  <c r="P357" i="17"/>
  <c r="P358" i="17"/>
  <c r="P359" i="17"/>
  <c r="P360" i="17"/>
  <c r="P361" i="17"/>
  <c r="P362" i="17"/>
  <c r="P363" i="17"/>
  <c r="P364" i="17"/>
  <c r="P365" i="17"/>
  <c r="P366" i="17"/>
  <c r="P367" i="17"/>
  <c r="P368" i="17"/>
  <c r="P369" i="17"/>
  <c r="P370" i="17"/>
  <c r="P371" i="17"/>
  <c r="P372" i="17"/>
  <c r="P373" i="17"/>
  <c r="P374" i="17"/>
  <c r="P375" i="17"/>
  <c r="P376" i="17"/>
  <c r="P377" i="17"/>
  <c r="P378" i="17"/>
  <c r="P379" i="17"/>
  <c r="P380" i="17"/>
  <c r="P381" i="17"/>
  <c r="P382" i="17"/>
  <c r="P383" i="17"/>
  <c r="P384" i="17"/>
  <c r="P385" i="17"/>
  <c r="P386" i="17"/>
  <c r="P387" i="17"/>
  <c r="P388" i="17"/>
  <c r="P389" i="17"/>
  <c r="P390" i="17"/>
  <c r="P391" i="17"/>
  <c r="P392" i="17"/>
  <c r="P393" i="17"/>
  <c r="P394" i="17"/>
  <c r="P395" i="17"/>
  <c r="P396" i="17"/>
  <c r="P397" i="17"/>
  <c r="P398" i="17"/>
  <c r="P399" i="17"/>
  <c r="P400" i="17"/>
  <c r="P401" i="17"/>
  <c r="P402" i="17"/>
  <c r="P403" i="17"/>
  <c r="P404" i="17"/>
  <c r="P405" i="17"/>
  <c r="P406" i="17"/>
  <c r="P407" i="17"/>
  <c r="P408" i="17"/>
  <c r="P409" i="17"/>
  <c r="P410" i="17"/>
  <c r="P411" i="17"/>
  <c r="P412" i="17"/>
  <c r="P413" i="17"/>
  <c r="P414" i="17"/>
  <c r="P415" i="17"/>
  <c r="P416" i="17"/>
  <c r="P417" i="17"/>
  <c r="P418" i="17"/>
  <c r="P419" i="17"/>
  <c r="P420" i="17"/>
  <c r="P421" i="17"/>
  <c r="P422" i="17"/>
  <c r="P423" i="17"/>
  <c r="P424" i="17"/>
  <c r="P425" i="17"/>
  <c r="P426" i="17"/>
  <c r="P427" i="17"/>
  <c r="P428" i="17"/>
  <c r="P429" i="17"/>
  <c r="P430" i="17"/>
  <c r="P431" i="17"/>
  <c r="P432" i="17"/>
  <c r="P433" i="17"/>
  <c r="P434" i="17"/>
  <c r="P435" i="17"/>
  <c r="P436" i="17"/>
  <c r="P437" i="17"/>
  <c r="P438" i="17"/>
  <c r="P439" i="17"/>
  <c r="P440" i="17"/>
  <c r="P441" i="17"/>
  <c r="P442" i="17"/>
  <c r="P443" i="17"/>
  <c r="P444" i="17"/>
  <c r="P445" i="17"/>
  <c r="P446" i="17"/>
  <c r="P447" i="17"/>
  <c r="P448" i="17"/>
  <c r="P449" i="17"/>
  <c r="P450" i="17"/>
  <c r="P451" i="17"/>
  <c r="P452" i="17"/>
  <c r="P453" i="17"/>
  <c r="P454" i="17"/>
  <c r="P455" i="17"/>
  <c r="P456" i="17"/>
  <c r="P457" i="17"/>
  <c r="P458" i="17"/>
  <c r="P459" i="17"/>
  <c r="P460" i="17"/>
  <c r="P461" i="17"/>
  <c r="P462" i="17"/>
  <c r="P463" i="17"/>
  <c r="P464" i="17"/>
  <c r="P465" i="17"/>
  <c r="P466" i="17"/>
  <c r="P467" i="17"/>
  <c r="P468" i="17"/>
  <c r="P469" i="17"/>
  <c r="P470" i="17"/>
  <c r="P471" i="17"/>
  <c r="P472" i="17"/>
  <c r="P473" i="17"/>
  <c r="P474" i="17"/>
  <c r="P475" i="17"/>
  <c r="P476" i="17"/>
  <c r="P477" i="17"/>
  <c r="P478" i="17"/>
  <c r="P479" i="17"/>
  <c r="P480" i="17"/>
  <c r="P481" i="17"/>
  <c r="P482" i="17"/>
  <c r="P483" i="17"/>
  <c r="P484" i="17"/>
  <c r="P485" i="17"/>
  <c r="P486" i="17"/>
  <c r="P487" i="17"/>
  <c r="P488" i="17"/>
  <c r="P489" i="17"/>
  <c r="P490" i="17"/>
  <c r="P491" i="17"/>
  <c r="P492" i="17"/>
  <c r="P493" i="17"/>
  <c r="P494" i="17"/>
  <c r="P495" i="17"/>
  <c r="P496" i="17"/>
  <c r="P497" i="17"/>
  <c r="P498" i="17"/>
  <c r="P499" i="17"/>
  <c r="P500" i="17"/>
  <c r="P501" i="17"/>
  <c r="P502" i="17"/>
  <c r="P503" i="17"/>
  <c r="P504" i="17"/>
  <c r="P505" i="17"/>
  <c r="P506" i="17"/>
  <c r="P507" i="17"/>
  <c r="P508" i="17"/>
  <c r="P509" i="17"/>
  <c r="P510" i="17"/>
  <c r="P511" i="17"/>
  <c r="P512" i="17"/>
  <c r="P513" i="17"/>
  <c r="P514" i="17"/>
  <c r="P515" i="17"/>
  <c r="P516" i="17"/>
  <c r="P517" i="17"/>
  <c r="P518" i="17"/>
  <c r="P519" i="17"/>
  <c r="P520" i="17"/>
  <c r="P521" i="17"/>
  <c r="P522" i="17"/>
  <c r="P523" i="17"/>
  <c r="P524" i="17"/>
  <c r="P525" i="17"/>
  <c r="P526" i="17"/>
  <c r="P527" i="17"/>
  <c r="P528" i="17"/>
  <c r="P529" i="17"/>
  <c r="P530" i="17"/>
  <c r="P531" i="17"/>
  <c r="P532" i="17"/>
  <c r="P533" i="17"/>
  <c r="P534" i="17"/>
  <c r="P535" i="17"/>
  <c r="P536" i="17"/>
  <c r="P537" i="17"/>
  <c r="P538" i="17"/>
  <c r="P539" i="17"/>
  <c r="P540" i="17"/>
  <c r="P541" i="17"/>
  <c r="P542" i="17"/>
  <c r="P543" i="17"/>
  <c r="P544" i="17"/>
  <c r="P545" i="17"/>
  <c r="P546" i="17"/>
  <c r="P547" i="17"/>
  <c r="P548" i="17"/>
  <c r="P549" i="17"/>
  <c r="P550" i="17"/>
  <c r="P551" i="17"/>
  <c r="P552" i="17"/>
  <c r="P553" i="17"/>
  <c r="P554" i="17"/>
  <c r="P555" i="17"/>
  <c r="P556" i="17"/>
  <c r="P557" i="17"/>
  <c r="P558" i="17"/>
  <c r="P559" i="17"/>
  <c r="P560" i="17"/>
  <c r="P561" i="17"/>
  <c r="P562" i="17"/>
  <c r="P563" i="17"/>
  <c r="P564" i="17"/>
  <c r="P565" i="17"/>
  <c r="P566" i="17"/>
  <c r="P567" i="17"/>
  <c r="P568" i="17"/>
  <c r="P569" i="17"/>
  <c r="P570" i="17"/>
  <c r="P571" i="17"/>
  <c r="P572" i="17"/>
  <c r="P573" i="17"/>
  <c r="P574" i="17"/>
  <c r="P575" i="17"/>
  <c r="P576" i="17"/>
  <c r="P577" i="17"/>
  <c r="P578" i="17"/>
  <c r="P579" i="17"/>
  <c r="P580" i="17"/>
  <c r="P581" i="17"/>
  <c r="P582" i="17"/>
  <c r="P583" i="17"/>
  <c r="P584" i="17"/>
  <c r="P585" i="17"/>
  <c r="P586" i="17"/>
  <c r="P587" i="17"/>
  <c r="P588" i="17"/>
  <c r="P589" i="17"/>
  <c r="P590" i="17"/>
  <c r="P591" i="17"/>
  <c r="P592" i="17"/>
  <c r="P593" i="17"/>
  <c r="P594" i="17"/>
  <c r="P595" i="17"/>
  <c r="P596" i="17"/>
  <c r="P597" i="17"/>
  <c r="P598" i="17"/>
  <c r="P599" i="17"/>
  <c r="P600" i="17"/>
  <c r="P601" i="17"/>
  <c r="P602" i="17"/>
  <c r="P603" i="17"/>
  <c r="P604" i="17"/>
  <c r="P605" i="17"/>
  <c r="P606" i="17"/>
  <c r="P607" i="17"/>
  <c r="P608" i="17"/>
  <c r="P609" i="17"/>
  <c r="P610" i="17"/>
  <c r="P611" i="17"/>
  <c r="P612" i="17"/>
  <c r="P613" i="17"/>
  <c r="P614" i="17"/>
  <c r="P615" i="17"/>
  <c r="P616" i="17"/>
  <c r="P617" i="17"/>
  <c r="P618" i="17"/>
  <c r="P619" i="17"/>
  <c r="P620" i="17"/>
  <c r="P621" i="17"/>
  <c r="P622" i="17"/>
  <c r="P623" i="17"/>
  <c r="P624" i="17"/>
  <c r="P625" i="17"/>
  <c r="P626" i="17"/>
  <c r="P627" i="17"/>
  <c r="P628" i="17"/>
  <c r="P629" i="17"/>
  <c r="P630" i="17"/>
  <c r="P631" i="17"/>
  <c r="P632" i="17"/>
  <c r="P633" i="17"/>
  <c r="P634" i="17"/>
  <c r="P635" i="17"/>
  <c r="P636" i="17"/>
  <c r="P637" i="17"/>
  <c r="P638" i="17"/>
  <c r="P639" i="17"/>
  <c r="P640" i="17"/>
  <c r="P641" i="17"/>
  <c r="P642" i="17"/>
  <c r="P643" i="17"/>
  <c r="P644" i="17"/>
  <c r="P645" i="17"/>
  <c r="P646" i="17"/>
  <c r="P647" i="17"/>
  <c r="P648" i="17"/>
  <c r="P649" i="17"/>
  <c r="P650" i="17"/>
  <c r="P651" i="17"/>
  <c r="P652" i="17"/>
  <c r="P653" i="17"/>
  <c r="P654" i="17"/>
  <c r="P655" i="17"/>
  <c r="P656" i="17"/>
  <c r="P657" i="17"/>
  <c r="P658" i="17"/>
  <c r="P659" i="17"/>
  <c r="P660" i="17"/>
  <c r="P661" i="17"/>
  <c r="P662" i="17"/>
  <c r="P663" i="17"/>
  <c r="P664" i="17"/>
  <c r="P665" i="17"/>
  <c r="P666" i="17"/>
  <c r="P667" i="17"/>
  <c r="P668" i="17"/>
  <c r="P669" i="17"/>
  <c r="P670" i="17"/>
  <c r="P671" i="17"/>
  <c r="P672" i="17"/>
  <c r="P673" i="17"/>
  <c r="P674" i="17"/>
  <c r="P675" i="17"/>
  <c r="P676" i="17"/>
  <c r="P677" i="17"/>
  <c r="P678" i="17"/>
  <c r="P679" i="17"/>
  <c r="P680" i="17"/>
  <c r="P681" i="17"/>
  <c r="P682" i="17"/>
  <c r="P683" i="17"/>
  <c r="P684" i="17"/>
  <c r="P685" i="17"/>
  <c r="P686" i="17"/>
  <c r="P687" i="17"/>
  <c r="P688" i="17"/>
  <c r="P689" i="17"/>
  <c r="P690" i="17"/>
  <c r="P691" i="17"/>
  <c r="P692" i="17"/>
  <c r="P693" i="17"/>
  <c r="P694" i="17"/>
  <c r="P695" i="17"/>
  <c r="P696" i="17"/>
  <c r="P697" i="17"/>
  <c r="P698" i="17"/>
  <c r="P699" i="17"/>
  <c r="P700" i="17"/>
  <c r="P701" i="17"/>
  <c r="P702" i="17"/>
  <c r="P703" i="17"/>
  <c r="P704" i="17"/>
  <c r="P705" i="17"/>
  <c r="P706" i="17"/>
  <c r="P707" i="17"/>
  <c r="P708" i="17"/>
  <c r="P709" i="17"/>
  <c r="P710" i="17"/>
  <c r="P711" i="17"/>
  <c r="P712" i="17"/>
  <c r="P713" i="17"/>
  <c r="P714" i="17"/>
  <c r="P715" i="17"/>
  <c r="P716" i="17"/>
  <c r="P717" i="17"/>
  <c r="P718" i="17"/>
  <c r="P719" i="17"/>
  <c r="P720" i="17"/>
  <c r="P721" i="17"/>
  <c r="P722" i="17"/>
  <c r="P723" i="17"/>
  <c r="P724" i="17"/>
  <c r="P725" i="17"/>
  <c r="P726" i="17"/>
  <c r="P727" i="17"/>
  <c r="P728" i="17"/>
  <c r="P729" i="17"/>
  <c r="P730" i="17"/>
  <c r="P731" i="17"/>
  <c r="P732" i="17"/>
  <c r="P733" i="17"/>
  <c r="P734" i="17"/>
  <c r="P735" i="17"/>
  <c r="P736" i="17"/>
  <c r="P737" i="17"/>
  <c r="P738" i="17"/>
  <c r="P739" i="17"/>
  <c r="P740" i="17"/>
  <c r="P741" i="17"/>
  <c r="P742" i="17"/>
  <c r="P743" i="17"/>
  <c r="P744" i="17"/>
  <c r="P745" i="17"/>
  <c r="P746" i="17"/>
  <c r="P747" i="17"/>
  <c r="P748" i="17"/>
  <c r="P749" i="17"/>
  <c r="P750" i="17"/>
  <c r="P751" i="17"/>
  <c r="P752" i="17"/>
  <c r="P753" i="17"/>
  <c r="P754" i="17"/>
  <c r="P755" i="17"/>
  <c r="P756" i="17"/>
  <c r="P757" i="17"/>
  <c r="P758" i="17"/>
  <c r="P759" i="17"/>
  <c r="P760" i="17"/>
  <c r="P761" i="17"/>
  <c r="P762" i="17"/>
  <c r="P763" i="17"/>
  <c r="P764" i="17"/>
  <c r="P765" i="17"/>
  <c r="P766" i="17"/>
  <c r="P767" i="17"/>
  <c r="P768" i="17"/>
  <c r="P769" i="17"/>
  <c r="P770" i="17"/>
  <c r="P771" i="17"/>
  <c r="P772" i="17"/>
  <c r="P773" i="17"/>
  <c r="P774" i="17"/>
  <c r="P775" i="17"/>
  <c r="P776" i="17"/>
  <c r="P777" i="17"/>
  <c r="P778" i="17"/>
  <c r="P779" i="17"/>
  <c r="P780" i="17"/>
  <c r="P781" i="17"/>
  <c r="P782" i="17"/>
  <c r="P783" i="17"/>
  <c r="P784" i="17"/>
  <c r="P785" i="17"/>
  <c r="P786" i="17"/>
  <c r="P787" i="17"/>
  <c r="P788" i="17"/>
  <c r="P789" i="17"/>
  <c r="P790" i="17"/>
  <c r="P791" i="17"/>
  <c r="P792" i="17"/>
  <c r="P793" i="17"/>
  <c r="P794" i="17"/>
  <c r="P795" i="17"/>
  <c r="P796" i="17"/>
  <c r="P797" i="17"/>
  <c r="P798" i="17"/>
  <c r="P799" i="17"/>
  <c r="P800" i="17"/>
  <c r="P801" i="17"/>
  <c r="P802" i="17"/>
  <c r="P803" i="17"/>
  <c r="P804" i="17"/>
  <c r="P805" i="17"/>
  <c r="P806" i="17"/>
  <c r="P807" i="17"/>
  <c r="P808" i="17"/>
  <c r="P809" i="17"/>
  <c r="P810" i="17"/>
  <c r="P811" i="17"/>
  <c r="P812" i="17"/>
  <c r="P813" i="17"/>
  <c r="P814" i="17"/>
  <c r="P815" i="17"/>
  <c r="P816" i="17"/>
  <c r="P817" i="17"/>
  <c r="P818" i="17"/>
  <c r="P819" i="17"/>
  <c r="P820" i="17"/>
  <c r="P821" i="17"/>
  <c r="P822" i="17"/>
  <c r="P823" i="17"/>
  <c r="P824" i="17"/>
  <c r="P825" i="17"/>
  <c r="P826" i="17"/>
  <c r="P827" i="17"/>
  <c r="P828" i="17"/>
  <c r="P829" i="17"/>
  <c r="P830" i="17"/>
  <c r="P831" i="17"/>
  <c r="P832" i="17"/>
  <c r="P833" i="17"/>
  <c r="P834" i="17"/>
  <c r="P835" i="17"/>
  <c r="P836" i="17"/>
  <c r="P837" i="17"/>
  <c r="P838" i="17"/>
  <c r="P839" i="17"/>
  <c r="P840" i="17"/>
  <c r="P841" i="17"/>
  <c r="P842" i="17"/>
  <c r="P843" i="17"/>
  <c r="P844" i="17"/>
  <c r="P845" i="17"/>
  <c r="P846" i="17"/>
  <c r="P847" i="17"/>
  <c r="P848" i="17"/>
  <c r="P849" i="17"/>
  <c r="P850" i="17"/>
  <c r="P851" i="17"/>
  <c r="P852" i="17"/>
  <c r="P853" i="17"/>
  <c r="P854" i="17"/>
  <c r="P855" i="17"/>
  <c r="P856" i="17"/>
  <c r="P857" i="17"/>
  <c r="P858" i="17"/>
  <c r="P859" i="17"/>
  <c r="P860" i="17"/>
  <c r="P861" i="17"/>
  <c r="P862" i="17"/>
  <c r="P863" i="17"/>
  <c r="P864" i="17"/>
  <c r="P865" i="17"/>
  <c r="P866" i="17"/>
  <c r="P867" i="17"/>
  <c r="P868" i="17"/>
  <c r="P869" i="17"/>
  <c r="P870" i="17"/>
  <c r="P871" i="17"/>
  <c r="P872" i="17"/>
  <c r="P873" i="17"/>
  <c r="P874" i="17"/>
  <c r="P875" i="17"/>
  <c r="P876" i="17"/>
  <c r="P877" i="17"/>
  <c r="P878" i="17"/>
  <c r="P879" i="17"/>
  <c r="P880" i="17"/>
  <c r="P881" i="17"/>
  <c r="P882" i="17"/>
  <c r="P883" i="17"/>
  <c r="P884" i="17"/>
  <c r="P885" i="17"/>
  <c r="P886" i="17"/>
  <c r="P887" i="17"/>
  <c r="P888" i="17"/>
  <c r="P889" i="17"/>
  <c r="P890" i="17"/>
  <c r="P891" i="17"/>
  <c r="P892" i="17"/>
  <c r="P893" i="17"/>
  <c r="P894" i="17"/>
  <c r="P895" i="17"/>
  <c r="P896" i="17"/>
  <c r="P897" i="17"/>
  <c r="P898" i="17"/>
  <c r="P899" i="17"/>
  <c r="P900" i="17"/>
  <c r="P901" i="17"/>
  <c r="P902" i="17"/>
  <c r="P903" i="17"/>
  <c r="P904" i="17"/>
  <c r="P905" i="17"/>
  <c r="P906" i="17"/>
  <c r="P907" i="17"/>
  <c r="P908" i="17"/>
  <c r="P909" i="17"/>
  <c r="P910" i="17"/>
  <c r="P911" i="17"/>
  <c r="P912" i="17"/>
  <c r="P913" i="17"/>
  <c r="P914" i="17"/>
  <c r="P915" i="17"/>
  <c r="P916" i="17"/>
  <c r="P917" i="17"/>
  <c r="P918" i="17"/>
  <c r="P919" i="17"/>
  <c r="P920" i="17"/>
  <c r="P921" i="17"/>
  <c r="P922" i="17"/>
  <c r="P923" i="17"/>
  <c r="P924" i="17"/>
  <c r="P925" i="17"/>
  <c r="P926" i="17"/>
  <c r="P927" i="17"/>
  <c r="P928" i="17"/>
  <c r="P929" i="17"/>
  <c r="P930" i="17"/>
  <c r="P931" i="17"/>
  <c r="P932" i="17"/>
  <c r="P933" i="17"/>
  <c r="P934" i="17"/>
  <c r="P935" i="17"/>
  <c r="P936" i="17"/>
  <c r="P937" i="17"/>
  <c r="P938" i="17"/>
  <c r="P939" i="17"/>
  <c r="P940" i="17"/>
  <c r="P941" i="17"/>
  <c r="P942" i="17"/>
  <c r="P943" i="17"/>
  <c r="P944" i="17"/>
  <c r="P945" i="17"/>
  <c r="P946" i="17"/>
  <c r="P947" i="17"/>
  <c r="P948" i="17"/>
  <c r="P949" i="17"/>
  <c r="P950" i="17"/>
  <c r="P951" i="17"/>
  <c r="P952" i="17"/>
  <c r="P953" i="17"/>
  <c r="P954" i="17"/>
  <c r="P955" i="17"/>
  <c r="P956" i="17"/>
  <c r="P957" i="17"/>
  <c r="P958" i="17"/>
  <c r="P959" i="17"/>
  <c r="P960" i="17"/>
  <c r="P961" i="17"/>
  <c r="P962" i="17"/>
  <c r="P963" i="17"/>
  <c r="P964" i="17"/>
  <c r="P965" i="17"/>
  <c r="P966" i="17"/>
  <c r="P967" i="17"/>
  <c r="P968" i="17"/>
  <c r="P969" i="17"/>
  <c r="P970" i="17"/>
  <c r="P971" i="17"/>
  <c r="P972" i="17"/>
  <c r="P973" i="17"/>
  <c r="P974" i="17"/>
  <c r="P975" i="17"/>
  <c r="P976" i="17"/>
  <c r="P977" i="17"/>
  <c r="P978" i="17"/>
  <c r="P979" i="17"/>
  <c r="P980" i="17"/>
  <c r="P981" i="17"/>
  <c r="P982" i="17"/>
  <c r="P983" i="17"/>
  <c r="P984" i="17"/>
  <c r="P985" i="17"/>
  <c r="P986" i="17"/>
  <c r="P987" i="17"/>
  <c r="P988" i="17"/>
  <c r="P989" i="17"/>
  <c r="P990" i="17"/>
  <c r="P991" i="17"/>
  <c r="P992" i="17"/>
  <c r="P993" i="17"/>
  <c r="P994" i="17"/>
  <c r="P995" i="17"/>
  <c r="P996" i="17"/>
  <c r="P997" i="17"/>
  <c r="P998" i="17"/>
  <c r="P999" i="17"/>
  <c r="P1000" i="17"/>
  <c r="P1001" i="17"/>
  <c r="P1002" i="17"/>
  <c r="P1003" i="17"/>
  <c r="P1004" i="17"/>
  <c r="P1005" i="17"/>
  <c r="P1006" i="17"/>
  <c r="P1007" i="17"/>
  <c r="P1008" i="17"/>
  <c r="P1009" i="17"/>
  <c r="P1010" i="17"/>
  <c r="P1011" i="17"/>
  <c r="P1012" i="17"/>
  <c r="P1013" i="17"/>
  <c r="P1014" i="17"/>
  <c r="P1015" i="17"/>
  <c r="P1016" i="17"/>
  <c r="P1017" i="17"/>
  <c r="P1018" i="17"/>
  <c r="P1019" i="17"/>
  <c r="P1020" i="17"/>
  <c r="P1021" i="17"/>
  <c r="P1022" i="17"/>
  <c r="P1023" i="17"/>
  <c r="P1024" i="17"/>
  <c r="P1025" i="17"/>
  <c r="P1026" i="17"/>
  <c r="P1027" i="17"/>
  <c r="P1028" i="17"/>
  <c r="P1029" i="17"/>
  <c r="P1030" i="17"/>
  <c r="P1031" i="17"/>
  <c r="P1032" i="17"/>
  <c r="P1033" i="17"/>
  <c r="P1034" i="17"/>
  <c r="P1035" i="17"/>
  <c r="P1036" i="17"/>
  <c r="P1037" i="17"/>
  <c r="P1038" i="17"/>
  <c r="P1039" i="17"/>
  <c r="P1040" i="17"/>
  <c r="P1041" i="17"/>
  <c r="P1042" i="17"/>
  <c r="P1043" i="17"/>
  <c r="P1044" i="17"/>
  <c r="P1045" i="17"/>
  <c r="P1046" i="17"/>
  <c r="P1047" i="17"/>
  <c r="P1048" i="17"/>
  <c r="P1049" i="17"/>
  <c r="P1050" i="17"/>
  <c r="P1051" i="17"/>
  <c r="P1052" i="17"/>
  <c r="P1053" i="17"/>
  <c r="P1054" i="17"/>
  <c r="P1055" i="17"/>
  <c r="P1056" i="17"/>
  <c r="P1057" i="17"/>
  <c r="P1058" i="17"/>
  <c r="P1059" i="17"/>
  <c r="P1060" i="17"/>
  <c r="P1061" i="17"/>
  <c r="P1062" i="17"/>
  <c r="P1063" i="17"/>
  <c r="P1064" i="17"/>
  <c r="P1065" i="17"/>
  <c r="P1066" i="17"/>
  <c r="P1067" i="17"/>
  <c r="P1068" i="17"/>
  <c r="P1069" i="17"/>
  <c r="P1070" i="17"/>
  <c r="P1071" i="17"/>
  <c r="P1072" i="17"/>
  <c r="P1073" i="17"/>
  <c r="P1074" i="17"/>
  <c r="P1075" i="17"/>
  <c r="P1076" i="17"/>
  <c r="P1077" i="17"/>
  <c r="P1078" i="17"/>
  <c r="P1079" i="17"/>
  <c r="P1080" i="17"/>
  <c r="P1081" i="17"/>
  <c r="P1082" i="17"/>
  <c r="P1083" i="17"/>
  <c r="P1084" i="17"/>
  <c r="P1085" i="17"/>
  <c r="P1086" i="17"/>
  <c r="P1087" i="17"/>
  <c r="P1088" i="17"/>
  <c r="P1089" i="17"/>
  <c r="P1090" i="17"/>
  <c r="P1091" i="17"/>
  <c r="P1092" i="17"/>
  <c r="P1093" i="17"/>
  <c r="P1094" i="17"/>
  <c r="P1095" i="17"/>
  <c r="P1096" i="17"/>
  <c r="P1097" i="17"/>
  <c r="P1098" i="17"/>
  <c r="P1099" i="17"/>
  <c r="P1100" i="17"/>
  <c r="P1101" i="17"/>
  <c r="P1102" i="17"/>
  <c r="P1103" i="17"/>
  <c r="P1104" i="17"/>
  <c r="P1105" i="17"/>
  <c r="P1106" i="17"/>
  <c r="P1107" i="17"/>
  <c r="P1108" i="17"/>
  <c r="P1109" i="17"/>
  <c r="P1110" i="17"/>
  <c r="P1111" i="17"/>
  <c r="P1112" i="17"/>
  <c r="P1113" i="17"/>
  <c r="P1114" i="17"/>
  <c r="P1115" i="17"/>
  <c r="P1116" i="17"/>
  <c r="P1117" i="17"/>
  <c r="P1118" i="17"/>
  <c r="P1119" i="17"/>
  <c r="P1120" i="17"/>
  <c r="P1121" i="17"/>
  <c r="P1122" i="17"/>
  <c r="P1123" i="17"/>
  <c r="P1124" i="17"/>
  <c r="P1125" i="17"/>
  <c r="P1126" i="17"/>
  <c r="P1127" i="17"/>
  <c r="P1128" i="17"/>
  <c r="P1129" i="17"/>
  <c r="P1130" i="17"/>
  <c r="P1131" i="17"/>
  <c r="P1132" i="17"/>
  <c r="P1133" i="17"/>
  <c r="P1134" i="17"/>
  <c r="P1135" i="17"/>
  <c r="P1136" i="17"/>
  <c r="P1137" i="17"/>
  <c r="P1138" i="17"/>
  <c r="P1139" i="17"/>
  <c r="P1140" i="17"/>
  <c r="P1141" i="17"/>
  <c r="P1142" i="17"/>
  <c r="P1143" i="17"/>
  <c r="P1144" i="17"/>
  <c r="P1145" i="17"/>
  <c r="P1146" i="17"/>
  <c r="P1147" i="17"/>
  <c r="P1148" i="17"/>
  <c r="P1149" i="17"/>
  <c r="P1150" i="17"/>
  <c r="P1151" i="17"/>
  <c r="P1152" i="17"/>
  <c r="P1153" i="17"/>
  <c r="P1154" i="17"/>
  <c r="P1155" i="17"/>
  <c r="P1156" i="17"/>
  <c r="P1157" i="17"/>
  <c r="P1158" i="17"/>
  <c r="P1159" i="17"/>
  <c r="P1160" i="17"/>
  <c r="P1161" i="17"/>
  <c r="P1162" i="17"/>
  <c r="P1163" i="17"/>
  <c r="P1164" i="17"/>
  <c r="P1165" i="17"/>
  <c r="P1166" i="17"/>
  <c r="P1167" i="17"/>
  <c r="P1168" i="17"/>
  <c r="P1169" i="17"/>
  <c r="P1170" i="17"/>
  <c r="P1171" i="17"/>
  <c r="P1172" i="17"/>
  <c r="P1173" i="17"/>
  <c r="P1174" i="17"/>
  <c r="P1175" i="17"/>
  <c r="P1176" i="17"/>
  <c r="P1177" i="17"/>
  <c r="P1178" i="17"/>
  <c r="P1179" i="17"/>
  <c r="P1180" i="17"/>
  <c r="P1181" i="17"/>
  <c r="P1182" i="17"/>
  <c r="P1183" i="17"/>
  <c r="P1184" i="17"/>
  <c r="P1185" i="17"/>
  <c r="P1186" i="17"/>
  <c r="P1187" i="17"/>
  <c r="P1188" i="17"/>
  <c r="P1189" i="17"/>
  <c r="P1190" i="17"/>
  <c r="P1191" i="17"/>
  <c r="P1192" i="17"/>
  <c r="P1193" i="17"/>
  <c r="P1194" i="17"/>
  <c r="P1195" i="17"/>
  <c r="P1196" i="17"/>
  <c r="P1197" i="17"/>
  <c r="P1198" i="17"/>
  <c r="P1199" i="17"/>
  <c r="P1200" i="17"/>
  <c r="P1201" i="17"/>
  <c r="P1202" i="17"/>
  <c r="P1203" i="17"/>
  <c r="P1204" i="17"/>
  <c r="P1205" i="17"/>
  <c r="P1206" i="17"/>
  <c r="P1207" i="17"/>
  <c r="P1208" i="17"/>
  <c r="P1209" i="17"/>
  <c r="P1210" i="17"/>
  <c r="P1211" i="17"/>
  <c r="P1212" i="17"/>
  <c r="P1213" i="17"/>
  <c r="P1214" i="17"/>
  <c r="P1215" i="17"/>
  <c r="P1216" i="17"/>
  <c r="P1217" i="17"/>
  <c r="P1218" i="17"/>
  <c r="P1219" i="17"/>
  <c r="P1220" i="17"/>
  <c r="P1221" i="17"/>
  <c r="P1222" i="17"/>
  <c r="P1223" i="17"/>
  <c r="P1224" i="17"/>
  <c r="P1225" i="17"/>
  <c r="P1226" i="17"/>
  <c r="P1227" i="17"/>
  <c r="P1228" i="17"/>
  <c r="P1229" i="17"/>
  <c r="P1230" i="17"/>
  <c r="P1231" i="17"/>
  <c r="P1232" i="17"/>
  <c r="P1233" i="17"/>
  <c r="P1234" i="17"/>
  <c r="P1235" i="17"/>
  <c r="P1236" i="17"/>
  <c r="P1237" i="17"/>
  <c r="P1238" i="17"/>
  <c r="P1239" i="17"/>
  <c r="P1240" i="17"/>
  <c r="P1241" i="17"/>
  <c r="P1242" i="17"/>
  <c r="P1243" i="17"/>
  <c r="P1244" i="17"/>
  <c r="P1245" i="17"/>
  <c r="P1246" i="17"/>
  <c r="P1247" i="17"/>
  <c r="P1248" i="17"/>
  <c r="P1249" i="17"/>
  <c r="P1250" i="17"/>
  <c r="P1251" i="17"/>
  <c r="P1252" i="17"/>
  <c r="P1253" i="17"/>
  <c r="P1254" i="17"/>
  <c r="P1255" i="17"/>
  <c r="P1256" i="17"/>
  <c r="P1257" i="17"/>
  <c r="P1258" i="17"/>
  <c r="P1259" i="17"/>
  <c r="P1260" i="17"/>
  <c r="P1261" i="17"/>
  <c r="P1262" i="17"/>
  <c r="P1263" i="17"/>
  <c r="P1264" i="17"/>
  <c r="P1265" i="17"/>
  <c r="P1266" i="17"/>
  <c r="P1267" i="17"/>
  <c r="P1268" i="17"/>
  <c r="P1269" i="17"/>
  <c r="P1270" i="17"/>
  <c r="P1271" i="17"/>
  <c r="P1272" i="17"/>
  <c r="P1273" i="17"/>
  <c r="P1274" i="17"/>
  <c r="P1275" i="17"/>
  <c r="P1276" i="17"/>
  <c r="P1277" i="17"/>
  <c r="P1278" i="17"/>
  <c r="P1279" i="17"/>
  <c r="P1280" i="17"/>
  <c r="P1281" i="17"/>
  <c r="P1282" i="17"/>
  <c r="P1283" i="17"/>
  <c r="P1284" i="17"/>
  <c r="P1285" i="17"/>
  <c r="P1286" i="17"/>
  <c r="P1287" i="17"/>
  <c r="P1288" i="17"/>
  <c r="P1289" i="17"/>
  <c r="P1290" i="17"/>
  <c r="P1291" i="17"/>
  <c r="P1292" i="17"/>
  <c r="P1293" i="17"/>
  <c r="P1294" i="17"/>
  <c r="P1295" i="17"/>
  <c r="P1296" i="17"/>
  <c r="P1297" i="17"/>
  <c r="P1298" i="17"/>
  <c r="P1299" i="17"/>
  <c r="P1300" i="17"/>
  <c r="P1301" i="17"/>
  <c r="P1302" i="17"/>
  <c r="P1303" i="17"/>
  <c r="P1304" i="17"/>
  <c r="P1305" i="17"/>
  <c r="P1306" i="17"/>
  <c r="P1307" i="17"/>
  <c r="P1308" i="17"/>
  <c r="P1309" i="17"/>
  <c r="P1310" i="17"/>
  <c r="P1311" i="17"/>
  <c r="P1312" i="17"/>
  <c r="P1313" i="17"/>
  <c r="P1314" i="17"/>
  <c r="P1315" i="17"/>
  <c r="P1316" i="17"/>
  <c r="P1317" i="17"/>
  <c r="P1318" i="17"/>
  <c r="P1319" i="17"/>
  <c r="P1320" i="17"/>
  <c r="P1321" i="17"/>
  <c r="P1322" i="17"/>
  <c r="P1323" i="17"/>
  <c r="P1324" i="17"/>
  <c r="P1325" i="17"/>
  <c r="P1326" i="17"/>
  <c r="P1327" i="17"/>
  <c r="P1328" i="17"/>
  <c r="P1329" i="17"/>
  <c r="P1330" i="17"/>
  <c r="P1331" i="17"/>
  <c r="P1332" i="17"/>
  <c r="P1333" i="17"/>
  <c r="P1334" i="17"/>
  <c r="P1335" i="17"/>
  <c r="P1336" i="17"/>
  <c r="P1337" i="17"/>
  <c r="P1338" i="17"/>
  <c r="P1339" i="17"/>
  <c r="P1340" i="17"/>
  <c r="P1341" i="17"/>
  <c r="P1342" i="17"/>
  <c r="P1343" i="17"/>
  <c r="P1344" i="17"/>
  <c r="P1345" i="17"/>
  <c r="P1346" i="17"/>
  <c r="P1347" i="17"/>
  <c r="P1348" i="17"/>
  <c r="P1349" i="17"/>
  <c r="P1350" i="17"/>
  <c r="P1351" i="17"/>
  <c r="P1352" i="17"/>
  <c r="P1353" i="17"/>
  <c r="P1354" i="17"/>
  <c r="P1355" i="17"/>
  <c r="P1356" i="17"/>
  <c r="P1357" i="17"/>
  <c r="P1358" i="17"/>
  <c r="P1359" i="17"/>
  <c r="P1360" i="17"/>
  <c r="P1361" i="17"/>
  <c r="P1362" i="17"/>
  <c r="P1363" i="17"/>
  <c r="P1364" i="17"/>
  <c r="P1365" i="17"/>
  <c r="P1366" i="17"/>
  <c r="P1367" i="17"/>
  <c r="P1368" i="17"/>
  <c r="P1369" i="17"/>
  <c r="P1370" i="17"/>
  <c r="P1371" i="17"/>
  <c r="P1372" i="17"/>
  <c r="P1373" i="17"/>
  <c r="P1374" i="17"/>
  <c r="P1375" i="17"/>
  <c r="P1376" i="17"/>
  <c r="P1377" i="17"/>
  <c r="P1378" i="17"/>
  <c r="P1379" i="17"/>
  <c r="P1380" i="17"/>
  <c r="P1381" i="17"/>
  <c r="P1382" i="17"/>
  <c r="P1383" i="17"/>
  <c r="P1384" i="17"/>
  <c r="P1385" i="17"/>
  <c r="P1386" i="17"/>
  <c r="P1387" i="17"/>
  <c r="P1388" i="17"/>
  <c r="P1389" i="17"/>
  <c r="P1390" i="17"/>
  <c r="P1391" i="17"/>
  <c r="P1392" i="17"/>
  <c r="P1393" i="17"/>
  <c r="P1394" i="17"/>
  <c r="P1395" i="17"/>
  <c r="P1396" i="17"/>
  <c r="P1397" i="17"/>
  <c r="P1398" i="17"/>
  <c r="P1399" i="17"/>
  <c r="P1400" i="17"/>
  <c r="P1401" i="17"/>
  <c r="P1402" i="17"/>
  <c r="P1403" i="17"/>
  <c r="P1404" i="17"/>
  <c r="P1405" i="17"/>
  <c r="P1406" i="17"/>
  <c r="P1407" i="17"/>
  <c r="P1408" i="17"/>
  <c r="P1409" i="17"/>
  <c r="P1410" i="17"/>
  <c r="P1411" i="17"/>
  <c r="P1412" i="17"/>
  <c r="P1413" i="17"/>
  <c r="P1414" i="17"/>
  <c r="P1415" i="17"/>
  <c r="P1416" i="17"/>
  <c r="P1417" i="17"/>
  <c r="P1418" i="17"/>
  <c r="P1419" i="17"/>
  <c r="P1420" i="17"/>
  <c r="P1421" i="17"/>
  <c r="P1422" i="17"/>
  <c r="P1423" i="17"/>
  <c r="P1424" i="17"/>
  <c r="P1425" i="17"/>
  <c r="P1426" i="17"/>
  <c r="P1427" i="17"/>
  <c r="P1428" i="17"/>
  <c r="P1429" i="17"/>
  <c r="P1430" i="17"/>
  <c r="P1431" i="17"/>
  <c r="P1432" i="17"/>
  <c r="P1433" i="17"/>
  <c r="P1434" i="17"/>
  <c r="P1435" i="17"/>
  <c r="P1436" i="17"/>
  <c r="P1437" i="17"/>
  <c r="P1438" i="17"/>
  <c r="P1439" i="17"/>
  <c r="P1440" i="17"/>
  <c r="P1441" i="17"/>
  <c r="P1442" i="17"/>
  <c r="P1443" i="17"/>
  <c r="P1444" i="17"/>
  <c r="P1445" i="17"/>
  <c r="P1446" i="17"/>
  <c r="P1447" i="17"/>
  <c r="P1448" i="17"/>
  <c r="P1449" i="17"/>
  <c r="P1450" i="17"/>
  <c r="P1451" i="17"/>
  <c r="P1452" i="17"/>
  <c r="P1453" i="17"/>
  <c r="P1454" i="17"/>
  <c r="P1455" i="17"/>
  <c r="P1456" i="17"/>
  <c r="P1457" i="17"/>
  <c r="P1458" i="17"/>
  <c r="P1459" i="17"/>
  <c r="P1460" i="17"/>
  <c r="P1461" i="17"/>
  <c r="P1462" i="17"/>
  <c r="P1463" i="17"/>
  <c r="P1464" i="17"/>
  <c r="P1465" i="17"/>
  <c r="P1466" i="17"/>
  <c r="P1467" i="17"/>
  <c r="P1468" i="17"/>
  <c r="P1469" i="17"/>
  <c r="P1470" i="17"/>
  <c r="P1471" i="17"/>
  <c r="P1472" i="17"/>
  <c r="P1473" i="17"/>
  <c r="P1474" i="17"/>
  <c r="P1475" i="17"/>
  <c r="P1476" i="17"/>
  <c r="P1477" i="17"/>
  <c r="P1478" i="17"/>
  <c r="P1479" i="17"/>
  <c r="P1480" i="17"/>
  <c r="P1481" i="17"/>
  <c r="P1482" i="17"/>
  <c r="P1483" i="17"/>
  <c r="P1484" i="17"/>
  <c r="P1485" i="17"/>
  <c r="P1486" i="17"/>
  <c r="P1487" i="17"/>
  <c r="P1488" i="17"/>
  <c r="P1489" i="17"/>
  <c r="P1490" i="17"/>
  <c r="P1491" i="17"/>
  <c r="P1492" i="17"/>
  <c r="P1493" i="17"/>
  <c r="P1494" i="17"/>
  <c r="P1495" i="17"/>
  <c r="P1496" i="17"/>
  <c r="P1497" i="17"/>
  <c r="P1498" i="17"/>
  <c r="P1499" i="17"/>
  <c r="P1500" i="17"/>
  <c r="P1501" i="17"/>
  <c r="P1502" i="17"/>
  <c r="P1503" i="17"/>
  <c r="P1504" i="17"/>
  <c r="P1505" i="17"/>
  <c r="P1506" i="17"/>
  <c r="P1507" i="17"/>
  <c r="P1508" i="17"/>
  <c r="P1509" i="17"/>
  <c r="P1510" i="17"/>
  <c r="H43" i="26"/>
  <c r="H42" i="26"/>
  <c r="H41" i="26" a="1"/>
  <c r="H41" i="26" s="1"/>
  <c r="H40" i="26"/>
  <c r="H39" i="26" a="1"/>
  <c r="H39" i="26" s="1"/>
  <c r="H38" i="26"/>
  <c r="H37" i="26"/>
  <c r="H36" i="26"/>
  <c r="C55" i="26"/>
  <c r="B55" i="26"/>
  <c r="C54" i="26"/>
  <c r="B54" i="26"/>
  <c r="C53" i="26"/>
  <c r="B53" i="26"/>
  <c r="C52" i="26"/>
  <c r="B52" i="26"/>
  <c r="C51" i="26"/>
  <c r="B51" i="26"/>
  <c r="C50" i="26"/>
  <c r="B50" i="26"/>
  <c r="C49" i="26"/>
  <c r="B49" i="26"/>
  <c r="C48" i="26"/>
  <c r="B48" i="26"/>
  <c r="C47" i="26"/>
  <c r="B47" i="26"/>
  <c r="C46" i="26"/>
  <c r="B46" i="26"/>
  <c r="H25" i="26"/>
  <c r="H26" i="26"/>
  <c r="H27" i="26"/>
  <c r="J27" i="26" s="1"/>
  <c r="H28" i="26"/>
  <c r="H29" i="26"/>
  <c r="H30" i="26"/>
  <c r="J30" i="26" s="1"/>
  <c r="I15" i="26"/>
  <c r="J15" i="26"/>
  <c r="I16" i="26"/>
  <c r="J16" i="26"/>
  <c r="I17" i="26"/>
  <c r="J17" i="26"/>
  <c r="I18" i="26"/>
  <c r="J18" i="26"/>
  <c r="I19" i="26"/>
  <c r="J19" i="26"/>
  <c r="J20" i="26"/>
  <c r="K20" i="26" s="1"/>
  <c r="H7" i="26"/>
  <c r="I7" i="26"/>
  <c r="J7" i="26"/>
  <c r="H8" i="26"/>
  <c r="I8" i="26"/>
  <c r="J8" i="26"/>
  <c r="H10" i="26"/>
  <c r="I10" i="26"/>
  <c r="J10" i="26"/>
  <c r="B34" i="26" a="1"/>
  <c r="B34" i="26" s="1"/>
  <c r="C34" i="26" a="1"/>
  <c r="C34" i="26" s="1"/>
  <c r="B35" i="26" a="1"/>
  <c r="B35" i="26" s="1"/>
  <c r="C35" i="26" a="1"/>
  <c r="C35" i="26" s="1"/>
  <c r="B36" i="26" a="1"/>
  <c r="B36" i="26" s="1"/>
  <c r="C36" i="26" a="1"/>
  <c r="C36" i="26" s="1"/>
  <c r="B37" i="26" a="1"/>
  <c r="B37" i="26" s="1"/>
  <c r="C37" i="26" a="1"/>
  <c r="C37" i="26" s="1"/>
  <c r="B38" i="26" a="1"/>
  <c r="B38" i="26" s="1"/>
  <c r="C38" i="26" a="1"/>
  <c r="C38" i="26" s="1"/>
  <c r="B39" i="26" a="1"/>
  <c r="B39" i="26" s="1"/>
  <c r="C39" i="26" a="1"/>
  <c r="C39" i="26" s="1"/>
  <c r="B40" i="26" a="1"/>
  <c r="B40" i="26" s="1"/>
  <c r="C40" i="26" a="1"/>
  <c r="C40" i="26" s="1"/>
  <c r="F28" i="26"/>
  <c r="E28" i="26"/>
  <c r="D28" i="26"/>
  <c r="C28" i="26"/>
  <c r="B28" i="26"/>
  <c r="F27" i="26"/>
  <c r="E27" i="26"/>
  <c r="D27" i="26"/>
  <c r="C27" i="26"/>
  <c r="B27" i="26"/>
  <c r="F26" i="26"/>
  <c r="E26" i="26"/>
  <c r="D26" i="26"/>
  <c r="C26" i="26"/>
  <c r="B26" i="26"/>
  <c r="F25" i="26"/>
  <c r="E25" i="26"/>
  <c r="D25" i="26"/>
  <c r="C25" i="26"/>
  <c r="B25" i="26"/>
  <c r="F24" i="26"/>
  <c r="E24" i="26"/>
  <c r="D24" i="26"/>
  <c r="C24" i="26"/>
  <c r="B24" i="26"/>
  <c r="I23" i="26"/>
  <c r="H23" i="26"/>
  <c r="G23" i="26"/>
  <c r="F23" i="26"/>
  <c r="E23" i="26"/>
  <c r="D23" i="26"/>
  <c r="C23" i="26"/>
  <c r="B23" i="26"/>
  <c r="B7" i="26"/>
  <c r="C7" i="26"/>
  <c r="B8" i="26"/>
  <c r="C8" i="26"/>
  <c r="B9" i="26"/>
  <c r="C9" i="26"/>
  <c r="B10" i="26"/>
  <c r="C10" i="26"/>
  <c r="B11" i="26"/>
  <c r="C11" i="26"/>
  <c r="B12" i="26"/>
  <c r="C12" i="26"/>
  <c r="B13" i="26"/>
  <c r="C13" i="26"/>
  <c r="B14" i="26"/>
  <c r="C14" i="26"/>
  <c r="B15" i="26"/>
  <c r="C15" i="26"/>
  <c r="B16" i="26"/>
  <c r="C16" i="26"/>
  <c r="B17" i="26"/>
  <c r="C17" i="26"/>
  <c r="B18" i="26"/>
  <c r="C18" i="26"/>
  <c r="I41" i="25"/>
  <c r="J41" i="25"/>
  <c r="I42" i="25"/>
  <c r="J42" i="25"/>
  <c r="I43" i="25"/>
  <c r="J43" i="25"/>
  <c r="I44" i="25"/>
  <c r="J44" i="25"/>
  <c r="I45" i="25"/>
  <c r="J45" i="25"/>
  <c r="I46" i="25"/>
  <c r="J46" i="25"/>
  <c r="K35" i="25"/>
  <c r="J35" i="25"/>
  <c r="I35" i="25"/>
  <c r="K34" i="25"/>
  <c r="J34" i="25"/>
  <c r="I34" i="25"/>
  <c r="K33" i="25"/>
  <c r="J33" i="25"/>
  <c r="I33" i="25"/>
  <c r="K32" i="25"/>
  <c r="J32" i="25"/>
  <c r="I32" i="25"/>
  <c r="K25" i="25"/>
  <c r="J25" i="25"/>
  <c r="I25" i="25"/>
  <c r="L25" i="25" s="1"/>
  <c r="K24" i="25"/>
  <c r="J24" i="25"/>
  <c r="I24" i="25"/>
  <c r="K23" i="25"/>
  <c r="J23" i="25"/>
  <c r="I23" i="25"/>
  <c r="F50" i="25"/>
  <c r="D50" i="25"/>
  <c r="C50" i="25"/>
  <c r="B50" i="25"/>
  <c r="E50" i="25" s="1"/>
  <c r="F49" i="25"/>
  <c r="D49" i="25"/>
  <c r="C49" i="25"/>
  <c r="B49" i="25"/>
  <c r="E49" i="25" s="1"/>
  <c r="F48" i="25"/>
  <c r="D48" i="25"/>
  <c r="C48" i="25"/>
  <c r="B48" i="25"/>
  <c r="E48" i="25" s="1"/>
  <c r="F47" i="25"/>
  <c r="D47" i="25"/>
  <c r="C47" i="25"/>
  <c r="B47" i="25"/>
  <c r="E47" i="25" s="1"/>
  <c r="F46" i="25"/>
  <c r="D46" i="25"/>
  <c r="C46" i="25"/>
  <c r="B46" i="25"/>
  <c r="E46" i="25" s="1"/>
  <c r="F45" i="25"/>
  <c r="D45" i="25"/>
  <c r="C45" i="25"/>
  <c r="B45" i="25"/>
  <c r="E45" i="25" s="1"/>
  <c r="F39" i="25"/>
  <c r="E39" i="25"/>
  <c r="D39" i="25"/>
  <c r="C39" i="25"/>
  <c r="B39" i="25"/>
  <c r="F38" i="25"/>
  <c r="D38" i="25"/>
  <c r="C38" i="25"/>
  <c r="B38" i="25"/>
  <c r="E38" i="25" s="1"/>
  <c r="F37" i="25"/>
  <c r="D37" i="25"/>
  <c r="C37" i="25"/>
  <c r="B37" i="25"/>
  <c r="E37" i="25" s="1"/>
  <c r="F36" i="25"/>
  <c r="D36" i="25"/>
  <c r="C36" i="25"/>
  <c r="B36" i="25"/>
  <c r="E36" i="25" s="1"/>
  <c r="F35" i="25"/>
  <c r="D35" i="25"/>
  <c r="C35" i="25"/>
  <c r="B35" i="25"/>
  <c r="E35" i="25" s="1"/>
  <c r="F34" i="25"/>
  <c r="D34" i="25"/>
  <c r="C34" i="25"/>
  <c r="B34" i="25"/>
  <c r="E34" i="25" s="1"/>
  <c r="F33" i="25"/>
  <c r="D33" i="25"/>
  <c r="C33" i="25"/>
  <c r="B33" i="25"/>
  <c r="E33" i="25" s="1"/>
  <c r="F32" i="25"/>
  <c r="D32" i="25"/>
  <c r="C32" i="25"/>
  <c r="B32" i="25"/>
  <c r="F26" i="25"/>
  <c r="D26" i="25"/>
  <c r="C26" i="25"/>
  <c r="B26" i="25"/>
  <c r="E26" i="25" s="1"/>
  <c r="F25" i="25"/>
  <c r="D25" i="25"/>
  <c r="C25" i="25"/>
  <c r="B25" i="25"/>
  <c r="E25" i="25" s="1"/>
  <c r="F24" i="25"/>
  <c r="D24" i="25"/>
  <c r="C24" i="25"/>
  <c r="B24" i="25"/>
  <c r="E24" i="25" s="1"/>
  <c r="F23" i="25"/>
  <c r="D23" i="25"/>
  <c r="C23" i="25"/>
  <c r="B23" i="25"/>
  <c r="E23" i="25" s="1"/>
  <c r="F22" i="25"/>
  <c r="D22" i="25"/>
  <c r="C22" i="25"/>
  <c r="B22" i="25"/>
  <c r="E22" i="25" s="1"/>
  <c r="F21" i="25"/>
  <c r="D21" i="25"/>
  <c r="C21" i="25"/>
  <c r="B21" i="25"/>
  <c r="B7" i="25"/>
  <c r="B8" i="25"/>
  <c r="B9" i="25"/>
  <c r="B10" i="25"/>
  <c r="B11" i="25"/>
  <c r="B12" i="25"/>
  <c r="B13" i="25"/>
  <c r="B14" i="25"/>
  <c r="B15" i="25"/>
  <c r="B16" i="25"/>
  <c r="D85" i="24"/>
  <c r="C85" i="24"/>
  <c r="B85" i="24"/>
  <c r="D84" i="24"/>
  <c r="C84" i="24"/>
  <c r="B84" i="24"/>
  <c r="D83" i="24"/>
  <c r="C83" i="24"/>
  <c r="B83" i="24"/>
  <c r="B66" i="24"/>
  <c r="C66" i="24"/>
  <c r="B67" i="24"/>
  <c r="C67" i="24"/>
  <c r="B68" i="24"/>
  <c r="C68" i="24"/>
  <c r="B69" i="24"/>
  <c r="C69" i="24"/>
  <c r="B70" i="24"/>
  <c r="C70" i="24"/>
  <c r="B71" i="24"/>
  <c r="C71" i="24"/>
  <c r="B72" i="24"/>
  <c r="C72" i="24"/>
  <c r="B73" i="24"/>
  <c r="C73" i="24"/>
  <c r="B49" i="24"/>
  <c r="C49" i="24"/>
  <c r="B50" i="24"/>
  <c r="C50" i="24"/>
  <c r="B51" i="24"/>
  <c r="C51" i="24"/>
  <c r="B52" i="24"/>
  <c r="C52" i="24"/>
  <c r="B53" i="24"/>
  <c r="C53" i="24"/>
  <c r="B54" i="24"/>
  <c r="C54" i="24"/>
  <c r="A8" i="24"/>
  <c r="B8" i="24"/>
  <c r="C8" i="24"/>
  <c r="D8" i="24"/>
  <c r="A9" i="24"/>
  <c r="B9" i="24"/>
  <c r="C9" i="24"/>
  <c r="D9" i="24"/>
  <c r="A10" i="24"/>
  <c r="B10" i="24"/>
  <c r="C10" i="24"/>
  <c r="D10" i="24"/>
  <c r="A11" i="24"/>
  <c r="B11" i="24"/>
  <c r="C11" i="24"/>
  <c r="D11" i="24"/>
  <c r="A12" i="24"/>
  <c r="B12" i="24"/>
  <c r="C12" i="24"/>
  <c r="D12" i="24"/>
  <c r="A13" i="24"/>
  <c r="B13" i="24"/>
  <c r="C13" i="24"/>
  <c r="D13" i="24"/>
  <c r="A14" i="24"/>
  <c r="B14" i="24"/>
  <c r="C14" i="24"/>
  <c r="D14" i="24"/>
  <c r="A15" i="24"/>
  <c r="B15" i="24"/>
  <c r="C15" i="24"/>
  <c r="D15" i="24"/>
  <c r="A16" i="24"/>
  <c r="B16" i="24"/>
  <c r="C16" i="24"/>
  <c r="D16" i="24"/>
  <c r="A17" i="24"/>
  <c r="B17" i="24"/>
  <c r="C17" i="24"/>
  <c r="D17" i="24"/>
  <c r="A18" i="24"/>
  <c r="B18" i="24"/>
  <c r="C18" i="24"/>
  <c r="D18" i="24"/>
  <c r="A19" i="24"/>
  <c r="B19" i="24"/>
  <c r="C19" i="24"/>
  <c r="D19" i="24"/>
  <c r="A20" i="24"/>
  <c r="B20" i="24"/>
  <c r="C20" i="24"/>
  <c r="D20" i="24"/>
  <c r="A21" i="24"/>
  <c r="B21" i="24"/>
  <c r="C21" i="24"/>
  <c r="D21" i="24"/>
  <c r="A22" i="24"/>
  <c r="B22" i="24"/>
  <c r="C22" i="24"/>
  <c r="D22" i="24"/>
  <c r="A23" i="24"/>
  <c r="B23" i="24"/>
  <c r="E23" i="24" s="1"/>
  <c r="C23" i="24"/>
  <c r="D23" i="24"/>
  <c r="A24" i="24"/>
  <c r="B24" i="24"/>
  <c r="C24" i="24"/>
  <c r="D24" i="24"/>
  <c r="A25" i="24"/>
  <c r="B25" i="24"/>
  <c r="E25" i="24" s="1"/>
  <c r="C25" i="24"/>
  <c r="D25" i="24"/>
  <c r="A26" i="24"/>
  <c r="B26" i="24"/>
  <c r="C26" i="24"/>
  <c r="D26" i="24"/>
  <c r="A27" i="24"/>
  <c r="B27" i="24"/>
  <c r="C27" i="24"/>
  <c r="D27" i="24"/>
  <c r="A28" i="24"/>
  <c r="B28" i="24"/>
  <c r="C28" i="24"/>
  <c r="D28" i="24"/>
  <c r="A29" i="24"/>
  <c r="B29" i="24"/>
  <c r="C29" i="24"/>
  <c r="D29" i="24"/>
  <c r="A30" i="24"/>
  <c r="B30" i="24"/>
  <c r="C30" i="24"/>
  <c r="D30" i="24"/>
  <c r="A31" i="24"/>
  <c r="B31" i="24"/>
  <c r="E31" i="24" s="1"/>
  <c r="C31" i="24"/>
  <c r="D31" i="24"/>
  <c r="A32" i="24"/>
  <c r="B32" i="24"/>
  <c r="C32" i="24"/>
  <c r="D32" i="24"/>
  <c r="A33" i="24"/>
  <c r="B33" i="24"/>
  <c r="E33" i="24" s="1"/>
  <c r="C33" i="24"/>
  <c r="D33" i="24"/>
  <c r="A34" i="24"/>
  <c r="B34" i="24"/>
  <c r="C34" i="24"/>
  <c r="D34" i="24"/>
  <c r="A35" i="24"/>
  <c r="B35" i="24"/>
  <c r="C35" i="24"/>
  <c r="D35" i="24"/>
  <c r="A36" i="24"/>
  <c r="B36" i="24"/>
  <c r="C36" i="24"/>
  <c r="D36" i="24"/>
  <c r="A37" i="24"/>
  <c r="B37" i="24"/>
  <c r="C37" i="24"/>
  <c r="D37" i="24"/>
  <c r="A38" i="24"/>
  <c r="B38" i="24"/>
  <c r="C38" i="24"/>
  <c r="D38" i="24"/>
  <c r="A39" i="24"/>
  <c r="B39" i="24"/>
  <c r="C39" i="24"/>
  <c r="D39" i="24"/>
  <c r="A40" i="24"/>
  <c r="B40" i="24"/>
  <c r="C40" i="24"/>
  <c r="D40" i="24"/>
  <c r="A41" i="24"/>
  <c r="B41" i="24"/>
  <c r="C41" i="24"/>
  <c r="D41" i="24"/>
  <c r="A42" i="24"/>
  <c r="B42" i="24"/>
  <c r="C42" i="24"/>
  <c r="D42" i="24"/>
  <c r="A43" i="24"/>
  <c r="B43" i="24"/>
  <c r="C43" i="24"/>
  <c r="D43" i="24"/>
  <c r="A1" i="19"/>
  <c r="C6" i="19" s="1"/>
  <c r="A2" i="19"/>
  <c r="F4" i="19"/>
  <c r="B6" i="19"/>
  <c r="B6" i="18"/>
  <c r="A2" i="18"/>
  <c r="A1" i="18"/>
  <c r="C6" i="18" s="1"/>
  <c r="A2" i="17"/>
  <c r="B6" i="17"/>
  <c r="A1" i="17"/>
  <c r="C6" i="17" s="1"/>
  <c r="F40" i="28" l="1"/>
  <c r="F41" i="28"/>
  <c r="B56" i="28" s="1"/>
  <c r="F42" i="28"/>
  <c r="F43" i="28"/>
  <c r="G10" i="28"/>
  <c r="H10" i="28" s="1"/>
  <c r="F39" i="28"/>
  <c r="F38" i="28"/>
  <c r="D49" i="26"/>
  <c r="D51" i="26"/>
  <c r="D51" i="25"/>
  <c r="D46" i="26"/>
  <c r="D54" i="26"/>
  <c r="D47" i="26"/>
  <c r="C86" i="24"/>
  <c r="E84" i="24"/>
  <c r="K7" i="26"/>
  <c r="D50" i="26"/>
  <c r="D52" i="26"/>
  <c r="K26" i="25"/>
  <c r="D55" i="26"/>
  <c r="E41" i="24"/>
  <c r="D27" i="25"/>
  <c r="I17" i="25"/>
  <c r="K18" i="26"/>
  <c r="K16" i="26"/>
  <c r="D48" i="26"/>
  <c r="D53" i="26"/>
  <c r="D86" i="24"/>
  <c r="E43" i="24"/>
  <c r="E42" i="24"/>
  <c r="L24" i="25"/>
  <c r="B41" i="26"/>
  <c r="E39" i="26" s="1"/>
  <c r="L7" i="26"/>
  <c r="E40" i="24"/>
  <c r="E37" i="24"/>
  <c r="E35" i="24"/>
  <c r="E34" i="24"/>
  <c r="E17" i="24"/>
  <c r="E16" i="24"/>
  <c r="E13" i="24"/>
  <c r="E11" i="24"/>
  <c r="E10" i="24"/>
  <c r="E9" i="24"/>
  <c r="E8" i="24"/>
  <c r="B86" i="24"/>
  <c r="E85" i="24"/>
  <c r="I11" i="25"/>
  <c r="C51" i="25"/>
  <c r="L23" i="25"/>
  <c r="D17" i="26"/>
  <c r="D15" i="26"/>
  <c r="D13" i="26"/>
  <c r="D11" i="26"/>
  <c r="E9" i="26"/>
  <c r="D7" i="26"/>
  <c r="D29" i="26"/>
  <c r="H31" i="26"/>
  <c r="I28" i="26" s="1"/>
  <c r="F27" i="25"/>
  <c r="C40" i="25"/>
  <c r="E32" i="24"/>
  <c r="E29" i="24"/>
  <c r="E27" i="24"/>
  <c r="E26" i="24"/>
  <c r="E15" i="24"/>
  <c r="E86" i="24"/>
  <c r="I7" i="25"/>
  <c r="D40" i="25"/>
  <c r="E39" i="24"/>
  <c r="E24" i="24"/>
  <c r="E21" i="24"/>
  <c r="E19" i="24"/>
  <c r="E18" i="24"/>
  <c r="D73" i="24"/>
  <c r="E83" i="24"/>
  <c r="C27" i="25"/>
  <c r="E32" i="25"/>
  <c r="E40" i="25" s="1"/>
  <c r="F51" i="25"/>
  <c r="J26" i="25"/>
  <c r="D8" i="26"/>
  <c r="B29" i="26"/>
  <c r="F29" i="26"/>
  <c r="E29" i="26"/>
  <c r="K8" i="26"/>
  <c r="K15" i="26"/>
  <c r="B56" i="26"/>
  <c r="E54" i="26" s="1"/>
  <c r="C29" i="26"/>
  <c r="C41" i="26"/>
  <c r="K10" i="26"/>
  <c r="C56" i="26"/>
  <c r="E51" i="25"/>
  <c r="B27" i="25"/>
  <c r="B51" i="25"/>
  <c r="I15" i="25"/>
  <c r="I9" i="25"/>
  <c r="D18" i="26"/>
  <c r="D16" i="26"/>
  <c r="D14" i="26"/>
  <c r="D12" i="26"/>
  <c r="D10" i="26"/>
  <c r="E8" i="26"/>
  <c r="H9" i="26"/>
  <c r="K19" i="26"/>
  <c r="K17" i="26"/>
  <c r="J28" i="26"/>
  <c r="C55" i="24"/>
  <c r="D70" i="24"/>
  <c r="D66" i="24"/>
  <c r="I26" i="25"/>
  <c r="L26" i="25" s="1"/>
  <c r="E38" i="24"/>
  <c r="E30" i="24"/>
  <c r="E22" i="24"/>
  <c r="E14" i="24"/>
  <c r="D71" i="24"/>
  <c r="D68" i="24"/>
  <c r="E21" i="25"/>
  <c r="E27" i="25" s="1"/>
  <c r="B40" i="25"/>
  <c r="F40" i="25"/>
  <c r="I18" i="25"/>
  <c r="I12" i="25"/>
  <c r="I8" i="25"/>
  <c r="D9" i="26"/>
  <c r="I9" i="26"/>
  <c r="I16" i="25"/>
  <c r="I10" i="25"/>
  <c r="D52" i="24"/>
  <c r="E36" i="24"/>
  <c r="E28" i="24"/>
  <c r="E20" i="24"/>
  <c r="E12" i="24"/>
  <c r="D53" i="24"/>
  <c r="D50" i="24"/>
  <c r="C74" i="24"/>
  <c r="L10" i="26"/>
  <c r="J9" i="26"/>
  <c r="L9" i="26" s="1"/>
  <c r="J29" i="26"/>
  <c r="J25" i="26"/>
  <c r="J26" i="26"/>
  <c r="L8" i="26"/>
  <c r="D39" i="26"/>
  <c r="D37" i="26"/>
  <c r="E37" i="26"/>
  <c r="D35" i="26"/>
  <c r="E40" i="26"/>
  <c r="D40" i="26"/>
  <c r="D38" i="26"/>
  <c r="D36" i="26"/>
  <c r="E36" i="26"/>
  <c r="E34" i="26"/>
  <c r="D34" i="26"/>
  <c r="E18" i="26"/>
  <c r="E17" i="26"/>
  <c r="E16" i="26"/>
  <c r="E15" i="26"/>
  <c r="E14" i="26"/>
  <c r="E13" i="26"/>
  <c r="E12" i="26"/>
  <c r="E11" i="26"/>
  <c r="E10" i="26"/>
  <c r="D69" i="24"/>
  <c r="D67" i="24"/>
  <c r="B74" i="24"/>
  <c r="D72" i="24"/>
  <c r="D51" i="24"/>
  <c r="B55" i="24"/>
  <c r="D49" i="24"/>
  <c r="D54" i="24"/>
  <c r="G11" i="2"/>
  <c r="E38" i="26" l="1"/>
  <c r="E35" i="26"/>
  <c r="I29" i="26"/>
  <c r="E49" i="26"/>
  <c r="D41" i="26"/>
  <c r="E46" i="26"/>
  <c r="I27" i="26"/>
  <c r="I30" i="26"/>
  <c r="E50" i="26"/>
  <c r="E51" i="26"/>
  <c r="E52" i="26"/>
  <c r="E55" i="26"/>
  <c r="D56" i="26"/>
  <c r="E47" i="26"/>
  <c r="E48" i="26"/>
  <c r="I26" i="26"/>
  <c r="I25" i="26"/>
  <c r="E53" i="26"/>
  <c r="D74" i="24"/>
  <c r="K9" i="26"/>
  <c r="D55" i="24"/>
  <c r="A1" i="5"/>
  <c r="I37" i="4" l="1"/>
  <c r="F4" i="18" l="1"/>
  <c r="A1" i="2"/>
  <c r="E17" i="5"/>
  <c r="I17" i="5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B6" i="2"/>
  <c r="B15" i="2" s="1"/>
  <c r="F4" i="17" l="1"/>
  <c r="F4" i="5"/>
  <c r="I4" i="2"/>
  <c r="G4" i="3"/>
  <c r="I4" i="4"/>
  <c r="A2" i="2"/>
  <c r="A2" i="5"/>
  <c r="B56" i="4"/>
  <c r="A2" i="4"/>
  <c r="A2" i="3"/>
  <c r="C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B00432-F126-4745-B9B0-BA4E4607202D}" keepAlive="1" name="Query - Table5" description="Connection to the 'Table5' query in the workbook." type="5" refreshedVersion="8" background="1" saveData="1">
    <dbPr connection="Provider=Microsoft.Mashup.OleDb.1;Data Source=$Workbook$;Location=Table5;Extended Properties=&quot;&quot;" command="SELECT * FROM [Table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<sst xmlns="http://schemas.openxmlformats.org/spreadsheetml/2006/main" count="64321" uniqueCount="8908">
  <si>
    <t>Navigator</t>
  </si>
  <si>
    <t>General Cover Notes:</t>
  </si>
  <si>
    <t>Any queries, please e-mail:</t>
  </si>
  <si>
    <t>Website:</t>
  </si>
  <si>
    <t>www.sumproduct.com</t>
  </si>
  <si>
    <t>Error Checks:</t>
  </si>
  <si>
    <t>Table of Contents</t>
  </si>
  <si>
    <t>Cover</t>
  </si>
  <si>
    <t>Style Guide</t>
  </si>
  <si>
    <t>Model Parameters</t>
  </si>
  <si>
    <t>Error Checks</t>
  </si>
  <si>
    <t>Formatting of Headers / Dividers</t>
  </si>
  <si>
    <t>Description</t>
  </si>
  <si>
    <t>Display</t>
  </si>
  <si>
    <t>Style Name</t>
  </si>
  <si>
    <t>Sheet Title</t>
  </si>
  <si>
    <t>Model Name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</si>
  <si>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</si>
  <si>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</si>
  <si>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</si>
  <si>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</si>
  <si>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</si>
  <si>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</si>
  <si>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</si>
  <si>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</si>
  <si>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</si>
  <si>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</si>
  <si>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</si>
  <si>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</si>
  <si>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</si>
  <si>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</si>
  <si>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</si>
  <si>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</si>
  <si>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</si>
  <si>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</si>
  <si>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</si>
  <si>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</si>
  <si>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</si>
  <si>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</si>
  <si>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</si>
  <si>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A$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</si>
  <si>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</si>
  <si>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</si>
  <si>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</si>
  <si>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</si>
  <si>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</si>
  <si>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</si>
  <si>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</si>
  <si>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</si>
  <si>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</si>
  <si>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</si>
  <si>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General</t>
  </si>
  <si>
    <t>Key Inputs</t>
  </si>
  <si>
    <t>Client Name</t>
  </si>
  <si>
    <t>SumProduct Pty Limited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</si>
  <si>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</si>
  <si>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</si>
  <si>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</si>
  <si>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</si>
  <si>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</si>
  <si>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</si>
  <si>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</si>
  <si>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</si>
  <si>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</si>
  <si>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</si>
  <si>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</si>
  <si>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</si>
  <si>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Summary of Errors</t>
  </si>
  <si>
    <t>Assumptions</t>
  </si>
  <si>
    <t>Example</t>
  </si>
  <si>
    <t>Examples of Python in Excel</t>
  </si>
  <si>
    <t>Primary Developer:  KTN</t>
  </si>
  <si>
    <t>kathryn.newitt@sumproduct.com</t>
  </si>
  <si>
    <t>Data</t>
  </si>
  <si>
    <t xml:space="preserve">Northwind Traders </t>
  </si>
  <si>
    <t xml:space="preserve">Proseware, Inc. </t>
  </si>
  <si>
    <t>​Relecloud</t>
  </si>
  <si>
    <t>​VanArsdel, Ltd.</t>
  </si>
  <si>
    <t xml:space="preserve">Wide World Importers </t>
  </si>
  <si>
    <t>Store ID</t>
  </si>
  <si>
    <t>Store Name</t>
  </si>
  <si>
    <t>City</t>
  </si>
  <si>
    <t>Transaction Date</t>
  </si>
  <si>
    <t>Product</t>
  </si>
  <si>
    <t>Sales Amount</t>
  </si>
  <si>
    <t>Quantity Sold</t>
  </si>
  <si>
    <t>Store 1</t>
  </si>
  <si>
    <t>​Liberty's Delightful Bakery &amp; Café</t>
  </si>
  <si>
    <t>New York</t>
  </si>
  <si>
    <t>cookies</t>
  </si>
  <si>
    <t>Store 2</t>
  </si>
  <si>
    <t>Chicago</t>
  </si>
  <si>
    <t>ice cream</t>
  </si>
  <si>
    <t>Store 3</t>
  </si>
  <si>
    <t>Los Angeles</t>
  </si>
  <si>
    <t>Store 4</t>
  </si>
  <si>
    <t>New Orleans</t>
  </si>
  <si>
    <t>chocolate cake</t>
  </si>
  <si>
    <t>Store 5</t>
  </si>
  <si>
    <t>Seattle</t>
  </si>
  <si>
    <t>Store 6</t>
  </si>
  <si>
    <t>Store 7</t>
  </si>
  <si>
    <t>spread</t>
  </si>
  <si>
    <t>Store 8</t>
  </si>
  <si>
    <t>Store 9</t>
  </si>
  <si>
    <t>Tacoma</t>
  </si>
  <si>
    <t>Store 10</t>
  </si>
  <si>
    <t>Store 11</t>
  </si>
  <si>
    <t>Boston</t>
  </si>
  <si>
    <t>chips</t>
  </si>
  <si>
    <t>Store 12</t>
  </si>
  <si>
    <t>Store 13</t>
  </si>
  <si>
    <t>Store 14</t>
  </si>
  <si>
    <t>Store 15</t>
  </si>
  <si>
    <t>Store 16</t>
  </si>
  <si>
    <t>Store 17</t>
  </si>
  <si>
    <t>Store 18</t>
  </si>
  <si>
    <t>Store 19</t>
  </si>
  <si>
    <t>Store 20</t>
  </si>
  <si>
    <t>Store 21</t>
  </si>
  <si>
    <t>Store 22</t>
  </si>
  <si>
    <t>Store 23</t>
  </si>
  <si>
    <t>Store 24</t>
  </si>
  <si>
    <t>Store 25</t>
  </si>
  <si>
    <t>bagels</t>
  </si>
  <si>
    <t>Store 26</t>
  </si>
  <si>
    <t>Store 27</t>
  </si>
  <si>
    <t>Store 28</t>
  </si>
  <si>
    <t>Store 29</t>
  </si>
  <si>
    <t>San Francisco</t>
  </si>
  <si>
    <t>Store 30</t>
  </si>
  <si>
    <t>Store 31</t>
  </si>
  <si>
    <t>Store 32</t>
  </si>
  <si>
    <t>Store 33</t>
  </si>
  <si>
    <t>Store 34</t>
  </si>
  <si>
    <t>Store 35</t>
  </si>
  <si>
    <t>Store 36</t>
  </si>
  <si>
    <t>Store 37</t>
  </si>
  <si>
    <t>Store 38</t>
  </si>
  <si>
    <t>Store 39</t>
  </si>
  <si>
    <t>Store 40</t>
  </si>
  <si>
    <t>Store 41</t>
  </si>
  <si>
    <t>Store 42</t>
  </si>
  <si>
    <t>Store 43</t>
  </si>
  <si>
    <t>Store 44</t>
  </si>
  <si>
    <t>Store 45</t>
  </si>
  <si>
    <t>Store 46</t>
  </si>
  <si>
    <t>Store 47</t>
  </si>
  <si>
    <t>Store 48</t>
  </si>
  <si>
    <t>Store 49</t>
  </si>
  <si>
    <t>Store 50</t>
  </si>
  <si>
    <t>Store 51</t>
  </si>
  <si>
    <t>Store 52</t>
  </si>
  <si>
    <t>Store 53</t>
  </si>
  <si>
    <t>Store 54</t>
  </si>
  <si>
    <t>Store 55</t>
  </si>
  <si>
    <t>Store 56</t>
  </si>
  <si>
    <t>Store 57</t>
  </si>
  <si>
    <t>Store 58</t>
  </si>
  <si>
    <t>Store 59</t>
  </si>
  <si>
    <t>Store 60</t>
  </si>
  <si>
    <t>Store 61</t>
  </si>
  <si>
    <t>Store 62</t>
  </si>
  <si>
    <t>Store 63</t>
  </si>
  <si>
    <t>Store 64</t>
  </si>
  <si>
    <t>Store 65</t>
  </si>
  <si>
    <t>Store 66</t>
  </si>
  <si>
    <t>Store 67</t>
  </si>
  <si>
    <t>Store 68</t>
  </si>
  <si>
    <t>Store 69</t>
  </si>
  <si>
    <t>Store 70</t>
  </si>
  <si>
    <t>Store 71</t>
  </si>
  <si>
    <t>Store 72</t>
  </si>
  <si>
    <t>Store 73</t>
  </si>
  <si>
    <t>Store 74</t>
  </si>
  <si>
    <t>Store 75</t>
  </si>
  <si>
    <t>Store 76</t>
  </si>
  <si>
    <t>Store 77</t>
  </si>
  <si>
    <t>Store 78</t>
  </si>
  <si>
    <t>Store 79</t>
  </si>
  <si>
    <t>Store 80</t>
  </si>
  <si>
    <t>Store 81</t>
  </si>
  <si>
    <t>Store 82</t>
  </si>
  <si>
    <t>Store 83</t>
  </si>
  <si>
    <t>Store 84</t>
  </si>
  <si>
    <t>Store 85</t>
  </si>
  <si>
    <t>Store 86</t>
  </si>
  <si>
    <t>Store 87</t>
  </si>
  <si>
    <t>Store 88</t>
  </si>
  <si>
    <t>Store 89</t>
  </si>
  <si>
    <t>Store 90</t>
  </si>
  <si>
    <t>Store 91</t>
  </si>
  <si>
    <t>Store 92</t>
  </si>
  <si>
    <t>Store 93</t>
  </si>
  <si>
    <t>Store 94</t>
  </si>
  <si>
    <t>Store 95</t>
  </si>
  <si>
    <t>Store 96</t>
  </si>
  <si>
    <t>Store 97</t>
  </si>
  <si>
    <t>Store 98</t>
  </si>
  <si>
    <t>Store 99</t>
  </si>
  <si>
    <t>Store 100</t>
  </si>
  <si>
    <t>Store 101</t>
  </si>
  <si>
    <t>Store 102</t>
  </si>
  <si>
    <t>Store 103</t>
  </si>
  <si>
    <t>Store 104</t>
  </si>
  <si>
    <t>Store 105</t>
  </si>
  <si>
    <t>Store 106</t>
  </si>
  <si>
    <t>Store 107</t>
  </si>
  <si>
    <t>Store 108</t>
  </si>
  <si>
    <t>Store 109</t>
  </si>
  <si>
    <t>Store 110</t>
  </si>
  <si>
    <t>Store 111</t>
  </si>
  <si>
    <t>Store 112</t>
  </si>
  <si>
    <t>Store 113</t>
  </si>
  <si>
    <t>Store 114</t>
  </si>
  <si>
    <t>Store 115</t>
  </si>
  <si>
    <t>Store 116</t>
  </si>
  <si>
    <t>Store 117</t>
  </si>
  <si>
    <t>Store 118</t>
  </si>
  <si>
    <t>Store 119</t>
  </si>
  <si>
    <t>Store 120</t>
  </si>
  <si>
    <t>Store 121</t>
  </si>
  <si>
    <t>Store 122</t>
  </si>
  <si>
    <t>Store 123</t>
  </si>
  <si>
    <t>Store 124</t>
  </si>
  <si>
    <t>Store 125</t>
  </si>
  <si>
    <t>Store 126</t>
  </si>
  <si>
    <t>Store 127</t>
  </si>
  <si>
    <t>Store 128</t>
  </si>
  <si>
    <t>Store 129</t>
  </si>
  <si>
    <t>Store 130</t>
  </si>
  <si>
    <t>Store 131</t>
  </si>
  <si>
    <t>Store 132</t>
  </si>
  <si>
    <t>Store 133</t>
  </si>
  <si>
    <t>Store 134</t>
  </si>
  <si>
    <t>Store 135</t>
  </si>
  <si>
    <t>Store 136</t>
  </si>
  <si>
    <t>Store 137</t>
  </si>
  <si>
    <t>Store 138</t>
  </si>
  <si>
    <t>Store 139</t>
  </si>
  <si>
    <t>Store 140</t>
  </si>
  <si>
    <t>Store 141</t>
  </si>
  <si>
    <t>Store 142</t>
  </si>
  <si>
    <t>Store 143</t>
  </si>
  <si>
    <t>Store 144</t>
  </si>
  <si>
    <t>Store 145</t>
  </si>
  <si>
    <t>Store 146</t>
  </si>
  <si>
    <t>Store 147</t>
  </si>
  <si>
    <t>Store 148</t>
  </si>
  <si>
    <t>Store 149</t>
  </si>
  <si>
    <t>Store 150</t>
  </si>
  <si>
    <t>Store 151</t>
  </si>
  <si>
    <t>Store 152</t>
  </si>
  <si>
    <t>Store 153</t>
  </si>
  <si>
    <t>Store 154</t>
  </si>
  <si>
    <t>Store 155</t>
  </si>
  <si>
    <t>Store 156</t>
  </si>
  <si>
    <t>Store 157</t>
  </si>
  <si>
    <t>Store 158</t>
  </si>
  <si>
    <t>Store 159</t>
  </si>
  <si>
    <t>Store 160</t>
  </si>
  <si>
    <t>Store 161</t>
  </si>
  <si>
    <t>Store 162</t>
  </si>
  <si>
    <t>Store 163</t>
  </si>
  <si>
    <t>Store 164</t>
  </si>
  <si>
    <t>Store 165</t>
  </si>
  <si>
    <t>Store 166</t>
  </si>
  <si>
    <t>Store 167</t>
  </si>
  <si>
    <t>Store 168</t>
  </si>
  <si>
    <t>Store 169</t>
  </si>
  <si>
    <t>Store 170</t>
  </si>
  <si>
    <t>Store 171</t>
  </si>
  <si>
    <t>Store 172</t>
  </si>
  <si>
    <t>Store 173</t>
  </si>
  <si>
    <t>Store 174</t>
  </si>
  <si>
    <t>Store 175</t>
  </si>
  <si>
    <t>Store 176</t>
  </si>
  <si>
    <t>Store 177</t>
  </si>
  <si>
    <t>Store 178</t>
  </si>
  <si>
    <t>Store 179</t>
  </si>
  <si>
    <t>Store 180</t>
  </si>
  <si>
    <t>Store 181</t>
  </si>
  <si>
    <t>Store 182</t>
  </si>
  <si>
    <t>Store 183</t>
  </si>
  <si>
    <t>Store 184</t>
  </si>
  <si>
    <t>Store 185</t>
  </si>
  <si>
    <t>Store 186</t>
  </si>
  <si>
    <t>Store 187</t>
  </si>
  <si>
    <t>Store 188</t>
  </si>
  <si>
    <t>Store 189</t>
  </si>
  <si>
    <t>Store 190</t>
  </si>
  <si>
    <t>Store 191</t>
  </si>
  <si>
    <t>Store 192</t>
  </si>
  <si>
    <t>Store 193</t>
  </si>
  <si>
    <t>Store 194</t>
  </si>
  <si>
    <t>Store 195</t>
  </si>
  <si>
    <t>Store 196</t>
  </si>
  <si>
    <t>Store 197</t>
  </si>
  <si>
    <t>Store 198</t>
  </si>
  <si>
    <t>Store 199</t>
  </si>
  <si>
    <t>Store 200</t>
  </si>
  <si>
    <t>Store 201</t>
  </si>
  <si>
    <t>Store 202</t>
  </si>
  <si>
    <t>Store 203</t>
  </si>
  <si>
    <t>Store 204</t>
  </si>
  <si>
    <t>Store 205</t>
  </si>
  <si>
    <t>Store 206</t>
  </si>
  <si>
    <t>Store 207</t>
  </si>
  <si>
    <t>Store 208</t>
  </si>
  <si>
    <t>Store 209</t>
  </si>
  <si>
    <t>Store 210</t>
  </si>
  <si>
    <t>Store 211</t>
  </si>
  <si>
    <t>Store 212</t>
  </si>
  <si>
    <t>Store 213</t>
  </si>
  <si>
    <t>Store 214</t>
  </si>
  <si>
    <t>Store 215</t>
  </si>
  <si>
    <t>Store 216</t>
  </si>
  <si>
    <t>Store 217</t>
  </si>
  <si>
    <t>Store 218</t>
  </si>
  <si>
    <t>Store 219</t>
  </si>
  <si>
    <t>Store 220</t>
  </si>
  <si>
    <t>Store 221</t>
  </si>
  <si>
    <t>Store 222</t>
  </si>
  <si>
    <t>Store 223</t>
  </si>
  <si>
    <t>Store 224</t>
  </si>
  <si>
    <t>Store 225</t>
  </si>
  <si>
    <t>Store 226</t>
  </si>
  <si>
    <t>Store 227</t>
  </si>
  <si>
    <t>Store 228</t>
  </si>
  <si>
    <t>Store 229</t>
  </si>
  <si>
    <t>Store 230</t>
  </si>
  <si>
    <t>Store 231</t>
  </si>
  <si>
    <t>Store 232</t>
  </si>
  <si>
    <t>Store 233</t>
  </si>
  <si>
    <t>Store 234</t>
  </si>
  <si>
    <t>Store 235</t>
  </si>
  <si>
    <t>Store 236</t>
  </si>
  <si>
    <t>Store 237</t>
  </si>
  <si>
    <t>Store 238</t>
  </si>
  <si>
    <t>Store 239</t>
  </si>
  <si>
    <t>Store 240</t>
  </si>
  <si>
    <t>Store 241</t>
  </si>
  <si>
    <t>Store 242</t>
  </si>
  <si>
    <t>Store 243</t>
  </si>
  <si>
    <t>Store 244</t>
  </si>
  <si>
    <t>Store 245</t>
  </si>
  <si>
    <t>Store 246</t>
  </si>
  <si>
    <t>Store 247</t>
  </si>
  <si>
    <t>Store 248</t>
  </si>
  <si>
    <t>Store 249</t>
  </si>
  <si>
    <t>Store 250</t>
  </si>
  <si>
    <t>Store 251</t>
  </si>
  <si>
    <t>Store 252</t>
  </si>
  <si>
    <t>Store 253</t>
  </si>
  <si>
    <t>Store 254</t>
  </si>
  <si>
    <t>Store 255</t>
  </si>
  <si>
    <t>Store 256</t>
  </si>
  <si>
    <t>Store 257</t>
  </si>
  <si>
    <t>Store 258</t>
  </si>
  <si>
    <t>Store 259</t>
  </si>
  <si>
    <t>Store 260</t>
  </si>
  <si>
    <t>Store 261</t>
  </si>
  <si>
    <t>Store 262</t>
  </si>
  <si>
    <t>Store 263</t>
  </si>
  <si>
    <t>Store 264</t>
  </si>
  <si>
    <t>Store 265</t>
  </si>
  <si>
    <t>Store 266</t>
  </si>
  <si>
    <t>Store 267</t>
  </si>
  <si>
    <t>Store 268</t>
  </si>
  <si>
    <t>Store 269</t>
  </si>
  <si>
    <t>Store 270</t>
  </si>
  <si>
    <t>Store 271</t>
  </si>
  <si>
    <t>Store 272</t>
  </si>
  <si>
    <t>Store 273</t>
  </si>
  <si>
    <t>Store 274</t>
  </si>
  <si>
    <t>Store 275</t>
  </si>
  <si>
    <t>Store 276</t>
  </si>
  <si>
    <t>Store 277</t>
  </si>
  <si>
    <t>Store 278</t>
  </si>
  <si>
    <t>Store 279</t>
  </si>
  <si>
    <t>Store 280</t>
  </si>
  <si>
    <t>Store 281</t>
  </si>
  <si>
    <t>Store 282</t>
  </si>
  <si>
    <t>Store 283</t>
  </si>
  <si>
    <t>Store 284</t>
  </si>
  <si>
    <t>Store 285</t>
  </si>
  <si>
    <t>Store 286</t>
  </si>
  <si>
    <t>Store 287</t>
  </si>
  <si>
    <t>Store 288</t>
  </si>
  <si>
    <t>Store 289</t>
  </si>
  <si>
    <t>Store 290</t>
  </si>
  <si>
    <t>Store 291</t>
  </si>
  <si>
    <t>Store 292</t>
  </si>
  <si>
    <t>Store 293</t>
  </si>
  <si>
    <t>Store 294</t>
  </si>
  <si>
    <t>Store 295</t>
  </si>
  <si>
    <t>Store 296</t>
  </si>
  <si>
    <t>Store 297</t>
  </si>
  <si>
    <t>Store 298</t>
  </si>
  <si>
    <t>Store 299</t>
  </si>
  <si>
    <t>Store 300</t>
  </si>
  <si>
    <t>Store 301</t>
  </si>
  <si>
    <t>Store 302</t>
  </si>
  <si>
    <t>Store 303</t>
  </si>
  <si>
    <t>Store 304</t>
  </si>
  <si>
    <t>Store 305</t>
  </si>
  <si>
    <t>Store 306</t>
  </si>
  <si>
    <t>Store 307</t>
  </si>
  <si>
    <t>Store 308</t>
  </si>
  <si>
    <t>Store 309</t>
  </si>
  <si>
    <t>Store 310</t>
  </si>
  <si>
    <t>Store 311</t>
  </si>
  <si>
    <t>Store 312</t>
  </si>
  <si>
    <t>Store 313</t>
  </si>
  <si>
    <t>Store 314</t>
  </si>
  <si>
    <t>Store 315</t>
  </si>
  <si>
    <t>Store 316</t>
  </si>
  <si>
    <t>Store 317</t>
  </si>
  <si>
    <t>Store 318</t>
  </si>
  <si>
    <t>Store 319</t>
  </si>
  <si>
    <t>Store 320</t>
  </si>
  <si>
    <t>Store 321</t>
  </si>
  <si>
    <t>Store 322</t>
  </si>
  <si>
    <t>Store 323</t>
  </si>
  <si>
    <t>Store 324</t>
  </si>
  <si>
    <t>Store 325</t>
  </si>
  <si>
    <t>Store 326</t>
  </si>
  <si>
    <t>Store 327</t>
  </si>
  <si>
    <t>Store 328</t>
  </si>
  <si>
    <t>Store 329</t>
  </si>
  <si>
    <t>Store 330</t>
  </si>
  <si>
    <t>Store 331</t>
  </si>
  <si>
    <t>Store 332</t>
  </si>
  <si>
    <t>Store 333</t>
  </si>
  <si>
    <t>Store 334</t>
  </si>
  <si>
    <t>Store 335</t>
  </si>
  <si>
    <t>Store 336</t>
  </si>
  <si>
    <t>Store 337</t>
  </si>
  <si>
    <t>Store 338</t>
  </si>
  <si>
    <t>Store 339</t>
  </si>
  <si>
    <t>Store 340</t>
  </si>
  <si>
    <t>Store 341</t>
  </si>
  <si>
    <t>Store 342</t>
  </si>
  <si>
    <t>Store 343</t>
  </si>
  <si>
    <t>Store 344</t>
  </si>
  <si>
    <t>Store 345</t>
  </si>
  <si>
    <t>Store 346</t>
  </si>
  <si>
    <t>Store 347</t>
  </si>
  <si>
    <t>Store 348</t>
  </si>
  <si>
    <t>Store 349</t>
  </si>
  <si>
    <t>Store 350</t>
  </si>
  <si>
    <t>Store 351</t>
  </si>
  <si>
    <t>Store 352</t>
  </si>
  <si>
    <t>Store 353</t>
  </si>
  <si>
    <t>Store 354</t>
  </si>
  <si>
    <t>Store 355</t>
  </si>
  <si>
    <t>Store 356</t>
  </si>
  <si>
    <t>Store 357</t>
  </si>
  <si>
    <t>Store 358</t>
  </si>
  <si>
    <t>Store 359</t>
  </si>
  <si>
    <t>Store 360</t>
  </si>
  <si>
    <t>Store 361</t>
  </si>
  <si>
    <t>Store 362</t>
  </si>
  <si>
    <t>Store 363</t>
  </si>
  <si>
    <t>Store 364</t>
  </si>
  <si>
    <t>Store 365</t>
  </si>
  <si>
    <t>Store 366</t>
  </si>
  <si>
    <t>Store 367</t>
  </si>
  <si>
    <t>Store 368</t>
  </si>
  <si>
    <t>Store 369</t>
  </si>
  <si>
    <t>Store 370</t>
  </si>
  <si>
    <t>Store 371</t>
  </si>
  <si>
    <t>Store 372</t>
  </si>
  <si>
    <t>Store 373</t>
  </si>
  <si>
    <t>Store 374</t>
  </si>
  <si>
    <t>Store 375</t>
  </si>
  <si>
    <t>Store 376</t>
  </si>
  <si>
    <t>Store 377</t>
  </si>
  <si>
    <t>Store 378</t>
  </si>
  <si>
    <t>Store 379</t>
  </si>
  <si>
    <t>Store 380</t>
  </si>
  <si>
    <t>Store 381</t>
  </si>
  <si>
    <t>Store 382</t>
  </si>
  <si>
    <t>Store 383</t>
  </si>
  <si>
    <t>Store 384</t>
  </si>
  <si>
    <t>Store 385</t>
  </si>
  <si>
    <t>Store 386</t>
  </si>
  <si>
    <t>Store 387</t>
  </si>
  <si>
    <t>Store 388</t>
  </si>
  <si>
    <t>Store 389</t>
  </si>
  <si>
    <t>Store 390</t>
  </si>
  <si>
    <t>Store 391</t>
  </si>
  <si>
    <t>Store 392</t>
  </si>
  <si>
    <t>Store 393</t>
  </si>
  <si>
    <t>Store 394</t>
  </si>
  <si>
    <t>Store 395</t>
  </si>
  <si>
    <t>Store 396</t>
  </si>
  <si>
    <t>Store 397</t>
  </si>
  <si>
    <t>Store 398</t>
  </si>
  <si>
    <t>Store 399</t>
  </si>
  <si>
    <t>Store 400</t>
  </si>
  <si>
    <t>Store 401</t>
  </si>
  <si>
    <t>Store 402</t>
  </si>
  <si>
    <t>Store 403</t>
  </si>
  <si>
    <t>Store 404</t>
  </si>
  <si>
    <t>Store 405</t>
  </si>
  <si>
    <t>Store 406</t>
  </si>
  <si>
    <t>Store 407</t>
  </si>
  <si>
    <t>Store 408</t>
  </si>
  <si>
    <t>Store 409</t>
  </si>
  <si>
    <t>Store 410</t>
  </si>
  <si>
    <t>Store 411</t>
  </si>
  <si>
    <t>Store 412</t>
  </si>
  <si>
    <t>Store 413</t>
  </si>
  <si>
    <t>Store 414</t>
  </si>
  <si>
    <t>Store 415</t>
  </si>
  <si>
    <t>Store 416</t>
  </si>
  <si>
    <t>Store 417</t>
  </si>
  <si>
    <t>Store 418</t>
  </si>
  <si>
    <t>Store 419</t>
  </si>
  <si>
    <t>Store 420</t>
  </si>
  <si>
    <t>Store 421</t>
  </si>
  <si>
    <t>Store 422</t>
  </si>
  <si>
    <t>Store 423</t>
  </si>
  <si>
    <t>Store 424</t>
  </si>
  <si>
    <t>Store 425</t>
  </si>
  <si>
    <t>Store 426</t>
  </si>
  <si>
    <t>Store 427</t>
  </si>
  <si>
    <t>Store 428</t>
  </si>
  <si>
    <t>Store 429</t>
  </si>
  <si>
    <t>Store 430</t>
  </si>
  <si>
    <t>Store 431</t>
  </si>
  <si>
    <t>Store 432</t>
  </si>
  <si>
    <t>Store 433</t>
  </si>
  <si>
    <t>Store 434</t>
  </si>
  <si>
    <t>Store 435</t>
  </si>
  <si>
    <t>Store 436</t>
  </si>
  <si>
    <t>Store 437</t>
  </si>
  <si>
    <t>Store 438</t>
  </si>
  <si>
    <t>Store 439</t>
  </si>
  <si>
    <t>Store 440</t>
  </si>
  <si>
    <t>Store 441</t>
  </si>
  <si>
    <t>Store 442</t>
  </si>
  <si>
    <t>Store 443</t>
  </si>
  <si>
    <t>Store 444</t>
  </si>
  <si>
    <t>Store 445</t>
  </si>
  <si>
    <t>Store 446</t>
  </si>
  <si>
    <t>Store 447</t>
  </si>
  <si>
    <t>Store 448</t>
  </si>
  <si>
    <t>Store 449</t>
  </si>
  <si>
    <t>Store 450</t>
  </si>
  <si>
    <t>Store 451</t>
  </si>
  <si>
    <t>Store 452</t>
  </si>
  <si>
    <t>Store 453</t>
  </si>
  <si>
    <t>Store 454</t>
  </si>
  <si>
    <t>Store 455</t>
  </si>
  <si>
    <t>Store 456</t>
  </si>
  <si>
    <t>Store 457</t>
  </si>
  <si>
    <t>Store 458</t>
  </si>
  <si>
    <t>Store 459</t>
  </si>
  <si>
    <t>Store 460</t>
  </si>
  <si>
    <t>Store 461</t>
  </si>
  <si>
    <t>Store 462</t>
  </si>
  <si>
    <t>Store 463</t>
  </si>
  <si>
    <t>Store 464</t>
  </si>
  <si>
    <t>Store 465</t>
  </si>
  <si>
    <t>Store 466</t>
  </si>
  <si>
    <t>Store 467</t>
  </si>
  <si>
    <t>Store 468</t>
  </si>
  <si>
    <t>Store 469</t>
  </si>
  <si>
    <t>Store 470</t>
  </si>
  <si>
    <t>Store 471</t>
  </si>
  <si>
    <t>Store 472</t>
  </si>
  <si>
    <t>Store 473</t>
  </si>
  <si>
    <t>Store 474</t>
  </si>
  <si>
    <t>Store 475</t>
  </si>
  <si>
    <t>Store 476</t>
  </si>
  <si>
    <t>Store 477</t>
  </si>
  <si>
    <t>Store 478</t>
  </si>
  <si>
    <t>Store 479</t>
  </si>
  <si>
    <t>Store 480</t>
  </si>
  <si>
    <t>Store 481</t>
  </si>
  <si>
    <t>Store 482</t>
  </si>
  <si>
    <t>Store 483</t>
  </si>
  <si>
    <t>Store 484</t>
  </si>
  <si>
    <t>Store 485</t>
  </si>
  <si>
    <t>Store 486</t>
  </si>
  <si>
    <t>Store 487</t>
  </si>
  <si>
    <t>Store 488</t>
  </si>
  <si>
    <t>Store 489</t>
  </si>
  <si>
    <t>Store 490</t>
  </si>
  <si>
    <t>Store 491</t>
  </si>
  <si>
    <t>Store 492</t>
  </si>
  <si>
    <t>Store 493</t>
  </si>
  <si>
    <t>Store 494</t>
  </si>
  <si>
    <t>Store 495</t>
  </si>
  <si>
    <t>Store 496</t>
  </si>
  <si>
    <t>Store 497</t>
  </si>
  <si>
    <t>Store 498</t>
  </si>
  <si>
    <t>Store 499</t>
  </si>
  <si>
    <t>Store 500</t>
  </si>
  <si>
    <t>Store 501</t>
  </si>
  <si>
    <t>Store 502</t>
  </si>
  <si>
    <t>Store 503</t>
  </si>
  <si>
    <t>Store 504</t>
  </si>
  <si>
    <t>Store 505</t>
  </si>
  <si>
    <t>Store 506</t>
  </si>
  <si>
    <t>Store 507</t>
  </si>
  <si>
    <t>Store 508</t>
  </si>
  <si>
    <t>Store 509</t>
  </si>
  <si>
    <t>Store 510</t>
  </si>
  <si>
    <t>Store 511</t>
  </si>
  <si>
    <t>Store 512</t>
  </si>
  <si>
    <t>Store 513</t>
  </si>
  <si>
    <t>Store 514</t>
  </si>
  <si>
    <t>Store 515</t>
  </si>
  <si>
    <t>Store 516</t>
  </si>
  <si>
    <t>Store 517</t>
  </si>
  <si>
    <t>Store 518</t>
  </si>
  <si>
    <t>Store 519</t>
  </si>
  <si>
    <t>Store 520</t>
  </si>
  <si>
    <t>Store 521</t>
  </si>
  <si>
    <t>Store 522</t>
  </si>
  <si>
    <t>Store 523</t>
  </si>
  <si>
    <t>Store 524</t>
  </si>
  <si>
    <t>Store 525</t>
  </si>
  <si>
    <t>Store 526</t>
  </si>
  <si>
    <t>Store 527</t>
  </si>
  <si>
    <t>Store 528</t>
  </si>
  <si>
    <t>Store 529</t>
  </si>
  <si>
    <t>Store 530</t>
  </si>
  <si>
    <t>Store 531</t>
  </si>
  <si>
    <t>Store 532</t>
  </si>
  <si>
    <t>Store 533</t>
  </si>
  <si>
    <t>Store 534</t>
  </si>
  <si>
    <t>Store 535</t>
  </si>
  <si>
    <t>Store 536</t>
  </si>
  <si>
    <t>Store 537</t>
  </si>
  <si>
    <t>Store 538</t>
  </si>
  <si>
    <t>Store 539</t>
  </si>
  <si>
    <t>Store 540</t>
  </si>
  <si>
    <t>Store 541</t>
  </si>
  <si>
    <t>Store 542</t>
  </si>
  <si>
    <t>Store 543</t>
  </si>
  <si>
    <t>Store 544</t>
  </si>
  <si>
    <t>Store 545</t>
  </si>
  <si>
    <t>Store 546</t>
  </si>
  <si>
    <t>Store 547</t>
  </si>
  <si>
    <t>Store 548</t>
  </si>
  <si>
    <t>Store 549</t>
  </si>
  <si>
    <t>Store 550</t>
  </si>
  <si>
    <t>Store 551</t>
  </si>
  <si>
    <t>Store 552</t>
  </si>
  <si>
    <t>Store 553</t>
  </si>
  <si>
    <t>Store 554</t>
  </si>
  <si>
    <t>Store 555</t>
  </si>
  <si>
    <t>Store 556</t>
  </si>
  <si>
    <t>Store 557</t>
  </si>
  <si>
    <t>Store 558</t>
  </si>
  <si>
    <t>Store 559</t>
  </si>
  <si>
    <t>Store 560</t>
  </si>
  <si>
    <t>Store 561</t>
  </si>
  <si>
    <t>Store 562</t>
  </si>
  <si>
    <t>Store 563</t>
  </si>
  <si>
    <t>Store 564</t>
  </si>
  <si>
    <t>Store 565</t>
  </si>
  <si>
    <t>Store 566</t>
  </si>
  <si>
    <t>Store 567</t>
  </si>
  <si>
    <t>Store 568</t>
  </si>
  <si>
    <t>Store 569</t>
  </si>
  <si>
    <t>Store 570</t>
  </si>
  <si>
    <t>Store 571</t>
  </si>
  <si>
    <t>Store 572</t>
  </si>
  <si>
    <t>Store 573</t>
  </si>
  <si>
    <t>Store 574</t>
  </si>
  <si>
    <t>Store 575</t>
  </si>
  <si>
    <t>Store 576</t>
  </si>
  <si>
    <t>Store 577</t>
  </si>
  <si>
    <t>Store 578</t>
  </si>
  <si>
    <t>Store 579</t>
  </si>
  <si>
    <t>Store 580</t>
  </si>
  <si>
    <t>Store 581</t>
  </si>
  <si>
    <t>Store 582</t>
  </si>
  <si>
    <t>Store 583</t>
  </si>
  <si>
    <t>Store 584</t>
  </si>
  <si>
    <t>Store 585</t>
  </si>
  <si>
    <t>Store 586</t>
  </si>
  <si>
    <t>Store 587</t>
  </si>
  <si>
    <t>Store 588</t>
  </si>
  <si>
    <t>Store 589</t>
  </si>
  <si>
    <t>Store 590</t>
  </si>
  <si>
    <t>Store 591</t>
  </si>
  <si>
    <t>Store 592</t>
  </si>
  <si>
    <t>Store 593</t>
  </si>
  <si>
    <t>Store 594</t>
  </si>
  <si>
    <t>Store 595</t>
  </si>
  <si>
    <t>Store 596</t>
  </si>
  <si>
    <t>Store 597</t>
  </si>
  <si>
    <t>Store 598</t>
  </si>
  <si>
    <t>Store 599</t>
  </si>
  <si>
    <t>Store 600</t>
  </si>
  <si>
    <t>Store 601</t>
  </si>
  <si>
    <t>Store 602</t>
  </si>
  <si>
    <t>Store 603</t>
  </si>
  <si>
    <t>Store 604</t>
  </si>
  <si>
    <t>Store 605</t>
  </si>
  <si>
    <t>Store 606</t>
  </si>
  <si>
    <t>Store 607</t>
  </si>
  <si>
    <t>Store 608</t>
  </si>
  <si>
    <t>Store 609</t>
  </si>
  <si>
    <t>Store 610</t>
  </si>
  <si>
    <t>Store 611</t>
  </si>
  <si>
    <t>Store 612</t>
  </si>
  <si>
    <t>Store 613</t>
  </si>
  <si>
    <t>Store 614</t>
  </si>
  <si>
    <t>Store 615</t>
  </si>
  <si>
    <t>Store 616</t>
  </si>
  <si>
    <t>Store 617</t>
  </si>
  <si>
    <t>Store 618</t>
  </si>
  <si>
    <t>Store 619</t>
  </si>
  <si>
    <t>Store 620</t>
  </si>
  <si>
    <t>Store 621</t>
  </si>
  <si>
    <t>Store 622</t>
  </si>
  <si>
    <t>Store 623</t>
  </si>
  <si>
    <t>Store 624</t>
  </si>
  <si>
    <t>Store 625</t>
  </si>
  <si>
    <t>Store 626</t>
  </si>
  <si>
    <t>Store 627</t>
  </si>
  <si>
    <t>Store 628</t>
  </si>
  <si>
    <t>Store 629</t>
  </si>
  <si>
    <t>Store 630</t>
  </si>
  <si>
    <t>Store 631</t>
  </si>
  <si>
    <t>Store 632</t>
  </si>
  <si>
    <t>Store 633</t>
  </si>
  <si>
    <t>Store 634</t>
  </si>
  <si>
    <t>Store 635</t>
  </si>
  <si>
    <t>Store 636</t>
  </si>
  <si>
    <t>Store 637</t>
  </si>
  <si>
    <t>Store 638</t>
  </si>
  <si>
    <t>Store 639</t>
  </si>
  <si>
    <t>Store 640</t>
  </si>
  <si>
    <t>Store 641</t>
  </si>
  <si>
    <t>Store 642</t>
  </si>
  <si>
    <t>Store 643</t>
  </si>
  <si>
    <t>Store 644</t>
  </si>
  <si>
    <t>Store 645</t>
  </si>
  <si>
    <t>Store 646</t>
  </si>
  <si>
    <t>Store 647</t>
  </si>
  <si>
    <t>Store 648</t>
  </si>
  <si>
    <t>Store 649</t>
  </si>
  <si>
    <t>Store 650</t>
  </si>
  <si>
    <t>Store 651</t>
  </si>
  <si>
    <t>Store 652</t>
  </si>
  <si>
    <t>Store 653</t>
  </si>
  <si>
    <t>Store 654</t>
  </si>
  <si>
    <t>Store 655</t>
  </si>
  <si>
    <t>Store 656</t>
  </si>
  <si>
    <t>Store 657</t>
  </si>
  <si>
    <t>Store 658</t>
  </si>
  <si>
    <t>Store 659</t>
  </si>
  <si>
    <t>Store 660</t>
  </si>
  <si>
    <t>Store 661</t>
  </si>
  <si>
    <t>Store 662</t>
  </si>
  <si>
    <t>Store 663</t>
  </si>
  <si>
    <t>Store 664</t>
  </si>
  <si>
    <t>Store 665</t>
  </si>
  <si>
    <t>Store 666</t>
  </si>
  <si>
    <t>Store 667</t>
  </si>
  <si>
    <t>Store 668</t>
  </si>
  <si>
    <t>Store 669</t>
  </si>
  <si>
    <t>Store 670</t>
  </si>
  <si>
    <t>Store 671</t>
  </si>
  <si>
    <t>Store 672</t>
  </si>
  <si>
    <t>Store 673</t>
  </si>
  <si>
    <t>Store 674</t>
  </si>
  <si>
    <t>Store 675</t>
  </si>
  <si>
    <t>Store 676</t>
  </si>
  <si>
    <t>Store 677</t>
  </si>
  <si>
    <t>Store 678</t>
  </si>
  <si>
    <t>Store 679</t>
  </si>
  <si>
    <t>Store 680</t>
  </si>
  <si>
    <t>Store 681</t>
  </si>
  <si>
    <t>Store 682</t>
  </si>
  <si>
    <t>Store 683</t>
  </si>
  <si>
    <t>Store 684</t>
  </si>
  <si>
    <t>Store 685</t>
  </si>
  <si>
    <t>Store 686</t>
  </si>
  <si>
    <t>Store 687</t>
  </si>
  <si>
    <t>Store 688</t>
  </si>
  <si>
    <t>Store 689</t>
  </si>
  <si>
    <t>Store 690</t>
  </si>
  <si>
    <t>Store 691</t>
  </si>
  <si>
    <t>Store 692</t>
  </si>
  <si>
    <t>Store 693</t>
  </si>
  <si>
    <t>Store 694</t>
  </si>
  <si>
    <t>Store 695</t>
  </si>
  <si>
    <t>Store 696</t>
  </si>
  <si>
    <t>Store 697</t>
  </si>
  <si>
    <t>Store 698</t>
  </si>
  <si>
    <t>Store 699</t>
  </si>
  <si>
    <t>Store 700</t>
  </si>
  <si>
    <t>Store 701</t>
  </si>
  <si>
    <t>Store 702</t>
  </si>
  <si>
    <t>Store 703</t>
  </si>
  <si>
    <t>Store 704</t>
  </si>
  <si>
    <t>Store 705</t>
  </si>
  <si>
    <t>Store 706</t>
  </si>
  <si>
    <t>Store 707</t>
  </si>
  <si>
    <t>Store 708</t>
  </si>
  <si>
    <t>Store 709</t>
  </si>
  <si>
    <t>Store 710</t>
  </si>
  <si>
    <t>Store 711</t>
  </si>
  <si>
    <t>Store 712</t>
  </si>
  <si>
    <t>Store 713</t>
  </si>
  <si>
    <t>Store 714</t>
  </si>
  <si>
    <t>Store 715</t>
  </si>
  <si>
    <t>Store 716</t>
  </si>
  <si>
    <t>Store 717</t>
  </si>
  <si>
    <t>Store 718</t>
  </si>
  <si>
    <t>Store 719</t>
  </si>
  <si>
    <t>Store 720</t>
  </si>
  <si>
    <t>Store 721</t>
  </si>
  <si>
    <t>Store 722</t>
  </si>
  <si>
    <t>Store 723</t>
  </si>
  <si>
    <t>Store 724</t>
  </si>
  <si>
    <t>Store 725</t>
  </si>
  <si>
    <t>Store 726</t>
  </si>
  <si>
    <t>Store 727</t>
  </si>
  <si>
    <t>Store 728</t>
  </si>
  <si>
    <t>Store 729</t>
  </si>
  <si>
    <t>Store 730</t>
  </si>
  <si>
    <t>Store 731</t>
  </si>
  <si>
    <t>Store 732</t>
  </si>
  <si>
    <t>Store 733</t>
  </si>
  <si>
    <t>Store 734</t>
  </si>
  <si>
    <t>Store 735</t>
  </si>
  <si>
    <t>Store 736</t>
  </si>
  <si>
    <t>Store 737</t>
  </si>
  <si>
    <t>Store 738</t>
  </si>
  <si>
    <t>Store 739</t>
  </si>
  <si>
    <t>Store 740</t>
  </si>
  <si>
    <t>Store 741</t>
  </si>
  <si>
    <t>Store 742</t>
  </si>
  <si>
    <t>Store 743</t>
  </si>
  <si>
    <t>Store 744</t>
  </si>
  <si>
    <t>Store 745</t>
  </si>
  <si>
    <t>Store 746</t>
  </si>
  <si>
    <t>Store 747</t>
  </si>
  <si>
    <t>Store 748</t>
  </si>
  <si>
    <t>Store 749</t>
  </si>
  <si>
    <t>Store 750</t>
  </si>
  <si>
    <t>Store 751</t>
  </si>
  <si>
    <t>Store 752</t>
  </si>
  <si>
    <t>Store 753</t>
  </si>
  <si>
    <t>Store 754</t>
  </si>
  <si>
    <t>Store 755</t>
  </si>
  <si>
    <t>Store 756</t>
  </si>
  <si>
    <t>Store 757</t>
  </si>
  <si>
    <t>Store 758</t>
  </si>
  <si>
    <t>Store 759</t>
  </si>
  <si>
    <t>Store 760</t>
  </si>
  <si>
    <t>Store 761</t>
  </si>
  <si>
    <t>Store 762</t>
  </si>
  <si>
    <t>Store 763</t>
  </si>
  <si>
    <t>Store 764</t>
  </si>
  <si>
    <t>Store 765</t>
  </si>
  <si>
    <t>Store 766</t>
  </si>
  <si>
    <t>Store 767</t>
  </si>
  <si>
    <t>Store 768</t>
  </si>
  <si>
    <t>Store 769</t>
  </si>
  <si>
    <t>Store 770</t>
  </si>
  <si>
    <t>Store 771</t>
  </si>
  <si>
    <t>Store 772</t>
  </si>
  <si>
    <t>Store 773</t>
  </si>
  <si>
    <t>Store 774</t>
  </si>
  <si>
    <t>Store 775</t>
  </si>
  <si>
    <t>Store 776</t>
  </si>
  <si>
    <t>Store 777</t>
  </si>
  <si>
    <t>Store 778</t>
  </si>
  <si>
    <t>Store 779</t>
  </si>
  <si>
    <t>Store 780</t>
  </si>
  <si>
    <t>Store 781</t>
  </si>
  <si>
    <t>Store 782</t>
  </si>
  <si>
    <t>Store 783</t>
  </si>
  <si>
    <t>Store 784</t>
  </si>
  <si>
    <t>Store 785</t>
  </si>
  <si>
    <t>Store 786</t>
  </si>
  <si>
    <t>Store 787</t>
  </si>
  <si>
    <t>Store 788</t>
  </si>
  <si>
    <t>Store 789</t>
  </si>
  <si>
    <t>Store 790</t>
  </si>
  <si>
    <t>Store 791</t>
  </si>
  <si>
    <t>Store 792</t>
  </si>
  <si>
    <t>Store 793</t>
  </si>
  <si>
    <t>Store 794</t>
  </si>
  <si>
    <t>Store 795</t>
  </si>
  <si>
    <t>Store 796</t>
  </si>
  <si>
    <t>Store 797</t>
  </si>
  <si>
    <t>Store 798</t>
  </si>
  <si>
    <t>Store 799</t>
  </si>
  <si>
    <t>Store 800</t>
  </si>
  <si>
    <t>Store 801</t>
  </si>
  <si>
    <t>Store 802</t>
  </si>
  <si>
    <t>Store 803</t>
  </si>
  <si>
    <t>Store 804</t>
  </si>
  <si>
    <t>Store 805</t>
  </si>
  <si>
    <t>Store 806</t>
  </si>
  <si>
    <t>Store 807</t>
  </si>
  <si>
    <t>Store 808</t>
  </si>
  <si>
    <t>Store 809</t>
  </si>
  <si>
    <t>Store 810</t>
  </si>
  <si>
    <t>Store 811</t>
  </si>
  <si>
    <t>Store 812</t>
  </si>
  <si>
    <t>Store 813</t>
  </si>
  <si>
    <t>Store 814</t>
  </si>
  <si>
    <t>Store 815</t>
  </si>
  <si>
    <t>Store 816</t>
  </si>
  <si>
    <t>Store 817</t>
  </si>
  <si>
    <t>Store 818</t>
  </si>
  <si>
    <t>Store 819</t>
  </si>
  <si>
    <t>Store 820</t>
  </si>
  <si>
    <t>Store 821</t>
  </si>
  <si>
    <t>Store 822</t>
  </si>
  <si>
    <t>Store 823</t>
  </si>
  <si>
    <t>Store 824</t>
  </si>
  <si>
    <t>Store 825</t>
  </si>
  <si>
    <t>Store 826</t>
  </si>
  <si>
    <t>Store 827</t>
  </si>
  <si>
    <t>Store 828</t>
  </si>
  <si>
    <t>Store 829</t>
  </si>
  <si>
    <t>Store 830</t>
  </si>
  <si>
    <t>Store 831</t>
  </si>
  <si>
    <t>Store 832</t>
  </si>
  <si>
    <t>Store 833</t>
  </si>
  <si>
    <t>Store 834</t>
  </si>
  <si>
    <t>Store 835</t>
  </si>
  <si>
    <t>Store 836</t>
  </si>
  <si>
    <t>Store 837</t>
  </si>
  <si>
    <t>Store 838</t>
  </si>
  <si>
    <t>Store 839</t>
  </si>
  <si>
    <t>Store 840</t>
  </si>
  <si>
    <t>Store 841</t>
  </si>
  <si>
    <t>Store 842</t>
  </si>
  <si>
    <t>Store 843</t>
  </si>
  <si>
    <t>Store 844</t>
  </si>
  <si>
    <t>Store 845</t>
  </si>
  <si>
    <t>Store 846</t>
  </si>
  <si>
    <t>Store 847</t>
  </si>
  <si>
    <t>Store 848</t>
  </si>
  <si>
    <t>Store 849</t>
  </si>
  <si>
    <t>Store 850</t>
  </si>
  <si>
    <t>Store 851</t>
  </si>
  <si>
    <t>Store 852</t>
  </si>
  <si>
    <t>Store 853</t>
  </si>
  <si>
    <t>Store 854</t>
  </si>
  <si>
    <t>Store 855</t>
  </si>
  <si>
    <t>Store 856</t>
  </si>
  <si>
    <t>Store 857</t>
  </si>
  <si>
    <t>Store 858</t>
  </si>
  <si>
    <t>Store 859</t>
  </si>
  <si>
    <t>Store 860</t>
  </si>
  <si>
    <t>Store 861</t>
  </si>
  <si>
    <t>Store 862</t>
  </si>
  <si>
    <t>Store 863</t>
  </si>
  <si>
    <t>Store 864</t>
  </si>
  <si>
    <t>Store 865</t>
  </si>
  <si>
    <t>Store 866</t>
  </si>
  <si>
    <t>Store 867</t>
  </si>
  <si>
    <t>Store 868</t>
  </si>
  <si>
    <t>Store 869</t>
  </si>
  <si>
    <t>Store 870</t>
  </si>
  <si>
    <t>Store 871</t>
  </si>
  <si>
    <t>Store 872</t>
  </si>
  <si>
    <t>Store 873</t>
  </si>
  <si>
    <t>Store 874</t>
  </si>
  <si>
    <t>Store 875</t>
  </si>
  <si>
    <t>Store 876</t>
  </si>
  <si>
    <t>Store 877</t>
  </si>
  <si>
    <t>Store 878</t>
  </si>
  <si>
    <t>Store 879</t>
  </si>
  <si>
    <t>Store 880</t>
  </si>
  <si>
    <t>Store 881</t>
  </si>
  <si>
    <t>Store 882</t>
  </si>
  <si>
    <t>Store 883</t>
  </si>
  <si>
    <t>Store 884</t>
  </si>
  <si>
    <t>Store 885</t>
  </si>
  <si>
    <t>Store 886</t>
  </si>
  <si>
    <t>Store 887</t>
  </si>
  <si>
    <t>Store 888</t>
  </si>
  <si>
    <t>Store 889</t>
  </si>
  <si>
    <t>Store 890</t>
  </si>
  <si>
    <t>Store 891</t>
  </si>
  <si>
    <t>Store 892</t>
  </si>
  <si>
    <t>Store 893</t>
  </si>
  <si>
    <t>Store 894</t>
  </si>
  <si>
    <t>Store 895</t>
  </si>
  <si>
    <t>Store 896</t>
  </si>
  <si>
    <t>Store 897</t>
  </si>
  <si>
    <t>Store 898</t>
  </si>
  <si>
    <t>Store 899</t>
  </si>
  <si>
    <t>Store 900</t>
  </si>
  <si>
    <t>Store 901</t>
  </si>
  <si>
    <t>Store 902</t>
  </si>
  <si>
    <t>Store 903</t>
  </si>
  <si>
    <t>Store 904</t>
  </si>
  <si>
    <t>Store 905</t>
  </si>
  <si>
    <t>Store 906</t>
  </si>
  <si>
    <t>Store 907</t>
  </si>
  <si>
    <t>Store 908</t>
  </si>
  <si>
    <t>Store 909</t>
  </si>
  <si>
    <t>Store 910</t>
  </si>
  <si>
    <t>Store 911</t>
  </si>
  <si>
    <t>Store 912</t>
  </si>
  <si>
    <t>Store 913</t>
  </si>
  <si>
    <t>Store 914</t>
  </si>
  <si>
    <t>Store 915</t>
  </si>
  <si>
    <t>Store 916</t>
  </si>
  <si>
    <t>Store 917</t>
  </si>
  <si>
    <t>Store 918</t>
  </si>
  <si>
    <t>Store 919</t>
  </si>
  <si>
    <t>Store 920</t>
  </si>
  <si>
    <t>Store 921</t>
  </si>
  <si>
    <t>Store 922</t>
  </si>
  <si>
    <t>Store 923</t>
  </si>
  <si>
    <t>Store 924</t>
  </si>
  <si>
    <t>Store 925</t>
  </si>
  <si>
    <t>Store 926</t>
  </si>
  <si>
    <t>Store 927</t>
  </si>
  <si>
    <t>Store 928</t>
  </si>
  <si>
    <t>Store 929</t>
  </si>
  <si>
    <t>Store 930</t>
  </si>
  <si>
    <t>Store 931</t>
  </si>
  <si>
    <t>Store 932</t>
  </si>
  <si>
    <t>Store 933</t>
  </si>
  <si>
    <t>Store 934</t>
  </si>
  <si>
    <t>Store 935</t>
  </si>
  <si>
    <t>Store 936</t>
  </si>
  <si>
    <t>Store 937</t>
  </si>
  <si>
    <t>Store 938</t>
  </si>
  <si>
    <t>Store 939</t>
  </si>
  <si>
    <t>Store 940</t>
  </si>
  <si>
    <t>Store 941</t>
  </si>
  <si>
    <t>Store 942</t>
  </si>
  <si>
    <t>Store 943</t>
  </si>
  <si>
    <t>Store 944</t>
  </si>
  <si>
    <t>Store 945</t>
  </si>
  <si>
    <t>Store 946</t>
  </si>
  <si>
    <t>Store 947</t>
  </si>
  <si>
    <t>Store 948</t>
  </si>
  <si>
    <t>Store 949</t>
  </si>
  <si>
    <t>Store 950</t>
  </si>
  <si>
    <t>Store 951</t>
  </si>
  <si>
    <t>Store 952</t>
  </si>
  <si>
    <t>Store 953</t>
  </si>
  <si>
    <t>Store 954</t>
  </si>
  <si>
    <t>Store 955</t>
  </si>
  <si>
    <t>Store 956</t>
  </si>
  <si>
    <t>Store 957</t>
  </si>
  <si>
    <t>Store 958</t>
  </si>
  <si>
    <t>Store 959</t>
  </si>
  <si>
    <t>Store 960</t>
  </si>
  <si>
    <t>Store 961</t>
  </si>
  <si>
    <t>Store 962</t>
  </si>
  <si>
    <t>Store 963</t>
  </si>
  <si>
    <t>Store 964</t>
  </si>
  <si>
    <t>Store 965</t>
  </si>
  <si>
    <t>Store 966</t>
  </si>
  <si>
    <t>Store 967</t>
  </si>
  <si>
    <t>Store 968</t>
  </si>
  <si>
    <t>Store 969</t>
  </si>
  <si>
    <t>Store 970</t>
  </si>
  <si>
    <t>Store 971</t>
  </si>
  <si>
    <t>Store 972</t>
  </si>
  <si>
    <t>Store 973</t>
  </si>
  <si>
    <t>Store 974</t>
  </si>
  <si>
    <t>Store 975</t>
  </si>
  <si>
    <t>Store 976</t>
  </si>
  <si>
    <t>Store 977</t>
  </si>
  <si>
    <t>Store 978</t>
  </si>
  <si>
    <t>Store 979</t>
  </si>
  <si>
    <t>Store 980</t>
  </si>
  <si>
    <t>Store 981</t>
  </si>
  <si>
    <t>Store 982</t>
  </si>
  <si>
    <t>Store 983</t>
  </si>
  <si>
    <t>Store 984</t>
  </si>
  <si>
    <t>Store 985</t>
  </si>
  <si>
    <t>Store 986</t>
  </si>
  <si>
    <t>Store 987</t>
  </si>
  <si>
    <t>Store 988</t>
  </si>
  <si>
    <t>Store 989</t>
  </si>
  <si>
    <t>Store 990</t>
  </si>
  <si>
    <t>Store 991</t>
  </si>
  <si>
    <t>Store 992</t>
  </si>
  <si>
    <t>Store 993</t>
  </si>
  <si>
    <t>Store 994</t>
  </si>
  <si>
    <t>Store 995</t>
  </si>
  <si>
    <t>Store 996</t>
  </si>
  <si>
    <t>Store 997</t>
  </si>
  <si>
    <t>Store 998</t>
  </si>
  <si>
    <t>Store 999</t>
  </si>
  <si>
    <t>Store 1000</t>
  </si>
  <si>
    <t>Store 1001</t>
  </si>
  <si>
    <t>Store 1002</t>
  </si>
  <si>
    <t>Store 1003</t>
  </si>
  <si>
    <t>Store 1004</t>
  </si>
  <si>
    <t>Store 1005</t>
  </si>
  <si>
    <t>Store 1006</t>
  </si>
  <si>
    <t>Store 1007</t>
  </si>
  <si>
    <t>Store 1008</t>
  </si>
  <si>
    <t>Store 1009</t>
  </si>
  <si>
    <t>Store 1010</t>
  </si>
  <si>
    <t>Store 1011</t>
  </si>
  <si>
    <t>Store 1012</t>
  </si>
  <si>
    <t>Store 1013</t>
  </si>
  <si>
    <t>Store 1014</t>
  </si>
  <si>
    <t>Store 1015</t>
  </si>
  <si>
    <t>Store 1016</t>
  </si>
  <si>
    <t>Store 1017</t>
  </si>
  <si>
    <t>Store 1018</t>
  </si>
  <si>
    <t>Store 1019</t>
  </si>
  <si>
    <t>Store 1020</t>
  </si>
  <si>
    <t>Store 1021</t>
  </si>
  <si>
    <t>Store 1022</t>
  </si>
  <si>
    <t>Store 1023</t>
  </si>
  <si>
    <t>Store 1024</t>
  </si>
  <si>
    <t>Store 1025</t>
  </si>
  <si>
    <t>Store 1026</t>
  </si>
  <si>
    <t>Store 1027</t>
  </si>
  <si>
    <t>Store 1028</t>
  </si>
  <si>
    <t>Store 1029</t>
  </si>
  <si>
    <t>Store 1030</t>
  </si>
  <si>
    <t>Store 1031</t>
  </si>
  <si>
    <t>Store 1032</t>
  </si>
  <si>
    <t>Store 1033</t>
  </si>
  <si>
    <t>Store 1034</t>
  </si>
  <si>
    <t>Store 1035</t>
  </si>
  <si>
    <t>Store 1036</t>
  </si>
  <si>
    <t>Store 1037</t>
  </si>
  <si>
    <t>Store 1038</t>
  </si>
  <si>
    <t>Store 1039</t>
  </si>
  <si>
    <t>Store 1040</t>
  </si>
  <si>
    <t>Store 1041</t>
  </si>
  <si>
    <t>Store 1042</t>
  </si>
  <si>
    <t>Store 1043</t>
  </si>
  <si>
    <t>Store 1044</t>
  </si>
  <si>
    <t>Store 1045</t>
  </si>
  <si>
    <t>Store 1046</t>
  </si>
  <si>
    <t>Store 1047</t>
  </si>
  <si>
    <t>Store 1048</t>
  </si>
  <si>
    <t>Store 1049</t>
  </si>
  <si>
    <t>Store 1050</t>
  </si>
  <si>
    <t>Store 1051</t>
  </si>
  <si>
    <t>Store 1052</t>
  </si>
  <si>
    <t>Store 1053</t>
  </si>
  <si>
    <t>Store 1054</t>
  </si>
  <si>
    <t>Store 1055</t>
  </si>
  <si>
    <t>Store 1056</t>
  </si>
  <si>
    <t>Store 1057</t>
  </si>
  <si>
    <t>Store 1058</t>
  </si>
  <si>
    <t>Store 1059</t>
  </si>
  <si>
    <t>Store 1060</t>
  </si>
  <si>
    <t>Store 1061</t>
  </si>
  <si>
    <t>Store 1062</t>
  </si>
  <si>
    <t>Store 1063</t>
  </si>
  <si>
    <t>Store 1064</t>
  </si>
  <si>
    <t>Store 1065</t>
  </si>
  <si>
    <t>Store 1066</t>
  </si>
  <si>
    <t>Store 1067</t>
  </si>
  <si>
    <t>Store 1068</t>
  </si>
  <si>
    <t>Store 1069</t>
  </si>
  <si>
    <t>Store 1070</t>
  </si>
  <si>
    <t>Store 1071</t>
  </si>
  <si>
    <t>Store 1072</t>
  </si>
  <si>
    <t>Store 1073</t>
  </si>
  <si>
    <t>Store 1074</t>
  </si>
  <si>
    <t>Store 1075</t>
  </si>
  <si>
    <t>Store 1076</t>
  </si>
  <si>
    <t>Store 1077</t>
  </si>
  <si>
    <t>Store 1078</t>
  </si>
  <si>
    <t>Store 1079</t>
  </si>
  <si>
    <t>Store 1080</t>
  </si>
  <si>
    <t>Store 1081</t>
  </si>
  <si>
    <t>Store 1082</t>
  </si>
  <si>
    <t>Store 1083</t>
  </si>
  <si>
    <t>Store 1084</t>
  </si>
  <si>
    <t>Store 1085</t>
  </si>
  <si>
    <t>Store 1086</t>
  </si>
  <si>
    <t>Store 1087</t>
  </si>
  <si>
    <t>Store 1088</t>
  </si>
  <si>
    <t>Store 1089</t>
  </si>
  <si>
    <t>Store 1090</t>
  </si>
  <si>
    <t>Store 1091</t>
  </si>
  <si>
    <t>Store 1092</t>
  </si>
  <si>
    <t>Store 1093</t>
  </si>
  <si>
    <t>Store 1094</t>
  </si>
  <si>
    <t>Store 1095</t>
  </si>
  <si>
    <t>Store 1096</t>
  </si>
  <si>
    <t>Store 1097</t>
  </si>
  <si>
    <t>Store 1098</t>
  </si>
  <si>
    <t>Store 1099</t>
  </si>
  <si>
    <t>Store 1100</t>
  </si>
  <si>
    <t>Store 1101</t>
  </si>
  <si>
    <t>Store 1102</t>
  </si>
  <si>
    <t>Store 1103</t>
  </si>
  <si>
    <t>Store 1104</t>
  </si>
  <si>
    <t>Store 1105</t>
  </si>
  <si>
    <t>Store 1106</t>
  </si>
  <si>
    <t>Store 1107</t>
  </si>
  <si>
    <t>Store 1108</t>
  </si>
  <si>
    <t>Store 1109</t>
  </si>
  <si>
    <t>Store 1110</t>
  </si>
  <si>
    <t>Store 1111</t>
  </si>
  <si>
    <t>Store 1112</t>
  </si>
  <si>
    <t>Store 1113</t>
  </si>
  <si>
    <t>Store 1114</t>
  </si>
  <si>
    <t>Store 1115</t>
  </si>
  <si>
    <t>Store 1116</t>
  </si>
  <si>
    <t>Store 1117</t>
  </si>
  <si>
    <t>Store 1118</t>
  </si>
  <si>
    <t>Store 1119</t>
  </si>
  <si>
    <t>Store 1120</t>
  </si>
  <si>
    <t>Store 1121</t>
  </si>
  <si>
    <t>Store 1122</t>
  </si>
  <si>
    <t>Store 1123</t>
  </si>
  <si>
    <t>Store 1124</t>
  </si>
  <si>
    <t>Store 1125</t>
  </si>
  <si>
    <t>Store 1126</t>
  </si>
  <si>
    <t>Store 1127</t>
  </si>
  <si>
    <t>Store 1128</t>
  </si>
  <si>
    <t>Store 1129</t>
  </si>
  <si>
    <t>Store 1130</t>
  </si>
  <si>
    <t>Store 1131</t>
  </si>
  <si>
    <t>Store 1132</t>
  </si>
  <si>
    <t>Store 1133</t>
  </si>
  <si>
    <t>Store 1134</t>
  </si>
  <si>
    <t>Store 1135</t>
  </si>
  <si>
    <t>Store 1136</t>
  </si>
  <si>
    <t>Store 1137</t>
  </si>
  <si>
    <t>Store 1138</t>
  </si>
  <si>
    <t>Store 1139</t>
  </si>
  <si>
    <t>Store 1140</t>
  </si>
  <si>
    <t>Store 1141</t>
  </si>
  <si>
    <t>Store 1142</t>
  </si>
  <si>
    <t>Store 1143</t>
  </si>
  <si>
    <t>Store 1144</t>
  </si>
  <si>
    <t>Store 1145</t>
  </si>
  <si>
    <t>Store 1146</t>
  </si>
  <si>
    <t>Store 1147</t>
  </si>
  <si>
    <t>Store 1148</t>
  </si>
  <si>
    <t>Store 1149</t>
  </si>
  <si>
    <t>Store 1150</t>
  </si>
  <si>
    <t>Store 1151</t>
  </si>
  <si>
    <t>Store 1152</t>
  </si>
  <si>
    <t>Store 1153</t>
  </si>
  <si>
    <t>Store 1154</t>
  </si>
  <si>
    <t>Store 1155</t>
  </si>
  <si>
    <t>Store 1156</t>
  </si>
  <si>
    <t>Store 1157</t>
  </si>
  <si>
    <t>Store 1158</t>
  </si>
  <si>
    <t>Store 1159</t>
  </si>
  <si>
    <t>Store 1160</t>
  </si>
  <si>
    <t>Store 1161</t>
  </si>
  <si>
    <t>Store 1162</t>
  </si>
  <si>
    <t>Store 1163</t>
  </si>
  <si>
    <t>Store 1164</t>
  </si>
  <si>
    <t>Store 1165</t>
  </si>
  <si>
    <t>Store 1166</t>
  </si>
  <si>
    <t>Store 1167</t>
  </si>
  <si>
    <t>Store 1168</t>
  </si>
  <si>
    <t>Store 1169</t>
  </si>
  <si>
    <t>Store 1170</t>
  </si>
  <si>
    <t>Store 1171</t>
  </si>
  <si>
    <t>Store 1172</t>
  </si>
  <si>
    <t>Store 1173</t>
  </si>
  <si>
    <t>Store 1174</t>
  </si>
  <si>
    <t>Store 1175</t>
  </si>
  <si>
    <t>Store 1176</t>
  </si>
  <si>
    <t>Store 1177</t>
  </si>
  <si>
    <t>Store 1178</t>
  </si>
  <si>
    <t>Store 1179</t>
  </si>
  <si>
    <t>Store 1180</t>
  </si>
  <si>
    <t>Store 1181</t>
  </si>
  <si>
    <t>Store 1182</t>
  </si>
  <si>
    <t>Store 1183</t>
  </si>
  <si>
    <t>Store 1184</t>
  </si>
  <si>
    <t>Store 1185</t>
  </si>
  <si>
    <t>Store 1186</t>
  </si>
  <si>
    <t>Store 1187</t>
  </si>
  <si>
    <t>Store 1188</t>
  </si>
  <si>
    <t>Store 1189</t>
  </si>
  <si>
    <t>Store 1190</t>
  </si>
  <si>
    <t>Store 1191</t>
  </si>
  <si>
    <t>Store 1192</t>
  </si>
  <si>
    <t>Store 1193</t>
  </si>
  <si>
    <t>Store 1194</t>
  </si>
  <si>
    <t>Store 1195</t>
  </si>
  <si>
    <t>Store 1196</t>
  </si>
  <si>
    <t>Store 1197</t>
  </si>
  <si>
    <t>Store 1198</t>
  </si>
  <si>
    <t>Store 1199</t>
  </si>
  <si>
    <t>Store 1200</t>
  </si>
  <si>
    <t>Store 1201</t>
  </si>
  <si>
    <t>Store 1202</t>
  </si>
  <si>
    <t>Store 1203</t>
  </si>
  <si>
    <t>Store 1204</t>
  </si>
  <si>
    <t>Store 1205</t>
  </si>
  <si>
    <t>Store 1206</t>
  </si>
  <si>
    <t>Store 1207</t>
  </si>
  <si>
    <t>Store 1208</t>
  </si>
  <si>
    <t>Store 1209</t>
  </si>
  <si>
    <t>Store 1210</t>
  </si>
  <si>
    <t>Store 1211</t>
  </si>
  <si>
    <t>Store 1212</t>
  </si>
  <si>
    <t>Store 1213</t>
  </si>
  <si>
    <t>Store 1214</t>
  </si>
  <si>
    <t>Store 1215</t>
  </si>
  <si>
    <t>Store 1216</t>
  </si>
  <si>
    <t>Store 1217</t>
  </si>
  <si>
    <t>Store 1218</t>
  </si>
  <si>
    <t>Store 1219</t>
  </si>
  <si>
    <t>Store 1220</t>
  </si>
  <si>
    <t>Store 1221</t>
  </si>
  <si>
    <t>Store 1222</t>
  </si>
  <si>
    <t>Store 1223</t>
  </si>
  <si>
    <t>Store 1224</t>
  </si>
  <si>
    <t>Store 1225</t>
  </si>
  <si>
    <t>Store 1226</t>
  </si>
  <si>
    <t>Store 1227</t>
  </si>
  <si>
    <t>Store 1228</t>
  </si>
  <si>
    <t>Store 1229</t>
  </si>
  <si>
    <t>Store 1230</t>
  </si>
  <si>
    <t>Store 1231</t>
  </si>
  <si>
    <t>Store 1232</t>
  </si>
  <si>
    <t>Store 1233</t>
  </si>
  <si>
    <t>Store 1234</t>
  </si>
  <si>
    <t>Store 1235</t>
  </si>
  <si>
    <t>Store 1236</t>
  </si>
  <si>
    <t>Store 1237</t>
  </si>
  <si>
    <t>Store 1238</t>
  </si>
  <si>
    <t>Store 1239</t>
  </si>
  <si>
    <t>Store 1240</t>
  </si>
  <si>
    <t>Store 1241</t>
  </si>
  <si>
    <t>Store 1242</t>
  </si>
  <si>
    <t>Store 1243</t>
  </si>
  <si>
    <t>Store 1244</t>
  </si>
  <si>
    <t>Store 1245</t>
  </si>
  <si>
    <t>Store 1246</t>
  </si>
  <si>
    <t>Store 1247</t>
  </si>
  <si>
    <t>Store 1248</t>
  </si>
  <si>
    <t>Store 1249</t>
  </si>
  <si>
    <t>Store 1250</t>
  </si>
  <si>
    <t>Store 1251</t>
  </si>
  <si>
    <t>Store 1252</t>
  </si>
  <si>
    <t>Store 1253</t>
  </si>
  <si>
    <t>Store 1254</t>
  </si>
  <si>
    <t>Store 1255</t>
  </si>
  <si>
    <t>Store 1256</t>
  </si>
  <si>
    <t>Store 1257</t>
  </si>
  <si>
    <t>Store 1258</t>
  </si>
  <si>
    <t>Store 1259</t>
  </si>
  <si>
    <t>Store 1260</t>
  </si>
  <si>
    <t>Store 1261</t>
  </si>
  <si>
    <t>Store 1262</t>
  </si>
  <si>
    <t>Store 1263</t>
  </si>
  <si>
    <t>Store 1264</t>
  </si>
  <si>
    <t>Store 1265</t>
  </si>
  <si>
    <t>Store 1266</t>
  </si>
  <si>
    <t>Store 1267</t>
  </si>
  <si>
    <t>Store 1268</t>
  </si>
  <si>
    <t>Store 1269</t>
  </si>
  <si>
    <t>Store 1270</t>
  </si>
  <si>
    <t>Store 1271</t>
  </si>
  <si>
    <t>Store 1272</t>
  </si>
  <si>
    <t>Store 1273</t>
  </si>
  <si>
    <t>Store 1274</t>
  </si>
  <si>
    <t>Store 1275</t>
  </si>
  <si>
    <t>Store 1276</t>
  </si>
  <si>
    <t>Store 1277</t>
  </si>
  <si>
    <t>Store 1278</t>
  </si>
  <si>
    <t>Store 1279</t>
  </si>
  <si>
    <t>Store 1280</t>
  </si>
  <si>
    <t>Store 1281</t>
  </si>
  <si>
    <t>Store 1282</t>
  </si>
  <si>
    <t>Store 1283</t>
  </si>
  <si>
    <t>Store 1284</t>
  </si>
  <si>
    <t>Store 1285</t>
  </si>
  <si>
    <t>Store 1286</t>
  </si>
  <si>
    <t>Store 1287</t>
  </si>
  <si>
    <t>Store 1288</t>
  </si>
  <si>
    <t>Store 1289</t>
  </si>
  <si>
    <t>Store 1290</t>
  </si>
  <si>
    <t>Store 1291</t>
  </si>
  <si>
    <t>Store 1292</t>
  </si>
  <si>
    <t>Store 1293</t>
  </si>
  <si>
    <t>Store 1294</t>
  </si>
  <si>
    <t>Store 1295</t>
  </si>
  <si>
    <t>Store 1296</t>
  </si>
  <si>
    <t>Store 1297</t>
  </si>
  <si>
    <t>Store 1298</t>
  </si>
  <si>
    <t>Store 1299</t>
  </si>
  <si>
    <t>Store 1300</t>
  </si>
  <si>
    <t>Store 1301</t>
  </si>
  <si>
    <t>Store 1302</t>
  </si>
  <si>
    <t>Store 1303</t>
  </si>
  <si>
    <t>Store 1304</t>
  </si>
  <si>
    <t>Store 1305</t>
  </si>
  <si>
    <t>Store 1306</t>
  </si>
  <si>
    <t>Store 1307</t>
  </si>
  <si>
    <t>Store 1308</t>
  </si>
  <si>
    <t>Store 1309</t>
  </si>
  <si>
    <t>Store 1310</t>
  </si>
  <si>
    <t>Store 1311</t>
  </si>
  <si>
    <t>Store 1312</t>
  </si>
  <si>
    <t>Store 1313</t>
  </si>
  <si>
    <t>Store 1314</t>
  </si>
  <si>
    <t>Store 1315</t>
  </si>
  <si>
    <t>Store 1316</t>
  </si>
  <si>
    <t>Store 1317</t>
  </si>
  <si>
    <t>Store 1318</t>
  </si>
  <si>
    <t>Store 1319</t>
  </si>
  <si>
    <t>Store 1320</t>
  </si>
  <si>
    <t>Store 1321</t>
  </si>
  <si>
    <t>Store 1322</t>
  </si>
  <si>
    <t>Store 1323</t>
  </si>
  <si>
    <t>Store 1324</t>
  </si>
  <si>
    <t>Store 1325</t>
  </si>
  <si>
    <t>Store 1326</t>
  </si>
  <si>
    <t>Store 1327</t>
  </si>
  <si>
    <t>Store 1328</t>
  </si>
  <si>
    <t>Store 1329</t>
  </si>
  <si>
    <t>Store 1330</t>
  </si>
  <si>
    <t>Store 1331</t>
  </si>
  <si>
    <t>Store 1332</t>
  </si>
  <si>
    <t>Store 1333</t>
  </si>
  <si>
    <t>Store 1334</t>
  </si>
  <si>
    <t>Store 1335</t>
  </si>
  <si>
    <t>Store 1336</t>
  </si>
  <si>
    <t>Store 1337</t>
  </si>
  <si>
    <t>Store 1338</t>
  </si>
  <si>
    <t>Store 1339</t>
  </si>
  <si>
    <t>Store 1340</t>
  </si>
  <si>
    <t>Store 1341</t>
  </si>
  <si>
    <t>Store 1342</t>
  </si>
  <si>
    <t>Store 1343</t>
  </si>
  <si>
    <t>Store 1344</t>
  </si>
  <si>
    <t>Store 1345</t>
  </si>
  <si>
    <t>Store 1346</t>
  </si>
  <si>
    <t>Store 1347</t>
  </si>
  <si>
    <t>Store 1348</t>
  </si>
  <si>
    <t>Store 1349</t>
  </si>
  <si>
    <t>Store 1350</t>
  </si>
  <si>
    <t>Store 1351</t>
  </si>
  <si>
    <t>Store 1352</t>
  </si>
  <si>
    <t>Store 1353</t>
  </si>
  <si>
    <t>Store 1354</t>
  </si>
  <si>
    <t>Store 1355</t>
  </si>
  <si>
    <t>Store 1356</t>
  </si>
  <si>
    <t>Store 1357</t>
  </si>
  <si>
    <t>Store 1358</t>
  </si>
  <si>
    <t>Store 1359</t>
  </si>
  <si>
    <t>Store 1360</t>
  </si>
  <si>
    <t>Store 1361</t>
  </si>
  <si>
    <t>Store 1362</t>
  </si>
  <si>
    <t>Store 1363</t>
  </si>
  <si>
    <t>Store 1364</t>
  </si>
  <si>
    <t>Store 1365</t>
  </si>
  <si>
    <t>Store 1366</t>
  </si>
  <si>
    <t>Store 1367</t>
  </si>
  <si>
    <t>Store 1368</t>
  </si>
  <si>
    <t>Store 1369</t>
  </si>
  <si>
    <t>Store 1370</t>
  </si>
  <si>
    <t>Store 1371</t>
  </si>
  <si>
    <t>Store 1372</t>
  </si>
  <si>
    <t>Store 1373</t>
  </si>
  <si>
    <t>Store 1374</t>
  </si>
  <si>
    <t>Store 1375</t>
  </si>
  <si>
    <t>Store 1376</t>
  </si>
  <si>
    <t>Store 1377</t>
  </si>
  <si>
    <t>Store 1378</t>
  </si>
  <si>
    <t>Store 1379</t>
  </si>
  <si>
    <t>Store 1380</t>
  </si>
  <si>
    <t>Store 1381</t>
  </si>
  <si>
    <t>Store 1382</t>
  </si>
  <si>
    <t>Store 1383</t>
  </si>
  <si>
    <t>Store 1384</t>
  </si>
  <si>
    <t>Store 1385</t>
  </si>
  <si>
    <t>Store 1386</t>
  </si>
  <si>
    <t>Store 1387</t>
  </si>
  <si>
    <t>Store 1388</t>
  </si>
  <si>
    <t>Store 1389</t>
  </si>
  <si>
    <t>Store 1390</t>
  </si>
  <si>
    <t>Store 1391</t>
  </si>
  <si>
    <t>Store 1392</t>
  </si>
  <si>
    <t>Store 1393</t>
  </si>
  <si>
    <t>Store 1394</t>
  </si>
  <si>
    <t>Store 1395</t>
  </si>
  <si>
    <t>Store 1396</t>
  </si>
  <si>
    <t>Store 1397</t>
  </si>
  <si>
    <t>Store 1398</t>
  </si>
  <si>
    <t>Store 1399</t>
  </si>
  <si>
    <t>Store 1400</t>
  </si>
  <si>
    <t>Store 1401</t>
  </si>
  <si>
    <t>Store 1402</t>
  </si>
  <si>
    <t>Store 1403</t>
  </si>
  <si>
    <t>Store 1404</t>
  </si>
  <si>
    <t>Store 1405</t>
  </si>
  <si>
    <t>Store 1406</t>
  </si>
  <si>
    <t>Store 1407</t>
  </si>
  <si>
    <t>Store 1408</t>
  </si>
  <si>
    <t>Store 1409</t>
  </si>
  <si>
    <t>Store 1410</t>
  </si>
  <si>
    <t>Store 1411</t>
  </si>
  <si>
    <t>Store 1412</t>
  </si>
  <si>
    <t>Store 1413</t>
  </si>
  <si>
    <t>Store 1414</t>
  </si>
  <si>
    <t>Store 1415</t>
  </si>
  <si>
    <t>Store 1416</t>
  </si>
  <si>
    <t>Store 1417</t>
  </si>
  <si>
    <t>Store 1418</t>
  </si>
  <si>
    <t>Store 1419</t>
  </si>
  <si>
    <t>Store 1420</t>
  </si>
  <si>
    <t>Store 1421</t>
  </si>
  <si>
    <t>Store 1422</t>
  </si>
  <si>
    <t>Store 1423</t>
  </si>
  <si>
    <t>Store 1424</t>
  </si>
  <si>
    <t>Store 1425</t>
  </si>
  <si>
    <t>Store 1426</t>
  </si>
  <si>
    <t>Store 1427</t>
  </si>
  <si>
    <t>Store 1428</t>
  </si>
  <si>
    <t>Store 1429</t>
  </si>
  <si>
    <t>Store 1430</t>
  </si>
  <si>
    <t>Store 1431</t>
  </si>
  <si>
    <t>Store 1432</t>
  </si>
  <si>
    <t>Store 1433</t>
  </si>
  <si>
    <t>Store 1434</t>
  </si>
  <si>
    <t>Store 1435</t>
  </si>
  <si>
    <t>Store 1436</t>
  </si>
  <si>
    <t>Store 1437</t>
  </si>
  <si>
    <t>Store 1438</t>
  </si>
  <si>
    <t>Store 1439</t>
  </si>
  <si>
    <t>Store 1440</t>
  </si>
  <si>
    <t>Store 1441</t>
  </si>
  <si>
    <t>Store 1442</t>
  </si>
  <si>
    <t>Store 1443</t>
  </si>
  <si>
    <t>Store 1444</t>
  </si>
  <si>
    <t>Store 1445</t>
  </si>
  <si>
    <t>Store 1446</t>
  </si>
  <si>
    <t>Store 1447</t>
  </si>
  <si>
    <t>Store 1448</t>
  </si>
  <si>
    <t>Store 1449</t>
  </si>
  <si>
    <t>Store 1450</t>
  </si>
  <si>
    <t>Store 1451</t>
  </si>
  <si>
    <t>Store 1452</t>
  </si>
  <si>
    <t>Store 1453</t>
  </si>
  <si>
    <t>Store 1454</t>
  </si>
  <si>
    <t>Store 1455</t>
  </si>
  <si>
    <t>Store 1456</t>
  </si>
  <si>
    <t>Store 1457</t>
  </si>
  <si>
    <t>Store 1458</t>
  </si>
  <si>
    <t>Store 1459</t>
  </si>
  <si>
    <t>Store 1460</t>
  </si>
  <si>
    <t>Store 1461</t>
  </si>
  <si>
    <t>Store 1462</t>
  </si>
  <si>
    <t>Store 1463</t>
  </si>
  <si>
    <t>Store 1464</t>
  </si>
  <si>
    <t>Store 1465</t>
  </si>
  <si>
    <t>Store 1466</t>
  </si>
  <si>
    <t>Store 1467</t>
  </si>
  <si>
    <t>Store 1468</t>
  </si>
  <si>
    <t>Store 1469</t>
  </si>
  <si>
    <t>Store 1470</t>
  </si>
  <si>
    <t>Store 1471</t>
  </si>
  <si>
    <t>Store 1472</t>
  </si>
  <si>
    <t>Store 1473</t>
  </si>
  <si>
    <t>Store 1474</t>
  </si>
  <si>
    <t>Store 1475</t>
  </si>
  <si>
    <t>Store 1476</t>
  </si>
  <si>
    <t>Store 1477</t>
  </si>
  <si>
    <t>Store 1478</t>
  </si>
  <si>
    <t>Store 1479</t>
  </si>
  <si>
    <t>Store 1480</t>
  </si>
  <si>
    <t>Store 1481</t>
  </si>
  <si>
    <t>Store 1482</t>
  </si>
  <si>
    <t>Store 1483</t>
  </si>
  <si>
    <t>Store 1484</t>
  </si>
  <si>
    <t>Store 1485</t>
  </si>
  <si>
    <t>Store 1486</t>
  </si>
  <si>
    <t>Store 1487</t>
  </si>
  <si>
    <t>Store 1488</t>
  </si>
  <si>
    <t>Store 1489</t>
  </si>
  <si>
    <t>Store 1490</t>
  </si>
  <si>
    <t>Store 1491</t>
  </si>
  <si>
    <t>Store 1492</t>
  </si>
  <si>
    <t>Store 1493</t>
  </si>
  <si>
    <t>Store 1494</t>
  </si>
  <si>
    <t>Store 1495</t>
  </si>
  <si>
    <t>Store 1496</t>
  </si>
  <si>
    <t>Store 1497</t>
  </si>
  <si>
    <t>Store 1498</t>
  </si>
  <si>
    <t>Store 1499</t>
  </si>
  <si>
    <t>Store 1500</t>
  </si>
  <si>
    <t>Area m2</t>
  </si>
  <si>
    <t>No. Sellers</t>
  </si>
  <si>
    <t>Rental/month/m2</t>
  </si>
  <si>
    <t>Analysis Priority</t>
  </si>
  <si>
    <t>Cash Slip Number</t>
  </si>
  <si>
    <t>Time</t>
  </si>
  <si>
    <t>Products</t>
  </si>
  <si>
    <t>Qty</t>
  </si>
  <si>
    <t>Unit Price</t>
  </si>
  <si>
    <t>Amount</t>
  </si>
  <si>
    <t>Payment Type</t>
  </si>
  <si>
    <t>Customer</t>
  </si>
  <si>
    <t>Purchasing Cost</t>
  </si>
  <si>
    <t>Shipping Date</t>
  </si>
  <si>
    <t>Expenses</t>
  </si>
  <si>
    <t>13:33:41</t>
  </si>
  <si>
    <t>Shirts 330290</t>
  </si>
  <si>
    <t>Cash</t>
  </si>
  <si>
    <t>New York Hub</t>
  </si>
  <si>
    <t>Pants 263786</t>
  </si>
  <si>
    <t>Los Angeles Hub</t>
  </si>
  <si>
    <t>16:00:44</t>
  </si>
  <si>
    <t>Pants 568118</t>
  </si>
  <si>
    <t>Chicago Hub</t>
  </si>
  <si>
    <t>14:12:31</t>
  </si>
  <si>
    <t>Hats 999844</t>
  </si>
  <si>
    <t>New Orleans Hub</t>
  </si>
  <si>
    <t>Tights 694635</t>
  </si>
  <si>
    <t>San Francisco Hub</t>
  </si>
  <si>
    <t>20:24:02</t>
  </si>
  <si>
    <t>Pants 455738</t>
  </si>
  <si>
    <t>Card</t>
  </si>
  <si>
    <t>11:23:01</t>
  </si>
  <si>
    <t>Tights 753110</t>
  </si>
  <si>
    <t>Customer 1058</t>
  </si>
  <si>
    <t>Pants 468822</t>
  </si>
  <si>
    <t>Boots 142503</t>
  </si>
  <si>
    <t>15:37:07</t>
  </si>
  <si>
    <t>Hats 894099</t>
  </si>
  <si>
    <t>Customer 906</t>
  </si>
  <si>
    <t>Singlets 662913</t>
  </si>
  <si>
    <t>Sneakers 421332</t>
  </si>
  <si>
    <t>Singlets 357786</t>
  </si>
  <si>
    <t>T-shirts 359533</t>
  </si>
  <si>
    <t>Boots 658132</t>
  </si>
  <si>
    <t>Shirts 521908</t>
  </si>
  <si>
    <t>Flip flops 277760</t>
  </si>
  <si>
    <t>T-shirts 420986</t>
  </si>
  <si>
    <t>Sneakers 906707</t>
  </si>
  <si>
    <t>Cufflinks 122748</t>
  </si>
  <si>
    <t>Belts 289032</t>
  </si>
  <si>
    <t>Shirts 354564</t>
  </si>
  <si>
    <t>Pants 757126</t>
  </si>
  <si>
    <t>16:48:52</t>
  </si>
  <si>
    <t>Hats 397002</t>
  </si>
  <si>
    <t>Customer 382</t>
  </si>
  <si>
    <t>20:26:52</t>
  </si>
  <si>
    <t>T-shirts 370058</t>
  </si>
  <si>
    <t>Customer 474</t>
  </si>
  <si>
    <t>09:03:25</t>
  </si>
  <si>
    <t>Shirts 359563</t>
  </si>
  <si>
    <t>Customer 317</t>
  </si>
  <si>
    <t>Shirts 836762</t>
  </si>
  <si>
    <t>Sneakers 440584</t>
  </si>
  <si>
    <t>Pants 533615</t>
  </si>
  <si>
    <t>Shirts 407802</t>
  </si>
  <si>
    <t>Boots 442516</t>
  </si>
  <si>
    <t>17:30:24</t>
  </si>
  <si>
    <t>T-shirts 673319</t>
  </si>
  <si>
    <t>Shoes 675637</t>
  </si>
  <si>
    <t>T-shirts 427948</t>
  </si>
  <si>
    <t>Boots 108877</t>
  </si>
  <si>
    <t>20:29:43</t>
  </si>
  <si>
    <t>Pants 429865</t>
  </si>
  <si>
    <t>Flip flops 561687</t>
  </si>
  <si>
    <t>Hats 869288</t>
  </si>
  <si>
    <t>T-shirts 620237</t>
  </si>
  <si>
    <t>11:41:43</t>
  </si>
  <si>
    <t>Pants 262410</t>
  </si>
  <si>
    <t>16:55:49</t>
  </si>
  <si>
    <t>Shirts 457455</t>
  </si>
  <si>
    <t>Customer 146</t>
  </si>
  <si>
    <t>13:39:13</t>
  </si>
  <si>
    <t>Customer 358</t>
  </si>
  <si>
    <t>16:47:13</t>
  </si>
  <si>
    <t>Shirts 122187</t>
  </si>
  <si>
    <t>Balls 953916</t>
  </si>
  <si>
    <t>Boots 781038</t>
  </si>
  <si>
    <t>18:22:08</t>
  </si>
  <si>
    <t>Shirts 587800</t>
  </si>
  <si>
    <t>Hats 687826</t>
  </si>
  <si>
    <t>14:06:47</t>
  </si>
  <si>
    <t>Sneakers 212960</t>
  </si>
  <si>
    <t>09:01:32</t>
  </si>
  <si>
    <t>Hats 379635</t>
  </si>
  <si>
    <t>Sneakers 937762</t>
  </si>
  <si>
    <t>Shoes 197738</t>
  </si>
  <si>
    <t>10:09:04</t>
  </si>
  <si>
    <t>Boots 144856</t>
  </si>
  <si>
    <t>Cufflinks 978559</t>
  </si>
  <si>
    <t>Hats 445432</t>
  </si>
  <si>
    <t>Cufflinks 629675</t>
  </si>
  <si>
    <t>19:21:53</t>
  </si>
  <si>
    <t>Tights 889293</t>
  </si>
  <si>
    <t>Hats 158153</t>
  </si>
  <si>
    <t>20:38:49</t>
  </si>
  <si>
    <t>Boots 865322</t>
  </si>
  <si>
    <t>16:21:06</t>
  </si>
  <si>
    <t>Pants 648463</t>
  </si>
  <si>
    <t>T-shirts 556990</t>
  </si>
  <si>
    <t>12:28:16</t>
  </si>
  <si>
    <t>Cufflinks 832826</t>
  </si>
  <si>
    <t>Customer 1005</t>
  </si>
  <si>
    <t>Singlets 876702</t>
  </si>
  <si>
    <t>Boots 523698</t>
  </si>
  <si>
    <t>10:57:44</t>
  </si>
  <si>
    <t>Hats 876125</t>
  </si>
  <si>
    <t>Singlets 637975</t>
  </si>
  <si>
    <t>Hats 317453</t>
  </si>
  <si>
    <t>Belts 793614</t>
  </si>
  <si>
    <t>Tights 693801</t>
  </si>
  <si>
    <t>Cufflinks 635886</t>
  </si>
  <si>
    <t>Belts 960634</t>
  </si>
  <si>
    <t>Hats 302823</t>
  </si>
  <si>
    <t>18:53:31</t>
  </si>
  <si>
    <t>Shirts 578118</t>
  </si>
  <si>
    <t>T-shirts 705771</t>
  </si>
  <si>
    <t>Hats 926080</t>
  </si>
  <si>
    <t>Tights 667732</t>
  </si>
  <si>
    <t>Tights 412010</t>
  </si>
  <si>
    <t>Pants 667007</t>
  </si>
  <si>
    <t>11:03:51</t>
  </si>
  <si>
    <t>Shoes 729662</t>
  </si>
  <si>
    <t>19:28:03</t>
  </si>
  <si>
    <t>19:47:49</t>
  </si>
  <si>
    <t>Tights 807793</t>
  </si>
  <si>
    <t>Sneakers 985318</t>
  </si>
  <si>
    <t>Pants 977151</t>
  </si>
  <si>
    <t>Hats 449489</t>
  </si>
  <si>
    <t>Hats 723691</t>
  </si>
  <si>
    <t>12:51:59</t>
  </si>
  <si>
    <t>Caps 289551</t>
  </si>
  <si>
    <t>Shoes 403695</t>
  </si>
  <si>
    <t>T-shirts 899176</t>
  </si>
  <si>
    <t>12:33:05</t>
  </si>
  <si>
    <t>10:21:37</t>
  </si>
  <si>
    <t>Customer 546</t>
  </si>
  <si>
    <t>Shoes 171134</t>
  </si>
  <si>
    <t>Tights 927832</t>
  </si>
  <si>
    <t>10:05:24</t>
  </si>
  <si>
    <t>Tights 552912</t>
  </si>
  <si>
    <t>Pants 130431</t>
  </si>
  <si>
    <t>13:47:13</t>
  </si>
  <si>
    <t>Cufflinks 977101</t>
  </si>
  <si>
    <t>14:35:21</t>
  </si>
  <si>
    <t>Shirts 392044</t>
  </si>
  <si>
    <t>14:15:51</t>
  </si>
  <si>
    <t>Tights 241790</t>
  </si>
  <si>
    <t>15:30:01</t>
  </si>
  <si>
    <t>Caps 358933</t>
  </si>
  <si>
    <t>19:38:27</t>
  </si>
  <si>
    <t>Boots 218020</t>
  </si>
  <si>
    <t>13:58:39</t>
  </si>
  <si>
    <t>Customer 285</t>
  </si>
  <si>
    <t>Hats 499058</t>
  </si>
  <si>
    <t>Pants 317855</t>
  </si>
  <si>
    <t>Shirts 352974</t>
  </si>
  <si>
    <t>Tights 871921</t>
  </si>
  <si>
    <t>13:49:16</t>
  </si>
  <si>
    <t>T-shirts 204808</t>
  </si>
  <si>
    <t>15:48:16</t>
  </si>
  <si>
    <t>Customer 1057</t>
  </si>
  <si>
    <t>20:48:34</t>
  </si>
  <si>
    <t>20:56:10</t>
  </si>
  <si>
    <t>Pants 168161</t>
  </si>
  <si>
    <t>Customer 821</t>
  </si>
  <si>
    <t>Boots 262563</t>
  </si>
  <si>
    <t>19:16:24</t>
  </si>
  <si>
    <t>20:22:57</t>
  </si>
  <si>
    <t>11:15:27</t>
  </si>
  <si>
    <t>Caps 325286</t>
  </si>
  <si>
    <t>Shoes 310612</t>
  </si>
  <si>
    <t>Tights 620701</t>
  </si>
  <si>
    <t>17:17:09</t>
  </si>
  <si>
    <t>Boots 563048</t>
  </si>
  <si>
    <t>16:51:11</t>
  </si>
  <si>
    <t>Singlets 540919</t>
  </si>
  <si>
    <t>17:43:21</t>
  </si>
  <si>
    <t>Cufflinks 841862</t>
  </si>
  <si>
    <t>11:02:28</t>
  </si>
  <si>
    <t>12:05:19</t>
  </si>
  <si>
    <t>Cufflinks 690034</t>
  </si>
  <si>
    <t>20:51:50</t>
  </si>
  <si>
    <t>T-shirts 711375</t>
  </si>
  <si>
    <t>Pants 738662</t>
  </si>
  <si>
    <t>20:35:48</t>
  </si>
  <si>
    <t>Pants 922078</t>
  </si>
  <si>
    <t>Customer 654</t>
  </si>
  <si>
    <t>Shirts 593062</t>
  </si>
  <si>
    <t>16:16:36</t>
  </si>
  <si>
    <t>Tights 750380</t>
  </si>
  <si>
    <t>T-shirts 499463</t>
  </si>
  <si>
    <t>17:31:15</t>
  </si>
  <si>
    <t>18:51:56</t>
  </si>
  <si>
    <t>Tights 747390</t>
  </si>
  <si>
    <t>Customer 1071</t>
  </si>
  <si>
    <t>Shirts 303963</t>
  </si>
  <si>
    <t>T-shirts 676129</t>
  </si>
  <si>
    <t>09:49:15</t>
  </si>
  <si>
    <t>18:46:37</t>
  </si>
  <si>
    <t>09:10:34</t>
  </si>
  <si>
    <t>Pants 977652</t>
  </si>
  <si>
    <t>18:31:33</t>
  </si>
  <si>
    <t>10:35:00</t>
  </si>
  <si>
    <t>Sneakers 781588</t>
  </si>
  <si>
    <t>20:55:27</t>
  </si>
  <si>
    <t>Pants 609197</t>
  </si>
  <si>
    <t>17:20:07</t>
  </si>
  <si>
    <t>Cufflinks 827812</t>
  </si>
  <si>
    <t>Pants 178780</t>
  </si>
  <si>
    <t>09:12:47</t>
  </si>
  <si>
    <t>Customer 178</t>
  </si>
  <si>
    <t>Shirts 962677</t>
  </si>
  <si>
    <t>15:45:53</t>
  </si>
  <si>
    <t>Singlets 563241</t>
  </si>
  <si>
    <t>20:55:41</t>
  </si>
  <si>
    <t>Caps 430373</t>
  </si>
  <si>
    <t>Flip flops 154850</t>
  </si>
  <si>
    <t>20:34:22</t>
  </si>
  <si>
    <t>Belts 379341</t>
  </si>
  <si>
    <t>Shirts 900901</t>
  </si>
  <si>
    <t>13:59:13</t>
  </si>
  <si>
    <t>Sneakers 927433</t>
  </si>
  <si>
    <t>Shirts 710661</t>
  </si>
  <si>
    <t>10:00:23</t>
  </si>
  <si>
    <t>Customer 296</t>
  </si>
  <si>
    <t>18:52:03</t>
  </si>
  <si>
    <t>Shirts 974655</t>
  </si>
  <si>
    <t>Customer 428</t>
  </si>
  <si>
    <t>19:43:34</t>
  </si>
  <si>
    <t>Balls 790372</t>
  </si>
  <si>
    <t>Shoes 444008</t>
  </si>
  <si>
    <t>20:52:05</t>
  </si>
  <si>
    <t>Shirts 971417</t>
  </si>
  <si>
    <t>20:27:23</t>
  </si>
  <si>
    <t>Hats 219259</t>
  </si>
  <si>
    <t>20:59:43</t>
  </si>
  <si>
    <t>Shirts 755525</t>
  </si>
  <si>
    <t>20:00:24</t>
  </si>
  <si>
    <t>10:38:39</t>
  </si>
  <si>
    <t>Shoes 613315</t>
  </si>
  <si>
    <t>19:45:12</t>
  </si>
  <si>
    <t>Pants 173671</t>
  </si>
  <si>
    <t>17:02:53</t>
  </si>
  <si>
    <t>Sneakers 669620</t>
  </si>
  <si>
    <t>Cufflinks 319108</t>
  </si>
  <si>
    <t>Hats 982920</t>
  </si>
  <si>
    <t>11:11:18</t>
  </si>
  <si>
    <t>Sneakers 458899</t>
  </si>
  <si>
    <t>12:30:03</t>
  </si>
  <si>
    <t>Customer 965</t>
  </si>
  <si>
    <t>10:38:42</t>
  </si>
  <si>
    <t>13:32:36</t>
  </si>
  <si>
    <t>Shirts 857678</t>
  </si>
  <si>
    <t>Tights 710558</t>
  </si>
  <si>
    <t>Sneakers 880145</t>
  </si>
  <si>
    <t>10:26:58</t>
  </si>
  <si>
    <t>T-shirts 287569</t>
  </si>
  <si>
    <t>Customer 523</t>
  </si>
  <si>
    <t>09:15:29</t>
  </si>
  <si>
    <t>Customer 239</t>
  </si>
  <si>
    <t>Cufflinks 343811</t>
  </si>
  <si>
    <t>12:47:14</t>
  </si>
  <si>
    <t>Pants 408463</t>
  </si>
  <si>
    <t>10:05:05</t>
  </si>
  <si>
    <t>11:02:27</t>
  </si>
  <si>
    <t>Pants 172902</t>
  </si>
  <si>
    <t>11:55:05</t>
  </si>
  <si>
    <t>Customer 785</t>
  </si>
  <si>
    <t>Hats 766114</t>
  </si>
  <si>
    <t>16:15:21</t>
  </si>
  <si>
    <t>Singlets 868090</t>
  </si>
  <si>
    <t>12:43:54</t>
  </si>
  <si>
    <t>14:54:00</t>
  </si>
  <si>
    <t>T-shirts 940126</t>
  </si>
  <si>
    <t>Customer 237</t>
  </si>
  <si>
    <t>18:42:16</t>
  </si>
  <si>
    <t>Customer 347</t>
  </si>
  <si>
    <t>12:09:46</t>
  </si>
  <si>
    <t>Pants 108704</t>
  </si>
  <si>
    <t>Customer 847</t>
  </si>
  <si>
    <t>15:16:53</t>
  </si>
  <si>
    <t>Shirts 325782</t>
  </si>
  <si>
    <t>15:46:31</t>
  </si>
  <si>
    <t>Shirts 546805</t>
  </si>
  <si>
    <t>15:46:16</t>
  </si>
  <si>
    <t>Tights 358909</t>
  </si>
  <si>
    <t>Customer 243</t>
  </si>
  <si>
    <t>09:24:27</t>
  </si>
  <si>
    <t>Shoes 934528</t>
  </si>
  <si>
    <t>Hats 664411</t>
  </si>
  <si>
    <t>Pants 828768</t>
  </si>
  <si>
    <t>18:08:41</t>
  </si>
  <si>
    <t>Pants 735204</t>
  </si>
  <si>
    <t>Customer 550</t>
  </si>
  <si>
    <t>12:52:09</t>
  </si>
  <si>
    <t>10:58:01</t>
  </si>
  <si>
    <t>Customer 1149</t>
  </si>
  <si>
    <t>11:36:52</t>
  </si>
  <si>
    <t>Singlets 808749</t>
  </si>
  <si>
    <t>Customer 1147</t>
  </si>
  <si>
    <t>15:22:04</t>
  </si>
  <si>
    <t>Belts 710128</t>
  </si>
  <si>
    <t>Customer 407</t>
  </si>
  <si>
    <t>09:16:23</t>
  </si>
  <si>
    <t>Flip flops 465990</t>
  </si>
  <si>
    <t>17:09:11</t>
  </si>
  <si>
    <t>Boots 353567</t>
  </si>
  <si>
    <t>18:28:47</t>
  </si>
  <si>
    <t>16:47:35</t>
  </si>
  <si>
    <t>Boots 658360</t>
  </si>
  <si>
    <t>Shirts 762279</t>
  </si>
  <si>
    <t>17:58:42</t>
  </si>
  <si>
    <t>Sneakers 143547</t>
  </si>
  <si>
    <t>15:14:26</t>
  </si>
  <si>
    <t>11:32:51</t>
  </si>
  <si>
    <t>13:51:14</t>
  </si>
  <si>
    <t>Tights 737558</t>
  </si>
  <si>
    <t>Sneakers 182207</t>
  </si>
  <si>
    <t>13:28:35</t>
  </si>
  <si>
    <t>Customer 618</t>
  </si>
  <si>
    <t>Shirts 690067</t>
  </si>
  <si>
    <t>19:47:51</t>
  </si>
  <si>
    <t>Customer 1061</t>
  </si>
  <si>
    <t>15:17:15</t>
  </si>
  <si>
    <t>14:04:55</t>
  </si>
  <si>
    <t>Hats 924741</t>
  </si>
  <si>
    <t>20:46:57</t>
  </si>
  <si>
    <t>Shoes 573264</t>
  </si>
  <si>
    <t>13:33:02</t>
  </si>
  <si>
    <t>Boots 708445</t>
  </si>
  <si>
    <t>16:50:06</t>
  </si>
  <si>
    <t>Shirts 978555</t>
  </si>
  <si>
    <t>Shirts 225785</t>
  </si>
  <si>
    <t>Pants 454398</t>
  </si>
  <si>
    <t>18:35:11</t>
  </si>
  <si>
    <t>Pants 793807</t>
  </si>
  <si>
    <t>Singlets 478723</t>
  </si>
  <si>
    <t>17:53:11</t>
  </si>
  <si>
    <t>Belts 391516</t>
  </si>
  <si>
    <t>10:58:32</t>
  </si>
  <si>
    <t>10:32:45</t>
  </si>
  <si>
    <t>Cufflinks 452014</t>
  </si>
  <si>
    <t>19:05:12</t>
  </si>
  <si>
    <t>Shirts 952839</t>
  </si>
  <si>
    <t>Shirts 565277</t>
  </si>
  <si>
    <t>12:32:40</t>
  </si>
  <si>
    <t>Balls 688031</t>
  </si>
  <si>
    <t>17:59:42</t>
  </si>
  <si>
    <t>Customer 632</t>
  </si>
  <si>
    <t>16:55:04</t>
  </si>
  <si>
    <t>12:02:25</t>
  </si>
  <si>
    <t>Boots 444786</t>
  </si>
  <si>
    <t>18:30:21</t>
  </si>
  <si>
    <t>Customer 486</t>
  </si>
  <si>
    <t>17:12:57</t>
  </si>
  <si>
    <t>Singlets 482006</t>
  </si>
  <si>
    <t>09:33:31</t>
  </si>
  <si>
    <t>Sneakers 635845</t>
  </si>
  <si>
    <t>09:36:39</t>
  </si>
  <si>
    <t>Flip flops 702811</t>
  </si>
  <si>
    <t>10:20:54</t>
  </si>
  <si>
    <t>T-shirts 230946</t>
  </si>
  <si>
    <t>16:43:36</t>
  </si>
  <si>
    <t>Flip flops 873829</t>
  </si>
  <si>
    <t>Flip flops 674316</t>
  </si>
  <si>
    <t>19:41:02</t>
  </si>
  <si>
    <t>Caps 361633</t>
  </si>
  <si>
    <t>Customer 294</t>
  </si>
  <si>
    <t>Sneakers 962542</t>
  </si>
  <si>
    <t>12:21:02</t>
  </si>
  <si>
    <t>Caps 895858</t>
  </si>
  <si>
    <t>Customer 1045</t>
  </si>
  <si>
    <t>18:48:04</t>
  </si>
  <si>
    <t>Belts 771384</t>
  </si>
  <si>
    <t>12:32:21</t>
  </si>
  <si>
    <t>Shoes 811943</t>
  </si>
  <si>
    <t>Customer 315</t>
  </si>
  <si>
    <t>13:53:54</t>
  </si>
  <si>
    <t>Balls 455760</t>
  </si>
  <si>
    <t>Customer 472</t>
  </si>
  <si>
    <t>16:46:28</t>
  </si>
  <si>
    <t>14:58:28</t>
  </si>
  <si>
    <t>Customer 667</t>
  </si>
  <si>
    <t>12:14:47</t>
  </si>
  <si>
    <t>Customer 567</t>
  </si>
  <si>
    <t>20:50:12</t>
  </si>
  <si>
    <t>10:39:46</t>
  </si>
  <si>
    <t>Tights 909236</t>
  </si>
  <si>
    <t>18:10:37</t>
  </si>
  <si>
    <t>12:27:06</t>
  </si>
  <si>
    <t>09:01:21</t>
  </si>
  <si>
    <t>Boots 493398</t>
  </si>
  <si>
    <t>Pants 252768</t>
  </si>
  <si>
    <t>T-shirts 650648</t>
  </si>
  <si>
    <t>15:39:16</t>
  </si>
  <si>
    <t>Tights 738322</t>
  </si>
  <si>
    <t>12:32:29</t>
  </si>
  <si>
    <t>18:09:32</t>
  </si>
  <si>
    <t>Customer 819</t>
  </si>
  <si>
    <t>17:30:36</t>
  </si>
  <si>
    <t>Customer 264</t>
  </si>
  <si>
    <t>15:21:42</t>
  </si>
  <si>
    <t>15:15:21</t>
  </si>
  <si>
    <t>13:07:08</t>
  </si>
  <si>
    <t>Pants 260468</t>
  </si>
  <si>
    <t>Shoes 122757</t>
  </si>
  <si>
    <t>16:29:34</t>
  </si>
  <si>
    <t>Tights 843946</t>
  </si>
  <si>
    <t>Customer 531</t>
  </si>
  <si>
    <t>17:03:48</t>
  </si>
  <si>
    <t>09:03:01</t>
  </si>
  <si>
    <t>Boots 586723</t>
  </si>
  <si>
    <t>Pants 244378</t>
  </si>
  <si>
    <t>Cufflinks 949277</t>
  </si>
  <si>
    <t>17:54:56</t>
  </si>
  <si>
    <t>Customer 1052</t>
  </si>
  <si>
    <t>Tights 480487</t>
  </si>
  <si>
    <t>16:07:54</t>
  </si>
  <si>
    <t>14:09:38</t>
  </si>
  <si>
    <t>15:22:21</t>
  </si>
  <si>
    <t>20:14:23</t>
  </si>
  <si>
    <t>Flip flops 252785</t>
  </si>
  <si>
    <t>13:56:37</t>
  </si>
  <si>
    <t>17:37:41</t>
  </si>
  <si>
    <t>18:58:04</t>
  </si>
  <si>
    <t>15:39:29</t>
  </si>
  <si>
    <t>Pants 501105</t>
  </si>
  <si>
    <t>Cufflinks 355162</t>
  </si>
  <si>
    <t>12:23:56</t>
  </si>
  <si>
    <t>Flip flops 798510</t>
  </si>
  <si>
    <t>Hats 303594</t>
  </si>
  <si>
    <t>16:29:03</t>
  </si>
  <si>
    <t>10:38:55</t>
  </si>
  <si>
    <t>Customer 880</t>
  </si>
  <si>
    <t>20:05:52</t>
  </si>
  <si>
    <t>T-shirts 102500</t>
  </si>
  <si>
    <t>Sneakers 255320</t>
  </si>
  <si>
    <t>14:08:57</t>
  </si>
  <si>
    <t>Tights 412587</t>
  </si>
  <si>
    <t>20:10:07</t>
  </si>
  <si>
    <t>20:37:51</t>
  </si>
  <si>
    <t>Customer 341</t>
  </si>
  <si>
    <t>17:35:06</t>
  </si>
  <si>
    <t>Customer 1078</t>
  </si>
  <si>
    <t>18:28:23</t>
  </si>
  <si>
    <t>Pants 733300</t>
  </si>
  <si>
    <t>18:36:16</t>
  </si>
  <si>
    <t>09:52:40</t>
  </si>
  <si>
    <t>Pants 571276</t>
  </si>
  <si>
    <t>16:24:46</t>
  </si>
  <si>
    <t>Boots 781444</t>
  </si>
  <si>
    <t>Cufflinks 137197</t>
  </si>
  <si>
    <t>Hats 219761</t>
  </si>
  <si>
    <t>Tights 537225</t>
  </si>
  <si>
    <t>19:32:26</t>
  </si>
  <si>
    <t>19:30:04</t>
  </si>
  <si>
    <t>Boots 964281</t>
  </si>
  <si>
    <t>Cufflinks 594447</t>
  </si>
  <si>
    <t>19:42:01</t>
  </si>
  <si>
    <t>Sneakers 271571</t>
  </si>
  <si>
    <t>Customer 413</t>
  </si>
  <si>
    <t>09:48:49</t>
  </si>
  <si>
    <t>Boots 424348</t>
  </si>
  <si>
    <t>Customer 454</t>
  </si>
  <si>
    <t>Shirts 298310</t>
  </si>
  <si>
    <t>13:57:26</t>
  </si>
  <si>
    <t>Shirts 985200</t>
  </si>
  <si>
    <t>Singlets 778082</t>
  </si>
  <si>
    <t>10:29:18</t>
  </si>
  <si>
    <t>Customer 1172</t>
  </si>
  <si>
    <t>15:08:23</t>
  </si>
  <si>
    <t>11:43:43</t>
  </si>
  <si>
    <t>Cufflinks 142584</t>
  </si>
  <si>
    <t>19:52:27</t>
  </si>
  <si>
    <t>Shirts 665379</t>
  </si>
  <si>
    <t>14:07:33</t>
  </si>
  <si>
    <t>Boots 501682</t>
  </si>
  <si>
    <t>12:13:03</t>
  </si>
  <si>
    <t>Belts 617589</t>
  </si>
  <si>
    <t>Customer 377</t>
  </si>
  <si>
    <t>10:09:50</t>
  </si>
  <si>
    <t>Tights 219596</t>
  </si>
  <si>
    <t>20:35:56</t>
  </si>
  <si>
    <t>11:08:28</t>
  </si>
  <si>
    <t>Shirts 922859</t>
  </si>
  <si>
    <t>14:59:46</t>
  </si>
  <si>
    <t>Tights 978603</t>
  </si>
  <si>
    <t>Cufflinks 126511</t>
  </si>
  <si>
    <t>10:13:57</t>
  </si>
  <si>
    <t>Flip flops 213923</t>
  </si>
  <si>
    <t>18:34:17</t>
  </si>
  <si>
    <t>T-shirts 826032</t>
  </si>
  <si>
    <t>20:59:40</t>
  </si>
  <si>
    <t>18:49:03</t>
  </si>
  <si>
    <t>09:42:28</t>
  </si>
  <si>
    <t>Customer 1231</t>
  </si>
  <si>
    <t>10:47:47</t>
  </si>
  <si>
    <t>12:04:06</t>
  </si>
  <si>
    <t>12:47:33</t>
  </si>
  <si>
    <t>T-shirts 635575</t>
  </si>
  <si>
    <t>Caps 540060</t>
  </si>
  <si>
    <t>11:29:15</t>
  </si>
  <si>
    <t>Customer 1219</t>
  </si>
  <si>
    <t>18:50:46</t>
  </si>
  <si>
    <t>Tights 753389</t>
  </si>
  <si>
    <t>Customer 563</t>
  </si>
  <si>
    <t>12:46:20</t>
  </si>
  <si>
    <t>Customer 743</t>
  </si>
  <si>
    <t>10:46:53</t>
  </si>
  <si>
    <t>Shoes 354170</t>
  </si>
  <si>
    <t>Customer 541</t>
  </si>
  <si>
    <t>12:05:15</t>
  </si>
  <si>
    <t>16:45:37</t>
  </si>
  <si>
    <t>Hats 760038</t>
  </si>
  <si>
    <t>15:39:35</t>
  </si>
  <si>
    <t>Customer 1253</t>
  </si>
  <si>
    <t>15:46:38</t>
  </si>
  <si>
    <t>17:35:56</t>
  </si>
  <si>
    <t>Cufflinks 628494</t>
  </si>
  <si>
    <t>Customer 888</t>
  </si>
  <si>
    <t>Sneakers 244027</t>
  </si>
  <si>
    <t>09:54:31</t>
  </si>
  <si>
    <t>Hats 495295</t>
  </si>
  <si>
    <t>19:05:00</t>
  </si>
  <si>
    <t>Sneakers 587325</t>
  </si>
  <si>
    <t>13:52:09</t>
  </si>
  <si>
    <t>Boots 630727</t>
  </si>
  <si>
    <t>10:20:03</t>
  </si>
  <si>
    <t>Customer 186</t>
  </si>
  <si>
    <t>16:17:51</t>
  </si>
  <si>
    <t>Sneakers 261849</t>
  </si>
  <si>
    <t>18:12:58</t>
  </si>
  <si>
    <t>20:46:36</t>
  </si>
  <si>
    <t>Belts 272870</t>
  </si>
  <si>
    <t>09:27:14</t>
  </si>
  <si>
    <t>Cufflinks 907212</t>
  </si>
  <si>
    <t>19:32:27</t>
  </si>
  <si>
    <t>Customer 578</t>
  </si>
  <si>
    <t>Belts 455292</t>
  </si>
  <si>
    <t>Shirts 608167</t>
  </si>
  <si>
    <t>11:13:15</t>
  </si>
  <si>
    <t>17:45:18</t>
  </si>
  <si>
    <t>17:38:16</t>
  </si>
  <si>
    <t>Shirts 249114</t>
  </si>
  <si>
    <t>Customer 276</t>
  </si>
  <si>
    <t>12:55:13</t>
  </si>
  <si>
    <t>Hats 611225</t>
  </si>
  <si>
    <t>Hats 955608</t>
  </si>
  <si>
    <t>18:35:26</t>
  </si>
  <si>
    <t>Shirts 586002</t>
  </si>
  <si>
    <t>16:52:09</t>
  </si>
  <si>
    <t>Shirts 847133</t>
  </si>
  <si>
    <t>Customer 361</t>
  </si>
  <si>
    <t>15:49:16</t>
  </si>
  <si>
    <t>Customer 539</t>
  </si>
  <si>
    <t>19:01:40</t>
  </si>
  <si>
    <t>Caps 702230</t>
  </si>
  <si>
    <t>16:50:24</t>
  </si>
  <si>
    <t>10:12:48</t>
  </si>
  <si>
    <t>11:36:22</t>
  </si>
  <si>
    <t>20:50:31</t>
  </si>
  <si>
    <t>18:07:54</t>
  </si>
  <si>
    <t>Shirts 929817</t>
  </si>
  <si>
    <t>19:45:29</t>
  </si>
  <si>
    <t>Customer 240</t>
  </si>
  <si>
    <t>10:46:39</t>
  </si>
  <si>
    <t>Customer 231</t>
  </si>
  <si>
    <t>13:49:45</t>
  </si>
  <si>
    <t>Pants 545806</t>
  </si>
  <si>
    <t>16:24:27</t>
  </si>
  <si>
    <t>Pants 993354</t>
  </si>
  <si>
    <t>11:05:59</t>
  </si>
  <si>
    <t>Customer 249</t>
  </si>
  <si>
    <t>20:03:08</t>
  </si>
  <si>
    <t>Customer 387</t>
  </si>
  <si>
    <t>15:50:25</t>
  </si>
  <si>
    <t>17:03:20</t>
  </si>
  <si>
    <t>Customer 1207</t>
  </si>
  <si>
    <t>09:02:39</t>
  </si>
  <si>
    <t>Balls 645325</t>
  </si>
  <si>
    <t>T-shirts 916988</t>
  </si>
  <si>
    <t>18:26:40</t>
  </si>
  <si>
    <t>Caps 277837</t>
  </si>
  <si>
    <t>Customer 1173</t>
  </si>
  <si>
    <t>17:45:03</t>
  </si>
  <si>
    <t>10:51:52</t>
  </si>
  <si>
    <t>Pants 193454</t>
  </si>
  <si>
    <t>17:44:12</t>
  </si>
  <si>
    <t>11:14:08</t>
  </si>
  <si>
    <t>09:49:23</t>
  </si>
  <si>
    <t>Singlets 932689</t>
  </si>
  <si>
    <t>18:36:00</t>
  </si>
  <si>
    <t>Balls 312863</t>
  </si>
  <si>
    <t>19:30:37</t>
  </si>
  <si>
    <t>Customer 767</t>
  </si>
  <si>
    <t>Pants 917592</t>
  </si>
  <si>
    <t>14:44:54</t>
  </si>
  <si>
    <t>20:02:39</t>
  </si>
  <si>
    <t>Tights 786973</t>
  </si>
  <si>
    <t>14:09:07</t>
  </si>
  <si>
    <t>16:03:54</t>
  </si>
  <si>
    <t>Pants 409546</t>
  </si>
  <si>
    <t>Customer 1235</t>
  </si>
  <si>
    <t>13:07:24</t>
  </si>
  <si>
    <t>11:06:59</t>
  </si>
  <si>
    <t>Pants 343545</t>
  </si>
  <si>
    <t>19:50:03</t>
  </si>
  <si>
    <t>Customer 874</t>
  </si>
  <si>
    <t>17:37:38</t>
  </si>
  <si>
    <t>10:33:23</t>
  </si>
  <si>
    <t>10:13:50</t>
  </si>
  <si>
    <t>14:11:42</t>
  </si>
  <si>
    <t>Customer 405</t>
  </si>
  <si>
    <t>13:58:53</t>
  </si>
  <si>
    <t>17:48:21</t>
  </si>
  <si>
    <t>Customer 216</t>
  </si>
  <si>
    <t>12:53:58</t>
  </si>
  <si>
    <t>14:14:28</t>
  </si>
  <si>
    <t>Cufflinks 126018</t>
  </si>
  <si>
    <t>12:57:44</t>
  </si>
  <si>
    <t>Flip flops 613460</t>
  </si>
  <si>
    <t>Customer 587</t>
  </si>
  <si>
    <t>20:59:12</t>
  </si>
  <si>
    <t>09:03:07</t>
  </si>
  <si>
    <t>Customer 760</t>
  </si>
  <si>
    <t>19:38:30</t>
  </si>
  <si>
    <t>19:26:57</t>
  </si>
  <si>
    <t>Customer 43</t>
  </si>
  <si>
    <t>Sneakers 408052</t>
  </si>
  <si>
    <t>10:50:44</t>
  </si>
  <si>
    <t>Singlets 201409</t>
  </si>
  <si>
    <t>17:55:57</t>
  </si>
  <si>
    <t>Customer 564</t>
  </si>
  <si>
    <t>16:38:54</t>
  </si>
  <si>
    <t>09:00:17</t>
  </si>
  <si>
    <t>20:56:03</t>
  </si>
  <si>
    <t>12:40:06</t>
  </si>
  <si>
    <t>15:01:29</t>
  </si>
  <si>
    <t>Customer 1051</t>
  </si>
  <si>
    <t>12:39:40</t>
  </si>
  <si>
    <t>15:53:23</t>
  </si>
  <si>
    <t>13:34:39</t>
  </si>
  <si>
    <t>15:17:51</t>
  </si>
  <si>
    <t>Shirts 556819</t>
  </si>
  <si>
    <t>12:30:55</t>
  </si>
  <si>
    <t>18:21:47</t>
  </si>
  <si>
    <t>Customer 56</t>
  </si>
  <si>
    <t>15:50:09</t>
  </si>
  <si>
    <t>Customer 506</t>
  </si>
  <si>
    <t>Shirts 188008</t>
  </si>
  <si>
    <t>10:45:31</t>
  </si>
  <si>
    <t>Boots 591233</t>
  </si>
  <si>
    <t>15:47:46</t>
  </si>
  <si>
    <t>Customer 449</t>
  </si>
  <si>
    <t>19:59:09</t>
  </si>
  <si>
    <t>19:39:23</t>
  </si>
  <si>
    <t>Customer 999</t>
  </si>
  <si>
    <t>Shoes 658160</t>
  </si>
  <si>
    <t>13:18:25</t>
  </si>
  <si>
    <t>20:00:29</t>
  </si>
  <si>
    <t>Customer 855</t>
  </si>
  <si>
    <t>18:08:49</t>
  </si>
  <si>
    <t>Customer 370</t>
  </si>
  <si>
    <t>18:54:09</t>
  </si>
  <si>
    <t>Customer 225</t>
  </si>
  <si>
    <t>11:37:52</t>
  </si>
  <si>
    <t>Balls 792646</t>
  </si>
  <si>
    <t>11:27:28</t>
  </si>
  <si>
    <t>12:57:54</t>
  </si>
  <si>
    <t>19:28:51</t>
  </si>
  <si>
    <t>16:17:15</t>
  </si>
  <si>
    <t>09:04:59</t>
  </si>
  <si>
    <t>Customer 1168</t>
  </si>
  <si>
    <t>11:40:13</t>
  </si>
  <si>
    <t>Customer 839</t>
  </si>
  <si>
    <t>16:37:12</t>
  </si>
  <si>
    <t>Customer 687</t>
  </si>
  <si>
    <t>13:13:50</t>
  </si>
  <si>
    <t>09:14:22</t>
  </si>
  <si>
    <t>Shoes 724947</t>
  </si>
  <si>
    <t>18:33:31</t>
  </si>
  <si>
    <t>Customer 699</t>
  </si>
  <si>
    <t>11:20:58</t>
  </si>
  <si>
    <t>11:02:30</t>
  </si>
  <si>
    <t>10:36:40</t>
  </si>
  <si>
    <t>12:00:12</t>
  </si>
  <si>
    <t>Customer 1110</t>
  </si>
  <si>
    <t>19:27:39</t>
  </si>
  <si>
    <t>14:05:01</t>
  </si>
  <si>
    <t>Sneakers 301451</t>
  </si>
  <si>
    <t>Flip flops 481120</t>
  </si>
  <si>
    <t>09:56:29</t>
  </si>
  <si>
    <t>11:24:38</t>
  </si>
  <si>
    <t>Belts 738306</t>
  </si>
  <si>
    <t>Belts 992319</t>
  </si>
  <si>
    <t>09:28:53</t>
  </si>
  <si>
    <t>Customer 1032</t>
  </si>
  <si>
    <t>20:11:41</t>
  </si>
  <si>
    <t>Customer 287</t>
  </si>
  <si>
    <t>13:12:34</t>
  </si>
  <si>
    <t>13:58:56</t>
  </si>
  <si>
    <t>17:37:45</t>
  </si>
  <si>
    <t>16:26:26</t>
  </si>
  <si>
    <t>Customer 669</t>
  </si>
  <si>
    <t>19:56:51</t>
  </si>
  <si>
    <t>15:22:25</t>
  </si>
  <si>
    <t>13:04:04</t>
  </si>
  <si>
    <t>11:44:40</t>
  </si>
  <si>
    <t>Customer 1225</t>
  </si>
  <si>
    <t>18:08:50</t>
  </si>
  <si>
    <t>18:23:35</t>
  </si>
  <si>
    <t>Sneakers 122673</t>
  </si>
  <si>
    <t>12:11:26</t>
  </si>
  <si>
    <t>11:23:53</t>
  </si>
  <si>
    <t>12:42:53</t>
  </si>
  <si>
    <t>Customer 1098</t>
  </si>
  <si>
    <t>T-shirts 371536</t>
  </si>
  <si>
    <t>11:59:40</t>
  </si>
  <si>
    <t>Hats 296729</t>
  </si>
  <si>
    <t>Shirts 538211</t>
  </si>
  <si>
    <t>15:39:33</t>
  </si>
  <si>
    <t>16:51:17</t>
  </si>
  <si>
    <t>18:41:06</t>
  </si>
  <si>
    <t>17:55:40</t>
  </si>
  <si>
    <t>15:36:37</t>
  </si>
  <si>
    <t>Singlets 204321</t>
  </si>
  <si>
    <t>15:26:34</t>
  </si>
  <si>
    <t>15:55:52</t>
  </si>
  <si>
    <t>11:20:19</t>
  </si>
  <si>
    <t>09:04:34</t>
  </si>
  <si>
    <t>Customer 623</t>
  </si>
  <si>
    <t>Caps 139209</t>
  </si>
  <si>
    <t>Shirts 970465</t>
  </si>
  <si>
    <t>19:33:33</t>
  </si>
  <si>
    <t>Cufflinks 747097</t>
  </si>
  <si>
    <t>09:21:26</t>
  </si>
  <si>
    <t>Cufflinks 424854</t>
  </si>
  <si>
    <t>11:19:24</t>
  </si>
  <si>
    <t>13:37:12</t>
  </si>
  <si>
    <t>09:22:52</t>
  </si>
  <si>
    <t>14:11:56</t>
  </si>
  <si>
    <t>18:04:47</t>
  </si>
  <si>
    <t>10:32:37</t>
  </si>
  <si>
    <t>12:52:15</t>
  </si>
  <si>
    <t>17:22:49</t>
  </si>
  <si>
    <t>Belts 147428</t>
  </si>
  <si>
    <t>12:35:43</t>
  </si>
  <si>
    <t>Customer 635</t>
  </si>
  <si>
    <t>15:02:44</t>
  </si>
  <si>
    <t>19:37:24</t>
  </si>
  <si>
    <t>12:03:45</t>
  </si>
  <si>
    <t>14:59:21</t>
  </si>
  <si>
    <t>14:59:26</t>
  </si>
  <si>
    <t>Customer 134</t>
  </si>
  <si>
    <t>10:19:17</t>
  </si>
  <si>
    <t>20:32:38</t>
  </si>
  <si>
    <t>15:09:51</t>
  </si>
  <si>
    <t>14:38:47</t>
  </si>
  <si>
    <t>14:42:45</t>
  </si>
  <si>
    <t>13:56:11</t>
  </si>
  <si>
    <t>T-shirts 378381</t>
  </si>
  <si>
    <t>Pants 565540</t>
  </si>
  <si>
    <t>10:13:03</t>
  </si>
  <si>
    <t>Shirts 157600</t>
  </si>
  <si>
    <t>20:07:04</t>
  </si>
  <si>
    <t>19:17:01</t>
  </si>
  <si>
    <t>Singlets 616753</t>
  </si>
  <si>
    <t>12:31:12</t>
  </si>
  <si>
    <t>Cufflinks 272420</t>
  </si>
  <si>
    <t>15:39:08</t>
  </si>
  <si>
    <t>19:11:13</t>
  </si>
  <si>
    <t>11:46:07</t>
  </si>
  <si>
    <t>15:30:15</t>
  </si>
  <si>
    <t>17:09:24</t>
  </si>
  <si>
    <t>14:51:52</t>
  </si>
  <si>
    <t>Shirts 418741</t>
  </si>
  <si>
    <t>09:30:57</t>
  </si>
  <si>
    <t>09:51:42</t>
  </si>
  <si>
    <t>Pants 102471</t>
  </si>
  <si>
    <t>19:47:55</t>
  </si>
  <si>
    <t>19:28:13</t>
  </si>
  <si>
    <t>T-shirts 250226</t>
  </si>
  <si>
    <t>09:08:07</t>
  </si>
  <si>
    <t>14:15:13</t>
  </si>
  <si>
    <t>Customer 927</t>
  </si>
  <si>
    <t>12:58:58</t>
  </si>
  <si>
    <t>13:36:53</t>
  </si>
  <si>
    <t>Customer 1121</t>
  </si>
  <si>
    <t>12:54:09</t>
  </si>
  <si>
    <t>12:11:20</t>
  </si>
  <si>
    <t>12:28:30</t>
  </si>
  <si>
    <t>Customer 833</t>
  </si>
  <si>
    <t>19:21:03</t>
  </si>
  <si>
    <t>20:26:16</t>
  </si>
  <si>
    <t>Customer 1123</t>
  </si>
  <si>
    <t>17:16:44</t>
  </si>
  <si>
    <t>18:32:36</t>
  </si>
  <si>
    <t>13:34:50</t>
  </si>
  <si>
    <t>12:34:43</t>
  </si>
  <si>
    <t>13:13:10</t>
  </si>
  <si>
    <t>Hats 700744</t>
  </si>
  <si>
    <t>17:16:05</t>
  </si>
  <si>
    <t>11:07:18</t>
  </si>
  <si>
    <t>10:36:22</t>
  </si>
  <si>
    <t>Tights 707545</t>
  </si>
  <si>
    <t>09:11:00</t>
  </si>
  <si>
    <t>Cufflinks 460313</t>
  </si>
  <si>
    <t>20:04:11</t>
  </si>
  <si>
    <t>Belts 337634</t>
  </si>
  <si>
    <t>16:12:47</t>
  </si>
  <si>
    <t>19:53:44</t>
  </si>
  <si>
    <t>20:17:29</t>
  </si>
  <si>
    <t>13:59:02</t>
  </si>
  <si>
    <t>Customer 1067</t>
  </si>
  <si>
    <t>15:58:36</t>
  </si>
  <si>
    <t>Singlets 941248</t>
  </si>
  <si>
    <t>12:32:44</t>
  </si>
  <si>
    <t>18:33:09</t>
  </si>
  <si>
    <t>11:44:52</t>
  </si>
  <si>
    <t>Shirts 627821</t>
  </si>
  <si>
    <t>15:24:57</t>
  </si>
  <si>
    <t>10:23:03</t>
  </si>
  <si>
    <t>19:34:34</t>
  </si>
  <si>
    <t>15:20:21</t>
  </si>
  <si>
    <t>T-shirts 109758</t>
  </si>
  <si>
    <t>19:39:53</t>
  </si>
  <si>
    <t>19:34:24</t>
  </si>
  <si>
    <t>18:40:07</t>
  </si>
  <si>
    <t>12:54:52</t>
  </si>
  <si>
    <t>16:11:35</t>
  </si>
  <si>
    <t>16:21:05</t>
  </si>
  <si>
    <t>13:23:47</t>
  </si>
  <si>
    <t>Customer 58</t>
  </si>
  <si>
    <t>17:49:46</t>
  </si>
  <si>
    <t>Customer 1176</t>
  </si>
  <si>
    <t>Cufflinks 612433</t>
  </si>
  <si>
    <t>15:35:51</t>
  </si>
  <si>
    <t>18:29:52</t>
  </si>
  <si>
    <t>14:09:56</t>
  </si>
  <si>
    <t>11:21:16</t>
  </si>
  <si>
    <t>16:57:19</t>
  </si>
  <si>
    <t>15:59:17</t>
  </si>
  <si>
    <t>09:51:12</t>
  </si>
  <si>
    <t>20:04:28</t>
  </si>
  <si>
    <t>14:32:05</t>
  </si>
  <si>
    <t>14:51:55</t>
  </si>
  <si>
    <t>16:03:08</t>
  </si>
  <si>
    <t>20:30:11</t>
  </si>
  <si>
    <t>Shirts 444911</t>
  </si>
  <si>
    <t>11:31:05</t>
  </si>
  <si>
    <t>Customer 925</t>
  </si>
  <si>
    <t>17:39:57</t>
  </si>
  <si>
    <t>Customer 396</t>
  </si>
  <si>
    <t>T-shirts 128790</t>
  </si>
  <si>
    <t>18:14:37</t>
  </si>
  <si>
    <t>13:24:34</t>
  </si>
  <si>
    <t>14:39:11</t>
  </si>
  <si>
    <t>Customer 892</t>
  </si>
  <si>
    <t>17:13:49</t>
  </si>
  <si>
    <t>18:57:14</t>
  </si>
  <si>
    <t>18:11:05</t>
  </si>
  <si>
    <t>18:37:44</t>
  </si>
  <si>
    <t>11:22:25</t>
  </si>
  <si>
    <t>17:50:55</t>
  </si>
  <si>
    <t>10:15:55</t>
  </si>
  <si>
    <t>18:11:48</t>
  </si>
  <si>
    <t>19:38:50</t>
  </si>
  <si>
    <t>09:21:16</t>
  </si>
  <si>
    <t>Pants 760477</t>
  </si>
  <si>
    <t>15:05:49</t>
  </si>
  <si>
    <t>10:53:52</t>
  </si>
  <si>
    <t>09:58:14</t>
  </si>
  <si>
    <t>Cufflinks 986483</t>
  </si>
  <si>
    <t>Boots 370186</t>
  </si>
  <si>
    <t>12:40:43</t>
  </si>
  <si>
    <t>16:27:47</t>
  </si>
  <si>
    <t>Customer 543</t>
  </si>
  <si>
    <t>10:47:55</t>
  </si>
  <si>
    <t>19:26:16</t>
  </si>
  <si>
    <t>17:02:51</t>
  </si>
  <si>
    <t>10:42:19</t>
  </si>
  <si>
    <t>13:55:33</t>
  </si>
  <si>
    <t>Customer 1277</t>
  </si>
  <si>
    <t>18:08:33</t>
  </si>
  <si>
    <t>Customer 84</t>
  </si>
  <si>
    <t>13:14:50</t>
  </si>
  <si>
    <t>13:50:37</t>
  </si>
  <si>
    <t>09:49:17</t>
  </si>
  <si>
    <t>16:59:06</t>
  </si>
  <si>
    <t>20:22:49</t>
  </si>
  <si>
    <t>10:07:44</t>
  </si>
  <si>
    <t>16:49:33</t>
  </si>
  <si>
    <t>Customer 611</t>
  </si>
  <si>
    <t>13:44:39</t>
  </si>
  <si>
    <t>10:33:00</t>
  </si>
  <si>
    <t>19:01:28</t>
  </si>
  <si>
    <t>19:38:11</t>
  </si>
  <si>
    <t>16:56:48</t>
  </si>
  <si>
    <t>13:40:37</t>
  </si>
  <si>
    <t>17:01:07</t>
  </si>
  <si>
    <t>16:48:03</t>
  </si>
  <si>
    <t>20:21:07</t>
  </si>
  <si>
    <t>Shoes 282722</t>
  </si>
  <si>
    <t>Customer 592</t>
  </si>
  <si>
    <t>18:38:50</t>
  </si>
  <si>
    <t>19:01:16</t>
  </si>
  <si>
    <t>Customer 80</t>
  </si>
  <si>
    <t>14:09:41</t>
  </si>
  <si>
    <t>Customer 1152</t>
  </si>
  <si>
    <t>17:32:52</t>
  </si>
  <si>
    <t>13:53:42</t>
  </si>
  <si>
    <t>15:08:06</t>
  </si>
  <si>
    <t>Customer 941</t>
  </si>
  <si>
    <t>10:45:10</t>
  </si>
  <si>
    <t>Customer 1264</t>
  </si>
  <si>
    <t>20:32:49</t>
  </si>
  <si>
    <t>Customer 536</t>
  </si>
  <si>
    <t>18:52:05</t>
  </si>
  <si>
    <t>Customer 50</t>
  </si>
  <si>
    <t>18:15:46</t>
  </si>
  <si>
    <t>Customer 309</t>
  </si>
  <si>
    <t>11:58:53</t>
  </si>
  <si>
    <t>13:01:34</t>
  </si>
  <si>
    <t>09:34:33</t>
  </si>
  <si>
    <t>13:42:47</t>
  </si>
  <si>
    <t>09:05:45</t>
  </si>
  <si>
    <t>Customer 423</t>
  </si>
  <si>
    <t>13:43:20</t>
  </si>
  <si>
    <t>19:51:53</t>
  </si>
  <si>
    <t>14:26:17</t>
  </si>
  <si>
    <t>12:01:50</t>
  </si>
  <si>
    <t>19:45:18</t>
  </si>
  <si>
    <t>17:31:48</t>
  </si>
  <si>
    <t>14:20:56</t>
  </si>
  <si>
    <t>Customer 198</t>
  </si>
  <si>
    <t>17:52:26</t>
  </si>
  <si>
    <t>09:56:59</t>
  </si>
  <si>
    <t>16:31:50</t>
  </si>
  <si>
    <t>Pants 632630</t>
  </si>
  <si>
    <t>17:06:29</t>
  </si>
  <si>
    <t>15:18:48</t>
  </si>
  <si>
    <t>Shirts 120054</t>
  </si>
  <si>
    <t>18:58:09</t>
  </si>
  <si>
    <t>Customer 1031</t>
  </si>
  <si>
    <t>18:24:57</t>
  </si>
  <si>
    <t>14:45:57</t>
  </si>
  <si>
    <t>18:16:46</t>
  </si>
  <si>
    <t>Customer 778</t>
  </si>
  <si>
    <t>16:50:42</t>
  </si>
  <si>
    <t>15:15:49</t>
  </si>
  <si>
    <t>12:29:56</t>
  </si>
  <si>
    <t>11:17:35</t>
  </si>
  <si>
    <t>Customer 1013</t>
  </si>
  <si>
    <t>09:37:15</t>
  </si>
  <si>
    <t>16:58:36</t>
  </si>
  <si>
    <t>20:09:34</t>
  </si>
  <si>
    <t>Customer 1025</t>
  </si>
  <si>
    <t>12:43:07</t>
  </si>
  <si>
    <t>19:28:46</t>
  </si>
  <si>
    <t>Caps 665567</t>
  </si>
  <si>
    <t>Customer 167</t>
  </si>
  <si>
    <t>18:30:36</t>
  </si>
  <si>
    <t>Cufflinks 143331</t>
  </si>
  <si>
    <t>16:39:56</t>
  </si>
  <si>
    <t>Customer 288</t>
  </si>
  <si>
    <t>20:18:34</t>
  </si>
  <si>
    <t>20:10:58</t>
  </si>
  <si>
    <t>15:41:02</t>
  </si>
  <si>
    <t>15:36:30</t>
  </si>
  <si>
    <t>Sneakers 901774</t>
  </si>
  <si>
    <t>17:36:56</t>
  </si>
  <si>
    <t>14:11:57</t>
  </si>
  <si>
    <t>Customer 49</t>
  </si>
  <si>
    <t>Hats 887690</t>
  </si>
  <si>
    <t>12:25:55</t>
  </si>
  <si>
    <t>14:58:57</t>
  </si>
  <si>
    <t>10:41:09</t>
  </si>
  <si>
    <t>14:53:31</t>
  </si>
  <si>
    <t>15:08:54</t>
  </si>
  <si>
    <t>09:22:33</t>
  </si>
  <si>
    <t>15:32:11</t>
  </si>
  <si>
    <t>Customer 1037</t>
  </si>
  <si>
    <t>10:07:12</t>
  </si>
  <si>
    <t>14:30:37</t>
  </si>
  <si>
    <t>13:47:34</t>
  </si>
  <si>
    <t>15:09:14</t>
  </si>
  <si>
    <t>17:56:11</t>
  </si>
  <si>
    <t>15:58:51</t>
  </si>
  <si>
    <t>09:01:52</t>
  </si>
  <si>
    <t>15:24:38</t>
  </si>
  <si>
    <t>Customer 1136</t>
  </si>
  <si>
    <t>Belts 240321</t>
  </si>
  <si>
    <t>18:28:49</t>
  </si>
  <si>
    <t>13:46:34</t>
  </si>
  <si>
    <t>17:47:38</t>
  </si>
  <si>
    <t>16:15:55</t>
  </si>
  <si>
    <t>19:00:09</t>
  </si>
  <si>
    <t>Customer 630</t>
  </si>
  <si>
    <t>17:18:11</t>
  </si>
  <si>
    <t>12:42:39</t>
  </si>
  <si>
    <t>18:16:50</t>
  </si>
  <si>
    <t>Pants 161510</t>
  </si>
  <si>
    <t>Customer 619</t>
  </si>
  <si>
    <t>10:42:08</t>
  </si>
  <si>
    <t>20:59:25</t>
  </si>
  <si>
    <t>13:42:32</t>
  </si>
  <si>
    <t>Customer 996</t>
  </si>
  <si>
    <t>18:12:03</t>
  </si>
  <si>
    <t>Customer 1139</t>
  </si>
  <si>
    <t>16:11:34</t>
  </si>
  <si>
    <t>16:43:44</t>
  </si>
  <si>
    <t>Customer 170</t>
  </si>
  <si>
    <t>15:52:55</t>
  </si>
  <si>
    <t>11:44:31</t>
  </si>
  <si>
    <t>Customer 828</t>
  </si>
  <si>
    <t>14:00:29</t>
  </si>
  <si>
    <t>Balls 251129</t>
  </si>
  <si>
    <t>Customer 935</t>
  </si>
  <si>
    <t>12:15:58</t>
  </si>
  <si>
    <t>13:53:39</t>
  </si>
  <si>
    <t>Customer 764</t>
  </si>
  <si>
    <t>Pants 672362</t>
  </si>
  <si>
    <t>11:34:06</t>
  </si>
  <si>
    <t>Customer 281</t>
  </si>
  <si>
    <t>14:35:58</t>
  </si>
  <si>
    <t>10:36:57</t>
  </si>
  <si>
    <t>16:10:02</t>
  </si>
  <si>
    <t>11:53:00</t>
  </si>
  <si>
    <t>20:42:05</t>
  </si>
  <si>
    <t>20:32:48</t>
  </si>
  <si>
    <t>19:18:08</t>
  </si>
  <si>
    <t>14:29:27</t>
  </si>
  <si>
    <t>18:10:06</t>
  </si>
  <si>
    <t>Customer 12</t>
  </si>
  <si>
    <t>11:09:09</t>
  </si>
  <si>
    <t>15:12:28</t>
  </si>
  <si>
    <t>13:44:35</t>
  </si>
  <si>
    <t>11:47:39</t>
  </si>
  <si>
    <t>18:33:50</t>
  </si>
  <si>
    <t>13:12:36</t>
  </si>
  <si>
    <t>17:11:38</t>
  </si>
  <si>
    <t>Customer 777</t>
  </si>
  <si>
    <t>16:00:34</t>
  </si>
  <si>
    <t>Customer 786</t>
  </si>
  <si>
    <t>15:53:04</t>
  </si>
  <si>
    <t>14:25:16</t>
  </si>
  <si>
    <t>Hats 396294</t>
  </si>
  <si>
    <t>14:13:10</t>
  </si>
  <si>
    <t>18:56:32</t>
  </si>
  <si>
    <t>Customer 273</t>
  </si>
  <si>
    <t>18:06:48</t>
  </si>
  <si>
    <t>15:40:55</t>
  </si>
  <si>
    <t>19:57:53</t>
  </si>
  <si>
    <t>Customer 92</t>
  </si>
  <si>
    <t>14:09:16</t>
  </si>
  <si>
    <t>12:46:14</t>
  </si>
  <si>
    <t>10:43:36</t>
  </si>
  <si>
    <t>13:27:37</t>
  </si>
  <si>
    <t>10:12:14</t>
  </si>
  <si>
    <t>Customer 286</t>
  </si>
  <si>
    <t>10:48:36</t>
  </si>
  <si>
    <t>19:07:25</t>
  </si>
  <si>
    <t>Customer 468</t>
  </si>
  <si>
    <t>20:27:53</t>
  </si>
  <si>
    <t>09:34:05</t>
  </si>
  <si>
    <t>16:14:14</t>
  </si>
  <si>
    <t>20:30:26</t>
  </si>
  <si>
    <t>12:17:14</t>
  </si>
  <si>
    <t>Customer 1211</t>
  </si>
  <si>
    <t>13:32:17</t>
  </si>
  <si>
    <t>10:29:17</t>
  </si>
  <si>
    <t>11:28:28</t>
  </si>
  <si>
    <t>Customer 368</t>
  </si>
  <si>
    <t>11:53:58</t>
  </si>
  <si>
    <t>09:38:11</t>
  </si>
  <si>
    <t>10:35:35</t>
  </si>
  <si>
    <t>Customer 1215</t>
  </si>
  <si>
    <t>20:44:58</t>
  </si>
  <si>
    <t>19:44:43</t>
  </si>
  <si>
    <t>16:26:43</t>
  </si>
  <si>
    <t>Pants 166687</t>
  </si>
  <si>
    <t>09:52:30</t>
  </si>
  <si>
    <t>15:01:13</t>
  </si>
  <si>
    <t>Customer 330</t>
  </si>
  <si>
    <t>17:46:13</t>
  </si>
  <si>
    <t>11:19:51</t>
  </si>
  <si>
    <t>Shirts 413884</t>
  </si>
  <si>
    <t>Customer 672</t>
  </si>
  <si>
    <t>10:00:40</t>
  </si>
  <si>
    <t>18:35:47</t>
  </si>
  <si>
    <t>16:23:36</t>
  </si>
  <si>
    <t>10:09:02</t>
  </si>
  <si>
    <t>20:32:26</t>
  </si>
  <si>
    <t>13:35:55</t>
  </si>
  <si>
    <t>Caps 406198</t>
  </si>
  <si>
    <t>Pants 236220</t>
  </si>
  <si>
    <t>17:14:26</t>
  </si>
  <si>
    <t>Customer 147</t>
  </si>
  <si>
    <t>09:53:43</t>
  </si>
  <si>
    <t>Customer 328</t>
  </si>
  <si>
    <t>19:07:30</t>
  </si>
  <si>
    <t>09:26:36</t>
  </si>
  <si>
    <t>Customer 1222</t>
  </si>
  <si>
    <t>16:05:41</t>
  </si>
  <si>
    <t>Customer 770</t>
  </si>
  <si>
    <t>13:10:26</t>
  </si>
  <si>
    <t>13:34:18</t>
  </si>
  <si>
    <t>19:04:57</t>
  </si>
  <si>
    <t>18:15:44</t>
  </si>
  <si>
    <t>15:03:37</t>
  </si>
  <si>
    <t>16:54:50</t>
  </si>
  <si>
    <t>Customer 162</t>
  </si>
  <si>
    <t>10:33:02</t>
  </si>
  <si>
    <t>12:07:46</t>
  </si>
  <si>
    <t>18:20:55</t>
  </si>
  <si>
    <t>17:16:07</t>
  </si>
  <si>
    <t>13:39:53</t>
  </si>
  <si>
    <t>14:06:17</t>
  </si>
  <si>
    <t>11:41:37</t>
  </si>
  <si>
    <t>11:27:29</t>
  </si>
  <si>
    <t>11:43:53</t>
  </si>
  <si>
    <t>T-shirts 364247</t>
  </si>
  <si>
    <t>Customer 710</t>
  </si>
  <si>
    <t>11:06:57</t>
  </si>
  <si>
    <t>17:38:01</t>
  </si>
  <si>
    <t>20:04:14</t>
  </si>
  <si>
    <t>20:45:22</t>
  </si>
  <si>
    <t>17:37:37</t>
  </si>
  <si>
    <t>15:43:15</t>
  </si>
  <si>
    <t>Customer 70</t>
  </si>
  <si>
    <t>16:53:25</t>
  </si>
  <si>
    <t>19:41:41</t>
  </si>
  <si>
    <t>12:46:51</t>
  </si>
  <si>
    <t>Hats 658589</t>
  </si>
  <si>
    <t>13:07:34</t>
  </si>
  <si>
    <t>12:37:24</t>
  </si>
  <si>
    <t>Customer 831</t>
  </si>
  <si>
    <t>15:53:56</t>
  </si>
  <si>
    <t>18:52:06</t>
  </si>
  <si>
    <t>17:49:39</t>
  </si>
  <si>
    <t>18:03:34</t>
  </si>
  <si>
    <t>15:54:23</t>
  </si>
  <si>
    <t>17:43:44</t>
  </si>
  <si>
    <t>Customer 851</t>
  </si>
  <si>
    <t>12:38:47</t>
  </si>
  <si>
    <t>11:47:25</t>
  </si>
  <si>
    <t>16:29:59</t>
  </si>
  <si>
    <t>15:55:05</t>
  </si>
  <si>
    <t>Customer 994</t>
  </si>
  <si>
    <t>18:38:07</t>
  </si>
  <si>
    <t>Hats 659968</t>
  </si>
  <si>
    <t>17:27:27</t>
  </si>
  <si>
    <t>18:34:51</t>
  </si>
  <si>
    <t>15:01:54</t>
  </si>
  <si>
    <t>Belts 893933</t>
  </si>
  <si>
    <t>20:16:49</t>
  </si>
  <si>
    <t>Customer 890</t>
  </si>
  <si>
    <t>15:06:22</t>
  </si>
  <si>
    <t>Customer 1131</t>
  </si>
  <si>
    <t>14:43:55</t>
  </si>
  <si>
    <t>11:02:35</t>
  </si>
  <si>
    <t>18:26:00</t>
  </si>
  <si>
    <t>16:24:05</t>
  </si>
  <si>
    <t>12:48:08</t>
  </si>
  <si>
    <t>Customer 1144</t>
  </si>
  <si>
    <t>16:45:48</t>
  </si>
  <si>
    <t>14:19:59</t>
  </si>
  <si>
    <t>16:54:36</t>
  </si>
  <si>
    <t>20:21:08</t>
  </si>
  <si>
    <t>19:07:47</t>
  </si>
  <si>
    <t>18:19:50</t>
  </si>
  <si>
    <t>18:08:25</t>
  </si>
  <si>
    <t>17:34:23</t>
  </si>
  <si>
    <t>17:18:26</t>
  </si>
  <si>
    <t>12:37:34</t>
  </si>
  <si>
    <t>19:48:43</t>
  </si>
  <si>
    <t>Customer 491</t>
  </si>
  <si>
    <t>18:37:02</t>
  </si>
  <si>
    <t>Customer 421</t>
  </si>
  <si>
    <t>09:06:35</t>
  </si>
  <si>
    <t>16:17:47</t>
  </si>
  <si>
    <t>18:29:31</t>
  </si>
  <si>
    <t>14:36:54</t>
  </si>
  <si>
    <t>Customer 78</t>
  </si>
  <si>
    <t>20:44:50</t>
  </si>
  <si>
    <t>14:34:01</t>
  </si>
  <si>
    <t>17:02:49</t>
  </si>
  <si>
    <t>09:35:08</t>
  </si>
  <si>
    <t>13:32:00</t>
  </si>
  <si>
    <t>09:15:35</t>
  </si>
  <si>
    <t>19:50:13</t>
  </si>
  <si>
    <t>13:06:43</t>
  </si>
  <si>
    <t>Customer 815</t>
  </si>
  <si>
    <t>19:19:02</t>
  </si>
  <si>
    <t>18:03:19</t>
  </si>
  <si>
    <t>20:46:00</t>
  </si>
  <si>
    <t>13:18:47</t>
  </si>
  <si>
    <t>09:08:48</t>
  </si>
  <si>
    <t>17:09:05</t>
  </si>
  <si>
    <t>12:41:53</t>
  </si>
  <si>
    <t>18:40:25</t>
  </si>
  <si>
    <t>11:46:00</t>
  </si>
  <si>
    <t>11:01:31</t>
  </si>
  <si>
    <t>Customer 1023</t>
  </si>
  <si>
    <t>18:33:18</t>
  </si>
  <si>
    <t>12:01:58</t>
  </si>
  <si>
    <t>09:10:41</t>
  </si>
  <si>
    <t>16:27:45</t>
  </si>
  <si>
    <t>12:04:56</t>
  </si>
  <si>
    <t>20:45:30</t>
  </si>
  <si>
    <t>13:05:05</t>
  </si>
  <si>
    <t>Customer 476</t>
  </si>
  <si>
    <t>17:18:17</t>
  </si>
  <si>
    <t>19:59:50</t>
  </si>
  <si>
    <t>Customer 19</t>
  </si>
  <si>
    <t>15:16:45</t>
  </si>
  <si>
    <t>20:12:57</t>
  </si>
  <si>
    <t>17:00:22</t>
  </si>
  <si>
    <t>Customer 771</t>
  </si>
  <si>
    <t>10:45:43</t>
  </si>
  <si>
    <t>11:20:11</t>
  </si>
  <si>
    <t>Customer 734</t>
  </si>
  <si>
    <t>16:25:55</t>
  </si>
  <si>
    <t>11:27:33</t>
  </si>
  <si>
    <t>19:06:02</t>
  </si>
  <si>
    <t>17:14:48</t>
  </si>
  <si>
    <t>Customer 920</t>
  </si>
  <si>
    <t>11:25:57</t>
  </si>
  <si>
    <t>17:47:36</t>
  </si>
  <si>
    <t>17:31:14</t>
  </si>
  <si>
    <t>12:23:05</t>
  </si>
  <si>
    <t>17:23:47</t>
  </si>
  <si>
    <t>Customer 195</t>
  </si>
  <si>
    <t>17:16:55</t>
  </si>
  <si>
    <t>10:58:11</t>
  </si>
  <si>
    <t>17:54:20</t>
  </si>
  <si>
    <t>10:06:54</t>
  </si>
  <si>
    <t>17:57:39</t>
  </si>
  <si>
    <t>19:26:11</t>
  </si>
  <si>
    <t>12:49:50</t>
  </si>
  <si>
    <t>16:55:09</t>
  </si>
  <si>
    <t>16:35:25</t>
  </si>
  <si>
    <t>17:11:23</t>
  </si>
  <si>
    <t>13:36:07</t>
  </si>
  <si>
    <t>10:07:21</t>
  </si>
  <si>
    <t>13:37:41</t>
  </si>
  <si>
    <t>15:30:33</t>
  </si>
  <si>
    <t>20:31:14</t>
  </si>
  <si>
    <t>13:59:26</t>
  </si>
  <si>
    <t>10:38:45</t>
  </si>
  <si>
    <t>11:29:00</t>
  </si>
  <si>
    <t>Customer 192</t>
  </si>
  <si>
    <t>15:23:17</t>
  </si>
  <si>
    <t>12:14:06</t>
  </si>
  <si>
    <t>16:21:19</t>
  </si>
  <si>
    <t>12:39:00</t>
  </si>
  <si>
    <t>15:53:57</t>
  </si>
  <si>
    <t>20:05:17</t>
  </si>
  <si>
    <t>Customer 569</t>
  </si>
  <si>
    <t>14:57:18</t>
  </si>
  <si>
    <t>16:35:35</t>
  </si>
  <si>
    <t>17:32:28</t>
  </si>
  <si>
    <t>15:49:11</t>
  </si>
  <si>
    <t>10:52:35</t>
  </si>
  <si>
    <t>14:11:30</t>
  </si>
  <si>
    <t>12:48:18</t>
  </si>
  <si>
    <t>19:17:16</t>
  </si>
  <si>
    <t>18:48:55</t>
  </si>
  <si>
    <t>20:13:22</t>
  </si>
  <si>
    <t>11:00:56</t>
  </si>
  <si>
    <t>Customer 813</t>
  </si>
  <si>
    <t>19:58:00</t>
  </si>
  <si>
    <t>19:42:52</t>
  </si>
  <si>
    <t>13:27:22</t>
  </si>
  <si>
    <t>12:23:16</t>
  </si>
  <si>
    <t>10:35:04</t>
  </si>
  <si>
    <t>13:04:40</t>
  </si>
  <si>
    <t>19:38:59</t>
  </si>
  <si>
    <t>10:48:15</t>
  </si>
  <si>
    <t>11:56:57</t>
  </si>
  <si>
    <t>13:52:36</t>
  </si>
  <si>
    <t>18:36:31</t>
  </si>
  <si>
    <t>Customer 274</t>
  </si>
  <si>
    <t>12:35:58</t>
  </si>
  <si>
    <t>Customer 283</t>
  </si>
  <si>
    <t>15:10:23</t>
  </si>
  <si>
    <t>20:48:24</t>
  </si>
  <si>
    <t>12:50:11</t>
  </si>
  <si>
    <t>20:59:02</t>
  </si>
  <si>
    <t>19:45:34</t>
  </si>
  <si>
    <t>17:18:42</t>
  </si>
  <si>
    <t>15:33:08</t>
  </si>
  <si>
    <t>09:53:40</t>
  </si>
  <si>
    <t>16:22:36</t>
  </si>
  <si>
    <t>15:52:22</t>
  </si>
  <si>
    <t>12:09:38</t>
  </si>
  <si>
    <t>Customer 161</t>
  </si>
  <si>
    <t>15:07:17</t>
  </si>
  <si>
    <t>Customer 191</t>
  </si>
  <si>
    <t>15:30:17</t>
  </si>
  <si>
    <t>12:15:21</t>
  </si>
  <si>
    <t>16:17:13</t>
  </si>
  <si>
    <t>12:01:43</t>
  </si>
  <si>
    <t>15:07:24</t>
  </si>
  <si>
    <t>Customer 721</t>
  </si>
  <si>
    <t>12:53:52</t>
  </si>
  <si>
    <t>13:44:26</t>
  </si>
  <si>
    <t>Customer 156</t>
  </si>
  <si>
    <t>19:32:25</t>
  </si>
  <si>
    <t>13:09:10</t>
  </si>
  <si>
    <t>11:28:04</t>
  </si>
  <si>
    <t>20:22:07</t>
  </si>
  <si>
    <t>Customer 960</t>
  </si>
  <si>
    <t>19:32:48</t>
  </si>
  <si>
    <t>Customer 1220</t>
  </si>
  <si>
    <t>11:37:22</t>
  </si>
  <si>
    <t>09:33:25</t>
  </si>
  <si>
    <t>11:41:45</t>
  </si>
  <si>
    <t>14:40:05</t>
  </si>
  <si>
    <t>13:19:33</t>
  </si>
  <si>
    <t>Customer 1179</t>
  </si>
  <si>
    <t>10:34:18</t>
  </si>
  <si>
    <t>16:49:03</t>
  </si>
  <si>
    <t>18:35:02</t>
  </si>
  <si>
    <t>11:42:55</t>
  </si>
  <si>
    <t>Customer 830</t>
  </si>
  <si>
    <t>18:16:11</t>
  </si>
  <si>
    <t>Customer 1171</t>
  </si>
  <si>
    <t>20:03:59</t>
  </si>
  <si>
    <t>15:52:02</t>
  </si>
  <si>
    <t>15:07:16</t>
  </si>
  <si>
    <t>20:12:18</t>
  </si>
  <si>
    <t>Customer 457</t>
  </si>
  <si>
    <t>11:28:53</t>
  </si>
  <si>
    <t>17:56:02</t>
  </si>
  <si>
    <t>16:37:26</t>
  </si>
  <si>
    <t>Customer 628</t>
  </si>
  <si>
    <t>18:24:25</t>
  </si>
  <si>
    <t>Customer 735</t>
  </si>
  <si>
    <t>10:40:33</t>
  </si>
  <si>
    <t>Customer 534</t>
  </si>
  <si>
    <t>17:07:46</t>
  </si>
  <si>
    <t>19:30:02</t>
  </si>
  <si>
    <t>Customer 656</t>
  </si>
  <si>
    <t>19:04:02</t>
  </si>
  <si>
    <t>20:32:39</t>
  </si>
  <si>
    <t>Customer 331</t>
  </si>
  <si>
    <t>17:55:17</t>
  </si>
  <si>
    <t>13:20:58</t>
  </si>
  <si>
    <t>12:56:34</t>
  </si>
  <si>
    <t>Customer 196</t>
  </si>
  <si>
    <t>14:13:33</t>
  </si>
  <si>
    <t>16:45:17</t>
  </si>
  <si>
    <t>Customer 175</t>
  </si>
  <si>
    <t>10:35:30</t>
  </si>
  <si>
    <t>18:35:41</t>
  </si>
  <si>
    <t>13:22:26</t>
  </si>
  <si>
    <t>11:14:31</t>
  </si>
  <si>
    <t>11:12:29</t>
  </si>
  <si>
    <t>Customer 348</t>
  </si>
  <si>
    <t>14:09:55</t>
  </si>
  <si>
    <t>11:27:35</t>
  </si>
  <si>
    <t>Customer 917</t>
  </si>
  <si>
    <t>09:40:11</t>
  </si>
  <si>
    <t>13:23:02</t>
  </si>
  <si>
    <t>20:59:18</t>
  </si>
  <si>
    <t>10:41:39</t>
  </si>
  <si>
    <t>09:37:57</t>
  </si>
  <si>
    <t>11:49:01</t>
  </si>
  <si>
    <t>14:47:06</t>
  </si>
  <si>
    <t>19:32:37</t>
  </si>
  <si>
    <t>14:24:04</t>
  </si>
  <si>
    <t>16:25:05</t>
  </si>
  <si>
    <t>Customer 128</t>
  </si>
  <si>
    <t>13:47:55</t>
  </si>
  <si>
    <t>11:33:00</t>
  </si>
  <si>
    <t>15:36:19</t>
  </si>
  <si>
    <t>Customer 544</t>
  </si>
  <si>
    <t>13:48:42</t>
  </si>
  <si>
    <t>Customer 401</t>
  </si>
  <si>
    <t>12:50:48</t>
  </si>
  <si>
    <t>11:38:39</t>
  </si>
  <si>
    <t>10:29:07</t>
  </si>
  <si>
    <t>Customer 403</t>
  </si>
  <si>
    <t>20:11:33</t>
  </si>
  <si>
    <t>17:02:17</t>
  </si>
  <si>
    <t>19:23:56</t>
  </si>
  <si>
    <t>Customer 1233</t>
  </si>
  <si>
    <t>20:53:03</t>
  </si>
  <si>
    <t>10:15:48</t>
  </si>
  <si>
    <t>16:01:24</t>
  </si>
  <si>
    <t>16:57:42</t>
  </si>
  <si>
    <t>20:46:45</t>
  </si>
  <si>
    <t>Customer 810</t>
  </si>
  <si>
    <t>14:59:44</t>
  </si>
  <si>
    <t>17:07:55</t>
  </si>
  <si>
    <t>16:19:04</t>
  </si>
  <si>
    <t>16:27:40</t>
  </si>
  <si>
    <t>13:28:00</t>
  </si>
  <si>
    <t>18:40:35</t>
  </si>
  <si>
    <t>16:28:39</t>
  </si>
  <si>
    <t>17:28:21</t>
  </si>
  <si>
    <t>15:02:11</t>
  </si>
  <si>
    <t>19:31:58</t>
  </si>
  <si>
    <t>09:04:13</t>
  </si>
  <si>
    <t>16:47:53</t>
  </si>
  <si>
    <t>15:27:10</t>
  </si>
  <si>
    <t>17:00:08</t>
  </si>
  <si>
    <t>19:22:47</t>
  </si>
  <si>
    <t>14:45:25</t>
  </si>
  <si>
    <t>14:55:19</t>
  </si>
  <si>
    <t>10:07:41</t>
  </si>
  <si>
    <t>14:24:25</t>
  </si>
  <si>
    <t>Customer 616</t>
  </si>
  <si>
    <t>20:11:18</t>
  </si>
  <si>
    <t>19:08:57</t>
  </si>
  <si>
    <t>10:32:17</t>
  </si>
  <si>
    <t>18:20:12</t>
  </si>
  <si>
    <t>16:58:18</t>
  </si>
  <si>
    <t>15:11:50</t>
  </si>
  <si>
    <t>16:14:48</t>
  </si>
  <si>
    <t>10:22:29</t>
  </si>
  <si>
    <t>13:27:24</t>
  </si>
  <si>
    <t>11:23:02</t>
  </si>
  <si>
    <t>Customer 67</t>
  </si>
  <si>
    <t>09:20:43</t>
  </si>
  <si>
    <t>16:46:09</t>
  </si>
  <si>
    <t>16:19:06</t>
  </si>
  <si>
    <t>Customer 448</t>
  </si>
  <si>
    <t>14:49:47</t>
  </si>
  <si>
    <t>Customer 712</t>
  </si>
  <si>
    <t>16:14:11</t>
  </si>
  <si>
    <t>10:39:01</t>
  </si>
  <si>
    <t>16:44:17</t>
  </si>
  <si>
    <t>Customer 922</t>
  </si>
  <si>
    <t>18:59:13</t>
  </si>
  <si>
    <t>12:05:47</t>
  </si>
  <si>
    <t>14:45:42</t>
  </si>
  <si>
    <t>Customer 1038</t>
  </si>
  <si>
    <t>19:34:32</t>
  </si>
  <si>
    <t>20:32:18</t>
  </si>
  <si>
    <t>18:23:31</t>
  </si>
  <si>
    <t>14:19:57</t>
  </si>
  <si>
    <t>20:52:53</t>
  </si>
  <si>
    <t>15:39:02</t>
  </si>
  <si>
    <t>10:09:15</t>
  </si>
  <si>
    <t>14:55:13</t>
  </si>
  <si>
    <t>18:07:42</t>
  </si>
  <si>
    <t>18:45:40</t>
  </si>
  <si>
    <t>Customer 15</t>
  </si>
  <si>
    <t>20:00:51</t>
  </si>
  <si>
    <t>10:13:37</t>
  </si>
  <si>
    <t>14:41:15</t>
  </si>
  <si>
    <t>20:11:03</t>
  </si>
  <si>
    <t>14:31:18</t>
  </si>
  <si>
    <t>Customer 173</t>
  </si>
  <si>
    <t>13:47:48</t>
  </si>
  <si>
    <t>13:37:01</t>
  </si>
  <si>
    <t>20:00:17</t>
  </si>
  <si>
    <t>14:29:19</t>
  </si>
  <si>
    <t>09:14:26</t>
  </si>
  <si>
    <t>18:03:13</t>
  </si>
  <si>
    <t>17:29:08</t>
  </si>
  <si>
    <t>Pants 327094</t>
  </si>
  <si>
    <t>14:44:25</t>
  </si>
  <si>
    <t>15:15:02</t>
  </si>
  <si>
    <t>19:57:57</t>
  </si>
  <si>
    <t>Customer 483</t>
  </si>
  <si>
    <t>18:02:12</t>
  </si>
  <si>
    <t>20:46:54</t>
  </si>
  <si>
    <t>10:59:14</t>
  </si>
  <si>
    <t>18:28:11</t>
  </si>
  <si>
    <t>16:51:12</t>
  </si>
  <si>
    <t>Customer 976</t>
  </si>
  <si>
    <t>20:47:24</t>
  </si>
  <si>
    <t>Customer 758</t>
  </si>
  <si>
    <t>14:16:11</t>
  </si>
  <si>
    <t>Customer 185</t>
  </si>
  <si>
    <t>16:11:31</t>
  </si>
  <si>
    <t>16:10:30</t>
  </si>
  <si>
    <t>14:42:26</t>
  </si>
  <si>
    <t>Customer 787</t>
  </si>
  <si>
    <t>13:14:41</t>
  </si>
  <si>
    <t>11:10:46</t>
  </si>
  <si>
    <t>20:55:03</t>
  </si>
  <si>
    <t>15:20:05</t>
  </si>
  <si>
    <t>Customer 997</t>
  </si>
  <si>
    <t>17:48:08</t>
  </si>
  <si>
    <t>20:51:11</t>
  </si>
  <si>
    <t>17:29:58</t>
  </si>
  <si>
    <t>18:41:39</t>
  </si>
  <si>
    <t>20:11:25</t>
  </si>
  <si>
    <t>13:04:12</t>
  </si>
  <si>
    <t>Customer 1272</t>
  </si>
  <si>
    <t>11:09:28</t>
  </si>
  <si>
    <t>19:54:14</t>
  </si>
  <si>
    <t>18:27:29</t>
  </si>
  <si>
    <t>18:21:51</t>
  </si>
  <si>
    <t>20:13:23</t>
  </si>
  <si>
    <t>10:00:35</t>
  </si>
  <si>
    <t>20:24:58</t>
  </si>
  <si>
    <t>19:43:55</t>
  </si>
  <si>
    <t>12:02:22</t>
  </si>
  <si>
    <t>16:36:03</t>
  </si>
  <si>
    <t>16:53:28</t>
  </si>
  <si>
    <t>09:17:37</t>
  </si>
  <si>
    <t>Customer 553</t>
  </si>
  <si>
    <t>19:04:16</t>
  </si>
  <si>
    <t>11:20:51</t>
  </si>
  <si>
    <t>10:56:19</t>
  </si>
  <si>
    <t>Customer 1040</t>
  </si>
  <si>
    <t>17:24:05</t>
  </si>
  <si>
    <t>09:20:15</t>
  </si>
  <si>
    <t>16:11:53</t>
  </si>
  <si>
    <t>19:49:49</t>
  </si>
  <si>
    <t>Customer 535</t>
  </si>
  <si>
    <t>20:40:22</t>
  </si>
  <si>
    <t>18:35:22</t>
  </si>
  <si>
    <t>Customer 153</t>
  </si>
  <si>
    <t>17:16:50</t>
  </si>
  <si>
    <t>18:33:08</t>
  </si>
  <si>
    <t>12:08:35</t>
  </si>
  <si>
    <t>Customer 1146</t>
  </si>
  <si>
    <t>T-shirts 449743</t>
  </si>
  <si>
    <t>13:00:54</t>
  </si>
  <si>
    <t>20:14:57</t>
  </si>
  <si>
    <t>Customer 439</t>
  </si>
  <si>
    <t>15:32:53</t>
  </si>
  <si>
    <t>09:40:57</t>
  </si>
  <si>
    <t>Customer 375</t>
  </si>
  <si>
    <t>11:25:09</t>
  </si>
  <si>
    <t>13:05:24</t>
  </si>
  <si>
    <t>Customer 25</t>
  </si>
  <si>
    <t>11:44:46</t>
  </si>
  <si>
    <t>17:25:01</t>
  </si>
  <si>
    <t>16:12:13</t>
  </si>
  <si>
    <t>10:25:57</t>
  </si>
  <si>
    <t>16:51:54</t>
  </si>
  <si>
    <t>12:47:55</t>
  </si>
  <si>
    <t>Customer 697</t>
  </si>
  <si>
    <t>12:25:10</t>
  </si>
  <si>
    <t>17:24:15</t>
  </si>
  <si>
    <t>17:13:12</t>
  </si>
  <si>
    <t>18:28:02</t>
  </si>
  <si>
    <t>19:41:23</t>
  </si>
  <si>
    <t>12:26:40</t>
  </si>
  <si>
    <t>17:31:26</t>
  </si>
  <si>
    <t>09:45:47</t>
  </si>
  <si>
    <t>Customer 1099</t>
  </si>
  <si>
    <t>13:17:55</t>
  </si>
  <si>
    <t>Customer 882</t>
  </si>
  <si>
    <t>14:59:54</t>
  </si>
  <si>
    <t>13:30:52</t>
  </si>
  <si>
    <t>13:14:42</t>
  </si>
  <si>
    <t>11:19:17</t>
  </si>
  <si>
    <t>Customer 417</t>
  </si>
  <si>
    <t>11:36:43</t>
  </si>
  <si>
    <t>17:46:10</t>
  </si>
  <si>
    <t>18:04:32</t>
  </si>
  <si>
    <t>16:46:13</t>
  </si>
  <si>
    <t>17:04:59</t>
  </si>
  <si>
    <t>20:45:23</t>
  </si>
  <si>
    <t>10:58:56</t>
  </si>
  <si>
    <t>10:23:47</t>
  </si>
  <si>
    <t>19:28:18</t>
  </si>
  <si>
    <t>Customer 1091</t>
  </si>
  <si>
    <t>19:21:22</t>
  </si>
  <si>
    <t>14:42:52</t>
  </si>
  <si>
    <t>19:24:26</t>
  </si>
  <si>
    <t>20:55:31</t>
  </si>
  <si>
    <t>Customer 827</t>
  </si>
  <si>
    <t>09:36:44</t>
  </si>
  <si>
    <t>15:54:09</t>
  </si>
  <si>
    <t>14:21:59</t>
  </si>
  <si>
    <t>09:10:27</t>
  </si>
  <si>
    <t>09:07:52</t>
  </si>
  <si>
    <t>19:49:02</t>
  </si>
  <si>
    <t>Customer 934</t>
  </si>
  <si>
    <t>15:22:43</t>
  </si>
  <si>
    <t>20:15:03</t>
  </si>
  <si>
    <t>09:15:37</t>
  </si>
  <si>
    <t>17:19:27</t>
  </si>
  <si>
    <t>20:45:41</t>
  </si>
  <si>
    <t>16:58:50</t>
  </si>
  <si>
    <t>Customer 410</t>
  </si>
  <si>
    <t>13:07:06</t>
  </si>
  <si>
    <t>17:48:52</t>
  </si>
  <si>
    <t>Customer 218</t>
  </si>
  <si>
    <t>15:53:36</t>
  </si>
  <si>
    <t>11:40:04</t>
  </si>
  <si>
    <t>20:49:05</t>
  </si>
  <si>
    <t>17:38:06</t>
  </si>
  <si>
    <t>15:51:08</t>
  </si>
  <si>
    <t>09:22:35</t>
  </si>
  <si>
    <t>09:52:31</t>
  </si>
  <si>
    <t>12:13:31</t>
  </si>
  <si>
    <t>14:43:48</t>
  </si>
  <si>
    <t>13:07:20</t>
  </si>
  <si>
    <t>20:04:59</t>
  </si>
  <si>
    <t>19:17:17</t>
  </si>
  <si>
    <t>20:00:20</t>
  </si>
  <si>
    <t>Customer 1</t>
  </si>
  <si>
    <t>13:10:39</t>
  </si>
  <si>
    <t>17:07:58</t>
  </si>
  <si>
    <t>20:42:51</t>
  </si>
  <si>
    <t>Customer 201</t>
  </si>
  <si>
    <t>14:45:39</t>
  </si>
  <si>
    <t>10:39:42</t>
  </si>
  <si>
    <t>17:19:35</t>
  </si>
  <si>
    <t>15:51:54</t>
  </si>
  <si>
    <t>14:10:30</t>
  </si>
  <si>
    <t>10:32:39</t>
  </si>
  <si>
    <t>Customer 1205</t>
  </si>
  <si>
    <t>12:49:04</t>
  </si>
  <si>
    <t>20:51:30</t>
  </si>
  <si>
    <t>13:23:46</t>
  </si>
  <si>
    <t>11:25:13</t>
  </si>
  <si>
    <t>18:40:52</t>
  </si>
  <si>
    <t>12:36:41</t>
  </si>
  <si>
    <t>Customer 1074</t>
  </si>
  <si>
    <t>20:46:32</t>
  </si>
  <si>
    <t>17:03:36</t>
  </si>
  <si>
    <t>Customer 850</t>
  </si>
  <si>
    <t>15:51:19</t>
  </si>
  <si>
    <t>13:22:53</t>
  </si>
  <si>
    <t>19:00:37</t>
  </si>
  <si>
    <t>12:23:40</t>
  </si>
  <si>
    <t>09:13:11</t>
  </si>
  <si>
    <t>14:35:31</t>
  </si>
  <si>
    <t>Customer 190</t>
  </si>
  <si>
    <t>13:45:07</t>
  </si>
  <si>
    <t>Customer 104</t>
  </si>
  <si>
    <t>19:51:46</t>
  </si>
  <si>
    <t>16:36:41</t>
  </si>
  <si>
    <t>19:35:59</t>
  </si>
  <si>
    <t>16:07:47</t>
  </si>
  <si>
    <t>18:26:48</t>
  </si>
  <si>
    <t>16:16:04</t>
  </si>
  <si>
    <t>16:14:06</t>
  </si>
  <si>
    <t>20:34:17</t>
  </si>
  <si>
    <t>09:47:36</t>
  </si>
  <si>
    <t>20:49:19</t>
  </si>
  <si>
    <t>15:43:21</t>
  </si>
  <si>
    <t>16:32:45</t>
  </si>
  <si>
    <t>13:56:57</t>
  </si>
  <si>
    <t>20:01:12</t>
  </si>
  <si>
    <t>12:27:29</t>
  </si>
  <si>
    <t>12:17:26</t>
  </si>
  <si>
    <t>18:36:19</t>
  </si>
  <si>
    <t>10:35:33</t>
  </si>
  <si>
    <t>10:22:25</t>
  </si>
  <si>
    <t>17:26:21</t>
  </si>
  <si>
    <t>Customer 473</t>
  </si>
  <si>
    <t>11:09:24</t>
  </si>
  <si>
    <t>Customer 1251</t>
  </si>
  <si>
    <t>19:20:11</t>
  </si>
  <si>
    <t>Customer 784</t>
  </si>
  <si>
    <t>12:31:57</t>
  </si>
  <si>
    <t>19:33:46</t>
  </si>
  <si>
    <t>20:48:50</t>
  </si>
  <si>
    <t>Customer 1275</t>
  </si>
  <si>
    <t>14:18:52</t>
  </si>
  <si>
    <t>Customer 1165</t>
  </si>
  <si>
    <t>20:57:44</t>
  </si>
  <si>
    <t>15:08:35</t>
  </si>
  <si>
    <t>Customer 494</t>
  </si>
  <si>
    <t>13:29:35</t>
  </si>
  <si>
    <t>Customer 1185</t>
  </si>
  <si>
    <t>18:35:12</t>
  </si>
  <si>
    <t>20:17:03</t>
  </si>
  <si>
    <t>20:40:35</t>
  </si>
  <si>
    <t>13:37:59</t>
  </si>
  <si>
    <t>11:31:47</t>
  </si>
  <si>
    <t>18:16:29</t>
  </si>
  <si>
    <t>15:10:35</t>
  </si>
  <si>
    <t>Customer 1232</t>
  </si>
  <si>
    <t>17:17:42</t>
  </si>
  <si>
    <t>13:33:52</t>
  </si>
  <si>
    <t>12:51:11</t>
  </si>
  <si>
    <t>12:50:50</t>
  </si>
  <si>
    <t>13:28:48</t>
  </si>
  <si>
    <t>20:25:18</t>
  </si>
  <si>
    <t>Customer 76</t>
  </si>
  <si>
    <t>17:45:52</t>
  </si>
  <si>
    <t>18:14:34</t>
  </si>
  <si>
    <t>Customer 69</t>
  </si>
  <si>
    <t>09:35:45</t>
  </si>
  <si>
    <t>18:14:21</t>
  </si>
  <si>
    <t>Customer 238</t>
  </si>
  <si>
    <t>20:38:12</t>
  </si>
  <si>
    <t>19:06:46</t>
  </si>
  <si>
    <t>12:20:52</t>
  </si>
  <si>
    <t>16:08:28</t>
  </si>
  <si>
    <t>Customer 251</t>
  </si>
  <si>
    <t>14:35:09</t>
  </si>
  <si>
    <t>09:39:44</t>
  </si>
  <si>
    <t>18:36:51</t>
  </si>
  <si>
    <t>15:41:36</t>
  </si>
  <si>
    <t>Customer 18</t>
  </si>
  <si>
    <t>17:32:06</t>
  </si>
  <si>
    <t>09:13:14</t>
  </si>
  <si>
    <t>16:35:52</t>
  </si>
  <si>
    <t>11:27:41</t>
  </si>
  <si>
    <t>20:55:07</t>
  </si>
  <si>
    <t>11:11:20</t>
  </si>
  <si>
    <t>19:22:38</t>
  </si>
  <si>
    <t>17:11:32</t>
  </si>
  <si>
    <t>09:02:46</t>
  </si>
  <si>
    <t>18:34:48</t>
  </si>
  <si>
    <t>14:50:23</t>
  </si>
  <si>
    <t>12:02:53</t>
  </si>
  <si>
    <t>18:30:59</t>
  </si>
  <si>
    <t>13:32:47</t>
  </si>
  <si>
    <t>20:28:30</t>
  </si>
  <si>
    <t>15:26:20</t>
  </si>
  <si>
    <t>09:52:03</t>
  </si>
  <si>
    <t>13:53:00</t>
  </si>
  <si>
    <t>Customer 911</t>
  </si>
  <si>
    <t>12:54:19</t>
  </si>
  <si>
    <t>Customer 958</t>
  </si>
  <si>
    <t>18:46:07</t>
  </si>
  <si>
    <t>09:40:35</t>
  </si>
  <si>
    <t>09:16:45</t>
  </si>
  <si>
    <t>Customer 1116</t>
  </si>
  <si>
    <t>15:26:45</t>
  </si>
  <si>
    <t>18:18:59</t>
  </si>
  <si>
    <t>13:09:12</t>
  </si>
  <si>
    <t>17:21:01</t>
  </si>
  <si>
    <t>11:26:34</t>
  </si>
  <si>
    <t>15:45:05</t>
  </si>
  <si>
    <t>17:59:35</t>
  </si>
  <si>
    <t>17:21:26</t>
  </si>
  <si>
    <t>Customer 3</t>
  </si>
  <si>
    <t>14:34:28</t>
  </si>
  <si>
    <t>13:48:29</t>
  </si>
  <si>
    <t>17:26:11</t>
  </si>
  <si>
    <t>09:42:37</t>
  </si>
  <si>
    <t>19:24:09</t>
  </si>
  <si>
    <t>20:58:24</t>
  </si>
  <si>
    <t>Customer 791</t>
  </si>
  <si>
    <t>13:33:30</t>
  </si>
  <si>
    <t>13:11:28</t>
  </si>
  <si>
    <t>Customer 840</t>
  </si>
  <si>
    <t>10:45:17</t>
  </si>
  <si>
    <t>17:23:43</t>
  </si>
  <si>
    <t>18:48:27</t>
  </si>
  <si>
    <t>19:09:53</t>
  </si>
  <si>
    <t>Customer 671</t>
  </si>
  <si>
    <t>13:38:47</t>
  </si>
  <si>
    <t>Customer 837</t>
  </si>
  <si>
    <t>11:44:14</t>
  </si>
  <si>
    <t>10:33:56</t>
  </si>
  <si>
    <t>13:13:47</t>
  </si>
  <si>
    <t>11:26:54</t>
  </si>
  <si>
    <t>17:29:42</t>
  </si>
  <si>
    <t>Customer 655</t>
  </si>
  <si>
    <t>20:23:48</t>
  </si>
  <si>
    <t>20:56:16</t>
  </si>
  <si>
    <t>Customer 779</t>
  </si>
  <si>
    <t>18:48:41</t>
  </si>
  <si>
    <t>15:27:48</t>
  </si>
  <si>
    <t>Customer 1274</t>
  </si>
  <si>
    <t>18:56:07</t>
  </si>
  <si>
    <t>18:44:32</t>
  </si>
  <si>
    <t>16:47:59</t>
  </si>
  <si>
    <t>Customer 556</t>
  </si>
  <si>
    <t>10:00:28</t>
  </si>
  <si>
    <t>15:34:38</t>
  </si>
  <si>
    <t>Customer 993</t>
  </si>
  <si>
    <t>16:45:53</t>
  </si>
  <si>
    <t>18:46:54</t>
  </si>
  <si>
    <t>10:34:02</t>
  </si>
  <si>
    <t>19:31:01</t>
  </si>
  <si>
    <t>13:38:19</t>
  </si>
  <si>
    <t>11:56:23</t>
  </si>
  <si>
    <t>Customer 832</t>
  </si>
  <si>
    <t>16:49:30</t>
  </si>
  <si>
    <t>13:13:04</t>
  </si>
  <si>
    <t>10:17:05</t>
  </si>
  <si>
    <t>13:47:33</t>
  </si>
  <si>
    <t>Customer 424</t>
  </si>
  <si>
    <t>15:09:33</t>
  </si>
  <si>
    <t>10:50:12</t>
  </si>
  <si>
    <t>14:12:16</t>
  </si>
  <si>
    <t>14:39:17</t>
  </si>
  <si>
    <t>14:53:37</t>
  </si>
  <si>
    <t>15:46:23</t>
  </si>
  <si>
    <t>12:12:05</t>
  </si>
  <si>
    <t>16:25:33</t>
  </si>
  <si>
    <t>11:01:15</t>
  </si>
  <si>
    <t>16:57:39</t>
  </si>
  <si>
    <t>Customer 480</t>
  </si>
  <si>
    <t>12:57:21</t>
  </si>
  <si>
    <t>17:38:24</t>
  </si>
  <si>
    <t>19:20:51</t>
  </si>
  <si>
    <t>12:47:20</t>
  </si>
  <si>
    <t>18:56:53</t>
  </si>
  <si>
    <t>17:35:53</t>
  </si>
  <si>
    <t>19:19:14</t>
  </si>
  <si>
    <t>11:14:14</t>
  </si>
  <si>
    <t>13:36:23</t>
  </si>
  <si>
    <t>14:12:43</t>
  </si>
  <si>
    <t>Customer 686</t>
  </si>
  <si>
    <t>14:55:15</t>
  </si>
  <si>
    <t>Customer 651</t>
  </si>
  <si>
    <t>15:37:33</t>
  </si>
  <si>
    <t>10:26:40</t>
  </si>
  <si>
    <t>12:08:51</t>
  </si>
  <si>
    <t>19:29:01</t>
  </si>
  <si>
    <t>18:49:05</t>
  </si>
  <si>
    <t>10:48:49</t>
  </si>
  <si>
    <t>19:50:12</t>
  </si>
  <si>
    <t>Customer 823</t>
  </si>
  <si>
    <t>12:07:33</t>
  </si>
  <si>
    <t>20:00:27</t>
  </si>
  <si>
    <t>19:44:44</t>
  </si>
  <si>
    <t>17:59:22</t>
  </si>
  <si>
    <t>Customer 967</t>
  </si>
  <si>
    <t>16:32:04</t>
  </si>
  <si>
    <t>13:02:18</t>
  </si>
  <si>
    <t>10:39:35</t>
  </si>
  <si>
    <t>11:40:06</t>
  </si>
  <si>
    <t>12:38:02</t>
  </si>
  <si>
    <t>09:23:06</t>
  </si>
  <si>
    <t>Customer 627</t>
  </si>
  <si>
    <t>14:29:40</t>
  </si>
  <si>
    <t>16:40:08</t>
  </si>
  <si>
    <t>10:33:44</t>
  </si>
  <si>
    <t>Customer 120</t>
  </si>
  <si>
    <t>19:54:06</t>
  </si>
  <si>
    <t>18:16:33</t>
  </si>
  <si>
    <t>09:46:37</t>
  </si>
  <si>
    <t>18:52:36</t>
  </si>
  <si>
    <t>18:46:25</t>
  </si>
  <si>
    <t>17:10:33</t>
  </si>
  <si>
    <t>10:23:56</t>
  </si>
  <si>
    <t>Customer 508</t>
  </si>
  <si>
    <t>12:33:51</t>
  </si>
  <si>
    <t>10:28:47</t>
  </si>
  <si>
    <t>16:35:48</t>
  </si>
  <si>
    <t>13:22:05</t>
  </si>
  <si>
    <t>09:03:10</t>
  </si>
  <si>
    <t>Customer 262</t>
  </si>
  <si>
    <t>20:01:59</t>
  </si>
  <si>
    <t>16:28:52</t>
  </si>
  <si>
    <t>20:37:26</t>
  </si>
  <si>
    <t>16:26:58</t>
  </si>
  <si>
    <t>13:53:06</t>
  </si>
  <si>
    <t>17:55:32</t>
  </si>
  <si>
    <t>11:40:55</t>
  </si>
  <si>
    <t>17:49:24</t>
  </si>
  <si>
    <t>Customer 889</t>
  </si>
  <si>
    <t>11:00:29</t>
  </si>
  <si>
    <t>Customer 549</t>
  </si>
  <si>
    <t>13:41:53</t>
  </si>
  <si>
    <t>15:03:22</t>
  </si>
  <si>
    <t>11:31:42</t>
  </si>
  <si>
    <t>11:18:35</t>
  </si>
  <si>
    <t>19:02:44</t>
  </si>
  <si>
    <t>20:32:22</t>
  </si>
  <si>
    <t>14:28:09</t>
  </si>
  <si>
    <t>10:38:48</t>
  </si>
  <si>
    <t>18:12:09</t>
  </si>
  <si>
    <t>18:06:42</t>
  </si>
  <si>
    <t>17:40:23</t>
  </si>
  <si>
    <t>19:21:31</t>
  </si>
  <si>
    <t>19:08:05</t>
  </si>
  <si>
    <t>09:49:21</t>
  </si>
  <si>
    <t>13:34:24</t>
  </si>
  <si>
    <t>18:51:31</t>
  </si>
  <si>
    <t>18:39:00</t>
  </si>
  <si>
    <t>18:15:51</t>
  </si>
  <si>
    <t>14:24:07</t>
  </si>
  <si>
    <t>15:09:37</t>
  </si>
  <si>
    <t>18:39:15</t>
  </si>
  <si>
    <t>10:16:46</t>
  </si>
  <si>
    <t>09:52:35</t>
  </si>
  <si>
    <t>Customer 528</t>
  </si>
  <si>
    <t>15:29:17</t>
  </si>
  <si>
    <t>11:18:56</t>
  </si>
  <si>
    <t>11:07:26</t>
  </si>
  <si>
    <t>09:28:16</t>
  </si>
  <si>
    <t>12:19:53</t>
  </si>
  <si>
    <t>18:42:17</t>
  </si>
  <si>
    <t>15:36:17</t>
  </si>
  <si>
    <t>18:24:29</t>
  </si>
  <si>
    <t>09:50:19</t>
  </si>
  <si>
    <t>11:42:36</t>
  </si>
  <si>
    <t>18:55:50</t>
  </si>
  <si>
    <t>14:48:26</t>
  </si>
  <si>
    <t>17:14:46</t>
  </si>
  <si>
    <t>14:25:18</t>
  </si>
  <si>
    <t>14:33:23</t>
  </si>
  <si>
    <t>09:55:09</t>
  </si>
  <si>
    <t>Customer 267</t>
  </si>
  <si>
    <t>12:14:10</t>
  </si>
  <si>
    <t>15:42:45</t>
  </si>
  <si>
    <t>Customer 351</t>
  </si>
  <si>
    <t>12:15:00</t>
  </si>
  <si>
    <t>Customer 805</t>
  </si>
  <si>
    <t>12:05:43</t>
  </si>
  <si>
    <t>20:37:55</t>
  </si>
  <si>
    <t>Customer 114</t>
  </si>
  <si>
    <t>13:35:18</t>
  </si>
  <si>
    <t>20:53:58</t>
  </si>
  <si>
    <t>18:43:43</t>
  </si>
  <si>
    <t>Customer 445</t>
  </si>
  <si>
    <t>11:41:49</t>
  </si>
  <si>
    <t>13:44:07</t>
  </si>
  <si>
    <t>11:30:48</t>
  </si>
  <si>
    <t>19:01:37</t>
  </si>
  <si>
    <t>15:10:41</t>
  </si>
  <si>
    <t>20:38:02</t>
  </si>
  <si>
    <t>11:20:27</t>
  </si>
  <si>
    <t>Customer 122</t>
  </si>
  <si>
    <t>09:59:24</t>
  </si>
  <si>
    <t>15:02:33</t>
  </si>
  <si>
    <t>Customer 211</t>
  </si>
  <si>
    <t>12:41:23</t>
  </si>
  <si>
    <t>18:01:38</t>
  </si>
  <si>
    <t>18:12:46</t>
  </si>
  <si>
    <t>09:27:58</t>
  </si>
  <si>
    <t>18:03:07</t>
  </si>
  <si>
    <t>09:43:09</t>
  </si>
  <si>
    <t>Customer 1002</t>
  </si>
  <si>
    <t>15:10:43</t>
  </si>
  <si>
    <t>11:20:32</t>
  </si>
  <si>
    <t>17:48:55</t>
  </si>
  <si>
    <t>14:25:53</t>
  </si>
  <si>
    <t>13:46:42</t>
  </si>
  <si>
    <t>13:47:21</t>
  </si>
  <si>
    <t>09:49:11</t>
  </si>
  <si>
    <t>Customer 66</t>
  </si>
  <si>
    <t>18:27:43</t>
  </si>
  <si>
    <t>16:22:06</t>
  </si>
  <si>
    <t>09:01:31</t>
  </si>
  <si>
    <t>13:12:16</t>
  </si>
  <si>
    <t>18:32:22</t>
  </si>
  <si>
    <t>11:15:41</t>
  </si>
  <si>
    <t>19:57:21</t>
  </si>
  <si>
    <t>15:20:06</t>
  </si>
  <si>
    <t>13:00:23</t>
  </si>
  <si>
    <t>13:46:30</t>
  </si>
  <si>
    <t>19:17:19</t>
  </si>
  <si>
    <t>11:02:53</t>
  </si>
  <si>
    <t>19:52:25</t>
  </si>
  <si>
    <t>10:47:29</t>
  </si>
  <si>
    <t>10:18:03</t>
  </si>
  <si>
    <t>Customer 1247</t>
  </si>
  <si>
    <t>20:35:53</t>
  </si>
  <si>
    <t>15:40:45</t>
  </si>
  <si>
    <t>12:28:48</t>
  </si>
  <si>
    <t>20:56:51</t>
  </si>
  <si>
    <t>18:51:10</t>
  </si>
  <si>
    <t>17:41:43</t>
  </si>
  <si>
    <t>16:22:22</t>
  </si>
  <si>
    <t>Customer 27</t>
  </si>
  <si>
    <t>19:36:52</t>
  </si>
  <si>
    <t>16:17:49</t>
  </si>
  <si>
    <t>Customer 289</t>
  </si>
  <si>
    <t>15:00:41</t>
  </si>
  <si>
    <t>12:38:25</t>
  </si>
  <si>
    <t>11:36:10</t>
  </si>
  <si>
    <t>Customer 256</t>
  </si>
  <si>
    <t>09:35:41</t>
  </si>
  <si>
    <t>Customer 164</t>
  </si>
  <si>
    <t>16:49:04</t>
  </si>
  <si>
    <t>Customer 32</t>
  </si>
  <si>
    <t>17:56:07</t>
  </si>
  <si>
    <t>17:26:52</t>
  </si>
  <si>
    <t>11:34:36</t>
  </si>
  <si>
    <t>19:04:45</t>
  </si>
  <si>
    <t>09:32:08</t>
  </si>
  <si>
    <t>16:40:22</t>
  </si>
  <si>
    <t>19:35:14</t>
  </si>
  <si>
    <t>11:56:05</t>
  </si>
  <si>
    <t>14:37:49</t>
  </si>
  <si>
    <t>09:04:35</t>
  </si>
  <si>
    <t>14:48:00</t>
  </si>
  <si>
    <t>19:52:46</t>
  </si>
  <si>
    <t>12:26:32</t>
  </si>
  <si>
    <t>Customer 899</t>
  </si>
  <si>
    <t>13:43:23</t>
  </si>
  <si>
    <t>10:16:12</t>
  </si>
  <si>
    <t>16:11:29</t>
  </si>
  <si>
    <t>12:13:06</t>
  </si>
  <si>
    <t>09:48:35</t>
  </si>
  <si>
    <t>Customer 329</t>
  </si>
  <si>
    <t>10:47:58</t>
  </si>
  <si>
    <t>14:18:16</t>
  </si>
  <si>
    <t>19:15:57</t>
  </si>
  <si>
    <t>14:00:30</t>
  </si>
  <si>
    <t>17:09:22</t>
  </si>
  <si>
    <t>11:45:23</t>
  </si>
  <si>
    <t>12:05:05</t>
  </si>
  <si>
    <t>10:27:30</t>
  </si>
  <si>
    <t>16:22:32</t>
  </si>
  <si>
    <t>14:10:27</t>
  </si>
  <si>
    <t>15:26:51</t>
  </si>
  <si>
    <t>Customer 781</t>
  </si>
  <si>
    <t>10:49:19</t>
  </si>
  <si>
    <t>12:36:04</t>
  </si>
  <si>
    <t>17:14:12</t>
  </si>
  <si>
    <t>15:53:21</t>
  </si>
  <si>
    <t>13:38:02</t>
  </si>
  <si>
    <t>17:15:27</t>
  </si>
  <si>
    <t>Customer 953</t>
  </si>
  <si>
    <t>17:11:21</t>
  </si>
  <si>
    <t>10:36:55</t>
  </si>
  <si>
    <t>17:26:07</t>
  </si>
  <si>
    <t>17:29:39</t>
  </si>
  <si>
    <t>Customer 8</t>
  </si>
  <si>
    <t>14:42:13</t>
  </si>
  <si>
    <t>10:01:54</t>
  </si>
  <si>
    <t>12:46:42</t>
  </si>
  <si>
    <t>Customer 887</t>
  </si>
  <si>
    <t>20:47:03</t>
  </si>
  <si>
    <t>13:45:51</t>
  </si>
  <si>
    <t>09:05:23</t>
  </si>
  <si>
    <t>Customer 696</t>
  </si>
  <si>
    <t>Customer 1236</t>
  </si>
  <si>
    <t>14:58:58</t>
  </si>
  <si>
    <t>20:25:33</t>
  </si>
  <si>
    <t>Customer 609</t>
  </si>
  <si>
    <t>14:20:40</t>
  </si>
  <si>
    <t>Customer 604</t>
  </si>
  <si>
    <t>13:20:15</t>
  </si>
  <si>
    <t>Customer 24</t>
  </si>
  <si>
    <t>15:30:47</t>
  </si>
  <si>
    <t>12:41:34</t>
  </si>
  <si>
    <t>15:42:06</t>
  </si>
  <si>
    <t>17:05:43</t>
  </si>
  <si>
    <t>Customer 212</t>
  </si>
  <si>
    <t>12:23:20</t>
  </si>
  <si>
    <t>19:52:49</t>
  </si>
  <si>
    <t>Customer 685</t>
  </si>
  <si>
    <t>15:15:23</t>
  </si>
  <si>
    <t>Customer 177</t>
  </si>
  <si>
    <t>19:18:47</t>
  </si>
  <si>
    <t>20:46:04</t>
  </si>
  <si>
    <t>11:40:32</t>
  </si>
  <si>
    <t>09:08:08</t>
  </si>
  <si>
    <t>12:46:24</t>
  </si>
  <si>
    <t>19:50:38</t>
  </si>
  <si>
    <t>12:29:08</t>
  </si>
  <si>
    <t>12:54:08</t>
  </si>
  <si>
    <t>Customer 774</t>
  </si>
  <si>
    <t>10:31:13</t>
  </si>
  <si>
    <t>15:55:45</t>
  </si>
  <si>
    <t>19:42:29</t>
  </si>
  <si>
    <t>10:53:48</t>
  </si>
  <si>
    <t>17:16:39</t>
  </si>
  <si>
    <t>12:44:34</t>
  </si>
  <si>
    <t>Customer 135</t>
  </si>
  <si>
    <t>11:43:47</t>
  </si>
  <si>
    <t>11:28:21</t>
  </si>
  <si>
    <t>09:06:42</t>
  </si>
  <si>
    <t>11:22:22</t>
  </si>
  <si>
    <t>Customer 94</t>
  </si>
  <si>
    <t>17:36:55</t>
  </si>
  <si>
    <t>12:53:35</t>
  </si>
  <si>
    <t>Customer 369</t>
  </si>
  <si>
    <t>10:19:14</t>
  </si>
  <si>
    <t>09:14:20</t>
  </si>
  <si>
    <t>18:26:14</t>
  </si>
  <si>
    <t>Customer 634</t>
  </si>
  <si>
    <t>11:26:07</t>
  </si>
  <si>
    <t>10:18:35</t>
  </si>
  <si>
    <t>12:18:04</t>
  </si>
  <si>
    <t>Customer 615</t>
  </si>
  <si>
    <t>17:14:10</t>
  </si>
  <si>
    <t>20:58:04</t>
  </si>
  <si>
    <t>12:34:02</t>
  </si>
  <si>
    <t>16:09:02</t>
  </si>
  <si>
    <t>20:26:04</t>
  </si>
  <si>
    <t>17:08:11</t>
  </si>
  <si>
    <t>Customer 1237</t>
  </si>
  <si>
    <t>18:25:08</t>
  </si>
  <si>
    <t>15:01:59</t>
  </si>
  <si>
    <t>Customer 562</t>
  </si>
  <si>
    <t>20:27:52</t>
  </si>
  <si>
    <t>Customer 527</t>
  </si>
  <si>
    <t>09:02:59</t>
  </si>
  <si>
    <t>18:38:40</t>
  </si>
  <si>
    <t>09:04:24</t>
  </si>
  <si>
    <t>13:16:40</t>
  </si>
  <si>
    <t>13:10:24</t>
  </si>
  <si>
    <t>09:51:13</t>
  </si>
  <si>
    <t>Customer 260</t>
  </si>
  <si>
    <t>17:26:12</t>
  </si>
  <si>
    <t>10:12:29</t>
  </si>
  <si>
    <t>17:45:38</t>
  </si>
  <si>
    <t>15:50:23</t>
  </si>
  <si>
    <t>Customer 822</t>
  </si>
  <si>
    <t>12:18:33</t>
  </si>
  <si>
    <t>10:50:33</t>
  </si>
  <si>
    <t>Customer 458</t>
  </si>
  <si>
    <t>15:35:59</t>
  </si>
  <si>
    <t>19:30:34</t>
  </si>
  <si>
    <t>15:56:52</t>
  </si>
  <si>
    <t>18:23:51</t>
  </si>
  <si>
    <t>10:54:16</t>
  </si>
  <si>
    <t>11:27:53</t>
  </si>
  <si>
    <t>13:19:11</t>
  </si>
  <si>
    <t>12:34:38</t>
  </si>
  <si>
    <t>11:25:28</t>
  </si>
  <si>
    <t>19:41:17</t>
  </si>
  <si>
    <t>Customer 71</t>
  </si>
  <si>
    <t>13:34:26</t>
  </si>
  <si>
    <t>Customer 511</t>
  </si>
  <si>
    <t>12:16:26</t>
  </si>
  <si>
    <t>10:32:02</t>
  </si>
  <si>
    <t>17:49:08</t>
  </si>
  <si>
    <t>15:09:49</t>
  </si>
  <si>
    <t>Customer 900</t>
  </si>
  <si>
    <t>16:06:29</t>
  </si>
  <si>
    <t>11:14:41</t>
  </si>
  <si>
    <t>16:14:51</t>
  </si>
  <si>
    <t>15:54:32</t>
  </si>
  <si>
    <t>Customer 298</t>
  </si>
  <si>
    <t>13:50:22</t>
  </si>
  <si>
    <t>13:29:34</t>
  </si>
  <si>
    <t>19:33:38</t>
  </si>
  <si>
    <t>13:15:50</t>
  </si>
  <si>
    <t>20:14:15</t>
  </si>
  <si>
    <t>12:21:27</t>
  </si>
  <si>
    <t>12:16:46</t>
  </si>
  <si>
    <t>18:44:47</t>
  </si>
  <si>
    <t>16:05:32</t>
  </si>
  <si>
    <t>09:15:47</t>
  </si>
  <si>
    <t>Customer 896</t>
  </si>
  <si>
    <t>13:37:03</t>
  </si>
  <si>
    <t>17:38:29</t>
  </si>
  <si>
    <t>19:11:40</t>
  </si>
  <si>
    <t>13:20:34</t>
  </si>
  <si>
    <t>13:52:35</t>
  </si>
  <si>
    <t>11:43:54</t>
  </si>
  <si>
    <t>16:56:18</t>
  </si>
  <si>
    <t>11:49:34</t>
  </si>
  <si>
    <t>Customer 717</t>
  </si>
  <si>
    <t>17:49:44</t>
  </si>
  <si>
    <t>14:39:10</t>
  </si>
  <si>
    <t>09:26:56</t>
  </si>
  <si>
    <t>12:17:55</t>
  </si>
  <si>
    <t>20:00:58</t>
  </si>
  <si>
    <t>12:10:35</t>
  </si>
  <si>
    <t>19:12:23</t>
  </si>
  <si>
    <t>14:36:20</t>
  </si>
  <si>
    <t>17:53:50</t>
  </si>
  <si>
    <t>14:49:58</t>
  </si>
  <si>
    <t>19:52:36</t>
  </si>
  <si>
    <t>10:01:05</t>
  </si>
  <si>
    <t>17:20:06</t>
  </si>
  <si>
    <t>17:10:57</t>
  </si>
  <si>
    <t>10:57:24</t>
  </si>
  <si>
    <t>11:31:33</t>
  </si>
  <si>
    <t>10:50:19</t>
  </si>
  <si>
    <t>13:33:09</t>
  </si>
  <si>
    <t>18:22:46</t>
  </si>
  <si>
    <t>14:56:56</t>
  </si>
  <si>
    <t>14:53:01</t>
  </si>
  <si>
    <t>15:16:34</t>
  </si>
  <si>
    <t>Customer 1097</t>
  </si>
  <si>
    <t>10:08:31</t>
  </si>
  <si>
    <t>14:09:53</t>
  </si>
  <si>
    <t>11:37:36</t>
  </si>
  <si>
    <t>19:54:36</t>
  </si>
  <si>
    <t>20:31:12</t>
  </si>
  <si>
    <t>10:15:33</t>
  </si>
  <si>
    <t>18:42:32</t>
  </si>
  <si>
    <t>11:59:46</t>
  </si>
  <si>
    <t>Customer 1228</t>
  </si>
  <si>
    <t>13:56:41</t>
  </si>
  <si>
    <t>17:48:23</t>
  </si>
  <si>
    <t>15:13:09</t>
  </si>
  <si>
    <t>11:23:04</t>
  </si>
  <si>
    <t>15:13:10</t>
  </si>
  <si>
    <t>19:48:19</t>
  </si>
  <si>
    <t>10:59:39</t>
  </si>
  <si>
    <t>13:31:24</t>
  </si>
  <si>
    <t>09:33:26</t>
  </si>
  <si>
    <t>15:00:22</t>
  </si>
  <si>
    <t>12:44:07</t>
  </si>
  <si>
    <t>Customer 1029</t>
  </si>
  <si>
    <t>15:39:13</t>
  </si>
  <si>
    <t>20:30:15</t>
  </si>
  <si>
    <t>Customer 1227</t>
  </si>
  <si>
    <t>17:47:15</t>
  </si>
  <si>
    <t>Customer 353</t>
  </si>
  <si>
    <t>11:13:00</t>
  </si>
  <si>
    <t>09:57:41</t>
  </si>
  <si>
    <t>11:45:48</t>
  </si>
  <si>
    <t>18:31:08</t>
  </si>
  <si>
    <t>18:21:03</t>
  </si>
  <si>
    <t>11:59:26</t>
  </si>
  <si>
    <t>20:38:50</t>
  </si>
  <si>
    <t>13:53:01</t>
  </si>
  <si>
    <t>11:31:44</t>
  </si>
  <si>
    <t>17:37:14</t>
  </si>
  <si>
    <t>15:41:00</t>
  </si>
  <si>
    <t>Customer 845</t>
  </si>
  <si>
    <t>09:21:55</t>
  </si>
  <si>
    <t>20:45:47</t>
  </si>
  <si>
    <t>10:25:48</t>
  </si>
  <si>
    <t>09:44:13</t>
  </si>
  <si>
    <t>Customer 371</t>
  </si>
  <si>
    <t>18:17:42</t>
  </si>
  <si>
    <t>Customer 860</t>
  </si>
  <si>
    <t>16:47:33</t>
  </si>
  <si>
    <t>11:06:06</t>
  </si>
  <si>
    <t>09:19:30</t>
  </si>
  <si>
    <t>12:54:32</t>
  </si>
  <si>
    <t>19:03:04</t>
  </si>
  <si>
    <t>13:19:16</t>
  </si>
  <si>
    <t>Customer 715</t>
  </si>
  <si>
    <t>12:52:05</t>
  </si>
  <si>
    <t>15:44:03</t>
  </si>
  <si>
    <t>18:04:06</t>
  </si>
  <si>
    <t>11:01:52</t>
  </si>
  <si>
    <t>20:50:11</t>
  </si>
  <si>
    <t>20:25:24</t>
  </si>
  <si>
    <t>16:39:10</t>
  </si>
  <si>
    <t>11:07:35</t>
  </si>
  <si>
    <t>Customer 814</t>
  </si>
  <si>
    <t>17:30:44</t>
  </si>
  <si>
    <t>20:33:47</t>
  </si>
  <si>
    <t>15:07:09</t>
  </si>
  <si>
    <t>09:18:47</t>
  </si>
  <si>
    <t>Customer 340</t>
  </si>
  <si>
    <t>13:42:52</t>
  </si>
  <si>
    <t>14:15:28</t>
  </si>
  <si>
    <t>Customer 451</t>
  </si>
  <si>
    <t>12:41:59</t>
  </si>
  <si>
    <t>19:55:44</t>
  </si>
  <si>
    <t>15:03:30</t>
  </si>
  <si>
    <t>19:58:01</t>
  </si>
  <si>
    <t>14:13:37</t>
  </si>
  <si>
    <t>14:23:52</t>
  </si>
  <si>
    <t>09:42:33</t>
  </si>
  <si>
    <t>13:36:13</t>
  </si>
  <si>
    <t>12:58:09</t>
  </si>
  <si>
    <t>20:23:51</t>
  </si>
  <si>
    <t>15:29:31</t>
  </si>
  <si>
    <t>Customer 683</t>
  </si>
  <si>
    <t>13:36:37</t>
  </si>
  <si>
    <t>10:29:12</t>
  </si>
  <si>
    <t>15:50:11</t>
  </si>
  <si>
    <t>13:03:50</t>
  </si>
  <si>
    <t>10:12:00</t>
  </si>
  <si>
    <t>10:19:57</t>
  </si>
  <si>
    <t>Customer 802</t>
  </si>
  <si>
    <t>11:46:21</t>
  </si>
  <si>
    <t>11:45:44</t>
  </si>
  <si>
    <t>13:24:19</t>
  </si>
  <si>
    <t>13:43:28</t>
  </si>
  <si>
    <t>12:19:57</t>
  </si>
  <si>
    <t>Customer 557</t>
  </si>
  <si>
    <t>19:13:56</t>
  </si>
  <si>
    <t>18:13:21</t>
  </si>
  <si>
    <t>19:39:55</t>
  </si>
  <si>
    <t>17:34:03</t>
  </si>
  <si>
    <t>20:29:01</t>
  </si>
  <si>
    <t>11:24:53</t>
  </si>
  <si>
    <t>19:53:21</t>
  </si>
  <si>
    <t>18:28:16</t>
  </si>
  <si>
    <t>Customer 427</t>
  </si>
  <si>
    <t>19:11:41</t>
  </si>
  <si>
    <t>14:53:21</t>
  </si>
  <si>
    <t>20:38:14</t>
  </si>
  <si>
    <t>14:37:42</t>
  </si>
  <si>
    <t>13:29:24</t>
  </si>
  <si>
    <t>Customer 272</t>
  </si>
  <si>
    <t>20:42:15</t>
  </si>
  <si>
    <t>09:23:57</t>
  </si>
  <si>
    <t>12:36:01</t>
  </si>
  <si>
    <t>09:12:33</t>
  </si>
  <si>
    <t>18:30:29</t>
  </si>
  <si>
    <t>13:48:30</t>
  </si>
  <si>
    <t>Customer 695</t>
  </si>
  <si>
    <t>19:04:42</t>
  </si>
  <si>
    <t>13:43:33</t>
  </si>
  <si>
    <t>20:38:03</t>
  </si>
  <si>
    <t>19:55:04</t>
  </si>
  <si>
    <t>11:30:58</t>
  </si>
  <si>
    <t>14:13:15</t>
  </si>
  <si>
    <t>13:04:44</t>
  </si>
  <si>
    <t>09:03:16</t>
  </si>
  <si>
    <t>14:36:55</t>
  </si>
  <si>
    <t>15:29:44</t>
  </si>
  <si>
    <t>17:39:56</t>
  </si>
  <si>
    <t>19:53:47</t>
  </si>
  <si>
    <t>11:50:35</t>
  </si>
  <si>
    <t>14:52:29</t>
  </si>
  <si>
    <t>12:55:53</t>
  </si>
  <si>
    <t>19:55:38</t>
  </si>
  <si>
    <t>16:11:54</t>
  </si>
  <si>
    <t>10:57:12</t>
  </si>
  <si>
    <t>14:58:22</t>
  </si>
  <si>
    <t>10:18:36</t>
  </si>
  <si>
    <t>09:53:50</t>
  </si>
  <si>
    <t>11:48:46</t>
  </si>
  <si>
    <t>15:39:34</t>
  </si>
  <si>
    <t>Customer 333</t>
  </si>
  <si>
    <t>13:27:44</t>
  </si>
  <si>
    <t>18:35:17</t>
  </si>
  <si>
    <t>09:29:50</t>
  </si>
  <si>
    <t>19:03:59</t>
  </si>
  <si>
    <t>18:14:59</t>
  </si>
  <si>
    <t>15:34:52</t>
  </si>
  <si>
    <t>18:55:49</t>
  </si>
  <si>
    <t>13:57:02</t>
  </si>
  <si>
    <t>11:02:39</t>
  </si>
  <si>
    <t>14:18:36</t>
  </si>
  <si>
    <t>17:12:41</t>
  </si>
  <si>
    <t>Customer 964</t>
  </si>
  <si>
    <t>09:21:17</t>
  </si>
  <si>
    <t>13:19:56</t>
  </si>
  <si>
    <t>12:07:41</t>
  </si>
  <si>
    <t>09:49:49</t>
  </si>
  <si>
    <t>20:21:44</t>
  </si>
  <si>
    <t>12:35:20</t>
  </si>
  <si>
    <t>12:27:17</t>
  </si>
  <si>
    <t>Customer 724</t>
  </si>
  <si>
    <t>09:03:57</t>
  </si>
  <si>
    <t>20:45:33</t>
  </si>
  <si>
    <t>11:19:34</t>
  </si>
  <si>
    <t>09:26:54</t>
  </si>
  <si>
    <t>13:43:46</t>
  </si>
  <si>
    <t>10:02:10</t>
  </si>
  <si>
    <t>12:04:01</t>
  </si>
  <si>
    <t>16:17:25</t>
  </si>
  <si>
    <t>14:26:59</t>
  </si>
  <si>
    <t>15:20:01</t>
  </si>
  <si>
    <t>16:54:21</t>
  </si>
  <si>
    <t>11:58:39</t>
  </si>
  <si>
    <t>13:40:56</t>
  </si>
  <si>
    <t>Customer 95</t>
  </si>
  <si>
    <t>Customer 11</t>
  </si>
  <si>
    <t>11:53:32</t>
  </si>
  <si>
    <t>17:57:59</t>
  </si>
  <si>
    <t>12:50:42</t>
  </si>
  <si>
    <t>19:45:54</t>
  </si>
  <si>
    <t>Customer 1093</t>
  </si>
  <si>
    <t>15:36:26</t>
  </si>
  <si>
    <t>Customer 780</t>
  </si>
  <si>
    <t>13:36:22</t>
  </si>
  <si>
    <t>13:28:40</t>
  </si>
  <si>
    <t>19:18:14</t>
  </si>
  <si>
    <t>17:58:54</t>
  </si>
  <si>
    <t>19:20:44</t>
  </si>
  <si>
    <t>11:21:50</t>
  </si>
  <si>
    <t>13:17:04</t>
  </si>
  <si>
    <t>17:17:24</t>
  </si>
  <si>
    <t>19:46:37</t>
  </si>
  <si>
    <t>13:41:26</t>
  </si>
  <si>
    <t>11:39:59</t>
  </si>
  <si>
    <t>09:59:54</t>
  </si>
  <si>
    <t>15:50:24</t>
  </si>
  <si>
    <t>18:29:46</t>
  </si>
  <si>
    <t>09:33:38</t>
  </si>
  <si>
    <t>Customer 470</t>
  </si>
  <si>
    <t>12:35:14</t>
  </si>
  <si>
    <t>Customer 1077</t>
  </si>
  <si>
    <t>19:40:08</t>
  </si>
  <si>
    <t>20:26:02</t>
  </si>
  <si>
    <t>Customer 1248</t>
  </si>
  <si>
    <t>17:04:12</t>
  </si>
  <si>
    <t>11:46:03</t>
  </si>
  <si>
    <t>11:25:08</t>
  </si>
  <si>
    <t>11:04:26</t>
  </si>
  <si>
    <t>17:28:45</t>
  </si>
  <si>
    <t>17:29:26</t>
  </si>
  <si>
    <t>Customer 746</t>
  </si>
  <si>
    <t>16:07:52</t>
  </si>
  <si>
    <t>Customer 1065</t>
  </si>
  <si>
    <t>10:54:54</t>
  </si>
  <si>
    <t>Customer 869</t>
  </si>
  <si>
    <t>18:01:17</t>
  </si>
  <si>
    <t>Customer 1164</t>
  </si>
  <si>
    <t>15:45:11</t>
  </si>
  <si>
    <t>16:08:45</t>
  </si>
  <si>
    <t>20:10:51</t>
  </si>
  <si>
    <t>10:29:28</t>
  </si>
  <si>
    <t>10:08:55</t>
  </si>
  <si>
    <t>15:33:39</t>
  </si>
  <si>
    <t>19:54:11</t>
  </si>
  <si>
    <t>16:01:08</t>
  </si>
  <si>
    <t>10:37:04</t>
  </si>
  <si>
    <t>15:25:33</t>
  </si>
  <si>
    <t>13:53:29</t>
  </si>
  <si>
    <t>Customer 436</t>
  </si>
  <si>
    <t>15:40:52</t>
  </si>
  <si>
    <t>16:27:20</t>
  </si>
  <si>
    <t>13:27:06</t>
  </si>
  <si>
    <t>20:36:58</t>
  </si>
  <si>
    <t>10:58:21</t>
  </si>
  <si>
    <t>Customer 110</t>
  </si>
  <si>
    <t>15:33:36</t>
  </si>
  <si>
    <t>15:56:06</t>
  </si>
  <si>
    <t>13:02:46</t>
  </si>
  <si>
    <t>09:44:21</t>
  </si>
  <si>
    <t>09:51:26</t>
  </si>
  <si>
    <t>10:59:42</t>
  </si>
  <si>
    <t>Customer 1028</t>
  </si>
  <si>
    <t>18:34:35</t>
  </si>
  <si>
    <t>17:13:07</t>
  </si>
  <si>
    <t>17:42:14</t>
  </si>
  <si>
    <t>15:52:20</t>
  </si>
  <si>
    <t>Customer 963</t>
  </si>
  <si>
    <t>17:20:51</t>
  </si>
  <si>
    <t>16:45:56</t>
  </si>
  <si>
    <t>16:46:15</t>
  </si>
  <si>
    <t>Customer 517</t>
  </si>
  <si>
    <t>13:12:17</t>
  </si>
  <si>
    <t>09:03:15</t>
  </si>
  <si>
    <t>16:02:41</t>
  </si>
  <si>
    <t>14:05:36</t>
  </si>
  <si>
    <t>20:09:18</t>
  </si>
  <si>
    <t>12:07:59</t>
  </si>
  <si>
    <t>11:29:17</t>
  </si>
  <si>
    <t>19:34:52</t>
  </si>
  <si>
    <t>10:32:58</t>
  </si>
  <si>
    <t>16:05:38</t>
  </si>
  <si>
    <t>13:43:44</t>
  </si>
  <si>
    <t>Customer 379</t>
  </si>
  <si>
    <t>10:14:04</t>
  </si>
  <si>
    <t>12:26:09</t>
  </si>
  <si>
    <t>Customer 357</t>
  </si>
  <si>
    <t>18:45:30</t>
  </si>
  <si>
    <t>18:26:07</t>
  </si>
  <si>
    <t>15:02:30</t>
  </si>
  <si>
    <t>Customer 551</t>
  </si>
  <si>
    <t>11:26:25</t>
  </si>
  <si>
    <t>15:29:26</t>
  </si>
  <si>
    <t>10:57:23</t>
  </si>
  <si>
    <t>14:00:57</t>
  </si>
  <si>
    <t>17:57:50</t>
  </si>
  <si>
    <t>20:40:16</t>
  </si>
  <si>
    <t>10:57:57</t>
  </si>
  <si>
    <t>Customer 711</t>
  </si>
  <si>
    <t>15:43:29</t>
  </si>
  <si>
    <t>10:12:16</t>
  </si>
  <si>
    <t>09:57:21</t>
  </si>
  <si>
    <t>14:13:21</t>
  </si>
  <si>
    <t>11:05:36</t>
  </si>
  <si>
    <t>15:19:06</t>
  </si>
  <si>
    <t>19:06:51</t>
  </si>
  <si>
    <t>13:45:28</t>
  </si>
  <si>
    <t>09:28:05</t>
  </si>
  <si>
    <t>20:05:56</t>
  </si>
  <si>
    <t>13:10:04</t>
  </si>
  <si>
    <t>15:12:34</t>
  </si>
  <si>
    <t>09:43:01</t>
  </si>
  <si>
    <t>10:48:16</t>
  </si>
  <si>
    <t>18:06:56</t>
  </si>
  <si>
    <t>18:55:33</t>
  </si>
  <si>
    <t>16:17:32</t>
  </si>
  <si>
    <t>12:17:46</t>
  </si>
  <si>
    <t>14:01:36</t>
  </si>
  <si>
    <t>Customer 722</t>
  </si>
  <si>
    <t>18:35:16</t>
  </si>
  <si>
    <t>14:04:00</t>
  </si>
  <si>
    <t>11:33:48</t>
  </si>
  <si>
    <t>13:10:54</t>
  </si>
  <si>
    <t>17:50:02</t>
  </si>
  <si>
    <t>14:47:04</t>
  </si>
  <si>
    <t>Customer 1196</t>
  </si>
  <si>
    <t>15:20:57</t>
  </si>
  <si>
    <t>20:35:45</t>
  </si>
  <si>
    <t>Customer 1216</t>
  </si>
  <si>
    <t>11:24:00</t>
  </si>
  <si>
    <t>19:43:30</t>
  </si>
  <si>
    <t>Customer 374</t>
  </si>
  <si>
    <t>15:07:27</t>
  </si>
  <si>
    <t>13:39:04</t>
  </si>
  <si>
    <t>18:13:10</t>
  </si>
  <si>
    <t>17:54:05</t>
  </si>
  <si>
    <t>18:41:09</t>
  </si>
  <si>
    <t>12:40:25</t>
  </si>
  <si>
    <t>12:25:47</t>
  </si>
  <si>
    <t>12:38:37</t>
  </si>
  <si>
    <t>20:19:44</t>
  </si>
  <si>
    <t>16:15:37</t>
  </si>
  <si>
    <t>10:41:24</t>
  </si>
  <si>
    <t>18:43:49</t>
  </si>
  <si>
    <t>15:49:50</t>
  </si>
  <si>
    <t>16:33:56</t>
  </si>
  <si>
    <t>Customer 1034</t>
  </si>
  <si>
    <t>15:55:33</t>
  </si>
  <si>
    <t>Customer 826</t>
  </si>
  <si>
    <t>10:01:43</t>
  </si>
  <si>
    <t>10:02:07</t>
  </si>
  <si>
    <t>14:40:52</t>
  </si>
  <si>
    <t>Customer 658</t>
  </si>
  <si>
    <t>20:36:27</t>
  </si>
  <si>
    <t>13:19:15</t>
  </si>
  <si>
    <t>18:26:05</t>
  </si>
  <si>
    <t>16:29:02</t>
  </si>
  <si>
    <t>20:09:19</t>
  </si>
  <si>
    <t>09:29:21</t>
  </si>
  <si>
    <t>14:36:23</t>
  </si>
  <si>
    <t>18:46:43</t>
  </si>
  <si>
    <t>15:08:38</t>
  </si>
  <si>
    <t>Customer 391</t>
  </si>
  <si>
    <t>16:43:51</t>
  </si>
  <si>
    <t>09:31:49</t>
  </si>
  <si>
    <t>16:48:09</t>
  </si>
  <si>
    <t>Customer 1120</t>
  </si>
  <si>
    <t>16:17:05</t>
  </si>
  <si>
    <t>11:09:31</t>
  </si>
  <si>
    <t>19:40:12</t>
  </si>
  <si>
    <t>16:12:31</t>
  </si>
  <si>
    <t>14:19:37</t>
  </si>
  <si>
    <t>17:34:02</t>
  </si>
  <si>
    <t>15:11:00</t>
  </si>
  <si>
    <t>Customer 573</t>
  </si>
  <si>
    <t>09:21:58</t>
  </si>
  <si>
    <t>Customer 713</t>
  </si>
  <si>
    <t>17:43:38</t>
  </si>
  <si>
    <t>10:24:22</t>
  </si>
  <si>
    <t>14:14:20</t>
  </si>
  <si>
    <t>13:35:53</t>
  </si>
  <si>
    <t>Customer 1018</t>
  </si>
  <si>
    <t>14:34:59</t>
  </si>
  <si>
    <t>Customer 293</t>
  </si>
  <si>
    <t>14:04:54</t>
  </si>
  <si>
    <t>18:23:38</t>
  </si>
  <si>
    <t>Customer 918</t>
  </si>
  <si>
    <t>13:02:14</t>
  </si>
  <si>
    <t>Customer 373</t>
  </si>
  <si>
    <t>17:02:34</t>
  </si>
  <si>
    <t>20:13:41</t>
  </si>
  <si>
    <t>16:06:07</t>
  </si>
  <si>
    <t>09:05:58</t>
  </si>
  <si>
    <t>18:54:00</t>
  </si>
  <si>
    <t>Customer 402</t>
  </si>
  <si>
    <t>13:02:09</t>
  </si>
  <si>
    <t>17:46:33</t>
  </si>
  <si>
    <t>12:40:53</t>
  </si>
  <si>
    <t>10:43:57</t>
  </si>
  <si>
    <t>15:00:49</t>
  </si>
  <si>
    <t>Customer 397</t>
  </si>
  <si>
    <t>19:43:33</t>
  </si>
  <si>
    <t>19:49:57</t>
  </si>
  <si>
    <t>18:38:52</t>
  </si>
  <si>
    <t>13:04:07</t>
  </si>
  <si>
    <t>17:24:17</t>
  </si>
  <si>
    <t>16:31:10</t>
  </si>
  <si>
    <t>16:46:08</t>
  </si>
  <si>
    <t>20:12:20</t>
  </si>
  <si>
    <t>17:11:17</t>
  </si>
  <si>
    <t>18:40:27</t>
  </si>
  <si>
    <t>Customer 1183</t>
  </si>
  <si>
    <t>19:01:19</t>
  </si>
  <si>
    <t>Customer 529</t>
  </si>
  <si>
    <t>09:12:37</t>
  </si>
  <si>
    <t>Customer 90</t>
  </si>
  <si>
    <t>16:21:30</t>
  </si>
  <si>
    <t>Customer 447</t>
  </si>
  <si>
    <t>14:44:19</t>
  </si>
  <si>
    <t>12:07:52</t>
  </si>
  <si>
    <t>14:10:13</t>
  </si>
  <si>
    <t>20:16:15</t>
  </si>
  <si>
    <t>14:14:23</t>
  </si>
  <si>
    <t>10:15:45</t>
  </si>
  <si>
    <t>18:08:24</t>
  </si>
  <si>
    <t>17:18:54</t>
  </si>
  <si>
    <t>13:15:35</t>
  </si>
  <si>
    <t>14:52:21</t>
  </si>
  <si>
    <t>09:49:34</t>
  </si>
  <si>
    <t>15:39:59</t>
  </si>
  <si>
    <t>13:38:17</t>
  </si>
  <si>
    <t>18:02:25</t>
  </si>
  <si>
    <t>Customer 732</t>
  </si>
  <si>
    <t>17:47:25</t>
  </si>
  <si>
    <t>17:16:33</t>
  </si>
  <si>
    <t>10:13:45</t>
  </si>
  <si>
    <t>19:06:26</t>
  </si>
  <si>
    <t>16:48:48</t>
  </si>
  <si>
    <t>13:23:25</t>
  </si>
  <si>
    <t>11:56:43</t>
  </si>
  <si>
    <t>15:47:18</t>
  </si>
  <si>
    <t>10:21:07</t>
  </si>
  <si>
    <t>10:33:41</t>
  </si>
  <si>
    <t>13:55:04</t>
  </si>
  <si>
    <t>10:10:20</t>
  </si>
  <si>
    <t>Customer 1193</t>
  </si>
  <si>
    <t>18:15:16</t>
  </si>
  <si>
    <t>Customer 438</t>
  </si>
  <si>
    <t>11:04:18</t>
  </si>
  <si>
    <t>Customer 1102</t>
  </si>
  <si>
    <t>15:18:03</t>
  </si>
  <si>
    <t>17:18:07</t>
  </si>
  <si>
    <t>18:44:24</t>
  </si>
  <si>
    <t>12:48:14</t>
  </si>
  <si>
    <t>11:31:58</t>
  </si>
  <si>
    <t>13:48:17</t>
  </si>
  <si>
    <t>19:00:11</t>
  </si>
  <si>
    <t>15:39:23</t>
  </si>
  <si>
    <t>19:39:48</t>
  </si>
  <si>
    <t>17:25:50</t>
  </si>
  <si>
    <t>12:31:54</t>
  </si>
  <si>
    <t>18:13:47</t>
  </si>
  <si>
    <t>09:08:21</t>
  </si>
  <si>
    <t>13:41:01</t>
  </si>
  <si>
    <t>10:47:26</t>
  </si>
  <si>
    <t>19:39:49</t>
  </si>
  <si>
    <t>Customer 857</t>
  </si>
  <si>
    <t>13:07:54</t>
  </si>
  <si>
    <t>Customer 1006</t>
  </si>
  <si>
    <t>09:33:05</t>
  </si>
  <si>
    <t>Customer 5</t>
  </si>
  <si>
    <t>13:42:02</t>
  </si>
  <si>
    <t>12:23:32</t>
  </si>
  <si>
    <t>13:56:20</t>
  </si>
  <si>
    <t>15:33:32</t>
  </si>
  <si>
    <t>15:54:20</t>
  </si>
  <si>
    <t>18:36:45</t>
  </si>
  <si>
    <t>11:21:12</t>
  </si>
  <si>
    <t>15:38:00</t>
  </si>
  <si>
    <t>09:50:53</t>
  </si>
  <si>
    <t>10:38:06</t>
  </si>
  <si>
    <t>09:37:05</t>
  </si>
  <si>
    <t>14:14:03</t>
  </si>
  <si>
    <t>19:05:27</t>
  </si>
  <si>
    <t>09:49:25</t>
  </si>
  <si>
    <t>13:15:44</t>
  </si>
  <si>
    <t>16:29:13</t>
  </si>
  <si>
    <t>14:45:38</t>
  </si>
  <si>
    <t>10:15:59</t>
  </si>
  <si>
    <t>11:25:05</t>
  </si>
  <si>
    <t>20:56:06</t>
  </si>
  <si>
    <t>15:29:14</t>
  </si>
  <si>
    <t>16:17:37</t>
  </si>
  <si>
    <t>20:59:46</t>
  </si>
  <si>
    <t>12:20:01</t>
  </si>
  <si>
    <t>Customer 268</t>
  </si>
  <si>
    <t>11:25:48</t>
  </si>
  <si>
    <t>11:21:00</t>
  </si>
  <si>
    <t>15:26:59</t>
  </si>
  <si>
    <t>20:57:21</t>
  </si>
  <si>
    <t>Customer 1175</t>
  </si>
  <si>
    <t>09:24:20</t>
  </si>
  <si>
    <t>15:37:21</t>
  </si>
  <si>
    <t>17:42:51</t>
  </si>
  <si>
    <t>Customer 350</t>
  </si>
  <si>
    <t>18:54:23</t>
  </si>
  <si>
    <t>09:58:21</t>
  </si>
  <si>
    <t>Customer 637</t>
  </si>
  <si>
    <t>17:22:57</t>
  </si>
  <si>
    <t>19:49:19</t>
  </si>
  <si>
    <t>10:39:18</t>
  </si>
  <si>
    <t>10:57:34</t>
  </si>
  <si>
    <t>Customer 661</t>
  </si>
  <si>
    <t>19:29:24</t>
  </si>
  <si>
    <t>19:42:18</t>
  </si>
  <si>
    <t>09:58:35</t>
  </si>
  <si>
    <t>13:17:10</t>
  </si>
  <si>
    <t>13:54:21</t>
  </si>
  <si>
    <t>19:13:42</t>
  </si>
  <si>
    <t>14:28:46</t>
  </si>
  <si>
    <t>16:34:18</t>
  </si>
  <si>
    <t>16:31:17</t>
  </si>
  <si>
    <t>13:50:14</t>
  </si>
  <si>
    <t>18:29:14</t>
  </si>
  <si>
    <t>11:31:54</t>
  </si>
  <si>
    <t>09:15:21</t>
  </si>
  <si>
    <t>Customer 138</t>
  </si>
  <si>
    <t>18:44:45</t>
  </si>
  <si>
    <t>09:40:56</t>
  </si>
  <si>
    <t>18:58:57</t>
  </si>
  <si>
    <t>11:56:46</t>
  </si>
  <si>
    <t>11:57:00</t>
  </si>
  <si>
    <t>19:23:33</t>
  </si>
  <si>
    <t>Customer 79</t>
  </si>
  <si>
    <t>10:04:40</t>
  </si>
  <si>
    <t>15:48:01</t>
  </si>
  <si>
    <t>14:14:08</t>
  </si>
  <si>
    <t>09:19:26</t>
  </si>
  <si>
    <t>17:02:20</t>
  </si>
  <si>
    <t>19:06:11</t>
  </si>
  <si>
    <t>17:10:19</t>
  </si>
  <si>
    <t>20:12:28</t>
  </si>
  <si>
    <t>10:56:17</t>
  </si>
  <si>
    <t>19:03:35</t>
  </si>
  <si>
    <t>12:11:09</t>
  </si>
  <si>
    <t>Customer 168</t>
  </si>
  <si>
    <t>18:05:39</t>
  </si>
  <si>
    <t>12:08:50</t>
  </si>
  <si>
    <t>18:11:16</t>
  </si>
  <si>
    <t>19:01:46</t>
  </si>
  <si>
    <t>09:18:36</t>
  </si>
  <si>
    <t>13:55:22</t>
  </si>
  <si>
    <t>20:20:47</t>
  </si>
  <si>
    <t>18:45:19</t>
  </si>
  <si>
    <t>16:47:10</t>
  </si>
  <si>
    <t>15:05:55</t>
  </si>
  <si>
    <t>20:29:11</t>
  </si>
  <si>
    <t>17:43:36</t>
  </si>
  <si>
    <t>09:59:06</t>
  </si>
  <si>
    <t>16:22:34</t>
  </si>
  <si>
    <t>09:55:01</t>
  </si>
  <si>
    <t>17:34:07</t>
  </si>
  <si>
    <t>17:34:54</t>
  </si>
  <si>
    <t>10:24:45</t>
  </si>
  <si>
    <t>14:25:06</t>
  </si>
  <si>
    <t>Customer 1101</t>
  </si>
  <si>
    <t>10:05:26</t>
  </si>
  <si>
    <t>14:50:48</t>
  </si>
  <si>
    <t>17:01:59</t>
  </si>
  <si>
    <t>15:57:17</t>
  </si>
  <si>
    <t>16:58:16</t>
  </si>
  <si>
    <t>14:51:31</t>
  </si>
  <si>
    <t>Customer 42</t>
  </si>
  <si>
    <t>16:08:16</t>
  </si>
  <si>
    <t>18:58:39</t>
  </si>
  <si>
    <t>Customer 1133</t>
  </si>
  <si>
    <t>09:53:49</t>
  </si>
  <si>
    <t>20:48:59</t>
  </si>
  <si>
    <t>20:17:55</t>
  </si>
  <si>
    <t>18:30:32</t>
  </si>
  <si>
    <t>Customer 568</t>
  </si>
  <si>
    <t>14:27:06</t>
  </si>
  <si>
    <t>19:24:23</t>
  </si>
  <si>
    <t>13:37:10</t>
  </si>
  <si>
    <t>11:42:15</t>
  </si>
  <si>
    <t>19:53:52</t>
  </si>
  <si>
    <t>13:30:33</t>
  </si>
  <si>
    <t>19:09:12</t>
  </si>
  <si>
    <t>Customer 277</t>
  </si>
  <si>
    <t>19:35:40</t>
  </si>
  <si>
    <t>Customer 1081</t>
  </si>
  <si>
    <t>17:51:10</t>
  </si>
  <si>
    <t>Customer 26</t>
  </si>
  <si>
    <t>11:28:27</t>
  </si>
  <si>
    <t>17:03:44</t>
  </si>
  <si>
    <t>16:27:19</t>
  </si>
  <si>
    <t>15:27:46</t>
  </si>
  <si>
    <t>11:49:39</t>
  </si>
  <si>
    <t>Customer 200</t>
  </si>
  <si>
    <t>19:20:05</t>
  </si>
  <si>
    <t>09:59:55</t>
  </si>
  <si>
    <t>10:47:35</t>
  </si>
  <si>
    <t>14:07:55</t>
  </si>
  <si>
    <t>15:14:41</t>
  </si>
  <si>
    <t>20:12:55</t>
  </si>
  <si>
    <t>16:06:18</t>
  </si>
  <si>
    <t>Customer 485</t>
  </si>
  <si>
    <t>17:31:36</t>
  </si>
  <si>
    <t>Customer 255</t>
  </si>
  <si>
    <t>10:09:28</t>
  </si>
  <si>
    <t>13:59:49</t>
  </si>
  <si>
    <t>12:02:21</t>
  </si>
  <si>
    <t>Customer 313</t>
  </si>
  <si>
    <t>13:04:56</t>
  </si>
  <si>
    <t>12:21:42</t>
  </si>
  <si>
    <t>Customer 588</t>
  </si>
  <si>
    <t>10:46:12</t>
  </si>
  <si>
    <t>10:47:16</t>
  </si>
  <si>
    <t>14:45:17</t>
  </si>
  <si>
    <t>10:45:30</t>
  </si>
  <si>
    <t>17:52:57</t>
  </si>
  <si>
    <t>18:52:33</t>
  </si>
  <si>
    <t>12:33:07</t>
  </si>
  <si>
    <t>Customer 207</t>
  </si>
  <si>
    <t>Customer 1047</t>
  </si>
  <si>
    <t>18:35:19</t>
  </si>
  <si>
    <t>09:15:55</t>
  </si>
  <si>
    <t>18:25:26</t>
  </si>
  <si>
    <t>11:46:43</t>
  </si>
  <si>
    <t>17:09:44</t>
  </si>
  <si>
    <t>19:46:57</t>
  </si>
  <si>
    <t>13:43:53</t>
  </si>
  <si>
    <t>19:36:50</t>
  </si>
  <si>
    <t>19:14:56</t>
  </si>
  <si>
    <t>12:17:39</t>
  </si>
  <si>
    <t>16:35:59</t>
  </si>
  <si>
    <t>19:17:11</t>
  </si>
  <si>
    <t>14:55:39</t>
  </si>
  <si>
    <t>14:43:10</t>
  </si>
  <si>
    <t>Customer 864</t>
  </si>
  <si>
    <t>10:39:14</t>
  </si>
  <si>
    <t>14:40:06</t>
  </si>
  <si>
    <t>18:00:22</t>
  </si>
  <si>
    <t>Customer 215</t>
  </si>
  <si>
    <t>15:51:05</t>
  </si>
  <si>
    <t>11:49:29</t>
  </si>
  <si>
    <t>09:25:28</t>
  </si>
  <si>
    <t>Customer 1036</t>
  </si>
  <si>
    <t>19:02:02</t>
  </si>
  <si>
    <t>09:31:28</t>
  </si>
  <si>
    <t>19:46:23</t>
  </si>
  <si>
    <t>12:09:34</t>
  </si>
  <si>
    <t>13:10:31</t>
  </si>
  <si>
    <t>15:10:51</t>
  </si>
  <si>
    <t>20:32:55</t>
  </si>
  <si>
    <t>17:29:51</t>
  </si>
  <si>
    <t>16:16:41</t>
  </si>
  <si>
    <t>18:56:37</t>
  </si>
  <si>
    <t>19:06:54</t>
  </si>
  <si>
    <t>19:39:32</t>
  </si>
  <si>
    <t>10:26:43</t>
  </si>
  <si>
    <t>17:07:26</t>
  </si>
  <si>
    <t>15:07:30</t>
  </si>
  <si>
    <t>Customer 420</t>
  </si>
  <si>
    <t>09:46:22</t>
  </si>
  <si>
    <t>20:54:04</t>
  </si>
  <si>
    <t>18:11:23</t>
  </si>
  <si>
    <t>18:47:46</t>
  </si>
  <si>
    <t>16:21:16</t>
  </si>
  <si>
    <t>09:20:54</t>
  </si>
  <si>
    <t>11:05:04</t>
  </si>
  <si>
    <t>16:30:42</t>
  </si>
  <si>
    <t>16:02:49</t>
  </si>
  <si>
    <t>20:42:27</t>
  </si>
  <si>
    <t>17:55:49</t>
  </si>
  <si>
    <t>Customer 803</t>
  </si>
  <si>
    <t>20:39:00</t>
  </si>
  <si>
    <t>19:28:47</t>
  </si>
  <si>
    <t>Customer 1094</t>
  </si>
  <si>
    <t>15:44:35</t>
  </si>
  <si>
    <t>Customer 103</t>
  </si>
  <si>
    <t>18:04:00</t>
  </si>
  <si>
    <t>Customer 825</t>
  </si>
  <si>
    <t>13:26:53</t>
  </si>
  <si>
    <t>20:36:26</t>
  </si>
  <si>
    <t>20:38:47</t>
  </si>
  <si>
    <t>13:06:20</t>
  </si>
  <si>
    <t>Customer 113</t>
  </si>
  <si>
    <t>10:21:47</t>
  </si>
  <si>
    <t>16:40:13</t>
  </si>
  <si>
    <t>13:52:03</t>
  </si>
  <si>
    <t>16:50:26</t>
  </si>
  <si>
    <t>15:39:18</t>
  </si>
  <si>
    <t>Customer 1096</t>
  </si>
  <si>
    <t>19:25:17</t>
  </si>
  <si>
    <t>16:42:02</t>
  </si>
  <si>
    <t>16:00:17</t>
  </si>
  <si>
    <t>20:36:55</t>
  </si>
  <si>
    <t>20:43:43</t>
  </si>
  <si>
    <t>10:16:36</t>
  </si>
  <si>
    <t>14:46:08</t>
  </si>
  <si>
    <t>20:15:58</t>
  </si>
  <si>
    <t>16:35:21</t>
  </si>
  <si>
    <t>Customer 332</t>
  </si>
  <si>
    <t>18:45:00</t>
  </si>
  <si>
    <t>09:53:57</t>
  </si>
  <si>
    <t>Customer 400</t>
  </si>
  <si>
    <t>18:19:25</t>
  </si>
  <si>
    <t>14:55:37</t>
  </si>
  <si>
    <t>13:11:41</t>
  </si>
  <si>
    <t>10:29:53</t>
  </si>
  <si>
    <t>15:32:37</t>
  </si>
  <si>
    <t>15:58:27</t>
  </si>
  <si>
    <t>16:49:19</t>
  </si>
  <si>
    <t>19:32:51</t>
  </si>
  <si>
    <t>17:42:26</t>
  </si>
  <si>
    <t>Customer 660</t>
  </si>
  <si>
    <t>16:57:30</t>
  </si>
  <si>
    <t>20:39:11</t>
  </si>
  <si>
    <t>12:30:16</t>
  </si>
  <si>
    <t>12:30:13</t>
  </si>
  <si>
    <t>13:43:32</t>
  </si>
  <si>
    <t>11:07:23</t>
  </si>
  <si>
    <t>17:14:44</t>
  </si>
  <si>
    <t>13:16:52</t>
  </si>
  <si>
    <t>Customer 644</t>
  </si>
  <si>
    <t>11:55:32</t>
  </si>
  <si>
    <t>17:32:47</t>
  </si>
  <si>
    <t>15:16:28</t>
  </si>
  <si>
    <t>19:35:34</t>
  </si>
  <si>
    <t>Customer 726</t>
  </si>
  <si>
    <t>14:36:46</t>
  </si>
  <si>
    <t>13:25:45</t>
  </si>
  <si>
    <t>17:39:13</t>
  </si>
  <si>
    <t>14:19:13</t>
  </si>
  <si>
    <t>12:24:10</t>
  </si>
  <si>
    <t>Customer 1159</t>
  </si>
  <si>
    <t>15:18:35</t>
  </si>
  <si>
    <t>18:07:31</t>
  </si>
  <si>
    <t>Customer 145</t>
  </si>
  <si>
    <t>17:03:38</t>
  </si>
  <si>
    <t>16:36:13</t>
  </si>
  <si>
    <t>Customer 783</t>
  </si>
  <si>
    <t>11:11:36</t>
  </si>
  <si>
    <t>09:44:29</t>
  </si>
  <si>
    <t>11:40:01</t>
  </si>
  <si>
    <t>Customer 398</t>
  </si>
  <si>
    <t>15:04:09</t>
  </si>
  <si>
    <t>11:06:49</t>
  </si>
  <si>
    <t>Customer 1100</t>
  </si>
  <si>
    <t>17:20:38</t>
  </si>
  <si>
    <t>09:54:57</t>
  </si>
  <si>
    <t>11:22:27</t>
  </si>
  <si>
    <t>14:29:34</t>
  </si>
  <si>
    <t>Customer 1255</t>
  </si>
  <si>
    <t>19:41:58</t>
  </si>
  <si>
    <t>15:58:12</t>
  </si>
  <si>
    <t>18:02:42</t>
  </si>
  <si>
    <t>14:59:10</t>
  </si>
  <si>
    <t>13:38:37</t>
  </si>
  <si>
    <t>09:53:56</t>
  </si>
  <si>
    <t>16:23:33</t>
  </si>
  <si>
    <t>Customer 649</t>
  </si>
  <si>
    <t>11:34:16</t>
  </si>
  <si>
    <t>18:42:29</t>
  </si>
  <si>
    <t>19:26:12</t>
  </si>
  <si>
    <t>10:17:57</t>
  </si>
  <si>
    <t>19:43:06</t>
  </si>
  <si>
    <t>09:57:45</t>
  </si>
  <si>
    <t>Customer 487</t>
  </si>
  <si>
    <t>18:10:52</t>
  </si>
  <si>
    <t>14:10:15</t>
  </si>
  <si>
    <t>14:11:38</t>
  </si>
  <si>
    <t>11:10:29</t>
  </si>
  <si>
    <t>Customer 96</t>
  </si>
  <si>
    <t>11:56:22</t>
  </si>
  <si>
    <t>16:21:03</t>
  </si>
  <si>
    <t>10:55:49</t>
  </si>
  <si>
    <t>17:45:48</t>
  </si>
  <si>
    <t>19:00:45</t>
  </si>
  <si>
    <t>11:50:52</t>
  </si>
  <si>
    <t>12:32:03</t>
  </si>
  <si>
    <t>18:45:25</t>
  </si>
  <si>
    <t>Customer 806</t>
  </si>
  <si>
    <t>09:51:50</t>
  </si>
  <si>
    <t>Customer 614</t>
  </si>
  <si>
    <t>13:31:54</t>
  </si>
  <si>
    <t>10:59:56</t>
  </si>
  <si>
    <t>15:25:56</t>
  </si>
  <si>
    <t>15:54:04</t>
  </si>
  <si>
    <t>16:19:56</t>
  </si>
  <si>
    <t>09:54:11</t>
  </si>
  <si>
    <t>Customer 144</t>
  </si>
  <si>
    <t>20:41:50</t>
  </si>
  <si>
    <t>Customer 740</t>
  </si>
  <si>
    <t>11:50:41</t>
  </si>
  <si>
    <t>18:32:03</t>
  </si>
  <si>
    <t>13:47:05</t>
  </si>
  <si>
    <t>Customer 124</t>
  </si>
  <si>
    <t>16:38:14</t>
  </si>
  <si>
    <t>19:40:22</t>
  </si>
  <si>
    <t>Customer 28</t>
  </si>
  <si>
    <t>20:38:05</t>
  </si>
  <si>
    <t>13:10:40</t>
  </si>
  <si>
    <t>18:25:22</t>
  </si>
  <si>
    <t>Customer 305</t>
  </si>
  <si>
    <t>16:41:43</t>
  </si>
  <si>
    <t>20:22:56</t>
  </si>
  <si>
    <t>Customer 881</t>
  </si>
  <si>
    <t>15:12:10</t>
  </si>
  <si>
    <t>11:52:25</t>
  </si>
  <si>
    <t>16:03:36</t>
  </si>
  <si>
    <t>10:40:25</t>
  </si>
  <si>
    <t>13:24:50</t>
  </si>
  <si>
    <t>Customer 1204</t>
  </si>
  <si>
    <t>13:15:06</t>
  </si>
  <si>
    <t>19:45:49</t>
  </si>
  <si>
    <t>12:46:06</t>
  </si>
  <si>
    <t>13:16:44</t>
  </si>
  <si>
    <t>11:03:02</t>
  </si>
  <si>
    <t>18:29:37</t>
  </si>
  <si>
    <t>Customer 1009</t>
  </si>
  <si>
    <t>10:45:34</t>
  </si>
  <si>
    <t>17:55:00</t>
  </si>
  <si>
    <t>16:33:41</t>
  </si>
  <si>
    <t>Customer 800</t>
  </si>
  <si>
    <t>20:02:11</t>
  </si>
  <si>
    <t>16:27:05</t>
  </si>
  <si>
    <t>12:41:13</t>
  </si>
  <si>
    <t>18:13:06</t>
  </si>
  <si>
    <t>12:35:10</t>
  </si>
  <si>
    <t>17:42:36</t>
  </si>
  <si>
    <t>16:51:00</t>
  </si>
  <si>
    <t>15:36:41</t>
  </si>
  <si>
    <t>10:55:05</t>
  </si>
  <si>
    <t>10:06:04</t>
  </si>
  <si>
    <t>17:10:50</t>
  </si>
  <si>
    <t>19:57:15</t>
  </si>
  <si>
    <t>19:54:45</t>
  </si>
  <si>
    <t>11:00:58</t>
  </si>
  <si>
    <t>11:38:48</t>
  </si>
  <si>
    <t>16:32:42</t>
  </si>
  <si>
    <t>20:38:19</t>
  </si>
  <si>
    <t>12:32:20</t>
  </si>
  <si>
    <t>18:34:55</t>
  </si>
  <si>
    <t>09:44:02</t>
  </si>
  <si>
    <t>17:12:20</t>
  </si>
  <si>
    <t>12:57:48</t>
  </si>
  <si>
    <t>19:48:03</t>
  </si>
  <si>
    <t>17:53:42</t>
  </si>
  <si>
    <t>12:38:32</t>
  </si>
  <si>
    <t>16:49:09</t>
  </si>
  <si>
    <t>16:15:48</t>
  </si>
  <si>
    <t>13:36:46</t>
  </si>
  <si>
    <t>14:25:36</t>
  </si>
  <si>
    <t>15:56:30</t>
  </si>
  <si>
    <t>10:14:36</t>
  </si>
  <si>
    <t>14:02:02</t>
  </si>
  <si>
    <t>14:32:22</t>
  </si>
  <si>
    <t>12:12:10</t>
  </si>
  <si>
    <t>18:02:23</t>
  </si>
  <si>
    <t>10:08:39</t>
  </si>
  <si>
    <t>Customer 1119</t>
  </si>
  <si>
    <t>17:07:29</t>
  </si>
  <si>
    <t>10:18:59</t>
  </si>
  <si>
    <t>Customer 1154</t>
  </si>
  <si>
    <t>13:23:42</t>
  </si>
  <si>
    <t>18:26:18</t>
  </si>
  <si>
    <t>13:44:50</t>
  </si>
  <si>
    <t>12:20:33</t>
  </si>
  <si>
    <t>11:42:44</t>
  </si>
  <si>
    <t>Customer 131</t>
  </si>
  <si>
    <t>19:46:47</t>
  </si>
  <si>
    <t>13:38:44</t>
  </si>
  <si>
    <t>10:58:47</t>
  </si>
  <si>
    <t>12:03:37</t>
  </si>
  <si>
    <t>Customer 987</t>
  </si>
  <si>
    <t>13:16:21</t>
  </si>
  <si>
    <t>18:59:17</t>
  </si>
  <si>
    <t>10:58:15</t>
  </si>
  <si>
    <t>Customer 127</t>
  </si>
  <si>
    <t>20:28:29</t>
  </si>
  <si>
    <t>09:16:51</t>
  </si>
  <si>
    <t>Customer 808</t>
  </si>
  <si>
    <t>16:04:39</t>
  </si>
  <si>
    <t>Customer 302</t>
  </si>
  <si>
    <t>19:53:50</t>
  </si>
  <si>
    <t>10:27:08</t>
  </si>
  <si>
    <t>Customer 909</t>
  </si>
  <si>
    <t>10:48:12</t>
  </si>
  <si>
    <t>09:58:38</t>
  </si>
  <si>
    <t>10:36:04</t>
  </si>
  <si>
    <t>17:49:20</t>
  </si>
  <si>
    <t>14:23:32</t>
  </si>
  <si>
    <t>17:06:06</t>
  </si>
  <si>
    <t>13:10:46</t>
  </si>
  <si>
    <t>17:51:08</t>
  </si>
  <si>
    <t>14:11:08</t>
  </si>
  <si>
    <t>13:38:05</t>
  </si>
  <si>
    <t>14:08:34</t>
  </si>
  <si>
    <t>Customer 757</t>
  </si>
  <si>
    <t>20:19:15</t>
  </si>
  <si>
    <t>13:29:45</t>
  </si>
  <si>
    <t>Customer 224</t>
  </si>
  <si>
    <t>15:08:52</t>
  </si>
  <si>
    <t>Customer 182</t>
  </si>
  <si>
    <t>17:59:07</t>
  </si>
  <si>
    <t>09:44:14</t>
  </si>
  <si>
    <t>09:32:56</t>
  </si>
  <si>
    <t>16:41:59</t>
  </si>
  <si>
    <t>10:57:52</t>
  </si>
  <si>
    <t>18:38:46</t>
  </si>
  <si>
    <t>10:53:59</t>
  </si>
  <si>
    <t>10:19:45</t>
  </si>
  <si>
    <t>17:56:26</t>
  </si>
  <si>
    <t>18:45:16</t>
  </si>
  <si>
    <t>Customer 1206</t>
  </si>
  <si>
    <t>11:58:16</t>
  </si>
  <si>
    <t>17:18:05</t>
  </si>
  <si>
    <t>13:40:27</t>
  </si>
  <si>
    <t>18:00:00</t>
  </si>
  <si>
    <t>13:38:58</t>
  </si>
  <si>
    <t>15:19:28</t>
  </si>
  <si>
    <t>13:36:09</t>
  </si>
  <si>
    <t>18:06:14</t>
  </si>
  <si>
    <t>17:14:45</t>
  </si>
  <si>
    <t>Customer 75</t>
  </si>
  <si>
    <t>14:43:01</t>
  </si>
  <si>
    <t>20:04:40</t>
  </si>
  <si>
    <t>12:49:27</t>
  </si>
  <si>
    <t>15:03:24</t>
  </si>
  <si>
    <t>16:15:06</t>
  </si>
  <si>
    <t>19:29:16</t>
  </si>
  <si>
    <t>Customer 947</t>
  </si>
  <si>
    <t>13:26:38</t>
  </si>
  <si>
    <t>Customer 385</t>
  </si>
  <si>
    <t>11:57:48</t>
  </si>
  <si>
    <t>09:39:47</t>
  </si>
  <si>
    <t>19:09:36</t>
  </si>
  <si>
    <t>11:48:36</t>
  </si>
  <si>
    <t>20:07:45</t>
  </si>
  <si>
    <t>13:14:46</t>
  </si>
  <si>
    <t>20:49:15</t>
  </si>
  <si>
    <t>15:51:15</t>
  </si>
  <si>
    <t>12:46:40</t>
  </si>
  <si>
    <t>Customer 681</t>
  </si>
  <si>
    <t>20:51:21</t>
  </si>
  <si>
    <t>15:35:44</t>
  </si>
  <si>
    <t>09:20:57</t>
  </si>
  <si>
    <t>09:01:24</t>
  </si>
  <si>
    <t>14:37:27</t>
  </si>
  <si>
    <t>19:39:12</t>
  </si>
  <si>
    <t>13:05:39</t>
  </si>
  <si>
    <t>18:29:21</t>
  </si>
  <si>
    <t>09:57:53</t>
  </si>
  <si>
    <t>16:01:38</t>
  </si>
  <si>
    <t>12:37:44</t>
  </si>
  <si>
    <t>09:34:51</t>
  </si>
  <si>
    <t>17:56:46</t>
  </si>
  <si>
    <t>19:44:39</t>
  </si>
  <si>
    <t>17:31:55</t>
  </si>
  <si>
    <t>12:25:49</t>
  </si>
  <si>
    <t>09:08:06</t>
  </si>
  <si>
    <t>12:41:47</t>
  </si>
  <si>
    <t>18:24:31</t>
  </si>
  <si>
    <t>13:38:24</t>
  </si>
  <si>
    <t>16:26:05</t>
  </si>
  <si>
    <t>18:18:29</t>
  </si>
  <si>
    <t>18:51:59</t>
  </si>
  <si>
    <t>20:57:01</t>
  </si>
  <si>
    <t>Customer 1153</t>
  </si>
  <si>
    <t>12:05:42</t>
  </si>
  <si>
    <t>15:11:04</t>
  </si>
  <si>
    <t>17:10:14</t>
  </si>
  <si>
    <t>18:39:01</t>
  </si>
  <si>
    <t>12:38:58</t>
  </si>
  <si>
    <t>10:11:31</t>
  </si>
  <si>
    <t>09:10:28</t>
  </si>
  <si>
    <t>19:26:10</t>
  </si>
  <si>
    <t>15:42:17</t>
  </si>
  <si>
    <t>Customer 342</t>
  </si>
  <si>
    <t>09:35:20</t>
  </si>
  <si>
    <t>20:19:46</t>
  </si>
  <si>
    <t>10:35:31</t>
  </si>
  <si>
    <t>Customer 933</t>
  </si>
  <si>
    <t>13:30:31</t>
  </si>
  <si>
    <t>13:12:01</t>
  </si>
  <si>
    <t>18:29:36</t>
  </si>
  <si>
    <t>20:51:52</t>
  </si>
  <si>
    <t>18:05:50</t>
  </si>
  <si>
    <t>Customer 208</t>
  </si>
  <si>
    <t>17:05:53</t>
  </si>
  <si>
    <t>14:29:57</t>
  </si>
  <si>
    <t>Customer 139</t>
  </si>
  <si>
    <t>12:35:44</t>
  </si>
  <si>
    <t>12:04:39</t>
  </si>
  <si>
    <t>Customer 301</t>
  </si>
  <si>
    <t>16:30:23</t>
  </si>
  <si>
    <t>Customer 53</t>
  </si>
  <si>
    <t>17:24:52</t>
  </si>
  <si>
    <t>Customer 1122</t>
  </si>
  <si>
    <t>18:52:02</t>
  </si>
  <si>
    <t>Customer 586</t>
  </si>
  <si>
    <t>15:07:25</t>
  </si>
  <si>
    <t>17:07:56</t>
  </si>
  <si>
    <t>16:57:57</t>
  </si>
  <si>
    <t>Customer 870</t>
  </si>
  <si>
    <t>15:36:23</t>
  </si>
  <si>
    <t>12:01:08</t>
  </si>
  <si>
    <t>15:11:35</t>
  </si>
  <si>
    <t>Customer 13</t>
  </si>
  <si>
    <t>20:48:26</t>
  </si>
  <si>
    <t>09:59:46</t>
  </si>
  <si>
    <t>13:40:26</t>
  </si>
  <si>
    <t>16:24:24</t>
  </si>
  <si>
    <t>13:17:16</t>
  </si>
  <si>
    <t>Customer 507</t>
  </si>
  <si>
    <t>10:59:23</t>
  </si>
  <si>
    <t>19:08:37</t>
  </si>
  <si>
    <t>11:37:14</t>
  </si>
  <si>
    <t>Customer 174</t>
  </si>
  <si>
    <t>15:56:36</t>
  </si>
  <si>
    <t>19:40:53</t>
  </si>
  <si>
    <t>10:05:14</t>
  </si>
  <si>
    <t>11:13:02</t>
  </si>
  <si>
    <t>15:15:47</t>
  </si>
  <si>
    <t>12:39:51</t>
  </si>
  <si>
    <t>11:15:02</t>
  </si>
  <si>
    <t>Customer 381</t>
  </si>
  <si>
    <t>09:52:29</t>
  </si>
  <si>
    <t>13:01:17</t>
  </si>
  <si>
    <t>11:49:52</t>
  </si>
  <si>
    <t>16:18:34</t>
  </si>
  <si>
    <t>13:11:11</t>
  </si>
  <si>
    <t>Customer 323</t>
  </si>
  <si>
    <t>13:45:23</t>
  </si>
  <si>
    <t>14:39:42</t>
  </si>
  <si>
    <t>14:50:51</t>
  </si>
  <si>
    <t>11:12:52</t>
  </si>
  <si>
    <t>14:31:51</t>
  </si>
  <si>
    <t>12:14:14</t>
  </si>
  <si>
    <t>20:00:14</t>
  </si>
  <si>
    <t>20:24:19</t>
  </si>
  <si>
    <t>10:44:03</t>
  </si>
  <si>
    <t>11:28:08</t>
  </si>
  <si>
    <t>16:14:23</t>
  </si>
  <si>
    <t>13:54:19</t>
  </si>
  <si>
    <t>13:01:58</t>
  </si>
  <si>
    <t>11:28:54</t>
  </si>
  <si>
    <t>17:36:57</t>
  </si>
  <si>
    <t>Customer 1229</t>
  </si>
  <si>
    <t>10:13:31</t>
  </si>
  <si>
    <t>13:55:27</t>
  </si>
  <si>
    <t>10:24:50</t>
  </si>
  <si>
    <t>13:34:41</t>
  </si>
  <si>
    <t>13:45:05</t>
  </si>
  <si>
    <t>15:53:42</t>
  </si>
  <si>
    <t>12:38:24</t>
  </si>
  <si>
    <t>20:07:24</t>
  </si>
  <si>
    <t>13:15:29</t>
  </si>
  <si>
    <t>16:21:40</t>
  </si>
  <si>
    <t>11:18:26</t>
  </si>
  <si>
    <t>11:46:20</t>
  </si>
  <si>
    <t>17:32:12</t>
  </si>
  <si>
    <t>15:31:49</t>
  </si>
  <si>
    <t>13:09:09</t>
  </si>
  <si>
    <t>15:46:58</t>
  </si>
  <si>
    <t>20:49:46</t>
  </si>
  <si>
    <t>19:35:02</t>
  </si>
  <si>
    <t>Customer 98</t>
  </si>
  <si>
    <t>19:40:28</t>
  </si>
  <si>
    <t>13:49:17</t>
  </si>
  <si>
    <t>12:18:09</t>
  </si>
  <si>
    <t>14:07:51</t>
  </si>
  <si>
    <t>13:53:59</t>
  </si>
  <si>
    <t>14:20:58</t>
  </si>
  <si>
    <t>16:33:14</t>
  </si>
  <si>
    <t>12:11:32</t>
  </si>
  <si>
    <t>11:04:02</t>
  </si>
  <si>
    <t>12:17:57</t>
  </si>
  <si>
    <t>Customer 29</t>
  </si>
  <si>
    <t>17:05:58</t>
  </si>
  <si>
    <t>Customer 16</t>
  </si>
  <si>
    <t>15:25:04</t>
  </si>
  <si>
    <t>Customer 863</t>
  </si>
  <si>
    <t>15:30:14</t>
  </si>
  <si>
    <t>11:12:07</t>
  </si>
  <si>
    <t>Customer 1157</t>
  </si>
  <si>
    <t>14:28:48</t>
  </si>
  <si>
    <t>11:14:03</t>
  </si>
  <si>
    <t>12:50:29</t>
  </si>
  <si>
    <t>Customer 1142</t>
  </si>
  <si>
    <t>13:59:07</t>
  </si>
  <si>
    <t>16:09:24</t>
  </si>
  <si>
    <t>16:50:17</t>
  </si>
  <si>
    <t>17:47:33</t>
  </si>
  <si>
    <t>Customer 1062</t>
  </si>
  <si>
    <t>Customer 150</t>
  </si>
  <si>
    <t>13:46:20</t>
  </si>
  <si>
    <t>10:57:06</t>
  </si>
  <si>
    <t>19:15:48</t>
  </si>
  <si>
    <t>18:30:01</t>
  </si>
  <si>
    <t>12:06:04</t>
  </si>
  <si>
    <t>Customer 859</t>
  </si>
  <si>
    <t>17:53:12</t>
  </si>
  <si>
    <t>13:32:21</t>
  </si>
  <si>
    <t>Customer 555</t>
  </si>
  <si>
    <t>Customer 646</t>
  </si>
  <si>
    <t>16:21:47</t>
  </si>
  <si>
    <t>13:43:31</t>
  </si>
  <si>
    <t>13:38:22</t>
  </si>
  <si>
    <t>15:00:14</t>
  </si>
  <si>
    <t>18:34:21</t>
  </si>
  <si>
    <t>16:33:33</t>
  </si>
  <si>
    <t>19:59:23</t>
  </si>
  <si>
    <t>13:34:29</t>
  </si>
  <si>
    <t>20:53:00</t>
  </si>
  <si>
    <t>17:39:59</t>
  </si>
  <si>
    <t>16:12:24</t>
  </si>
  <si>
    <t>Customer 1068</t>
  </si>
  <si>
    <t>09:29:59</t>
  </si>
  <si>
    <t>17:14:58</t>
  </si>
  <si>
    <t>11:51:18</t>
  </si>
  <si>
    <t>17:33:07</t>
  </si>
  <si>
    <t>09:08:47</t>
  </si>
  <si>
    <t>11:03:05</t>
  </si>
  <si>
    <t>12:16:18</t>
  </si>
  <si>
    <t>Customer 513</t>
  </si>
  <si>
    <t>15:09:36</t>
  </si>
  <si>
    <t>19:21:06</t>
  </si>
  <si>
    <t>11:25:46</t>
  </si>
  <si>
    <t>09:12:35</t>
  </si>
  <si>
    <t>17:24:23</t>
  </si>
  <si>
    <t>17:00:44</t>
  </si>
  <si>
    <t>20:08:51</t>
  </si>
  <si>
    <t>20:25:25</t>
  </si>
  <si>
    <t>09:46:23</t>
  </si>
  <si>
    <t>17:17:34</t>
  </si>
  <si>
    <t>17:38:58</t>
  </si>
  <si>
    <t>Customer 222</t>
  </si>
  <si>
    <t>10:22:24</t>
  </si>
  <si>
    <t>09:54:22</t>
  </si>
  <si>
    <t>16:33:27</t>
  </si>
  <si>
    <t>Customer 908</t>
  </si>
  <si>
    <t>09:41:23</t>
  </si>
  <si>
    <t>20:37:34</t>
  </si>
  <si>
    <t>16:57:27</t>
  </si>
  <si>
    <t>10:43:16</t>
  </si>
  <si>
    <t>Customer 790</t>
  </si>
  <si>
    <t>12:37:21</t>
  </si>
  <si>
    <t>17:22:50</t>
  </si>
  <si>
    <t>17:07:54</t>
  </si>
  <si>
    <t>09:26:39</t>
  </si>
  <si>
    <t>15:44:46</t>
  </si>
  <si>
    <t>Customer 984</t>
  </si>
  <si>
    <t>18:00:37</t>
  </si>
  <si>
    <t>09:26:46</t>
  </si>
  <si>
    <t>Customer 642</t>
  </si>
  <si>
    <t>18:56:15</t>
  </si>
  <si>
    <t>Customer 38</t>
  </si>
  <si>
    <t>16:21:22</t>
  </si>
  <si>
    <t>12:23:15</t>
  </si>
  <si>
    <t>15:38:40</t>
  </si>
  <si>
    <t>12:22:03</t>
  </si>
  <si>
    <t>16:47:18</t>
  </si>
  <si>
    <t>09:27:11</t>
  </si>
  <si>
    <t>18:12:41</t>
  </si>
  <si>
    <t>17:41:44</t>
  </si>
  <si>
    <t>Customer 706</t>
  </si>
  <si>
    <t>10:04:10</t>
  </si>
  <si>
    <t>09:43:20</t>
  </si>
  <si>
    <t>17:59:55</t>
  </si>
  <si>
    <t>10:49:54</t>
  </si>
  <si>
    <t>Customer 295</t>
  </si>
  <si>
    <t>13:52:27</t>
  </si>
  <si>
    <t>15:38:57</t>
  </si>
  <si>
    <t>16:36:44</t>
  </si>
  <si>
    <t>19:02:41</t>
  </si>
  <si>
    <t>15:37:30</t>
  </si>
  <si>
    <t>13:26:07</t>
  </si>
  <si>
    <t>16:47:40</t>
  </si>
  <si>
    <t>13:07:55</t>
  </si>
  <si>
    <t>14:48:16</t>
  </si>
  <si>
    <t>10:39:09</t>
  </si>
  <si>
    <t>19:51:35</t>
  </si>
  <si>
    <t>14:47:13</t>
  </si>
  <si>
    <t>19:19:11</t>
  </si>
  <si>
    <t>10:25:38</t>
  </si>
  <si>
    <t>11:03:18</t>
  </si>
  <si>
    <t>18:01:19</t>
  </si>
  <si>
    <t>12:42:14</t>
  </si>
  <si>
    <t>15:08:18</t>
  </si>
  <si>
    <t>11:42:13</t>
  </si>
  <si>
    <t>16:22:41</t>
  </si>
  <si>
    <t>16:42:32</t>
  </si>
  <si>
    <t>16:00:00</t>
  </si>
  <si>
    <t>Customer 352</t>
  </si>
  <si>
    <t>20:59:51</t>
  </si>
  <si>
    <t>18:09:44</t>
  </si>
  <si>
    <t>17:52:24</t>
  </si>
  <si>
    <t>16:18:28</t>
  </si>
  <si>
    <t>19:20:52</t>
  </si>
  <si>
    <t>16:05:19</t>
  </si>
  <si>
    <t>09:11:24</t>
  </si>
  <si>
    <t>13:43:26</t>
  </si>
  <si>
    <t>18:46:31</t>
  </si>
  <si>
    <t>16:51:13</t>
  </si>
  <si>
    <t>13:57:32</t>
  </si>
  <si>
    <t>Customer 756</t>
  </si>
  <si>
    <t>14:41:29</t>
  </si>
  <si>
    <t>16:28:44</t>
  </si>
  <si>
    <t>13:27:14</t>
  </si>
  <si>
    <t>15:08:27</t>
  </si>
  <si>
    <t>11:15:30</t>
  </si>
  <si>
    <t>20:10:55</t>
  </si>
  <si>
    <t>Customer 692</t>
  </si>
  <si>
    <t>18:29:02</t>
  </si>
  <si>
    <t>Customer 125</t>
  </si>
  <si>
    <t>10:23:42</t>
  </si>
  <si>
    <t>13:21:47</t>
  </si>
  <si>
    <t>15:44:08</t>
  </si>
  <si>
    <t>Customer 729</t>
  </si>
  <si>
    <t>17:27:45</t>
  </si>
  <si>
    <t>16:49:14</t>
  </si>
  <si>
    <t>Customer 452</t>
  </si>
  <si>
    <t>15:47:22</t>
  </si>
  <si>
    <t>14:10:00</t>
  </si>
  <si>
    <t>18:14:35</t>
  </si>
  <si>
    <t>12:12:09</t>
  </si>
  <si>
    <t>14:42:07</t>
  </si>
  <si>
    <t>12:32:12</t>
  </si>
  <si>
    <t>09:11:06</t>
  </si>
  <si>
    <t>13:22:56</t>
  </si>
  <si>
    <t>Customer 576</t>
  </si>
  <si>
    <t>18:44:20</t>
  </si>
  <si>
    <t>Customer 749</t>
  </si>
  <si>
    <t>11:12:12</t>
  </si>
  <si>
    <t>16:53:34</t>
  </si>
  <si>
    <t>18:44:10</t>
  </si>
  <si>
    <t>Customer 322</t>
  </si>
  <si>
    <t>16:49:32</t>
  </si>
  <si>
    <t>18:24:12</t>
  </si>
  <si>
    <t>17:50:20</t>
  </si>
  <si>
    <t>13:57:22</t>
  </si>
  <si>
    <t>16:54:31</t>
  </si>
  <si>
    <t>20:15:25</t>
  </si>
  <si>
    <t>12:08:02</t>
  </si>
  <si>
    <t>15:32:56</t>
  </si>
  <si>
    <t>09:34:32</t>
  </si>
  <si>
    <t>14:15:05</t>
  </si>
  <si>
    <t>11:48:14</t>
  </si>
  <si>
    <t>Customer 1278</t>
  </si>
  <si>
    <t>12:34:09</t>
  </si>
  <si>
    <t>12:10:38</t>
  </si>
  <si>
    <t>11:30:56</t>
  </si>
  <si>
    <t>10:54:21</t>
  </si>
  <si>
    <t>13:58:28</t>
  </si>
  <si>
    <t>11:02:57</t>
  </si>
  <si>
    <t>10:59:00</t>
  </si>
  <si>
    <t>13:17:33</t>
  </si>
  <si>
    <t>Customer 345</t>
  </si>
  <si>
    <t>15:50:41</t>
  </si>
  <si>
    <t>13:02:34</t>
  </si>
  <si>
    <t>11:58:28</t>
  </si>
  <si>
    <t>12:51:37</t>
  </si>
  <si>
    <t>Customer 74</t>
  </si>
  <si>
    <t>15:50:44</t>
  </si>
  <si>
    <t>15:49:46</t>
  </si>
  <si>
    <t>19:15:07</t>
  </si>
  <si>
    <t>09:19:32</t>
  </si>
  <si>
    <t>13:27:53</t>
  </si>
  <si>
    <t>12:00:11</t>
  </si>
  <si>
    <t>14:21:03</t>
  </si>
  <si>
    <t>Customer 741</t>
  </si>
  <si>
    <t>10:34:56</t>
  </si>
  <si>
    <t>Customer 311</t>
  </si>
  <si>
    <t>17:44:51</t>
  </si>
  <si>
    <t>14:23:20</t>
  </si>
  <si>
    <t>19:43:39</t>
  </si>
  <si>
    <t>09:50:48</t>
  </si>
  <si>
    <t>16:32:36</t>
  </si>
  <si>
    <t>12:24:52</t>
  </si>
  <si>
    <t>15:32:01</t>
  </si>
  <si>
    <t>15:58:06</t>
  </si>
  <si>
    <t>20:21:36</t>
  </si>
  <si>
    <t>16:38:05</t>
  </si>
  <si>
    <t>Customer 910</t>
  </si>
  <si>
    <t>13:27:27</t>
  </si>
  <si>
    <t>Customer 885</t>
  </si>
  <si>
    <t>13:46:09</t>
  </si>
  <si>
    <t>Customer 937</t>
  </si>
  <si>
    <t>18:44:19</t>
  </si>
  <si>
    <t>15:19:59</t>
  </si>
  <si>
    <t>19:15:13</t>
  </si>
  <si>
    <t>11:30:11</t>
  </si>
  <si>
    <t>20:30:16</t>
  </si>
  <si>
    <t>Customer 362</t>
  </si>
  <si>
    <t>12:18:14</t>
  </si>
  <si>
    <t>10:08:23</t>
  </si>
  <si>
    <t>09:45:27</t>
  </si>
  <si>
    <t>17:03:02</t>
  </si>
  <si>
    <t>13:14:25</t>
  </si>
  <si>
    <t>19:23:55</t>
  </si>
  <si>
    <t>10:15:58</t>
  </si>
  <si>
    <t>12:37:38</t>
  </si>
  <si>
    <t>13:41:12</t>
  </si>
  <si>
    <t>16:39:37</t>
  </si>
  <si>
    <t>16:57:53</t>
  </si>
  <si>
    <t>Customer 440</t>
  </si>
  <si>
    <t>19:03:16</t>
  </si>
  <si>
    <t>15:40:42</t>
  </si>
  <si>
    <t>09:55:38</t>
  </si>
  <si>
    <t>14:44:11</t>
  </si>
  <si>
    <t>18:09:04</t>
  </si>
  <si>
    <t>Customer 952</t>
  </si>
  <si>
    <t>09:45:14</t>
  </si>
  <si>
    <t>14:23:53</t>
  </si>
  <si>
    <t>17:26:27</t>
  </si>
  <si>
    <t>15:55:59</t>
  </si>
  <si>
    <t>15:44:58</t>
  </si>
  <si>
    <t>13:22:01</t>
  </si>
  <si>
    <t>16:41:30</t>
  </si>
  <si>
    <t>Customer 624</t>
  </si>
  <si>
    <t>13:48:44</t>
  </si>
  <si>
    <t>17:22:56</t>
  </si>
  <si>
    <t>11:27:12</t>
  </si>
  <si>
    <t>17:02:58</t>
  </si>
  <si>
    <t>Customer 126</t>
  </si>
  <si>
    <t>10:07:02</t>
  </si>
  <si>
    <t>19:03:13</t>
  </si>
  <si>
    <t>Customer 1076</t>
  </si>
  <si>
    <t>16:46:31</t>
  </si>
  <si>
    <t>09:28:54</t>
  </si>
  <si>
    <t>Customer 414</t>
  </si>
  <si>
    <t>12:15:02</t>
  </si>
  <si>
    <t>Customer 742</t>
  </si>
  <si>
    <t>15:50:14</t>
  </si>
  <si>
    <t>15:54:29</t>
  </si>
  <si>
    <t>12:08:49</t>
  </si>
  <si>
    <t>19:38:38</t>
  </si>
  <si>
    <t>13:11:23</t>
  </si>
  <si>
    <t>19:37:42</t>
  </si>
  <si>
    <t>17:27:51</t>
  </si>
  <si>
    <t>15:15:38</t>
  </si>
  <si>
    <t>Customer 419</t>
  </si>
  <si>
    <t>18:03:01</t>
  </si>
  <si>
    <t>19:38:45</t>
  </si>
  <si>
    <t>15:27:44</t>
  </si>
  <si>
    <t>17:49:04</t>
  </si>
  <si>
    <t>11:56:26</t>
  </si>
  <si>
    <t>10:02:34</t>
  </si>
  <si>
    <t>09:21:46</t>
  </si>
  <si>
    <t>10:38:29</t>
  </si>
  <si>
    <t>11:59:47</t>
  </si>
  <si>
    <t>Customer 577</t>
  </si>
  <si>
    <t>14:50:19</t>
  </si>
  <si>
    <t>Customer 675</t>
  </si>
  <si>
    <t>11:34:18</t>
  </si>
  <si>
    <t>17:09:50</t>
  </si>
  <si>
    <t>15:57:13</t>
  </si>
  <si>
    <t>10:20:52</t>
  </si>
  <si>
    <t>11:32:26</t>
  </si>
  <si>
    <t>20:36:00</t>
  </si>
  <si>
    <t>16:14:38</t>
  </si>
  <si>
    <t>20:11:22</t>
  </si>
  <si>
    <t>18:58:51</t>
  </si>
  <si>
    <t>17:35:16</t>
  </si>
  <si>
    <t>Customer 1140</t>
  </si>
  <si>
    <t>13:49:29</t>
  </si>
  <si>
    <t>Customer 325</t>
  </si>
  <si>
    <t>11:52:36</t>
  </si>
  <si>
    <t>11:43:18</t>
  </si>
  <si>
    <t>16:49:54</t>
  </si>
  <si>
    <t>11:19:35</t>
  </si>
  <si>
    <t>Customer 7</t>
  </si>
  <si>
    <t>13:01:46</t>
  </si>
  <si>
    <t>16:01:15</t>
  </si>
  <si>
    <t>11:53:37</t>
  </si>
  <si>
    <t>14:31:54</t>
  </si>
  <si>
    <t>17:00:36</t>
  </si>
  <si>
    <t>18:59:29</t>
  </si>
  <si>
    <t>12:00:15</t>
  </si>
  <si>
    <t>Customer 883</t>
  </si>
  <si>
    <t>18:47:40</t>
  </si>
  <si>
    <t>13:25:15</t>
  </si>
  <si>
    <t>Customer 1160</t>
  </si>
  <si>
    <t>15:33:41</t>
  </si>
  <si>
    <t>Customer 878</t>
  </si>
  <si>
    <t>19:32:42</t>
  </si>
  <si>
    <t>14:23:38</t>
  </si>
  <si>
    <t>12:09:17</t>
  </si>
  <si>
    <t>11:54:37</t>
  </si>
  <si>
    <t>15:56:43</t>
  </si>
  <si>
    <t>16:19:33</t>
  </si>
  <si>
    <t>12:59:44</t>
  </si>
  <si>
    <t>13:31:04</t>
  </si>
  <si>
    <t>12:01:23</t>
  </si>
  <si>
    <t>11:03:28</t>
  </si>
  <si>
    <t>13:11:37</t>
  </si>
  <si>
    <t>11:26:28</t>
  </si>
  <si>
    <t>13:25:42</t>
  </si>
  <si>
    <t>12:35:00</t>
  </si>
  <si>
    <t>Customer 312</t>
  </si>
  <si>
    <t>19:15:43</t>
  </si>
  <si>
    <t>15:38:07</t>
  </si>
  <si>
    <t>09:39:57</t>
  </si>
  <si>
    <t>11:10:25</t>
  </si>
  <si>
    <t>Customer 320</t>
  </si>
  <si>
    <t>17:55:59</t>
  </si>
  <si>
    <t>20:16:03</t>
  </si>
  <si>
    <t>Customer 1261</t>
  </si>
  <si>
    <t>12:24:09</t>
  </si>
  <si>
    <t>14:40:51</t>
  </si>
  <si>
    <t>11:12:02</t>
  </si>
  <si>
    <t>12:32:51</t>
  </si>
  <si>
    <t>Customer 109</t>
  </si>
  <si>
    <t>16:13:55</t>
  </si>
  <si>
    <t>14:44:00</t>
  </si>
  <si>
    <t>16:57:54</t>
  </si>
  <si>
    <t>20:42:32</t>
  </si>
  <si>
    <t>16:28:01</t>
  </si>
  <si>
    <t>19:39:26</t>
  </si>
  <si>
    <t>14:30:36</t>
  </si>
  <si>
    <t>20:14:10</t>
  </si>
  <si>
    <t>Customer 140</t>
  </si>
  <si>
    <t>20:23:47</t>
  </si>
  <si>
    <t>20:52:54</t>
  </si>
  <si>
    <t>Customer 65</t>
  </si>
  <si>
    <t>18:19:02</t>
  </si>
  <si>
    <t>Customer 640</t>
  </si>
  <si>
    <t>17:09:30</t>
  </si>
  <si>
    <t>17:44:28</t>
  </si>
  <si>
    <t>20:05:30</t>
  </si>
  <si>
    <t>09:00:28</t>
  </si>
  <si>
    <t>10:51:40</t>
  </si>
  <si>
    <t>20:52:38</t>
  </si>
  <si>
    <t>18:51:12</t>
  </si>
  <si>
    <t>20:25:41</t>
  </si>
  <si>
    <t>Customer 432</t>
  </si>
  <si>
    <t>09:17:31</t>
  </si>
  <si>
    <t>20:15:29</t>
  </si>
  <si>
    <t>20:37:58</t>
  </si>
  <si>
    <t>19:15:34</t>
  </si>
  <si>
    <t>Customer 919</t>
  </si>
  <si>
    <t>20:08:30</t>
  </si>
  <si>
    <t>18:26:33</t>
  </si>
  <si>
    <t>14:53:57</t>
  </si>
  <si>
    <t>15:42:53</t>
  </si>
  <si>
    <t>18:15:25</t>
  </si>
  <si>
    <t>13:39:28</t>
  </si>
  <si>
    <t>10:31:17</t>
  </si>
  <si>
    <t>12:17:52</t>
  </si>
  <si>
    <t>18:08:32</t>
  </si>
  <si>
    <t>20:54:34</t>
  </si>
  <si>
    <t>Customer 537</t>
  </si>
  <si>
    <t>10:39:25</t>
  </si>
  <si>
    <t>10:13:52</t>
  </si>
  <si>
    <t>12:10:48</t>
  </si>
  <si>
    <t>10:05:47</t>
  </si>
  <si>
    <t>13:52:41</t>
  </si>
  <si>
    <t>20:44:25</t>
  </si>
  <si>
    <t>13:07:50</t>
  </si>
  <si>
    <t>13:15:51</t>
  </si>
  <si>
    <t>13:58:22</t>
  </si>
  <si>
    <t>13:34:05</t>
  </si>
  <si>
    <t>Customer 1256</t>
  </si>
  <si>
    <t>15:31:30</t>
  </si>
  <si>
    <t>Customer 962</t>
  </si>
  <si>
    <t>19:56:56</t>
  </si>
  <si>
    <t>Customer 1254</t>
  </si>
  <si>
    <t>11:34:54</t>
  </si>
  <si>
    <t>10:13:35</t>
  </si>
  <si>
    <t>17:46:44</t>
  </si>
  <si>
    <t>20:44:30</t>
  </si>
  <si>
    <t>20:59:08</t>
  </si>
  <si>
    <t>10:03:18</t>
  </si>
  <si>
    <t>18:54:37</t>
  </si>
  <si>
    <t>Customer 206</t>
  </si>
  <si>
    <t>10:33:55</t>
  </si>
  <si>
    <t>18:10:17</t>
  </si>
  <si>
    <t>09:28:38</t>
  </si>
  <si>
    <t>14:25:22</t>
  </si>
  <si>
    <t>10:44:29</t>
  </si>
  <si>
    <t>20:11:02</t>
  </si>
  <si>
    <t>11:10:01</t>
  </si>
  <si>
    <t>09:22:39</t>
  </si>
  <si>
    <t>19:43:07</t>
  </si>
  <si>
    <t>17:51:55</t>
  </si>
  <si>
    <t>11:06:09</t>
  </si>
  <si>
    <t>14:37:46</t>
  </si>
  <si>
    <t>11:38:56</t>
  </si>
  <si>
    <t>16:26:09</t>
  </si>
  <si>
    <t>17:24:08</t>
  </si>
  <si>
    <t>09:12:02</t>
  </si>
  <si>
    <t>19:55:30</t>
  </si>
  <si>
    <t>Customer 1073</t>
  </si>
  <si>
    <t>14:28:34</t>
  </si>
  <si>
    <t>16:55:32</t>
  </si>
  <si>
    <t>18:55:00</t>
  </si>
  <si>
    <t>11:54:20</t>
  </si>
  <si>
    <t>14:03:37</t>
  </si>
  <si>
    <t>09:19:56</t>
  </si>
  <si>
    <t>16:37:51</t>
  </si>
  <si>
    <t>Customer 1026</t>
  </si>
  <si>
    <t>10:08:37</t>
  </si>
  <si>
    <t>18:33:13</t>
  </si>
  <si>
    <t>12:52:22</t>
  </si>
  <si>
    <t>14:16:34</t>
  </si>
  <si>
    <t>20:47:27</t>
  </si>
  <si>
    <t>19:25:37</t>
  </si>
  <si>
    <t>20:48:44</t>
  </si>
  <si>
    <t>11:53:53</t>
  </si>
  <si>
    <t>09:42:22</t>
  </si>
  <si>
    <t>Customer 1257</t>
  </si>
  <si>
    <t>19:08:32</t>
  </si>
  <si>
    <t>20:07:05</t>
  </si>
  <si>
    <t>14:36:50</t>
  </si>
  <si>
    <t>20:14:16</t>
  </si>
  <si>
    <t>11:45:11</t>
  </si>
  <si>
    <t>13:27:56</t>
  </si>
  <si>
    <t>Customer 232</t>
  </si>
  <si>
    <t>19:49:38</t>
  </si>
  <si>
    <t>Customer 1118</t>
  </si>
  <si>
    <t>13:53:41</t>
  </si>
  <si>
    <t>Customer 985</t>
  </si>
  <si>
    <t>16:54:29</t>
  </si>
  <si>
    <t>Customer 106</t>
  </si>
  <si>
    <t>13:52:10</t>
  </si>
  <si>
    <t>16:24:29</t>
  </si>
  <si>
    <t>12:30:00</t>
  </si>
  <si>
    <t>15:19:30</t>
  </si>
  <si>
    <t>18:02:07</t>
  </si>
  <si>
    <t>17:17:45</t>
  </si>
  <si>
    <t>14:01:59</t>
  </si>
  <si>
    <t>19:09:54</t>
  </si>
  <si>
    <t>18:24:30</t>
  </si>
  <si>
    <t>13:33:21</t>
  </si>
  <si>
    <t>17:33:43</t>
  </si>
  <si>
    <t>Customer 346</t>
  </si>
  <si>
    <t>19:04:05</t>
  </si>
  <si>
    <t>16:15:44</t>
  </si>
  <si>
    <t>18:06:34</t>
  </si>
  <si>
    <t>16:24:17</t>
  </si>
  <si>
    <t>09:56:01</t>
  </si>
  <si>
    <t>17:25:16</t>
  </si>
  <si>
    <t>17:37:15</t>
  </si>
  <si>
    <t>Customer 1148</t>
  </si>
  <si>
    <t>15:13:56</t>
  </si>
  <si>
    <t>18:42:33</t>
  </si>
  <si>
    <t>17:10:12</t>
  </si>
  <si>
    <t>15:22:27</t>
  </si>
  <si>
    <t>18:02:31</t>
  </si>
  <si>
    <t>18:07:48</t>
  </si>
  <si>
    <t>14:03:22</t>
  </si>
  <si>
    <t>19:39:59</t>
  </si>
  <si>
    <t>11:13:48</t>
  </si>
  <si>
    <t>19:28:58</t>
  </si>
  <si>
    <t>Customer 433</t>
  </si>
  <si>
    <t>14:20:38</t>
  </si>
  <si>
    <t>19:51:37</t>
  </si>
  <si>
    <t>Customer 64</t>
  </si>
  <si>
    <t>19:49:32</t>
  </si>
  <si>
    <t>17:08:33</t>
  </si>
  <si>
    <t>Customer 47</t>
  </si>
  <si>
    <t>11:30:09</t>
  </si>
  <si>
    <t>Customer 1141</t>
  </si>
  <si>
    <t>10:24:29</t>
  </si>
  <si>
    <t>15:18:24</t>
  </si>
  <si>
    <t>16:25:26</t>
  </si>
  <si>
    <t>13:16:41</t>
  </si>
  <si>
    <t>Customer 1218</t>
  </si>
  <si>
    <t>09:08:55</t>
  </si>
  <si>
    <t>14:35:51</t>
  </si>
  <si>
    <t>17:54:06</t>
  </si>
  <si>
    <t>16:44:54</t>
  </si>
  <si>
    <t>12:24:18</t>
  </si>
  <si>
    <t>20:45:08</t>
  </si>
  <si>
    <t>16:09:18</t>
  </si>
  <si>
    <t>15:04:56</t>
  </si>
  <si>
    <t>14:09:08</t>
  </si>
  <si>
    <t>13:16:24</t>
  </si>
  <si>
    <t>09:29:35</t>
  </si>
  <si>
    <t>19:59:36</t>
  </si>
  <si>
    <t>09:29:49</t>
  </si>
  <si>
    <t>18:05:04</t>
  </si>
  <si>
    <t>Customer 1191</t>
  </si>
  <si>
    <t>13:04:27</t>
  </si>
  <si>
    <t>14:50:53</t>
  </si>
  <si>
    <t>20:20:22</t>
  </si>
  <si>
    <t>12:22:10</t>
  </si>
  <si>
    <t>15:21:29</t>
  </si>
  <si>
    <t>20:18:07</t>
  </si>
  <si>
    <t>14:39:32</t>
  </si>
  <si>
    <t>Customer 1114</t>
  </si>
  <si>
    <t>14:27:46</t>
  </si>
  <si>
    <t>14:40:49</t>
  </si>
  <si>
    <t>10:43:03</t>
  </si>
  <si>
    <t>Customer 2</t>
  </si>
  <si>
    <t>18:46:24</t>
  </si>
  <si>
    <t>11:18:45</t>
  </si>
  <si>
    <t>15:24:23</t>
  </si>
  <si>
    <t>Customer 762</t>
  </si>
  <si>
    <t>20:35:29</t>
  </si>
  <si>
    <t>14:55:35</t>
  </si>
  <si>
    <t>17:01:55</t>
  </si>
  <si>
    <t>11:36:05</t>
  </si>
  <si>
    <t>15:56:28</t>
  </si>
  <si>
    <t>12:06:56</t>
  </si>
  <si>
    <t>11:23:55</t>
  </si>
  <si>
    <t>14:03:03</t>
  </si>
  <si>
    <t>19:50:18</t>
  </si>
  <si>
    <t>14:23:00</t>
  </si>
  <si>
    <t>Customer 1143</t>
  </si>
  <si>
    <t>13:08:44</t>
  </si>
  <si>
    <t>Customer 230</t>
  </si>
  <si>
    <t>20:20:00</t>
  </si>
  <si>
    <t>20:57:42</t>
  </si>
  <si>
    <t>10:12:23</t>
  </si>
  <si>
    <t>16:36:16</t>
  </si>
  <si>
    <t>14:03:02</t>
  </si>
  <si>
    <t>11:19:10</t>
  </si>
  <si>
    <t>18:57:05</t>
  </si>
  <si>
    <t>10:04:08</t>
  </si>
  <si>
    <t>13:39:08</t>
  </si>
  <si>
    <t>16:13:04</t>
  </si>
  <si>
    <t>11:31:08</t>
  </si>
  <si>
    <t>12:44:19</t>
  </si>
  <si>
    <t>19:12:24</t>
  </si>
  <si>
    <t>18:54:43</t>
  </si>
  <si>
    <t>17:30:37</t>
  </si>
  <si>
    <t>Customer 489</t>
  </si>
  <si>
    <t>13:38:06</t>
  </si>
  <si>
    <t>Customer 584</t>
  </si>
  <si>
    <t>18:17:20</t>
  </si>
  <si>
    <t>11:03:32</t>
  </si>
  <si>
    <t>12:08:48</t>
  </si>
  <si>
    <t>18:02:28</t>
  </si>
  <si>
    <t>12:28:37</t>
  </si>
  <si>
    <t>14:00:03</t>
  </si>
  <si>
    <t>12:45:50</t>
  </si>
  <si>
    <t>15:10:06</t>
  </si>
  <si>
    <t>12:12:51</t>
  </si>
  <si>
    <t>19:27:15</t>
  </si>
  <si>
    <t>13:14:00</t>
  </si>
  <si>
    <t>19:53:13</t>
  </si>
  <si>
    <t>16:48:30</t>
  </si>
  <si>
    <t>19:36:57</t>
  </si>
  <si>
    <t>12:51:56</t>
  </si>
  <si>
    <t>09:33:11</t>
  </si>
  <si>
    <t>Customer 607</t>
  </si>
  <si>
    <t>20:05:40</t>
  </si>
  <si>
    <t>19:48:30</t>
  </si>
  <si>
    <t>17:35:13</t>
  </si>
  <si>
    <t>13:59:01</t>
  </si>
  <si>
    <t>Customer 733</t>
  </si>
  <si>
    <t>12:56:28</t>
  </si>
  <si>
    <t>17:31:59</t>
  </si>
  <si>
    <t>Customer 214</t>
  </si>
  <si>
    <t>16:09:58</t>
  </si>
  <si>
    <t>16:11:27</t>
  </si>
  <si>
    <t>11:23:31</t>
  </si>
  <si>
    <t>20:37:45</t>
  </si>
  <si>
    <t>13:38:41</t>
  </si>
  <si>
    <t>Customer 456</t>
  </si>
  <si>
    <t>19:34:06</t>
  </si>
  <si>
    <t>17:48:17</t>
  </si>
  <si>
    <t>20:38:43</t>
  </si>
  <si>
    <t>16:50:52</t>
  </si>
  <si>
    <t>10:09:05</t>
  </si>
  <si>
    <t>10:21:39</t>
  </si>
  <si>
    <t>11:23:03</t>
  </si>
  <si>
    <t>20:41:14</t>
  </si>
  <si>
    <t>17:27:17</t>
  </si>
  <si>
    <t>20:43:45</t>
  </si>
  <si>
    <t>18:16:16</t>
  </si>
  <si>
    <t>20:07:49</t>
  </si>
  <si>
    <t>Customer 1137</t>
  </si>
  <si>
    <t>14:04:15</t>
  </si>
  <si>
    <t>14:19:52</t>
  </si>
  <si>
    <t>12:31:53</t>
  </si>
  <si>
    <t>12:54:18</t>
  </si>
  <si>
    <t>20:18:01</t>
  </si>
  <si>
    <t>Customer 339</t>
  </si>
  <si>
    <t>10:16:25</t>
  </si>
  <si>
    <t>13:33:31</t>
  </si>
  <si>
    <t>16:45:29</t>
  </si>
  <si>
    <t>16:23:45</t>
  </si>
  <si>
    <t>20:14:33</t>
  </si>
  <si>
    <t>11:11:05</t>
  </si>
  <si>
    <t>Customer 10</t>
  </si>
  <si>
    <t>Customer 744</t>
  </si>
  <si>
    <t>16:14:31</t>
  </si>
  <si>
    <t>19:05:05</t>
  </si>
  <si>
    <t>13:38:36</t>
  </si>
  <si>
    <t>11:18:30</t>
  </si>
  <si>
    <t>16:10:08</t>
  </si>
  <si>
    <t>09:12:08</t>
  </si>
  <si>
    <t>12:30:10</t>
  </si>
  <si>
    <t>14:41:14</t>
  </si>
  <si>
    <t>18:36:54</t>
  </si>
  <si>
    <t>20:09:41</t>
  </si>
  <si>
    <t>09:36:24</t>
  </si>
  <si>
    <t>11:09:02</t>
  </si>
  <si>
    <t>20:20:42</t>
  </si>
  <si>
    <t>20:23:41</t>
  </si>
  <si>
    <t>16:09:26</t>
  </si>
  <si>
    <t>Customer 583</t>
  </si>
  <si>
    <t>13:04:19</t>
  </si>
  <si>
    <t>20:31:36</t>
  </si>
  <si>
    <t>Customer 852</t>
  </si>
  <si>
    <t>17:53:22</t>
  </si>
  <si>
    <t>20:50:07</t>
  </si>
  <si>
    <t>10:39:17</t>
  </si>
  <si>
    <t>20:55:01</t>
  </si>
  <si>
    <t>20:15:39</t>
  </si>
  <si>
    <t>Customer 279</t>
  </si>
  <si>
    <t>13:01:27</t>
  </si>
  <si>
    <t>Customer 972</t>
  </si>
  <si>
    <t>09:08:15</t>
  </si>
  <si>
    <t>Customer 372</t>
  </si>
  <si>
    <t>10:34:41</t>
  </si>
  <si>
    <t>11:53:42</t>
  </si>
  <si>
    <t>19:23:26</t>
  </si>
  <si>
    <t>14:51:03</t>
  </si>
  <si>
    <t>19:30:11</t>
  </si>
  <si>
    <t>20:27:15</t>
  </si>
  <si>
    <t>Customer 625</t>
  </si>
  <si>
    <t>13:54:35</t>
  </si>
  <si>
    <t>11:11:21</t>
  </si>
  <si>
    <t>16:25:40</t>
  </si>
  <si>
    <t>Customer 998</t>
  </si>
  <si>
    <t>16:47:49</t>
  </si>
  <si>
    <t>20:30:18</t>
  </si>
  <si>
    <t>17:02:10</t>
  </si>
  <si>
    <t>14:08:01</t>
  </si>
  <si>
    <t>12:42:19</t>
  </si>
  <si>
    <t>17:45:31</t>
  </si>
  <si>
    <t>Customer 1174</t>
  </si>
  <si>
    <t>17:17:25</t>
  </si>
  <si>
    <t>09:22:00</t>
  </si>
  <si>
    <t>16:22:48</t>
  </si>
  <si>
    <t>Customer 512</t>
  </si>
  <si>
    <t>18:08:39</t>
  </si>
  <si>
    <t>15:04:43</t>
  </si>
  <si>
    <t>13:30:17</t>
  </si>
  <si>
    <t>14:53:30</t>
  </si>
  <si>
    <t>12:01:40</t>
  </si>
  <si>
    <t>Customer 159</t>
  </si>
  <si>
    <t>12:51:31</t>
  </si>
  <si>
    <t>18:30:46</t>
  </si>
  <si>
    <t>19:10:00</t>
  </si>
  <si>
    <t>09:12:24</t>
  </si>
  <si>
    <t>09:32:39</t>
  </si>
  <si>
    <t>09:17:40</t>
  </si>
  <si>
    <t>Customer 621</t>
  </si>
  <si>
    <t>20:05:14</t>
  </si>
  <si>
    <t>09:30:23</t>
  </si>
  <si>
    <t>19:42:13</t>
  </si>
  <si>
    <t>17:17:22</t>
  </si>
  <si>
    <t>15:10:30</t>
  </si>
  <si>
    <t>18:37:17</t>
  </si>
  <si>
    <t>10:13:24</t>
  </si>
  <si>
    <t>Customer 404</t>
  </si>
  <si>
    <t>12:52:56</t>
  </si>
  <si>
    <t>14:43:49</t>
  </si>
  <si>
    <t>15:10:58</t>
  </si>
  <si>
    <t>Customer 645</t>
  </si>
  <si>
    <t>18:19:23</t>
  </si>
  <si>
    <t>16:06:43</t>
  </si>
  <si>
    <t>10:48:32</t>
  </si>
  <si>
    <t>12:26:47</t>
  </si>
  <si>
    <t>Customer 589</t>
  </si>
  <si>
    <t>13:31:14</t>
  </si>
  <si>
    <t>15:52:36</t>
  </si>
  <si>
    <t>Customer 848</t>
  </si>
  <si>
    <t>20:55:45</t>
  </si>
  <si>
    <t>11:38:03</t>
  </si>
  <si>
    <t>18:50:05</t>
  </si>
  <si>
    <t>09:05:32</t>
  </si>
  <si>
    <t>20:36:11</t>
  </si>
  <si>
    <t>15:10:59</t>
  </si>
  <si>
    <t>Customer 679</t>
  </si>
  <si>
    <t>20:37:30</t>
  </si>
  <si>
    <t>14:30:03</t>
  </si>
  <si>
    <t>16:18:23</t>
  </si>
  <si>
    <t>Customer 652</t>
  </si>
  <si>
    <t>19:12:41</t>
  </si>
  <si>
    <t>09:43:28</t>
  </si>
  <si>
    <t>11:28:11</t>
  </si>
  <si>
    <t>18:37:52</t>
  </si>
  <si>
    <t>19:54:44</t>
  </si>
  <si>
    <t>09:32:23</t>
  </si>
  <si>
    <t>13:17:27</t>
  </si>
  <si>
    <t>11:34:45</t>
  </si>
  <si>
    <t>19:18:21</t>
  </si>
  <si>
    <t>14:57:02</t>
  </si>
  <si>
    <t>10:24:57</t>
  </si>
  <si>
    <t>11:02:34</t>
  </si>
  <si>
    <t>10:07:50</t>
  </si>
  <si>
    <t>09:36:01</t>
  </si>
  <si>
    <t>Customer 928</t>
  </si>
  <si>
    <t>16:27:25</t>
  </si>
  <si>
    <t>20:14:25</t>
  </si>
  <si>
    <t>14:28:57</t>
  </si>
  <si>
    <t>14:01:27</t>
  </si>
  <si>
    <t>10:19:09</t>
  </si>
  <si>
    <t>12:23:37</t>
  </si>
  <si>
    <t>11:51:08</t>
  </si>
  <si>
    <t>20:47:16</t>
  </si>
  <si>
    <t>20:57:19</t>
  </si>
  <si>
    <t>10:09:21</t>
  </si>
  <si>
    <t>11:49:02</t>
  </si>
  <si>
    <t>10:58:49</t>
  </si>
  <si>
    <t>20:34:09</t>
  </si>
  <si>
    <t>09:32:59</t>
  </si>
  <si>
    <t>13:00:24</t>
  </si>
  <si>
    <t>13:31:55</t>
  </si>
  <si>
    <t>14:47:21</t>
  </si>
  <si>
    <t>19:03:12</t>
  </si>
  <si>
    <t>15:30:50</t>
  </si>
  <si>
    <t>16:30:00</t>
  </si>
  <si>
    <t>12:45:04</t>
  </si>
  <si>
    <t>12:23:30</t>
  </si>
  <si>
    <t>Customer 605</t>
  </si>
  <si>
    <t>14:08:20</t>
  </si>
  <si>
    <t>15:11:06</t>
  </si>
  <si>
    <t>19:15:17</t>
  </si>
  <si>
    <t>19:00:08</t>
  </si>
  <si>
    <t>Customer 989</t>
  </si>
  <si>
    <t>15:46:28</t>
  </si>
  <si>
    <t>11:54:23</t>
  </si>
  <si>
    <t>09:36:50</t>
  </si>
  <si>
    <t>20:47:45</t>
  </si>
  <si>
    <t>18:56:17</t>
  </si>
  <si>
    <t>17:31:22</t>
  </si>
  <si>
    <t>13:35:27</t>
  </si>
  <si>
    <t>10:24:41</t>
  </si>
  <si>
    <t>17:44:27</t>
  </si>
  <si>
    <t>15:35:28</t>
  </si>
  <si>
    <t>13:30:22</t>
  </si>
  <si>
    <t>17:35:26</t>
  </si>
  <si>
    <t>15:30:35</t>
  </si>
  <si>
    <t>14:09:29</t>
  </si>
  <si>
    <t>17:55:36</t>
  </si>
  <si>
    <t>19:07:05</t>
  </si>
  <si>
    <t>Customer 496</t>
  </si>
  <si>
    <t>14:17:06</t>
  </si>
  <si>
    <t>15:24:40</t>
  </si>
  <si>
    <t>16:50:35</t>
  </si>
  <si>
    <t>09:39:38</t>
  </si>
  <si>
    <t>18:20:57</t>
  </si>
  <si>
    <t>15:39:54</t>
  </si>
  <si>
    <t>20:19:35</t>
  </si>
  <si>
    <t>20:14:45</t>
  </si>
  <si>
    <t>Customer 846</t>
  </si>
  <si>
    <t>20:54:10</t>
  </si>
  <si>
    <t>10:27:42</t>
  </si>
  <si>
    <t>09:27:53</t>
  </si>
  <si>
    <t>10:31:11</t>
  </si>
  <si>
    <t>18:16:57</t>
  </si>
  <si>
    <t>18:29:54</t>
  </si>
  <si>
    <t>14:24:16</t>
  </si>
  <si>
    <t>14:23:13</t>
  </si>
  <si>
    <t>18:54:07</t>
  </si>
  <si>
    <t>14:18:57</t>
  </si>
  <si>
    <t>12:02:12</t>
  </si>
  <si>
    <t>15:37:38</t>
  </si>
  <si>
    <t>15:13:24</t>
  </si>
  <si>
    <t>11:01:33</t>
  </si>
  <si>
    <t>17:32:09</t>
  </si>
  <si>
    <t>19:18:22</t>
  </si>
  <si>
    <t>11:37:29</t>
  </si>
  <si>
    <t>19:32:49</t>
  </si>
  <si>
    <t>Customer 1135</t>
  </si>
  <si>
    <t>17:42:00</t>
  </si>
  <si>
    <t>14:08:31</t>
  </si>
  <si>
    <t>Customer 226</t>
  </si>
  <si>
    <t>20:32:45</t>
  </si>
  <si>
    <t>Customer 875</t>
  </si>
  <si>
    <t>19:22:57</t>
  </si>
  <si>
    <t>19:37:02</t>
  </si>
  <si>
    <t>Customer 1162</t>
  </si>
  <si>
    <t>10:16:57</t>
  </si>
  <si>
    <t>09:46:34</t>
  </si>
  <si>
    <t>10:03:59</t>
  </si>
  <si>
    <t>14:42:12</t>
  </si>
  <si>
    <t>17:29:45</t>
  </si>
  <si>
    <t>19:03:33</t>
  </si>
  <si>
    <t>Customer 136</t>
  </si>
  <si>
    <t>14:34:44</t>
  </si>
  <si>
    <t>09:35:46</t>
  </si>
  <si>
    <t>Customer 1069</t>
  </si>
  <si>
    <t>18:16:30</t>
  </si>
  <si>
    <t>18:21:20</t>
  </si>
  <si>
    <t>12:57:36</t>
  </si>
  <si>
    <t>Customer 259</t>
  </si>
  <si>
    <t>10:16:31</t>
  </si>
  <si>
    <t>15:47:35</t>
  </si>
  <si>
    <t>12:58:49</t>
  </si>
  <si>
    <t>18:58:46</t>
  </si>
  <si>
    <t>Customer 643</t>
  </si>
  <si>
    <t>16:16:18</t>
  </si>
  <si>
    <t>18:12:04</t>
  </si>
  <si>
    <t>18:36:50</t>
  </si>
  <si>
    <t>10:52:34</t>
  </si>
  <si>
    <t>19:36:28</t>
  </si>
  <si>
    <t>20:07:48</t>
  </si>
  <si>
    <t>Customer 142</t>
  </si>
  <si>
    <t>20:33:21</t>
  </si>
  <si>
    <t>14:50:28</t>
  </si>
  <si>
    <t>12:14:57</t>
  </si>
  <si>
    <t>16:43:10</t>
  </si>
  <si>
    <t>18:50:13</t>
  </si>
  <si>
    <t>Customer 629</t>
  </si>
  <si>
    <t>11:00:23</t>
  </si>
  <si>
    <t>19:58:06</t>
  </si>
  <si>
    <t>20:38:53</t>
  </si>
  <si>
    <t>17:01:49</t>
  </si>
  <si>
    <t>12:27:40</t>
  </si>
  <si>
    <t>14:40:30</t>
  </si>
  <si>
    <t>19:20:32</t>
  </si>
  <si>
    <t>Customer 1059</t>
  </si>
  <si>
    <t>11:25:56</t>
  </si>
  <si>
    <t>10:48:09</t>
  </si>
  <si>
    <t>12:49:28</t>
  </si>
  <si>
    <t>13:57:47</t>
  </si>
  <si>
    <t>16:23:39</t>
  </si>
  <si>
    <t>17:52:06</t>
  </si>
  <si>
    <t>13:54:36</t>
  </si>
  <si>
    <t>19:49:46</t>
  </si>
  <si>
    <t>14:39:53</t>
  </si>
  <si>
    <t>11:26:04</t>
  </si>
  <si>
    <t>15:37:03</t>
  </si>
  <si>
    <t>18:12:42</t>
  </si>
  <si>
    <t>11:37:34</t>
  </si>
  <si>
    <t>16:25:42</t>
  </si>
  <si>
    <t>12:35:31</t>
  </si>
  <si>
    <t>15:40:50</t>
  </si>
  <si>
    <t>15:07:08</t>
  </si>
  <si>
    <t>Customer 130</t>
  </si>
  <si>
    <t>19:26:55</t>
  </si>
  <si>
    <t>12:29:48</t>
  </si>
  <si>
    <t>11:07:24</t>
  </si>
  <si>
    <t>20:45:13</t>
  </si>
  <si>
    <t>16:25:17</t>
  </si>
  <si>
    <t>19:52:50</t>
  </si>
  <si>
    <t>12:45:09</t>
  </si>
  <si>
    <t>16:45:08</t>
  </si>
  <si>
    <t>10:21:57</t>
  </si>
  <si>
    <t>10:36:37</t>
  </si>
  <si>
    <t>10:36:54</t>
  </si>
  <si>
    <t>17:36:21</t>
  </si>
  <si>
    <t>Customer 1064</t>
  </si>
  <si>
    <t>18:43:47</t>
  </si>
  <si>
    <t>10:01:34</t>
  </si>
  <si>
    <t>Customer 248</t>
  </si>
  <si>
    <t>18:04:29</t>
  </si>
  <si>
    <t>09:25:18</t>
  </si>
  <si>
    <t>20:31:30</t>
  </si>
  <si>
    <t>19:01:17</t>
  </si>
  <si>
    <t>18:23:55</t>
  </si>
  <si>
    <t>10:44:34</t>
  </si>
  <si>
    <t>10:43:10</t>
  </si>
  <si>
    <t>13:34:01</t>
  </si>
  <si>
    <t>10:15:39</t>
  </si>
  <si>
    <t>18:16:19</t>
  </si>
  <si>
    <t>15:47:36</t>
  </si>
  <si>
    <t>Customer 459</t>
  </si>
  <si>
    <t>11:56:31</t>
  </si>
  <si>
    <t>18:41:51</t>
  </si>
  <si>
    <t>Customer 677</t>
  </si>
  <si>
    <t>11:44:33</t>
  </si>
  <si>
    <t>19:14:26</t>
  </si>
  <si>
    <t>Customer 1001</t>
  </si>
  <si>
    <t>19:58:12</t>
  </si>
  <si>
    <t>18:01:18</t>
  </si>
  <si>
    <t>20:09:04</t>
  </si>
  <si>
    <t>16:31:59</t>
  </si>
  <si>
    <t>Customer 412</t>
  </si>
  <si>
    <t>19:59:17</t>
  </si>
  <si>
    <t>18:43:00</t>
  </si>
  <si>
    <t>17:10:03</t>
  </si>
  <si>
    <t>12:02:09</t>
  </si>
  <si>
    <t>16:20:26</t>
  </si>
  <si>
    <t>11:02:07</t>
  </si>
  <si>
    <t>13:27:09</t>
  </si>
  <si>
    <t>14:01:54</t>
  </si>
  <si>
    <t>17:10:53</t>
  </si>
  <si>
    <t>12:37:39</t>
  </si>
  <si>
    <t>Customer 253</t>
  </si>
  <si>
    <t>19:13:20</t>
  </si>
  <si>
    <t>11:26:44</t>
  </si>
  <si>
    <t>11:21:54</t>
  </si>
  <si>
    <t>11:21:20</t>
  </si>
  <si>
    <t>15:54:17</t>
  </si>
  <si>
    <t>11:04:27</t>
  </si>
  <si>
    <t>14:56:31</t>
  </si>
  <si>
    <t>13:30:56</t>
  </si>
  <si>
    <t>14:40:56</t>
  </si>
  <si>
    <t>12:45:35</t>
  </si>
  <si>
    <t>20:21:33</t>
  </si>
  <si>
    <t>11:38:19</t>
  </si>
  <si>
    <t>14:28:33</t>
  </si>
  <si>
    <t>11:36:37</t>
  </si>
  <si>
    <t>13:10:03</t>
  </si>
  <si>
    <t>14:58:51</t>
  </si>
  <si>
    <t>11:09:07</t>
  </si>
  <si>
    <t>17:58:09</t>
  </si>
  <si>
    <t>15:14:02</t>
  </si>
  <si>
    <t>Customer 498</t>
  </si>
  <si>
    <t>15:51:57</t>
  </si>
  <si>
    <t>12:21:05</t>
  </si>
  <si>
    <t>13:58:38</t>
  </si>
  <si>
    <t>17:07:32</t>
  </si>
  <si>
    <t>16:23:26</t>
  </si>
  <si>
    <t>18:14:30</t>
  </si>
  <si>
    <t>10:24:05</t>
  </si>
  <si>
    <t>16:28:30</t>
  </si>
  <si>
    <t>Customer 835</t>
  </si>
  <si>
    <t>16:09:15</t>
  </si>
  <si>
    <t>16:07:06</t>
  </si>
  <si>
    <t>10:58:36</t>
  </si>
  <si>
    <t>15:43:33</t>
  </si>
  <si>
    <t>16:12:57</t>
  </si>
  <si>
    <t>18:53:01</t>
  </si>
  <si>
    <t>10:13:19</t>
  </si>
  <si>
    <t>09:09:48</t>
  </si>
  <si>
    <t>17:34:18</t>
  </si>
  <si>
    <t>19:21:15</t>
  </si>
  <si>
    <t>Customer 393</t>
  </si>
  <si>
    <t>16:01:45</t>
  </si>
  <si>
    <t>15:07:44</t>
  </si>
  <si>
    <t>Customer 154</t>
  </si>
  <si>
    <t>11:25:21</t>
  </si>
  <si>
    <t>Customer 446</t>
  </si>
  <si>
    <t>10:39:39</t>
  </si>
  <si>
    <t>18:41:47</t>
  </si>
  <si>
    <t>12:00:56</t>
  </si>
  <si>
    <t>20:53:04</t>
  </si>
  <si>
    <t>12:35:49</t>
  </si>
  <si>
    <t>11:32:40</t>
  </si>
  <si>
    <t>Customer 639</t>
  </si>
  <si>
    <t>18:38:03</t>
  </si>
  <si>
    <t>Customer 1000</t>
  </si>
  <si>
    <t>20:41:36</t>
  </si>
  <si>
    <t>11:45:22</t>
  </si>
  <si>
    <t>15:31:37</t>
  </si>
  <si>
    <t>17:28:17</t>
  </si>
  <si>
    <t>09:41:40</t>
  </si>
  <si>
    <t>Customer 204</t>
  </si>
  <si>
    <t>14:56:49</t>
  </si>
  <si>
    <t>09:43:18</t>
  </si>
  <si>
    <t>19:51:26</t>
  </si>
  <si>
    <t>19:29:55</t>
  </si>
  <si>
    <t>09:02:28</t>
  </si>
  <si>
    <t>20:39:12</t>
  </si>
  <si>
    <t>13:21:58</t>
  </si>
  <si>
    <t>16:27:14</t>
  </si>
  <si>
    <t>Customer 598</t>
  </si>
  <si>
    <t>14:26:56</t>
  </si>
  <si>
    <t>14:49:13</t>
  </si>
  <si>
    <t>12:08:53</t>
  </si>
  <si>
    <t>Customer 20</t>
  </si>
  <si>
    <t>18:06:39</t>
  </si>
  <si>
    <t>19:04:59</t>
  </si>
  <si>
    <t>19:10:35</t>
  </si>
  <si>
    <t>13:20:22</t>
  </si>
  <si>
    <t>Customer 580</t>
  </si>
  <si>
    <t>10:38:52</t>
  </si>
  <si>
    <t>09:30:43</t>
  </si>
  <si>
    <t>19:42:35</t>
  </si>
  <si>
    <t>10:11:22</t>
  </si>
  <si>
    <t>Customer 1060</t>
  </si>
  <si>
    <t>10:54:47</t>
  </si>
  <si>
    <t>Customer 575</t>
  </si>
  <si>
    <t>13:15:37</t>
  </si>
  <si>
    <t>12:16:37</t>
  </si>
  <si>
    <t>15:49:02</t>
  </si>
  <si>
    <t>20:52:43</t>
  </si>
  <si>
    <t>16:23:15</t>
  </si>
  <si>
    <t>18:33:44</t>
  </si>
  <si>
    <t>13:34:14</t>
  </si>
  <si>
    <t>15:14:16</t>
  </si>
  <si>
    <t>10:15:12</t>
  </si>
  <si>
    <t>10:26:57</t>
  </si>
  <si>
    <t>20:55:56</t>
  </si>
  <si>
    <t>16:52:36</t>
  </si>
  <si>
    <t>14:28:50</t>
  </si>
  <si>
    <t>Customer 133</t>
  </si>
  <si>
    <t>10:47:56</t>
  </si>
  <si>
    <t>09:43:30</t>
  </si>
  <si>
    <t>Customer 284</t>
  </si>
  <si>
    <t>14:49:27</t>
  </si>
  <si>
    <t>11:55:09</t>
  </si>
  <si>
    <t>14:55:40</t>
  </si>
  <si>
    <t>14:34:19</t>
  </si>
  <si>
    <t>10:05:35</t>
  </si>
  <si>
    <t>15:18:23</t>
  </si>
  <si>
    <t>14:28:22</t>
  </si>
  <si>
    <t>16:50:54</t>
  </si>
  <si>
    <t>15:41:44</t>
  </si>
  <si>
    <t>14:33:06</t>
  </si>
  <si>
    <t>13:58:33</t>
  </si>
  <si>
    <t>09:50:49</t>
  </si>
  <si>
    <t>19:25:39</t>
  </si>
  <si>
    <t>17:47:48</t>
  </si>
  <si>
    <t>20:12:06</t>
  </si>
  <si>
    <t>11:11:43</t>
  </si>
  <si>
    <t>Customer 1189</t>
  </si>
  <si>
    <t>09:15:00</t>
  </si>
  <si>
    <t>16:10:12</t>
  </si>
  <si>
    <t>11:58:06</t>
  </si>
  <si>
    <t>18:55:26</t>
  </si>
  <si>
    <t>13:27:04</t>
  </si>
  <si>
    <t>Customer 54</t>
  </si>
  <si>
    <t>19:48:53</t>
  </si>
  <si>
    <t>14:15:08</t>
  </si>
  <si>
    <t>18:30:20</t>
  </si>
  <si>
    <t>14:08:09</t>
  </si>
  <si>
    <t>18:41:28</t>
  </si>
  <si>
    <t>19:05:02</t>
  </si>
  <si>
    <t>Customer 795</t>
  </si>
  <si>
    <t>18:18:22</t>
  </si>
  <si>
    <t>20:46:43</t>
  </si>
  <si>
    <t>11:00:53</t>
  </si>
  <si>
    <t>19:06:50</t>
  </si>
  <si>
    <t>13:37:17</t>
  </si>
  <si>
    <t>19:13:59</t>
  </si>
  <si>
    <t>12:00:14</t>
  </si>
  <si>
    <t>16:29:08</t>
  </si>
  <si>
    <t>11:06:26</t>
  </si>
  <si>
    <t>12:26:36</t>
  </si>
  <si>
    <t>15:00:03</t>
  </si>
  <si>
    <t>15:57:20</t>
  </si>
  <si>
    <t>17:11:08</t>
  </si>
  <si>
    <t>16:37:38</t>
  </si>
  <si>
    <t>15:39:14</t>
  </si>
  <si>
    <t>19:29:08</t>
  </si>
  <si>
    <t>16:22:04</t>
  </si>
  <si>
    <t>11:29:02</t>
  </si>
  <si>
    <t>19:29:40</t>
  </si>
  <si>
    <t>10:20:27</t>
  </si>
  <si>
    <t>16:36:27</t>
  </si>
  <si>
    <t>Customer 913</t>
  </si>
  <si>
    <t>18:09:24</t>
  </si>
  <si>
    <t>20:08:16</t>
  </si>
  <si>
    <t>14:38:11</t>
  </si>
  <si>
    <t>20:01:11</t>
  </si>
  <si>
    <t>15:52:43</t>
  </si>
  <si>
    <t>Customer 980</t>
  </si>
  <si>
    <t>11:19:41</t>
  </si>
  <si>
    <t>13:14:17</t>
  </si>
  <si>
    <t>17:43:26</t>
  </si>
  <si>
    <t>09:15:56</t>
  </si>
  <si>
    <t>15:49:32</t>
  </si>
  <si>
    <t>09:33:33</t>
  </si>
  <si>
    <t>15:50:54</t>
  </si>
  <si>
    <t>10:10:05</t>
  </si>
  <si>
    <t>14:56:35</t>
  </si>
  <si>
    <t>18:51:36</t>
  </si>
  <si>
    <t>19:41:09</t>
  </si>
  <si>
    <t>18:36:26</t>
  </si>
  <si>
    <t>15:22:48</t>
  </si>
  <si>
    <t>17:08:35</t>
  </si>
  <si>
    <t>15:32:32</t>
  </si>
  <si>
    <t>09:43:02</t>
  </si>
  <si>
    <t>12:19:41</t>
  </si>
  <si>
    <t>11:23:07</t>
  </si>
  <si>
    <t>Customer 418</t>
  </si>
  <si>
    <t>18:03:02</t>
  </si>
  <si>
    <t>15:04:20</t>
  </si>
  <si>
    <t>Customer 921</t>
  </si>
  <si>
    <t>20:07:03</t>
  </si>
  <si>
    <t>19:38:13</t>
  </si>
  <si>
    <t>Customer 798</t>
  </si>
  <si>
    <t>18:55:07</t>
  </si>
  <si>
    <t>12:55:54</t>
  </si>
  <si>
    <t>Customer 1167</t>
  </si>
  <si>
    <t>17:28:09</t>
  </si>
  <si>
    <t>09:24:36</t>
  </si>
  <si>
    <t>17:58:02</t>
  </si>
  <si>
    <t>13:01:42</t>
  </si>
  <si>
    <t>09:53:00</t>
  </si>
  <si>
    <t>19:50:07</t>
  </si>
  <si>
    <t>12:04:51</t>
  </si>
  <si>
    <t>13:49:09</t>
  </si>
  <si>
    <t>15:57:59</t>
  </si>
  <si>
    <t>20:52:40</t>
  </si>
  <si>
    <t>10:14:24</t>
  </si>
  <si>
    <t>16:18:12</t>
  </si>
  <si>
    <t>15:24:30</t>
  </si>
  <si>
    <t>16:48:25</t>
  </si>
  <si>
    <t>17:49:09</t>
  </si>
  <si>
    <t>11:00:34</t>
  </si>
  <si>
    <t>15:20:02</t>
  </si>
  <si>
    <t>Customer 169</t>
  </si>
  <si>
    <t>19:25:13</t>
  </si>
  <si>
    <t>Customer 702</t>
  </si>
  <si>
    <t>13:38:14</t>
  </si>
  <si>
    <t>12:57:16</t>
  </si>
  <si>
    <t>Customer 99</t>
  </si>
  <si>
    <t>15:51:52</t>
  </si>
  <si>
    <t>14:55:08</t>
  </si>
  <si>
    <t>12:59:57</t>
  </si>
  <si>
    <t>12:41:38</t>
  </si>
  <si>
    <t>18:26:38</t>
  </si>
  <si>
    <t>18:19:20</t>
  </si>
  <si>
    <t>17:09:21</t>
  </si>
  <si>
    <t>13:25:23</t>
  </si>
  <si>
    <t>14:06:13</t>
  </si>
  <si>
    <t>Customer 957</t>
  </si>
  <si>
    <t>17:58:40</t>
  </si>
  <si>
    <t>Customer 538</t>
  </si>
  <si>
    <t>18:07:10</t>
  </si>
  <si>
    <t>20:45:03</t>
  </si>
  <si>
    <t>20:27:01</t>
  </si>
  <si>
    <t>12:07:03</t>
  </si>
  <si>
    <t>17:08:44</t>
  </si>
  <si>
    <t>14:55:27</t>
  </si>
  <si>
    <t>13:38:48</t>
  </si>
  <si>
    <t>Customer 966</t>
  </si>
  <si>
    <t>20:18:31</t>
  </si>
  <si>
    <t>16:20:16</t>
  </si>
  <si>
    <t>13:21:20</t>
  </si>
  <si>
    <t>20:15:53</t>
  </si>
  <si>
    <t>19:19:52</t>
  </si>
  <si>
    <t>11:18:39</t>
  </si>
  <si>
    <t>12:37:09</t>
  </si>
  <si>
    <t>12:38:21</t>
  </si>
  <si>
    <t>16:18:25</t>
  </si>
  <si>
    <t>10:49:23</t>
  </si>
  <si>
    <t>09:35:50</t>
  </si>
  <si>
    <t>14:51:36</t>
  </si>
  <si>
    <t>14:09:20</t>
  </si>
  <si>
    <t>16:24:21</t>
  </si>
  <si>
    <t>17:16:51</t>
  </si>
  <si>
    <t>11:54:27</t>
  </si>
  <si>
    <t>15:32:29</t>
  </si>
  <si>
    <t>16:25:02</t>
  </si>
  <si>
    <t>18:00:57</t>
  </si>
  <si>
    <t>11:43:40</t>
  </si>
  <si>
    <t>10:54:39</t>
  </si>
  <si>
    <t>Customer 500</t>
  </si>
  <si>
    <t>09:02:26</t>
  </si>
  <si>
    <t>11:17:06</t>
  </si>
  <si>
    <t>11:09:23</t>
  </si>
  <si>
    <t>13:08:29</t>
  </si>
  <si>
    <t>10:27:55</t>
  </si>
  <si>
    <t>09:59:37</t>
  </si>
  <si>
    <t>16:23:42</t>
  </si>
  <si>
    <t>10:16:50</t>
  </si>
  <si>
    <t>11:41:33</t>
  </si>
  <si>
    <t>11:03:00</t>
  </si>
  <si>
    <t>19:42:32</t>
  </si>
  <si>
    <t>12:14:35</t>
  </si>
  <si>
    <t>19:27:32</t>
  </si>
  <si>
    <t>18:32:24</t>
  </si>
  <si>
    <t>09:28:27</t>
  </si>
  <si>
    <t>19:05:04</t>
  </si>
  <si>
    <t>18:13:46</t>
  </si>
  <si>
    <t>14:38:34</t>
  </si>
  <si>
    <t>10:58:43</t>
  </si>
  <si>
    <t>Customer 117</t>
  </si>
  <si>
    <t>19:48:46</t>
  </si>
  <si>
    <t>13:30:01</t>
  </si>
  <si>
    <t>20:44:46</t>
  </si>
  <si>
    <t>Customer 510</t>
  </si>
  <si>
    <t>10:09:24</t>
  </si>
  <si>
    <t>16:09:51</t>
  </si>
  <si>
    <t>Customer 949</t>
  </si>
  <si>
    <t>16:25:39</t>
  </si>
  <si>
    <t>09:15:46</t>
  </si>
  <si>
    <t>16:54:02</t>
  </si>
  <si>
    <t>09:51:27</t>
  </si>
  <si>
    <t>18:57:26</t>
  </si>
  <si>
    <t>14:11:03</t>
  </si>
  <si>
    <t>12:44:25</t>
  </si>
  <si>
    <t>Customer 363</t>
  </si>
  <si>
    <t>14:02:14</t>
  </si>
  <si>
    <t>16:07:08</t>
  </si>
  <si>
    <t>Customer 91</t>
  </si>
  <si>
    <t>14:48:17</t>
  </si>
  <si>
    <t>20:01:58</t>
  </si>
  <si>
    <t>12:39:26</t>
  </si>
  <si>
    <t>10:16:29</t>
  </si>
  <si>
    <t>17:25:34</t>
  </si>
  <si>
    <t>13:37:16</t>
  </si>
  <si>
    <t>10:29:57</t>
  </si>
  <si>
    <t>13:55:54</t>
  </si>
  <si>
    <t>16:34:02</t>
  </si>
  <si>
    <t>Customer 324</t>
  </si>
  <si>
    <t>19:18:33</t>
  </si>
  <si>
    <t>18:10:44</t>
  </si>
  <si>
    <t>17:18:04</t>
  </si>
  <si>
    <t>10:49:39</t>
  </si>
  <si>
    <t>13:46:19</t>
  </si>
  <si>
    <t>15:47:38</t>
  </si>
  <si>
    <t>19:19:25</t>
  </si>
  <si>
    <t>19:47:59</t>
  </si>
  <si>
    <t>Customer 844</t>
  </si>
  <si>
    <t>16:10:56</t>
  </si>
  <si>
    <t>19:59:08</t>
  </si>
  <si>
    <t>Customer 176</t>
  </si>
  <si>
    <t>20:40:01</t>
  </si>
  <si>
    <t>13:41:52</t>
  </si>
  <si>
    <t>16:33:49</t>
  </si>
  <si>
    <t>18:33:49</t>
  </si>
  <si>
    <t>19:26:24</t>
  </si>
  <si>
    <t>15:51:30</t>
  </si>
  <si>
    <t>18:20:36</t>
  </si>
  <si>
    <t>Customer 1022</t>
  </si>
  <si>
    <t>18:47:26</t>
  </si>
  <si>
    <t>Customer 467</t>
  </si>
  <si>
    <t>10:09:46</t>
  </si>
  <si>
    <t>14:55:17</t>
  </si>
  <si>
    <t>Customer 990</t>
  </si>
  <si>
    <t>11:41:28</t>
  </si>
  <si>
    <t>10:31:25</t>
  </si>
  <si>
    <t>10:43:55</t>
  </si>
  <si>
    <t>18:56:44</t>
  </si>
  <si>
    <t>19:41:59</t>
  </si>
  <si>
    <t>18:05:43</t>
  </si>
  <si>
    <t>13:45:34</t>
  </si>
  <si>
    <t>16:54:06</t>
  </si>
  <si>
    <t>18:08:29</t>
  </si>
  <si>
    <t>11:29:41</t>
  </si>
  <si>
    <t>20:02:36</t>
  </si>
  <si>
    <t>12:18:36</t>
  </si>
  <si>
    <t>20:34:15</t>
  </si>
  <si>
    <t>12:41:25</t>
  </si>
  <si>
    <t>20:18:47</t>
  </si>
  <si>
    <t>09:48:23</t>
  </si>
  <si>
    <t>16:11:01</t>
  </si>
  <si>
    <t>Customer 1266</t>
  </si>
  <si>
    <t>17:09:39</t>
  </si>
  <si>
    <t>13:53:46</t>
  </si>
  <si>
    <t>09:12:09</t>
  </si>
  <si>
    <t>11:11:10</t>
  </si>
  <si>
    <t>17:08:26</t>
  </si>
  <si>
    <t>13:19:27</t>
  </si>
  <si>
    <t>16:29:26</t>
  </si>
  <si>
    <t>14:33:29</t>
  </si>
  <si>
    <t>13:34:59</t>
  </si>
  <si>
    <t>17:10:43</t>
  </si>
  <si>
    <t>15:11:03</t>
  </si>
  <si>
    <t>20:18:21</t>
  </si>
  <si>
    <t>Customer 6</t>
  </si>
  <si>
    <t>15:42:35</t>
  </si>
  <si>
    <t>14:31:17</t>
  </si>
  <si>
    <t>12:37:54</t>
  </si>
  <si>
    <t>11:01:17</t>
  </si>
  <si>
    <t>10:52:47</t>
  </si>
  <si>
    <t>14:25:26</t>
  </si>
  <si>
    <t>20:31:55</t>
  </si>
  <si>
    <t>18:04:30</t>
  </si>
  <si>
    <t>10:46:54</t>
  </si>
  <si>
    <t>14:03:39</t>
  </si>
  <si>
    <t>11:28:06</t>
  </si>
  <si>
    <t>13:33:00</t>
  </si>
  <si>
    <t>19:31:57</t>
  </si>
  <si>
    <t>17:02:56</t>
  </si>
  <si>
    <t>11:32:38</t>
  </si>
  <si>
    <t>11:14:09</t>
  </si>
  <si>
    <t>17:20:39</t>
  </si>
  <si>
    <t>15:12:04</t>
  </si>
  <si>
    <t>11:06:33</t>
  </si>
  <si>
    <t>13:31:39</t>
  </si>
  <si>
    <t>19:33:40</t>
  </si>
  <si>
    <t>10:24:18</t>
  </si>
  <si>
    <t>20:40:07</t>
  </si>
  <si>
    <t>Customer 1234</t>
  </si>
  <si>
    <t>16:59:10</t>
  </si>
  <si>
    <t>13:32:06</t>
  </si>
  <si>
    <t>11:35:42</t>
  </si>
  <si>
    <t>16:30:59</t>
  </si>
  <si>
    <t>Customer 479</t>
  </si>
  <si>
    <t>14:56:41</t>
  </si>
  <si>
    <t>16:43:52</t>
  </si>
  <si>
    <t>17:32:58</t>
  </si>
  <si>
    <t>13:59:50</t>
  </si>
  <si>
    <t>11:47:21</t>
  </si>
  <si>
    <t>09:14:06</t>
  </si>
  <si>
    <t>15:51:11</t>
  </si>
  <si>
    <t>16:28:08</t>
  </si>
  <si>
    <t>Customer 386</t>
  </si>
  <si>
    <t>19:49:28</t>
  </si>
  <si>
    <t>17:01:26</t>
  </si>
  <si>
    <t>Customer 1249</t>
  </si>
  <si>
    <t>13:09:30</t>
  </si>
  <si>
    <t>11:22:39</t>
  </si>
  <si>
    <t>09:06:56</t>
  </si>
  <si>
    <t>11:59:43</t>
  </si>
  <si>
    <t>20:58:17</t>
  </si>
  <si>
    <t>17:33:36</t>
  </si>
  <si>
    <t>09:40:24</t>
  </si>
  <si>
    <t>14:10:21</t>
  </si>
  <si>
    <t>Customer 426</t>
  </si>
  <si>
    <t>09:28:07</t>
  </si>
  <si>
    <t>18:24:42</t>
  </si>
  <si>
    <t>20:05:27</t>
  </si>
  <si>
    <t>19:07:48</t>
  </si>
  <si>
    <t>18:37:30</t>
  </si>
  <si>
    <t>13:39:21</t>
  </si>
  <si>
    <t>10:16:20</t>
  </si>
  <si>
    <t>15:55:41</t>
  </si>
  <si>
    <t>11:48:56</t>
  </si>
  <si>
    <t>17:25:08</t>
  </si>
  <si>
    <t>14:53:58</t>
  </si>
  <si>
    <t>10:54:49</t>
  </si>
  <si>
    <t>15:08:07</t>
  </si>
  <si>
    <t>11:01:38</t>
  </si>
  <si>
    <t>10:16:09</t>
  </si>
  <si>
    <t>10:55:48</t>
  </si>
  <si>
    <t>16:56:08</t>
  </si>
  <si>
    <t>16:23:53</t>
  </si>
  <si>
    <t>12:20:27</t>
  </si>
  <si>
    <t>14:15:11</t>
  </si>
  <si>
    <t>Customer 594</t>
  </si>
  <si>
    <t>11:41:14</t>
  </si>
  <si>
    <t>10:53:41</t>
  </si>
  <si>
    <t>20:57:57</t>
  </si>
  <si>
    <t>Customer 247</t>
  </si>
  <si>
    <t>10:32:11</t>
  </si>
  <si>
    <t>10:22:42</t>
  </si>
  <si>
    <t>17:53:39</t>
  </si>
  <si>
    <t>19:51:07</t>
  </si>
  <si>
    <t>18:32:43</t>
  </si>
  <si>
    <t>12:25:31</t>
  </si>
  <si>
    <t>16:54:38</t>
  </si>
  <si>
    <t>13:07:12</t>
  </si>
  <si>
    <t>10:56:49</t>
  </si>
  <si>
    <t>Customer 354</t>
  </si>
  <si>
    <t>12:57:09</t>
  </si>
  <si>
    <t>Customer 290</t>
  </si>
  <si>
    <t>09:27:32</t>
  </si>
  <si>
    <t>17:47:55</t>
  </si>
  <si>
    <t>09:57:51</t>
  </si>
  <si>
    <t>11:42:32</t>
  </si>
  <si>
    <t>19:49:06</t>
  </si>
  <si>
    <t>17:57:31</t>
  </si>
  <si>
    <t>16:53:51</t>
  </si>
  <si>
    <t>Customer 1244</t>
  </si>
  <si>
    <t>11:54:42</t>
  </si>
  <si>
    <t>16:08:56</t>
  </si>
  <si>
    <t>Customer 158</t>
  </si>
  <si>
    <t>20:17:58</t>
  </si>
  <si>
    <t>17:26:51</t>
  </si>
  <si>
    <t>19:17:09</t>
  </si>
  <si>
    <t>15:57:12</t>
  </si>
  <si>
    <t>12:24:58</t>
  </si>
  <si>
    <t>Customer 155</t>
  </si>
  <si>
    <t>20:36:22</t>
  </si>
  <si>
    <t>12:14:45</t>
  </si>
  <si>
    <t>Customer 4</t>
  </si>
  <si>
    <t>12:20:29</t>
  </si>
  <si>
    <t>19:26:41</t>
  </si>
  <si>
    <t>15:49:39</t>
  </si>
  <si>
    <t>20:45:14</t>
  </si>
  <si>
    <t>12:45:53</t>
  </si>
  <si>
    <t>18:36:58</t>
  </si>
  <si>
    <t>15:11:46</t>
  </si>
  <si>
    <t>15:34:02</t>
  </si>
  <si>
    <t>18:39:49</t>
  </si>
  <si>
    <t>10:43:38</t>
  </si>
  <si>
    <t>18:20:04</t>
  </si>
  <si>
    <t>15:35:02</t>
  </si>
  <si>
    <t>16:23:21</t>
  </si>
  <si>
    <t>15:53:19</t>
  </si>
  <si>
    <t>11:26:46</t>
  </si>
  <si>
    <t>15:01:15</t>
  </si>
  <si>
    <t>16:30:21</t>
  </si>
  <si>
    <t>Customer 338</t>
  </si>
  <si>
    <t>17:36:11</t>
  </si>
  <si>
    <t>09:43:00</t>
  </si>
  <si>
    <t>10:20:28</t>
  </si>
  <si>
    <t>15:20:04</t>
  </si>
  <si>
    <t>12:46:09</t>
  </si>
  <si>
    <t>20:37:49</t>
  </si>
  <si>
    <t>09:25:52</t>
  </si>
  <si>
    <t>10:41:13</t>
  </si>
  <si>
    <t>19:27:27</t>
  </si>
  <si>
    <t>Customer 904</t>
  </si>
  <si>
    <t>13:29:32</t>
  </si>
  <si>
    <t>Customer 582</t>
  </si>
  <si>
    <t>09:19:00</t>
  </si>
  <si>
    <t>19:52:12</t>
  </si>
  <si>
    <t>13:25:44</t>
  </si>
  <si>
    <t>12:54:39</t>
  </si>
  <si>
    <t>19:45:09</t>
  </si>
  <si>
    <t>10:21:40</t>
  </si>
  <si>
    <t>11:32:49</t>
  </si>
  <si>
    <t>Customer 181</t>
  </si>
  <si>
    <t>10:56:08</t>
  </si>
  <si>
    <t>20:14:08</t>
  </si>
  <si>
    <t>18:20:13</t>
  </si>
  <si>
    <t>17:42:42</t>
  </si>
  <si>
    <t>11:31:52</t>
  </si>
  <si>
    <t>Customer 738</t>
  </si>
  <si>
    <t>10:11:49</t>
  </si>
  <si>
    <t>14:28:56</t>
  </si>
  <si>
    <t>20:51:29</t>
  </si>
  <si>
    <t>18:14:06</t>
  </si>
  <si>
    <t>11:36:55</t>
  </si>
  <si>
    <t>10:22:33</t>
  </si>
  <si>
    <t>12:15:12</t>
  </si>
  <si>
    <t>11:22:20</t>
  </si>
  <si>
    <t>11:33:38</t>
  </si>
  <si>
    <t>16:33:04</t>
  </si>
  <si>
    <t>Customer 101</t>
  </si>
  <si>
    <t>18:00:43</t>
  </si>
  <si>
    <t>09:05:26</t>
  </si>
  <si>
    <t>12:49:09</t>
  </si>
  <si>
    <t>19:20:34</t>
  </si>
  <si>
    <t>Customer 1132</t>
  </si>
  <si>
    <t>20:55:05</t>
  </si>
  <si>
    <t>20:53:28</t>
  </si>
  <si>
    <t>Customer 460</t>
  </si>
  <si>
    <t>19:00:51</t>
  </si>
  <si>
    <t>Customer 1188</t>
  </si>
  <si>
    <t>14:31:35</t>
  </si>
  <si>
    <t>18:06:05</t>
  </si>
  <si>
    <t>15:39:26</t>
  </si>
  <si>
    <t>12:03:30</t>
  </si>
  <si>
    <t>20:53:41</t>
  </si>
  <si>
    <t>09:30:36</t>
  </si>
  <si>
    <t>11:19:46</t>
  </si>
  <si>
    <t>17:51:52</t>
  </si>
  <si>
    <t>14:33:38</t>
  </si>
  <si>
    <t>Customer 444</t>
  </si>
  <si>
    <t>15:32:57</t>
  </si>
  <si>
    <t>Customer 620</t>
  </si>
  <si>
    <t>14:53:29</t>
  </si>
  <si>
    <t>09:38:13</t>
  </si>
  <si>
    <t>19:24:42</t>
  </si>
  <si>
    <t>15:52:35</t>
  </si>
  <si>
    <t>18:47:34</t>
  </si>
  <si>
    <t>09:06:22</t>
  </si>
  <si>
    <t>12:11:04</t>
  </si>
  <si>
    <t>20:25:51</t>
  </si>
  <si>
    <t>18:05:46</t>
  </si>
  <si>
    <t>14:11:33</t>
  </si>
  <si>
    <t>19:21:45</t>
  </si>
  <si>
    <t>12:35:18</t>
  </si>
  <si>
    <t>15:12:09</t>
  </si>
  <si>
    <t>Customer 497</t>
  </si>
  <si>
    <t>10:26:53</t>
  </si>
  <si>
    <t>10:02:00</t>
  </si>
  <si>
    <t>09:59:34</t>
  </si>
  <si>
    <t>09:22:44</t>
  </si>
  <si>
    <t>09:48:54</t>
  </si>
  <si>
    <t>20:35:46</t>
  </si>
  <si>
    <t>14:43:19</t>
  </si>
  <si>
    <t>16:41:35</t>
  </si>
  <si>
    <t>Customer 81</t>
  </si>
  <si>
    <t>14:02:29</t>
  </si>
  <si>
    <t>10:32:56</t>
  </si>
  <si>
    <t>10:20:48</t>
  </si>
  <si>
    <t>14:46:45</t>
  </si>
  <si>
    <t>13:23:21</t>
  </si>
  <si>
    <t>Customer 269</t>
  </si>
  <si>
    <t>09:19:01</t>
  </si>
  <si>
    <t>11:44:43</t>
  </si>
  <si>
    <t>15:22:24</t>
  </si>
  <si>
    <t>12:06:38</t>
  </si>
  <si>
    <t>12:26:30</t>
  </si>
  <si>
    <t>13:12:03</t>
  </si>
  <si>
    <t>15:20:51</t>
  </si>
  <si>
    <t>10:53:38</t>
  </si>
  <si>
    <t>11:07:36</t>
  </si>
  <si>
    <t>09:49:26</t>
  </si>
  <si>
    <t>10:00:32</t>
  </si>
  <si>
    <t>20:47:39</t>
  </si>
  <si>
    <t>19:33:01</t>
  </si>
  <si>
    <t>Customer 44</t>
  </si>
  <si>
    <t>15:04:32</t>
  </si>
  <si>
    <t>12:31:47</t>
  </si>
  <si>
    <t>Customer 931</t>
  </si>
  <si>
    <t>17:13:25</t>
  </si>
  <si>
    <t>15:25:25</t>
  </si>
  <si>
    <t>19:00:22</t>
  </si>
  <si>
    <t>17:40:15</t>
  </si>
  <si>
    <t>09:28:06</t>
  </si>
  <si>
    <t>19:28:26</t>
  </si>
  <si>
    <t>09:15:59</t>
  </si>
  <si>
    <t>20:17:53</t>
  </si>
  <si>
    <t>10:37:28</t>
  </si>
  <si>
    <t>09:08:00</t>
  </si>
  <si>
    <t>18:37:03</t>
  </si>
  <si>
    <t>12:06:35</t>
  </si>
  <si>
    <t>13:19:03</t>
  </si>
  <si>
    <t>19:42:02</t>
  </si>
  <si>
    <t>11:40:05</t>
  </si>
  <si>
    <t>14:51:59</t>
  </si>
  <si>
    <t>13:25:04</t>
  </si>
  <si>
    <t>10:25:55</t>
  </si>
  <si>
    <t>12:56:57</t>
  </si>
  <si>
    <t>17:03:54</t>
  </si>
  <si>
    <t>17:04:08</t>
  </si>
  <si>
    <t>17:46:23</t>
  </si>
  <si>
    <t>10:04:25</t>
  </si>
  <si>
    <t>11:18:40</t>
  </si>
  <si>
    <t>16:08:51</t>
  </si>
  <si>
    <t>11:34:14</t>
  </si>
  <si>
    <t>14:47:59</t>
  </si>
  <si>
    <t>20:55:30</t>
  </si>
  <si>
    <t>Customer 306</t>
  </si>
  <si>
    <t>09:47:46</t>
  </si>
  <si>
    <t>Customer 85</t>
  </si>
  <si>
    <t>12:39:15</t>
  </si>
  <si>
    <t>13:42:39</t>
  </si>
  <si>
    <t>13:10:17</t>
  </si>
  <si>
    <t>13:06:50</t>
  </si>
  <si>
    <t>10:00:30</t>
  </si>
  <si>
    <t>16:32:54</t>
  </si>
  <si>
    <t>13:07:15</t>
  </si>
  <si>
    <t>14:43:36</t>
  </si>
  <si>
    <t>Customer 310</t>
  </si>
  <si>
    <t>10:39:11</t>
  </si>
  <si>
    <t>Customer 1083</t>
  </si>
  <si>
    <t>11:07:53</t>
  </si>
  <si>
    <t>17:40:22</t>
  </si>
  <si>
    <t>12:50:26</t>
  </si>
  <si>
    <t>17:33:45</t>
  </si>
  <si>
    <t>16:20:56</t>
  </si>
  <si>
    <t>Customer 776</t>
  </si>
  <si>
    <t>18:43:21</t>
  </si>
  <si>
    <t>19:41:14</t>
  </si>
  <si>
    <t>15:49:45</t>
  </si>
  <si>
    <t>15:36:33</t>
  </si>
  <si>
    <t>11:23:16</t>
  </si>
  <si>
    <t>09:41:21</t>
  </si>
  <si>
    <t>20:17:07</t>
  </si>
  <si>
    <t>19:07:34</t>
  </si>
  <si>
    <t>09:19:09</t>
  </si>
  <si>
    <t>16:35:06</t>
  </si>
  <si>
    <t>20:21:54</t>
  </si>
  <si>
    <t>16:32:07</t>
  </si>
  <si>
    <t>15:07:13</t>
  </si>
  <si>
    <t>16:57:01</t>
  </si>
  <si>
    <t>14:13:02</t>
  </si>
  <si>
    <t>17:54:34</t>
  </si>
  <si>
    <t>18:28:33</t>
  </si>
  <si>
    <t>11:18:36</t>
  </si>
  <si>
    <t>16:57:04</t>
  </si>
  <si>
    <t>09:03:39</t>
  </si>
  <si>
    <t>Customer 300</t>
  </si>
  <si>
    <t>12:22:15</t>
  </si>
  <si>
    <t>20:16:24</t>
  </si>
  <si>
    <t>13:54:47</t>
  </si>
  <si>
    <t>Customer 1043</t>
  </si>
  <si>
    <t>13:23:11</t>
  </si>
  <si>
    <t>17:53:35</t>
  </si>
  <si>
    <t>10:56:57</t>
  </si>
  <si>
    <t>17:02:27</t>
  </si>
  <si>
    <t>12:50:21</t>
  </si>
  <si>
    <t>12:43:10</t>
  </si>
  <si>
    <t>19:52:48</t>
  </si>
  <si>
    <t>Customer 1030</t>
  </si>
  <si>
    <t>16:58:38</t>
  </si>
  <si>
    <t>20:47:01</t>
  </si>
  <si>
    <t>Customer 940</t>
  </si>
  <si>
    <t>15:10:21</t>
  </si>
  <si>
    <t>11:44:39</t>
  </si>
  <si>
    <t>09:02:34</t>
  </si>
  <si>
    <t>19:18:35</t>
  </si>
  <si>
    <t>16:15:36</t>
  </si>
  <si>
    <t>18:10:16</t>
  </si>
  <si>
    <t>15:57:00</t>
  </si>
  <si>
    <t>20:20:03</t>
  </si>
  <si>
    <t>09:49:12</t>
  </si>
  <si>
    <t>Customer 603</t>
  </si>
  <si>
    <t>17:57:14</t>
  </si>
  <si>
    <t>10:28:19</t>
  </si>
  <si>
    <t>15:51:41</t>
  </si>
  <si>
    <t>14:27:55</t>
  </si>
  <si>
    <t>Customer 600</t>
  </si>
  <si>
    <t>16:06:20</t>
  </si>
  <si>
    <t>17:39:41</t>
  </si>
  <si>
    <t>20:20:50</t>
  </si>
  <si>
    <t>Customer 228</t>
  </si>
  <si>
    <t>12:02:01</t>
  </si>
  <si>
    <t>14:54:50</t>
  </si>
  <si>
    <t>16:56:06</t>
  </si>
  <si>
    <t>17:25:19</t>
  </si>
  <si>
    <t>11:39:52</t>
  </si>
  <si>
    <t>13:51:01</t>
  </si>
  <si>
    <t>19:39:10</t>
  </si>
  <si>
    <t>19:45:57</t>
  </si>
  <si>
    <t>20:42:12</t>
  </si>
  <si>
    <t>10:41:26</t>
  </si>
  <si>
    <t>17:31:19</t>
  </si>
  <si>
    <t>19:15:00</t>
  </si>
  <si>
    <t>Customer 581</t>
  </si>
  <si>
    <t>15:25:03</t>
  </si>
  <si>
    <t>12:32:33</t>
  </si>
  <si>
    <t>19:48:27</t>
  </si>
  <si>
    <t>15:12:33</t>
  </si>
  <si>
    <t>15:29:34</t>
  </si>
  <si>
    <t>15:59:50</t>
  </si>
  <si>
    <t>11:57:04</t>
  </si>
  <si>
    <t>Customer 659</t>
  </si>
  <si>
    <t>14:07:45</t>
  </si>
  <si>
    <t>12:29:17</t>
  </si>
  <si>
    <t>19:24:01</t>
  </si>
  <si>
    <t>13:10:44</t>
  </si>
  <si>
    <t>19:13:23</t>
  </si>
  <si>
    <t>16:49:57</t>
  </si>
  <si>
    <t>18:31:55</t>
  </si>
  <si>
    <t>16:57:44</t>
  </si>
  <si>
    <t>14:25:46</t>
  </si>
  <si>
    <t>12:34:26</t>
  </si>
  <si>
    <t>12:12:06</t>
  </si>
  <si>
    <t>12:32:05</t>
  </si>
  <si>
    <t>09:30:31</t>
  </si>
  <si>
    <t>15:28:08</t>
  </si>
  <si>
    <t>17:07:33</t>
  </si>
  <si>
    <t>16:01:11</t>
  </si>
  <si>
    <t>19:07:00</t>
  </si>
  <si>
    <t>13:02:45</t>
  </si>
  <si>
    <t>20:22:14</t>
  </si>
  <si>
    <t>Customer 1221</t>
  </si>
  <si>
    <t>18:38:12</t>
  </si>
  <si>
    <t>09:50:30</t>
  </si>
  <si>
    <t>16:15:14</t>
  </si>
  <si>
    <t>09:46:13</t>
  </si>
  <si>
    <t>10:38:08</t>
  </si>
  <si>
    <t>12:09:31</t>
  </si>
  <si>
    <t>18:39:25</t>
  </si>
  <si>
    <t>16:42:48</t>
  </si>
  <si>
    <t>18:53:15</t>
  </si>
  <si>
    <t>13:03:48</t>
  </si>
  <si>
    <t>14:04:48</t>
  </si>
  <si>
    <t>18:28:01</t>
  </si>
  <si>
    <t>13:09:56</t>
  </si>
  <si>
    <t>17:25:45</t>
  </si>
  <si>
    <t>17:31:33</t>
  </si>
  <si>
    <t>15:14:12</t>
  </si>
  <si>
    <t>14:50:41</t>
  </si>
  <si>
    <t>12:07:54</t>
  </si>
  <si>
    <t>09:57:14</t>
  </si>
  <si>
    <t>Customer 561</t>
  </si>
  <si>
    <t>19:15:16</t>
  </si>
  <si>
    <t>15:57:41</t>
  </si>
  <si>
    <t>16:13:36</t>
  </si>
  <si>
    <t>Customer 973</t>
  </si>
  <si>
    <t>18:11:36</t>
  </si>
  <si>
    <t>09:32:53</t>
  </si>
  <si>
    <t>09:40:21</t>
  </si>
  <si>
    <t>11:32:41</t>
  </si>
  <si>
    <t>11:46:59</t>
  </si>
  <si>
    <t>13:37:09</t>
  </si>
  <si>
    <t>16:48:06</t>
  </si>
  <si>
    <t>12:56:35</t>
  </si>
  <si>
    <t>12:28:22</t>
  </si>
  <si>
    <t>17:18:58</t>
  </si>
  <si>
    <t>18:45:12</t>
  </si>
  <si>
    <t>19:40:57</t>
  </si>
  <si>
    <t>Customer 903</t>
  </si>
  <si>
    <t>16:52:44</t>
  </si>
  <si>
    <t>Customer 759</t>
  </si>
  <si>
    <t>17:19:44</t>
  </si>
  <si>
    <t>19:01:01</t>
  </si>
  <si>
    <t>19:40:27</t>
  </si>
  <si>
    <t>13:46:00</t>
  </si>
  <si>
    <t>Customer 463</t>
  </si>
  <si>
    <t>17:11:20</t>
  </si>
  <si>
    <t>14:46:50</t>
  </si>
  <si>
    <t>15:48:14</t>
  </si>
  <si>
    <t>12:57:34</t>
  </si>
  <si>
    <t>14:22:13</t>
  </si>
  <si>
    <t>15:24:35</t>
  </si>
  <si>
    <t>Customer 235</t>
  </si>
  <si>
    <t>16:54:11</t>
  </si>
  <si>
    <t>Customer 514</t>
  </si>
  <si>
    <t>13:30:13</t>
  </si>
  <si>
    <t>Customer 22</t>
  </si>
  <si>
    <t>12:49:49</t>
  </si>
  <si>
    <t>15:27:07</t>
  </si>
  <si>
    <t>17:51:51</t>
  </si>
  <si>
    <t>15:30:04</t>
  </si>
  <si>
    <t>18:31:52</t>
  </si>
  <si>
    <t>11:24:28</t>
  </si>
  <si>
    <t>13:45:35</t>
  </si>
  <si>
    <t>14:49:54</t>
  </si>
  <si>
    <t>09:58:12</t>
  </si>
  <si>
    <t>18:15:08</t>
  </si>
  <si>
    <t>13:56:48</t>
  </si>
  <si>
    <t>20:29:09</t>
  </si>
  <si>
    <t>16:38:07</t>
  </si>
  <si>
    <t>15:42:22</t>
  </si>
  <si>
    <t>18:49:28</t>
  </si>
  <si>
    <t>16:49:37</t>
  </si>
  <si>
    <t>17:48:14</t>
  </si>
  <si>
    <t>11:55:27</t>
  </si>
  <si>
    <t>17:47:08</t>
  </si>
  <si>
    <t>14:13:24</t>
  </si>
  <si>
    <t>12:32:07</t>
  </si>
  <si>
    <t>Customer 653</t>
  </si>
  <si>
    <t>14:02:26</t>
  </si>
  <si>
    <t>20:24:53</t>
  </si>
  <si>
    <t>11:47:09</t>
  </si>
  <si>
    <t>14:51:43</t>
  </si>
  <si>
    <t>15:15:29</t>
  </si>
  <si>
    <t>11:03:33</t>
  </si>
  <si>
    <t>14:44:31</t>
  </si>
  <si>
    <t>09:31:25</t>
  </si>
  <si>
    <t>18:03:45</t>
  </si>
  <si>
    <t>20:02:06</t>
  </si>
  <si>
    <t>13:19:55</t>
  </si>
  <si>
    <t>12:28:44</t>
  </si>
  <si>
    <t>10:06:42</t>
  </si>
  <si>
    <t>17:26:01</t>
  </si>
  <si>
    <t>09:43:59</t>
  </si>
  <si>
    <t>18:08:38</t>
  </si>
  <si>
    <t>19:18:13</t>
  </si>
  <si>
    <t>09:14:30</t>
  </si>
  <si>
    <t>14:09:05</t>
  </si>
  <si>
    <t>19:31:42</t>
  </si>
  <si>
    <t>18:00:34</t>
  </si>
  <si>
    <t>20:32:10</t>
  </si>
  <si>
    <t>10:46:44</t>
  </si>
  <si>
    <t>09:07:15</t>
  </si>
  <si>
    <t>14:43:17</t>
  </si>
  <si>
    <t>18:50:23</t>
  </si>
  <si>
    <t>17:53:51</t>
  </si>
  <si>
    <t>15:45:15</t>
  </si>
  <si>
    <t>09:46:55</t>
  </si>
  <si>
    <t>Customer 343</t>
  </si>
  <si>
    <t>10:38:33</t>
  </si>
  <si>
    <t>14:47:16</t>
  </si>
  <si>
    <t>16:32:27</t>
  </si>
  <si>
    <t>16:03:55</t>
  </si>
  <si>
    <t>20:20:24</t>
  </si>
  <si>
    <t>10:35:49</t>
  </si>
  <si>
    <t>18:26:36</t>
  </si>
  <si>
    <t>19:43:58</t>
  </si>
  <si>
    <t>14:05:23</t>
  </si>
  <si>
    <t>14:31:39</t>
  </si>
  <si>
    <t>20:14:49</t>
  </si>
  <si>
    <t>09:26:00</t>
  </si>
  <si>
    <t>10:01:36</t>
  </si>
  <si>
    <t>10:40:20</t>
  </si>
  <si>
    <t>17:10:28</t>
  </si>
  <si>
    <t>20:07:52</t>
  </si>
  <si>
    <t>13:20:12</t>
  </si>
  <si>
    <t>Customer 1259</t>
  </si>
  <si>
    <t>15:24:44</t>
  </si>
  <si>
    <t>20:40:36</t>
  </si>
  <si>
    <t>18:58:26</t>
  </si>
  <si>
    <t>17:38:42</t>
  </si>
  <si>
    <t>14:34:36</t>
  </si>
  <si>
    <t>15:08:26</t>
  </si>
  <si>
    <t>16:34:00</t>
  </si>
  <si>
    <t>17:13:00</t>
  </si>
  <si>
    <t>18:26:50</t>
  </si>
  <si>
    <t>19:32:50</t>
  </si>
  <si>
    <t>11:04:11</t>
  </si>
  <si>
    <t>14:17:01</t>
  </si>
  <si>
    <t>09:43:11</t>
  </si>
  <si>
    <t>13:09:57</t>
  </si>
  <si>
    <t>09:41:47</t>
  </si>
  <si>
    <t>Customer 51</t>
  </si>
  <si>
    <t>19:25:54</t>
  </si>
  <si>
    <t>Customer 93</t>
  </si>
  <si>
    <t>14:54:26</t>
  </si>
  <si>
    <t>13:35:50</t>
  </si>
  <si>
    <t>11:22:19</t>
  </si>
  <si>
    <t>09:36:00</t>
  </si>
  <si>
    <t>09:35:54</t>
  </si>
  <si>
    <t>14:21:20</t>
  </si>
  <si>
    <t>15:24:54</t>
  </si>
  <si>
    <t>20:19:40</t>
  </si>
  <si>
    <t>12:21:45</t>
  </si>
  <si>
    <t>20:04:54</t>
  </si>
  <si>
    <t>12:51:25</t>
  </si>
  <si>
    <t>19:27:26</t>
  </si>
  <si>
    <t>16:59:53</t>
  </si>
  <si>
    <t>10:52:14</t>
  </si>
  <si>
    <t>12:29:53</t>
  </si>
  <si>
    <t>19:30:35</t>
  </si>
  <si>
    <t>20:46:37</t>
  </si>
  <si>
    <t>15:55:06</t>
  </si>
  <si>
    <t>19:06:13</t>
  </si>
  <si>
    <t>13:05:17</t>
  </si>
  <si>
    <t>13:13:38</t>
  </si>
  <si>
    <t>10:28:48</t>
  </si>
  <si>
    <t>10:27:35</t>
  </si>
  <si>
    <t>16:26:46</t>
  </si>
  <si>
    <t>12:33:38</t>
  </si>
  <si>
    <t>19:35:47</t>
  </si>
  <si>
    <t>19:28:36</t>
  </si>
  <si>
    <t>18:47:39</t>
  </si>
  <si>
    <t>17:25:00</t>
  </si>
  <si>
    <t>17:47:22</t>
  </si>
  <si>
    <t>17:10:05</t>
  </si>
  <si>
    <t>Customer 492</t>
  </si>
  <si>
    <t>15:16:08</t>
  </si>
  <si>
    <t>13:18:44</t>
  </si>
  <si>
    <t>19:27:18</t>
  </si>
  <si>
    <t>13:07:07</t>
  </si>
  <si>
    <t>11:25:14</t>
  </si>
  <si>
    <t>18:19:22</t>
  </si>
  <si>
    <t>19:31:44</t>
  </si>
  <si>
    <t>Customer 1240</t>
  </si>
  <si>
    <t>14:42:37</t>
  </si>
  <si>
    <t>13:15:47</t>
  </si>
  <si>
    <t>18:53:29</t>
  </si>
  <si>
    <t>16:29:27</t>
  </si>
  <si>
    <t>13:57:00</t>
  </si>
  <si>
    <t>09:34:58</t>
  </si>
  <si>
    <t>20:30:12</t>
  </si>
  <si>
    <t>18:56:24</t>
  </si>
  <si>
    <t>09:11:16</t>
  </si>
  <si>
    <t>20:00:07</t>
  </si>
  <si>
    <t>Customer 88</t>
  </si>
  <si>
    <t>13:23:43</t>
  </si>
  <si>
    <t>13:59:51</t>
  </si>
  <si>
    <t>Customer 665</t>
  </si>
  <si>
    <t>20:20:17</t>
  </si>
  <si>
    <t>14:44:02</t>
  </si>
  <si>
    <t>20:21:32</t>
  </si>
  <si>
    <t>10:45:16</t>
  </si>
  <si>
    <t>18:07:59</t>
  </si>
  <si>
    <t>18:45:52</t>
  </si>
  <si>
    <t>18:41:59</t>
  </si>
  <si>
    <t>15:09:18</t>
  </si>
  <si>
    <t>Customer 867</t>
  </si>
  <si>
    <t>15:19:56</t>
  </si>
  <si>
    <t>09:29:19</t>
  </si>
  <si>
    <t>12:51:14</t>
  </si>
  <si>
    <t>Customer 901</t>
  </si>
  <si>
    <t>20:19:32</t>
  </si>
  <si>
    <t>20:44:26</t>
  </si>
  <si>
    <t>12:04:28</t>
  </si>
  <si>
    <t>16:53:16</t>
  </si>
  <si>
    <t>Customer 532</t>
  </si>
  <si>
    <t>18:47:08</t>
  </si>
  <si>
    <t>19:41:50</t>
  </si>
  <si>
    <t>15:32:42</t>
  </si>
  <si>
    <t>09:31:37</t>
  </si>
  <si>
    <t>15:21:38</t>
  </si>
  <si>
    <t>Customer 720</t>
  </si>
  <si>
    <t>20:47:56</t>
  </si>
  <si>
    <t>10:56:53</t>
  </si>
  <si>
    <t>Customer 408</t>
  </si>
  <si>
    <t>11:08:18</t>
  </si>
  <si>
    <t>16:32:06</t>
  </si>
  <si>
    <t>14:47:23</t>
  </si>
  <si>
    <t>15:46:52</t>
  </si>
  <si>
    <t>17:10:20</t>
  </si>
  <si>
    <t>18:33:20</t>
  </si>
  <si>
    <t>20:18:39</t>
  </si>
  <si>
    <t>Customer 991</t>
  </si>
  <si>
    <t>19:35:21</t>
  </si>
  <si>
    <t>10:51:34</t>
  </si>
  <si>
    <t>19:11:45</t>
  </si>
  <si>
    <t>18:22:33</t>
  </si>
  <si>
    <t>10:06:29</t>
  </si>
  <si>
    <t>12:39:55</t>
  </si>
  <si>
    <t>17:41:06</t>
  </si>
  <si>
    <t>18:43:29</t>
  </si>
  <si>
    <t>18:42:01</t>
  </si>
  <si>
    <t>18:41:45</t>
  </si>
  <si>
    <t>18:58:27</t>
  </si>
  <si>
    <t>15:23:15</t>
  </si>
  <si>
    <t>Customer 63</t>
  </si>
  <si>
    <t>09:53:32</t>
  </si>
  <si>
    <t>11:01:03</t>
  </si>
  <si>
    <t>13:12:40</t>
  </si>
  <si>
    <t>13:54:56</t>
  </si>
  <si>
    <t>17:06:01</t>
  </si>
  <si>
    <t>13:42:55</t>
  </si>
  <si>
    <t>10:08:42</t>
  </si>
  <si>
    <t>10:14:29</t>
  </si>
  <si>
    <t>16:47:00</t>
  </si>
  <si>
    <t>14:54:57</t>
  </si>
  <si>
    <t>20:54:14</t>
  </si>
  <si>
    <t>13:47:59</t>
  </si>
  <si>
    <t>19:46:02</t>
  </si>
  <si>
    <t>14:57:39</t>
  </si>
  <si>
    <t>09:58:43</t>
  </si>
  <si>
    <t>10:07:38</t>
  </si>
  <si>
    <t>18:23:27</t>
  </si>
  <si>
    <t>13:56:15</t>
  </si>
  <si>
    <t>19:46:32</t>
  </si>
  <si>
    <t>17:30:08</t>
  </si>
  <si>
    <t>19:31:32</t>
  </si>
  <si>
    <t>Customer 854</t>
  </si>
  <si>
    <t>11:42:11</t>
  </si>
  <si>
    <t>19:43:38</t>
  </si>
  <si>
    <t>Customer 1230</t>
  </si>
  <si>
    <t>11:27:19</t>
  </si>
  <si>
    <t>19:33:37</t>
  </si>
  <si>
    <t>12:31:01</t>
  </si>
  <si>
    <t>16:47:08</t>
  </si>
  <si>
    <t>13:00:38</t>
  </si>
  <si>
    <t>18:57:46</t>
  </si>
  <si>
    <t>12:37:47</t>
  </si>
  <si>
    <t>20:28:15</t>
  </si>
  <si>
    <t>09:01:58</t>
  </si>
  <si>
    <t>14:39:19</t>
  </si>
  <si>
    <t>13:28:21</t>
  </si>
  <si>
    <t>10:24:51</t>
  </si>
  <si>
    <t>Customer 902</t>
  </si>
  <si>
    <t>15:23:19</t>
  </si>
  <si>
    <t>20:54:25</t>
  </si>
  <si>
    <t>18:11:03</t>
  </si>
  <si>
    <t>14:36:07</t>
  </si>
  <si>
    <t>15:15:07</t>
  </si>
  <si>
    <t>13:02:48</t>
  </si>
  <si>
    <t>15:19:57</t>
  </si>
  <si>
    <t>09:00:44</t>
  </si>
  <si>
    <t>20:24:03</t>
  </si>
  <si>
    <t>17:45:43</t>
  </si>
  <si>
    <t>19:56:45</t>
  </si>
  <si>
    <t>12:29:58</t>
  </si>
  <si>
    <t>Customer 1262</t>
  </si>
  <si>
    <t>14:11:23</t>
  </si>
  <si>
    <t>16:24:33</t>
  </si>
  <si>
    <t>17:17:43</t>
  </si>
  <si>
    <t>13:47:27</t>
  </si>
  <si>
    <t>19:41:40</t>
  </si>
  <si>
    <t>18:02:11</t>
  </si>
  <si>
    <t>16:21:51</t>
  </si>
  <si>
    <t>17:15:55</t>
  </si>
  <si>
    <t>Customer 471</t>
  </si>
  <si>
    <t>15:12:23</t>
  </si>
  <si>
    <t>15:04:53</t>
  </si>
  <si>
    <t>Customer 265</t>
  </si>
  <si>
    <t>20:14:46</t>
  </si>
  <si>
    <t>19:04:37</t>
  </si>
  <si>
    <t>18:15:14</t>
  </si>
  <si>
    <t>18:53:50</t>
  </si>
  <si>
    <t>19:33:18</t>
  </si>
  <si>
    <t>11:25:30</t>
  </si>
  <si>
    <t>18:05:33</t>
  </si>
  <si>
    <t>18:06:31</t>
  </si>
  <si>
    <t>18:28:03</t>
  </si>
  <si>
    <t>16:34:40</t>
  </si>
  <si>
    <t>14:55:56</t>
  </si>
  <si>
    <t>17:01:25</t>
  </si>
  <si>
    <t>09:11:54</t>
  </si>
  <si>
    <t>13:44:18</t>
  </si>
  <si>
    <t>17:22:51</t>
  </si>
  <si>
    <t>13:22:16</t>
  </si>
  <si>
    <t>20:01:36</t>
  </si>
  <si>
    <t>20:16:23</t>
  </si>
  <si>
    <t>19:50:31</t>
  </si>
  <si>
    <t>10:34:05</t>
  </si>
  <si>
    <t>Customer 788</t>
  </si>
  <si>
    <t>14:30:42</t>
  </si>
  <si>
    <t>20:14:55</t>
  </si>
  <si>
    <t>14:33:43</t>
  </si>
  <si>
    <t>Customer 912</t>
  </si>
  <si>
    <t>18:57:13</t>
  </si>
  <si>
    <t>14:23:24</t>
  </si>
  <si>
    <t>13:12:04</t>
  </si>
  <si>
    <t>11:23:30</t>
  </si>
  <si>
    <t>13:03:51</t>
  </si>
  <si>
    <t>13:10:14</t>
  </si>
  <si>
    <t>18:45:43</t>
  </si>
  <si>
    <t>12:00:34</t>
  </si>
  <si>
    <t>Customer 700</t>
  </si>
  <si>
    <t>18:23:42</t>
  </si>
  <si>
    <t>18:19:45</t>
  </si>
  <si>
    <t>17:03:14</t>
  </si>
  <si>
    <t>10:56:16</t>
  </si>
  <si>
    <t>14:41:26</t>
  </si>
  <si>
    <t>Customer 183</t>
  </si>
  <si>
    <t>19:08:59</t>
  </si>
  <si>
    <t>19:26:01</t>
  </si>
  <si>
    <t>13:33:27</t>
  </si>
  <si>
    <t>14:43:02</t>
  </si>
  <si>
    <t>10:57:33</t>
  </si>
  <si>
    <t>13:51:12</t>
  </si>
  <si>
    <t>Customer 1265</t>
  </si>
  <si>
    <t>17:48:47</t>
  </si>
  <si>
    <t>17:48:51</t>
  </si>
  <si>
    <t>18:24:56</t>
  </si>
  <si>
    <t>13:49:23</t>
  </si>
  <si>
    <t>09:58:51</t>
  </si>
  <si>
    <t>14:19:23</t>
  </si>
  <si>
    <t>11:16:22</t>
  </si>
  <si>
    <t>14:18:22</t>
  </si>
  <si>
    <t>11:32:47</t>
  </si>
  <si>
    <t>09:02:40</t>
  </si>
  <si>
    <t>20:51:00</t>
  </si>
  <si>
    <t>16:32:17</t>
  </si>
  <si>
    <t>Customer 1217</t>
  </si>
  <si>
    <t>18:45:04</t>
  </si>
  <si>
    <t>Customer 978</t>
  </si>
  <si>
    <t>13:46:36</t>
  </si>
  <si>
    <t>16:04:08</t>
  </si>
  <si>
    <t>12:49:05</t>
  </si>
  <si>
    <t>14:22:42</t>
  </si>
  <si>
    <t>10:09:52</t>
  </si>
  <si>
    <t>Customer 1049</t>
  </si>
  <si>
    <t>19:48:58</t>
  </si>
  <si>
    <t>18:37:43</t>
  </si>
  <si>
    <t>19:11:46</t>
  </si>
  <si>
    <t>14:12:14</t>
  </si>
  <si>
    <t>14:20:13</t>
  </si>
  <si>
    <t>Customer 1166</t>
  </si>
  <si>
    <t>20:04:52</t>
  </si>
  <si>
    <t>19:29:13</t>
  </si>
  <si>
    <t>14:44:49</t>
  </si>
  <si>
    <t>15:25:35</t>
  </si>
  <si>
    <t>11:17:48</t>
  </si>
  <si>
    <t>10:37:00</t>
  </si>
  <si>
    <t>20:12:00</t>
  </si>
  <si>
    <t>12:07:38</t>
  </si>
  <si>
    <t>14:10:11</t>
  </si>
  <si>
    <t>17:40:58</t>
  </si>
  <si>
    <t>15:05:35</t>
  </si>
  <si>
    <t>16:38:08</t>
  </si>
  <si>
    <t>17:33:10</t>
  </si>
  <si>
    <t>Customer 812</t>
  </si>
  <si>
    <t>17:15:29</t>
  </si>
  <si>
    <t>14:17:56</t>
  </si>
  <si>
    <t>09:09:33</t>
  </si>
  <si>
    <t>17:17:59</t>
  </si>
  <si>
    <t>19:47:39</t>
  </si>
  <si>
    <t>13:11:33</t>
  </si>
  <si>
    <t>20:43:14</t>
  </si>
  <si>
    <t>15:06:33</t>
  </si>
  <si>
    <t>19:05:10</t>
  </si>
  <si>
    <t>13:03:14</t>
  </si>
  <si>
    <t>Customer 591</t>
  </si>
  <si>
    <t>18:11:45</t>
  </si>
  <si>
    <t>10:41:01</t>
  </si>
  <si>
    <t>14:13:08</t>
  </si>
  <si>
    <t>09:52:58</t>
  </si>
  <si>
    <t>09:10:15</t>
  </si>
  <si>
    <t>20:32:15</t>
  </si>
  <si>
    <t>11:03:52</t>
  </si>
  <si>
    <t>17:39:40</t>
  </si>
  <si>
    <t>16:30:08</t>
  </si>
  <si>
    <t>20:04:03</t>
  </si>
  <si>
    <t>15:33:06</t>
  </si>
  <si>
    <t>14:02:46</t>
  </si>
  <si>
    <t>19:10:22</t>
  </si>
  <si>
    <t>Customer 137</t>
  </si>
  <si>
    <t>17:31:09</t>
  </si>
  <si>
    <t>Customer 533</t>
  </si>
  <si>
    <t>20:41:17</t>
  </si>
  <si>
    <t>14:47:46</t>
  </si>
  <si>
    <t>09:06:36</t>
  </si>
  <si>
    <t>Customer 455</t>
  </si>
  <si>
    <t>18:35:58</t>
  </si>
  <si>
    <t>13:11:18</t>
  </si>
  <si>
    <t>Customer 689</t>
  </si>
  <si>
    <t>11:29:09</t>
  </si>
  <si>
    <t>18:44:11</t>
  </si>
  <si>
    <t>09:51:41</t>
  </si>
  <si>
    <t>17:08:29</t>
  </si>
  <si>
    <t>10:45:36</t>
  </si>
  <si>
    <t>17:12:30</t>
  </si>
  <si>
    <t>12:02:08</t>
  </si>
  <si>
    <t>09:47:35</t>
  </si>
  <si>
    <t>18:50:27</t>
  </si>
  <si>
    <t>18:47:31</t>
  </si>
  <si>
    <t>14:29:26</t>
  </si>
  <si>
    <t>14:58:44</t>
  </si>
  <si>
    <t>14:38:40</t>
  </si>
  <si>
    <t>18:21:42</t>
  </si>
  <si>
    <t>15:12:01</t>
  </si>
  <si>
    <t>Customer 1192</t>
  </si>
  <si>
    <t>16:52:43</t>
  </si>
  <si>
    <t>13:38:00</t>
  </si>
  <si>
    <t>16:16:14</t>
  </si>
  <si>
    <t>16:33:16</t>
  </si>
  <si>
    <t>13:18:23</t>
  </si>
  <si>
    <t>17:16:23</t>
  </si>
  <si>
    <t>17:39:19</t>
  </si>
  <si>
    <t>18:01:42</t>
  </si>
  <si>
    <t>17:01:02</t>
  </si>
  <si>
    <t>15:47:03</t>
  </si>
  <si>
    <t>18:48:11</t>
  </si>
  <si>
    <t>17:40:50</t>
  </si>
  <si>
    <t>19:13:53</t>
  </si>
  <si>
    <t>19:49:35</t>
  </si>
  <si>
    <t>17:33:46</t>
  </si>
  <si>
    <t>15:08:32</t>
  </si>
  <si>
    <t>11:18:20</t>
  </si>
  <si>
    <t>15:32:09</t>
  </si>
  <si>
    <t>15:34:34</t>
  </si>
  <si>
    <t>12:41:39</t>
  </si>
  <si>
    <t>14:37:58</t>
  </si>
  <si>
    <t>11:04:53</t>
  </si>
  <si>
    <t>10:10:03</t>
  </si>
  <si>
    <t>12:26:16</t>
  </si>
  <si>
    <t>Customer 179</t>
  </si>
  <si>
    <t>16:14:42</t>
  </si>
  <si>
    <t>20:39:38</t>
  </si>
  <si>
    <t>20:07:13</t>
  </si>
  <si>
    <t>09:24:35</t>
  </si>
  <si>
    <t>Customer 1210</t>
  </si>
  <si>
    <t>14:33:13</t>
  </si>
  <si>
    <t>16:43:34</t>
  </si>
  <si>
    <t>10:48:13</t>
  </si>
  <si>
    <t>17:38:23</t>
  </si>
  <si>
    <t>12:31:41</t>
  </si>
  <si>
    <t>18:18:39</t>
  </si>
  <si>
    <t>09:21:41</t>
  </si>
  <si>
    <t>14:59:07</t>
  </si>
  <si>
    <t>15:13:36</t>
  </si>
  <si>
    <t>13:37:28</t>
  </si>
  <si>
    <t>09:09:29</t>
  </si>
  <si>
    <t>13:58:41</t>
  </si>
  <si>
    <t>10:17:12</t>
  </si>
  <si>
    <t>14:18:03</t>
  </si>
  <si>
    <t>12:06:22</t>
  </si>
  <si>
    <t>19:41:43</t>
  </si>
  <si>
    <t>09:18:26</t>
  </si>
  <si>
    <t>13:28:47</t>
  </si>
  <si>
    <t>12:58:08</t>
  </si>
  <si>
    <t>10:07:00</t>
  </si>
  <si>
    <t>14:41:38</t>
  </si>
  <si>
    <t>14:20:04</t>
  </si>
  <si>
    <t>14:17:28</t>
  </si>
  <si>
    <t>09:35:06</t>
  </si>
  <si>
    <t>11:08:08</t>
  </si>
  <si>
    <t>17:05:04</t>
  </si>
  <si>
    <t>16:15:05</t>
  </si>
  <si>
    <t>12:33:40</t>
  </si>
  <si>
    <t>20:00:50</t>
  </si>
  <si>
    <t>16:55:26</t>
  </si>
  <si>
    <t>17:35:20</t>
  </si>
  <si>
    <t>11:55:55</t>
  </si>
  <si>
    <t>09:51:57</t>
  </si>
  <si>
    <t>16:29:25</t>
  </si>
  <si>
    <t>16:21:42</t>
  </si>
  <si>
    <t>09:28:48</t>
  </si>
  <si>
    <t>10:35:41</t>
  </si>
  <si>
    <t>13:36:58</t>
  </si>
  <si>
    <t>11:57:39</t>
  </si>
  <si>
    <t>19:48:44</t>
  </si>
  <si>
    <t>19:49:40</t>
  </si>
  <si>
    <t>10:46:56</t>
  </si>
  <si>
    <t>20:44:22</t>
  </si>
  <si>
    <t>16:14:18</t>
  </si>
  <si>
    <t>10:07:32</t>
  </si>
  <si>
    <t>11:29:29</t>
  </si>
  <si>
    <t>17:21:32</t>
  </si>
  <si>
    <t>18:51:24</t>
  </si>
  <si>
    <t>16:07:36</t>
  </si>
  <si>
    <t>17:08:27</t>
  </si>
  <si>
    <t>14:30:01</t>
  </si>
  <si>
    <t>Customer 612</t>
  </si>
  <si>
    <t>12:54:17</t>
  </si>
  <si>
    <t>17:05:05</t>
  </si>
  <si>
    <t>12:19:00</t>
  </si>
  <si>
    <t>09:56:09</t>
  </si>
  <si>
    <t>17:55:35</t>
  </si>
  <si>
    <t>15:07:19</t>
  </si>
  <si>
    <t>18:38:41</t>
  </si>
  <si>
    <t>17:36:43</t>
  </si>
  <si>
    <t>14:15:24</t>
  </si>
  <si>
    <t>12:10:57</t>
  </si>
  <si>
    <t>20:30:08</t>
  </si>
  <si>
    <t>20:48:15</t>
  </si>
  <si>
    <t>20:46:53</t>
  </si>
  <si>
    <t>14:32:37</t>
  </si>
  <si>
    <t>19:11:51</t>
  </si>
  <si>
    <t>19:31:14</t>
  </si>
  <si>
    <t>11:52:54</t>
  </si>
  <si>
    <t>19:45:53</t>
  </si>
  <si>
    <t>18:28:24</t>
  </si>
  <si>
    <t>12:50:49</t>
  </si>
  <si>
    <t>17:32:37</t>
  </si>
  <si>
    <t>15:24:55</t>
  </si>
  <si>
    <t>10:58:31</t>
  </si>
  <si>
    <t>10:45:26</t>
  </si>
  <si>
    <t>19:52:30</t>
  </si>
  <si>
    <t>09:00:39</t>
  </si>
  <si>
    <t>12:51:38</t>
  </si>
  <si>
    <t>19:43:16</t>
  </si>
  <si>
    <t>18:08:00</t>
  </si>
  <si>
    <t>15:09:23</t>
  </si>
  <si>
    <t>14:43:21</t>
  </si>
  <si>
    <t>19:38:01</t>
  </si>
  <si>
    <t>09:46:42</t>
  </si>
  <si>
    <t>Customer 1145</t>
  </si>
  <si>
    <t>11:44:54</t>
  </si>
  <si>
    <t>17:17:50</t>
  </si>
  <si>
    <t>20:07:40</t>
  </si>
  <si>
    <t>17:33:27</t>
  </si>
  <si>
    <t>09:56:06</t>
  </si>
  <si>
    <t>19:59:41</t>
  </si>
  <si>
    <t>18:34:05</t>
  </si>
  <si>
    <t>Customer 961</t>
  </si>
  <si>
    <t>10:09:11</t>
  </si>
  <si>
    <t>19:37:27</t>
  </si>
  <si>
    <t>16:54:47</t>
  </si>
  <si>
    <t>10:56:36</t>
  </si>
  <si>
    <t>20:22:01</t>
  </si>
  <si>
    <t>19:26:31</t>
  </si>
  <si>
    <t>18:14:55</t>
  </si>
  <si>
    <t>11:37:38</t>
  </si>
  <si>
    <t>10:19:39</t>
  </si>
  <si>
    <t>11:54:54</t>
  </si>
  <si>
    <t>11:55:04</t>
  </si>
  <si>
    <t>20:58:30</t>
  </si>
  <si>
    <t>Customer 751</t>
  </si>
  <si>
    <t>17:04:05</t>
  </si>
  <si>
    <t>15:27:54</t>
  </si>
  <si>
    <t>10:20:33</t>
  </si>
  <si>
    <t>19:53:26</t>
  </si>
  <si>
    <t>12:52:59</t>
  </si>
  <si>
    <t>11:31:38</t>
  </si>
  <si>
    <t>19:36:58</t>
  </si>
  <si>
    <t>14:37:01</t>
  </si>
  <si>
    <t>14:34:17</t>
  </si>
  <si>
    <t>09:43:49</t>
  </si>
  <si>
    <t>17:33:42</t>
  </si>
  <si>
    <t>20:39:30</t>
  </si>
  <si>
    <t>10:38:23</t>
  </si>
  <si>
    <t>16:26:02</t>
  </si>
  <si>
    <t>15:37:44</t>
  </si>
  <si>
    <t>19:52:42</t>
  </si>
  <si>
    <t>17:45:11</t>
  </si>
  <si>
    <t>16:40:35</t>
  </si>
  <si>
    <t>15:21:07</t>
  </si>
  <si>
    <t>09:26:45</t>
  </si>
  <si>
    <t>09:14:55</t>
  </si>
  <si>
    <t>17:03:27</t>
  </si>
  <si>
    <t>20:45:05</t>
  </si>
  <si>
    <t>15:42:11</t>
  </si>
  <si>
    <t>Customer 763</t>
  </si>
  <si>
    <t>10:42:28</t>
  </si>
  <si>
    <t>20:24:13</t>
  </si>
  <si>
    <t>10:04:46</t>
  </si>
  <si>
    <t>09:57:11</t>
  </si>
  <si>
    <t>20:41:06</t>
  </si>
  <si>
    <t>09:55:23</t>
  </si>
  <si>
    <t>16:50:44</t>
  </si>
  <si>
    <t>16:38:39</t>
  </si>
  <si>
    <t>10:24:43</t>
  </si>
  <si>
    <t>13:11:13</t>
  </si>
  <si>
    <t>20:23:58</t>
  </si>
  <si>
    <t>12:18:21</t>
  </si>
  <si>
    <t>13:23:35</t>
  </si>
  <si>
    <t>15:20:53</t>
  </si>
  <si>
    <t>16:52:52</t>
  </si>
  <si>
    <t>17:06:02</t>
  </si>
  <si>
    <t>15:12:21</t>
  </si>
  <si>
    <t>13:39:32</t>
  </si>
  <si>
    <t>09:37:31</t>
  </si>
  <si>
    <t>20:49:45</t>
  </si>
  <si>
    <t>Customer 209</t>
  </si>
  <si>
    <t>13:23:13</t>
  </si>
  <si>
    <t>10:30:44</t>
  </si>
  <si>
    <t>Customer 23</t>
  </si>
  <si>
    <t>17:04:30</t>
  </si>
  <si>
    <t>19:36:32</t>
  </si>
  <si>
    <t>11:39:00</t>
  </si>
  <si>
    <t>09:17:04</t>
  </si>
  <si>
    <t>20:18:45</t>
  </si>
  <si>
    <t>12:58:53</t>
  </si>
  <si>
    <t>18:40:20</t>
  </si>
  <si>
    <t>17:42:10</t>
  </si>
  <si>
    <t>12:44:37</t>
  </si>
  <si>
    <t>Customer 1268</t>
  </si>
  <si>
    <t>17:58:55</t>
  </si>
  <si>
    <t>Customer 318</t>
  </si>
  <si>
    <t>14:09:51</t>
  </si>
  <si>
    <t>09:44:05</t>
  </si>
  <si>
    <t>19:15:19</t>
  </si>
  <si>
    <t>10:00:26</t>
  </si>
  <si>
    <t>13:40:22</t>
  </si>
  <si>
    <t>10:48:39</t>
  </si>
  <si>
    <t>Customer 1124</t>
  </si>
  <si>
    <t>17:33:35</t>
  </si>
  <si>
    <t>13:54:09</t>
  </si>
  <si>
    <t>20:06:00</t>
  </si>
  <si>
    <t>17:12:07</t>
  </si>
  <si>
    <t>11:56:38</t>
  </si>
  <si>
    <t>13:23:53</t>
  </si>
  <si>
    <t>13:21:59</t>
  </si>
  <si>
    <t>15:17:20</t>
  </si>
  <si>
    <t>Customer 905</t>
  </si>
  <si>
    <t>17:40:26</t>
  </si>
  <si>
    <t>14:12:39</t>
  </si>
  <si>
    <t>16:51:05</t>
  </si>
  <si>
    <t>20:18:03</t>
  </si>
  <si>
    <t>14:36:43</t>
  </si>
  <si>
    <t>18:44:22</t>
  </si>
  <si>
    <t>10:23:45</t>
  </si>
  <si>
    <t>10:53:45</t>
  </si>
  <si>
    <t>14:59:37</t>
  </si>
  <si>
    <t>Customer 633</t>
  </si>
  <si>
    <t>15:21:51</t>
  </si>
  <si>
    <t>17:56:44</t>
  </si>
  <si>
    <t>11:16:55</t>
  </si>
  <si>
    <t>14:24:31</t>
  </si>
  <si>
    <t>19:01:26</t>
  </si>
  <si>
    <t>14:11:21</t>
  </si>
  <si>
    <t>17:29:19</t>
  </si>
  <si>
    <t>15:41:47</t>
  </si>
  <si>
    <t>12:27:19</t>
  </si>
  <si>
    <t>18:18:46</t>
  </si>
  <si>
    <t>Customer 83</t>
  </si>
  <si>
    <t>20:00:43</t>
  </si>
  <si>
    <t>12:24:30</t>
  </si>
  <si>
    <t>20:29:44</t>
  </si>
  <si>
    <t>19:58:38</t>
  </si>
  <si>
    <t>18:23:44</t>
  </si>
  <si>
    <t>17:08:06</t>
  </si>
  <si>
    <t>10:33:03</t>
  </si>
  <si>
    <t>19:44:53</t>
  </si>
  <si>
    <t>13:15:41</t>
  </si>
  <si>
    <t>Customer 442</t>
  </si>
  <si>
    <t>19:04:51</t>
  </si>
  <si>
    <t>11:43:42</t>
  </si>
  <si>
    <t>09:37:01</t>
  </si>
  <si>
    <t>Customer 1092</t>
  </si>
  <si>
    <t>19:07:39</t>
  </si>
  <si>
    <t>14:18:12</t>
  </si>
  <si>
    <t>17:52:19</t>
  </si>
  <si>
    <t>20:50:41</t>
  </si>
  <si>
    <t>18:16:42</t>
  </si>
  <si>
    <t>19:15:45</t>
  </si>
  <si>
    <t>10:50:32</t>
  </si>
  <si>
    <t>17:24:09</t>
  </si>
  <si>
    <t>12:00:36</t>
  </si>
  <si>
    <t>17:03:22</t>
  </si>
  <si>
    <t>19:02:18</t>
  </si>
  <si>
    <t>11:13:12</t>
  </si>
  <si>
    <t>10:04:44</t>
  </si>
  <si>
    <t>10:23:13</t>
  </si>
  <si>
    <t>10:45:54</t>
  </si>
  <si>
    <t>15:30:51</t>
  </si>
  <si>
    <t>09:20:11</t>
  </si>
  <si>
    <t>13:28:31</t>
  </si>
  <si>
    <t>Customer 1004</t>
  </si>
  <si>
    <t>12:37:20</t>
  </si>
  <si>
    <t>14:26:28</t>
  </si>
  <si>
    <t>13:33:28</t>
  </si>
  <si>
    <t>17:15:40</t>
  </si>
  <si>
    <t>Customer 1042</t>
  </si>
  <si>
    <t>09:40:05</t>
  </si>
  <si>
    <t>11:20:30</t>
  </si>
  <si>
    <t>11:35:35</t>
  </si>
  <si>
    <t>14:38:07</t>
  </si>
  <si>
    <t>18:43:18</t>
  </si>
  <si>
    <t>17:57:56</t>
  </si>
  <si>
    <t>12:11:36</t>
  </si>
  <si>
    <t>16:57:12</t>
  </si>
  <si>
    <t>09:08:40</t>
  </si>
  <si>
    <t>Customer 482</t>
  </si>
  <si>
    <t>15:53:35</t>
  </si>
  <si>
    <t>19:51:33</t>
  </si>
  <si>
    <t>09:11:57</t>
  </si>
  <si>
    <t>Customer 552</t>
  </si>
  <si>
    <t>18:28:57</t>
  </si>
  <si>
    <t>18:01:52</t>
  </si>
  <si>
    <t>15:22:33</t>
  </si>
  <si>
    <t>19:59:03</t>
  </si>
  <si>
    <t>12:29:13</t>
  </si>
  <si>
    <t>11:42:26</t>
  </si>
  <si>
    <t>15:50:03</t>
  </si>
  <si>
    <t>17:14:50</t>
  </si>
  <si>
    <t>18:09:17</t>
  </si>
  <si>
    <t>15:37:02</t>
  </si>
  <si>
    <t>17:11:12</t>
  </si>
  <si>
    <t>15:06:02</t>
  </si>
  <si>
    <t>18:28:13</t>
  </si>
  <si>
    <t>12:31:08</t>
  </si>
  <si>
    <t>14:36:37</t>
  </si>
  <si>
    <t>12:17:54</t>
  </si>
  <si>
    <t>Customer 152</t>
  </si>
  <si>
    <t>09:04:12</t>
  </si>
  <si>
    <t>13:28:08</t>
  </si>
  <si>
    <t>17:48:28</t>
  </si>
  <si>
    <t>19:49:09</t>
  </si>
  <si>
    <t>09:54:50</t>
  </si>
  <si>
    <t>11:32:42</t>
  </si>
  <si>
    <t>11:49:27</t>
  </si>
  <si>
    <t>16:44:27</t>
  </si>
  <si>
    <t>16:40:39</t>
  </si>
  <si>
    <t>14:26:06</t>
  </si>
  <si>
    <t>16:50:04</t>
  </si>
  <si>
    <t>17:49:01</t>
  </si>
  <si>
    <t>11:51:19</t>
  </si>
  <si>
    <t>13:56:44</t>
  </si>
  <si>
    <t>18:31:12</t>
  </si>
  <si>
    <t>12:35:51</t>
  </si>
  <si>
    <t>09:40:25</t>
  </si>
  <si>
    <t>20:12:49</t>
  </si>
  <si>
    <t>10:01:32</t>
  </si>
  <si>
    <t>13:30:51</t>
  </si>
  <si>
    <t>17:34:27</t>
  </si>
  <si>
    <t>18:58:24</t>
  </si>
  <si>
    <t>16:57:58</t>
  </si>
  <si>
    <t>12:53:55</t>
  </si>
  <si>
    <t>10:36:01</t>
  </si>
  <si>
    <t>20:10:33</t>
  </si>
  <si>
    <t>Customer 820</t>
  </si>
  <si>
    <t>16:29:24</t>
  </si>
  <si>
    <t>11:55:16</t>
  </si>
  <si>
    <t>15:12:57</t>
  </si>
  <si>
    <t>14:09:12</t>
  </si>
  <si>
    <t>16:02:06</t>
  </si>
  <si>
    <t>11:42:56</t>
  </si>
  <si>
    <t>17:02:42</t>
  </si>
  <si>
    <t>18:11:53</t>
  </si>
  <si>
    <t>18:28:45</t>
  </si>
  <si>
    <t>20:27:55</t>
  </si>
  <si>
    <t>13:15:58</t>
  </si>
  <si>
    <t>18:18:32</t>
  </si>
  <si>
    <t>12:15:40</t>
  </si>
  <si>
    <t>17:27:13</t>
  </si>
  <si>
    <t>09:57:09</t>
  </si>
  <si>
    <t>20:08:52</t>
  </si>
  <si>
    <t>15:06:08</t>
  </si>
  <si>
    <t>18:14:26</t>
  </si>
  <si>
    <t>13:44:02</t>
  </si>
  <si>
    <t>20:52:20</t>
  </si>
  <si>
    <t>18:04:56</t>
  </si>
  <si>
    <t>19:26:59</t>
  </si>
  <si>
    <t>14:11:24</t>
  </si>
  <si>
    <t>14:30:28</t>
  </si>
  <si>
    <t>11:40:59</t>
  </si>
  <si>
    <t>18:18:27</t>
  </si>
  <si>
    <t>13:28:20</t>
  </si>
  <si>
    <t>19:03:28</t>
  </si>
  <si>
    <t>13:50:05</t>
  </si>
  <si>
    <t>18:17:40</t>
  </si>
  <si>
    <t>Customer 261</t>
  </si>
  <si>
    <t>Customer 490</t>
  </si>
  <si>
    <t>09:45:24</t>
  </si>
  <si>
    <t>11:08:24</t>
  </si>
  <si>
    <t>18:33:27</t>
  </si>
  <si>
    <t>14:12:00</t>
  </si>
  <si>
    <t>10:19:13</t>
  </si>
  <si>
    <t>14:42:43</t>
  </si>
  <si>
    <t>10:56:43</t>
  </si>
  <si>
    <t>13:48:35</t>
  </si>
  <si>
    <t>18:24:04</t>
  </si>
  <si>
    <t>10:23:05</t>
  </si>
  <si>
    <t>Customer 886</t>
  </si>
  <si>
    <t>20:32:05</t>
  </si>
  <si>
    <t>11:55:43</t>
  </si>
  <si>
    <t>20:13:57</t>
  </si>
  <si>
    <t>15:12:55</t>
  </si>
  <si>
    <t>11:54:25</t>
  </si>
  <si>
    <t>14:38:35</t>
  </si>
  <si>
    <t>14:22:45</t>
  </si>
  <si>
    <t>13:48:28</t>
  </si>
  <si>
    <t>17:02:29</t>
  </si>
  <si>
    <t>09:26:44</t>
  </si>
  <si>
    <t>11:46:14</t>
  </si>
  <si>
    <t>09:42:20</t>
  </si>
  <si>
    <t>10:53:35</t>
  </si>
  <si>
    <t>19:47:15</t>
  </si>
  <si>
    <t>Customer 992</t>
  </si>
  <si>
    <t>19:37:49</t>
  </si>
  <si>
    <t>16:50:55</t>
  </si>
  <si>
    <t>20:55:46</t>
  </si>
  <si>
    <t>Customer 1080</t>
  </si>
  <si>
    <t>11:45:54</t>
  </si>
  <si>
    <t>12:06:24</t>
  </si>
  <si>
    <t>10:56:31</t>
  </si>
  <si>
    <t>16:03:23</t>
  </si>
  <si>
    <t>17:57:52</t>
  </si>
  <si>
    <t>16:19:36</t>
  </si>
  <si>
    <t>19:27:31</t>
  </si>
  <si>
    <t>13:00:34</t>
  </si>
  <si>
    <t>18:01:57</t>
  </si>
  <si>
    <t>15:51:33</t>
  </si>
  <si>
    <t>11:39:06</t>
  </si>
  <si>
    <t>18:01:34</t>
  </si>
  <si>
    <t>18:24:37</t>
  </si>
  <si>
    <t>14:38:29</t>
  </si>
  <si>
    <t>13:17:00</t>
  </si>
  <si>
    <t>13:09:47</t>
  </si>
  <si>
    <t>10:34:52</t>
  </si>
  <si>
    <t>16:46:30</t>
  </si>
  <si>
    <t>19:19:26</t>
  </si>
  <si>
    <t>16:32:19</t>
  </si>
  <si>
    <t>12:42:41</t>
  </si>
  <si>
    <t>10:42:13</t>
  </si>
  <si>
    <t>17:20:54</t>
  </si>
  <si>
    <t>11:38:26</t>
  </si>
  <si>
    <t>15:44:28</t>
  </si>
  <si>
    <t>Customer 327</t>
  </si>
  <si>
    <t>16:38:55</t>
  </si>
  <si>
    <t>Customer 955</t>
  </si>
  <si>
    <t>10:09:42</t>
  </si>
  <si>
    <t>16:38:43</t>
  </si>
  <si>
    <t>10:45:51</t>
  </si>
  <si>
    <t>18:25:15</t>
  </si>
  <si>
    <t>11:09:08</t>
  </si>
  <si>
    <t>16:43:57</t>
  </si>
  <si>
    <t>Customer 530</t>
  </si>
  <si>
    <t>10:15:47</t>
  </si>
  <si>
    <t>13:55:21</t>
  </si>
  <si>
    <t>17:37:21</t>
  </si>
  <si>
    <t>11:16:00</t>
  </si>
  <si>
    <t>Customer 477</t>
  </si>
  <si>
    <t>10:03:02</t>
  </si>
  <si>
    <t>Customer 674</t>
  </si>
  <si>
    <t>19:23:01</t>
  </si>
  <si>
    <t>18:29:44</t>
  </si>
  <si>
    <t>09:14:12</t>
  </si>
  <si>
    <t>10:22:23</t>
  </si>
  <si>
    <t>18:33:48</t>
  </si>
  <si>
    <t>11:00:14</t>
  </si>
  <si>
    <t>17:36:45</t>
  </si>
  <si>
    <t>13:53:57</t>
  </si>
  <si>
    <t>18:53:19</t>
  </si>
  <si>
    <t>16:50:05</t>
  </si>
  <si>
    <t>14:14:07</t>
  </si>
  <si>
    <t>15:02:58</t>
  </si>
  <si>
    <t>13:46:05</t>
  </si>
  <si>
    <t>13:12:57</t>
  </si>
  <si>
    <t>Customer 1015</t>
  </si>
  <si>
    <t>20:47:05</t>
  </si>
  <si>
    <t>20:38:09</t>
  </si>
  <si>
    <t>09:09:05</t>
  </si>
  <si>
    <t>12:37:59</t>
  </si>
  <si>
    <t>Customer 364</t>
  </si>
  <si>
    <t>10:00:22</t>
  </si>
  <si>
    <t>13:26:00</t>
  </si>
  <si>
    <t>16:14:47</t>
  </si>
  <si>
    <t>10:30:11</t>
  </si>
  <si>
    <t>Customer 1155</t>
  </si>
  <si>
    <t>09:02:15</t>
  </si>
  <si>
    <t>17:31:52</t>
  </si>
  <si>
    <t>12:24:31</t>
  </si>
  <si>
    <t>20:34:11</t>
  </si>
  <si>
    <t>10:51:50</t>
  </si>
  <si>
    <t>16:55:13</t>
  </si>
  <si>
    <t>13:59:08</t>
  </si>
  <si>
    <t>11:30:41</t>
  </si>
  <si>
    <t>17:16:32</t>
  </si>
  <si>
    <t>Customer 518</t>
  </si>
  <si>
    <t>14:02:52</t>
  </si>
  <si>
    <t>14:47:26</t>
  </si>
  <si>
    <t>10:55:52</t>
  </si>
  <si>
    <t>17:12:32</t>
  </si>
  <si>
    <t>11:13:52</t>
  </si>
  <si>
    <t>18:27:33</t>
  </si>
  <si>
    <t>12:39:05</t>
  </si>
  <si>
    <t>Customer 894</t>
  </si>
  <si>
    <t>18:01:59</t>
  </si>
  <si>
    <t>12:18:13</t>
  </si>
  <si>
    <t>09:13:59</t>
  </si>
  <si>
    <t>18:51:28</t>
  </si>
  <si>
    <t>Customer 73</t>
  </si>
  <si>
    <t>12:33:28</t>
  </si>
  <si>
    <t>20:51:53</t>
  </si>
  <si>
    <t>12:55:06</t>
  </si>
  <si>
    <t>Customer 1084</t>
  </si>
  <si>
    <t>16:37:49</t>
  </si>
  <si>
    <t>Customer 1105</t>
  </si>
  <si>
    <t>13:12:31</t>
  </si>
  <si>
    <t>14:37:05</t>
  </si>
  <si>
    <t>09:04:37</t>
  </si>
  <si>
    <t>09:33:12</t>
  </si>
  <si>
    <t>19:20:14</t>
  </si>
  <si>
    <t>13:13:21</t>
  </si>
  <si>
    <t>15:16:07</t>
  </si>
  <si>
    <t>13:07:10</t>
  </si>
  <si>
    <t>09:36:17</t>
  </si>
  <si>
    <t>14:03:06</t>
  </si>
  <si>
    <t>09:18:48</t>
  </si>
  <si>
    <t>14:34:15</t>
  </si>
  <si>
    <t>20:01:25</t>
  </si>
  <si>
    <t>20:24:46</t>
  </si>
  <si>
    <t>16:08:34</t>
  </si>
  <si>
    <t>13:34:31</t>
  </si>
  <si>
    <t>Customer 193</t>
  </si>
  <si>
    <t>20:10:53</t>
  </si>
  <si>
    <t>11:30:15</t>
  </si>
  <si>
    <t>18:45:24</t>
  </si>
  <si>
    <t>09:51:01</t>
  </si>
  <si>
    <t>15:01:33</t>
  </si>
  <si>
    <t>11:03:27</t>
  </si>
  <si>
    <t>Customer 1197</t>
  </si>
  <si>
    <t>13:29:31</t>
  </si>
  <si>
    <t>13:11:06</t>
  </si>
  <si>
    <t>Customer 1090</t>
  </si>
  <si>
    <t>11:57:09</t>
  </si>
  <si>
    <t>16:04:34</t>
  </si>
  <si>
    <t>Customer 554</t>
  </si>
  <si>
    <t>17:59:50</t>
  </si>
  <si>
    <t>17:29:49</t>
  </si>
  <si>
    <t>17:32:45</t>
  </si>
  <si>
    <t>16:05:36</t>
  </si>
  <si>
    <t>17:40:14</t>
  </si>
  <si>
    <t>12:25:12</t>
  </si>
  <si>
    <t>13:28:59</t>
  </si>
  <si>
    <t>14:11:36</t>
  </si>
  <si>
    <t>11:06:51</t>
  </si>
  <si>
    <t>16:06:23</t>
  </si>
  <si>
    <t>11:47:22</t>
  </si>
  <si>
    <t>17:40:38</t>
  </si>
  <si>
    <t>12:52:35</t>
  </si>
  <si>
    <t>Customer 184</t>
  </si>
  <si>
    <t>16:40:46</t>
  </si>
  <si>
    <t>17:44:32</t>
  </si>
  <si>
    <t>20:09:22</t>
  </si>
  <si>
    <t>15:44:18</t>
  </si>
  <si>
    <t>20:15:06</t>
  </si>
  <si>
    <t>13:44:58</t>
  </si>
  <si>
    <t>17:12:29</t>
  </si>
  <si>
    <t>13:09:13</t>
  </si>
  <si>
    <t>18:20:15</t>
  </si>
  <si>
    <t>15:01:32</t>
  </si>
  <si>
    <t>09:05:19</t>
  </si>
  <si>
    <t>09:22:11</t>
  </si>
  <si>
    <t>Customer 466</t>
  </si>
  <si>
    <t>17:39:09</t>
  </si>
  <si>
    <t>10:46:15</t>
  </si>
  <si>
    <t>Customer 297</t>
  </si>
  <si>
    <t>19:01:47</t>
  </si>
  <si>
    <t>13:45:42</t>
  </si>
  <si>
    <t>13:21:22</t>
  </si>
  <si>
    <t>Customer 394</t>
  </si>
  <si>
    <t>16:04:15</t>
  </si>
  <si>
    <t>10:29:02</t>
  </si>
  <si>
    <t>09:56:27</t>
  </si>
  <si>
    <t>17:44:15</t>
  </si>
  <si>
    <t>19:55:34</t>
  </si>
  <si>
    <t>20:57:47</t>
  </si>
  <si>
    <t>19:52:33</t>
  </si>
  <si>
    <t>12:27:53</t>
  </si>
  <si>
    <t>09:41:04</t>
  </si>
  <si>
    <t>17:25:46</t>
  </si>
  <si>
    <t>12:39:27</t>
  </si>
  <si>
    <t>13:30:02</t>
  </si>
  <si>
    <t>11:05:38</t>
  </si>
  <si>
    <t>Customer 1195</t>
  </si>
  <si>
    <t>16:36:46</t>
  </si>
  <si>
    <t>Customer 245</t>
  </si>
  <si>
    <t>16:45:42</t>
  </si>
  <si>
    <t>13:46:54</t>
  </si>
  <si>
    <t>Customer 707</t>
  </si>
  <si>
    <t>13:46:33</t>
  </si>
  <si>
    <t>11:01:10</t>
  </si>
  <si>
    <t>17:24:11</t>
  </si>
  <si>
    <t>20:20:41</t>
  </si>
  <si>
    <t>11:11:19</t>
  </si>
  <si>
    <t>Customer 796</t>
  </si>
  <si>
    <t>19:38:52</t>
  </si>
  <si>
    <t>17:08:10</t>
  </si>
  <si>
    <t>14:48:41</t>
  </si>
  <si>
    <t>18:55:25</t>
  </si>
  <si>
    <t>20:12:27</t>
  </si>
  <si>
    <t>09:06:50</t>
  </si>
  <si>
    <t>17:57:17</t>
  </si>
  <si>
    <t>17:53:00</t>
  </si>
  <si>
    <t>09:04:42</t>
  </si>
  <si>
    <t>16:32:57</t>
  </si>
  <si>
    <t>10:40:14</t>
  </si>
  <si>
    <t>17:20:34</t>
  </si>
  <si>
    <t>Customer 841</t>
  </si>
  <si>
    <t>19:46:54</t>
  </si>
  <si>
    <t>19:47:33</t>
  </si>
  <si>
    <t>20:47:46</t>
  </si>
  <si>
    <t>18:09:05</t>
  </si>
  <si>
    <t>13:53:37</t>
  </si>
  <si>
    <t>13:25:00</t>
  </si>
  <si>
    <t>15:06:32</t>
  </si>
  <si>
    <t>14:08:29</t>
  </si>
  <si>
    <t>15:16:33</t>
  </si>
  <si>
    <t>19:01:10</t>
  </si>
  <si>
    <t>12:29:49</t>
  </si>
  <si>
    <t>13:22:02</t>
  </si>
  <si>
    <t>15:04:19</t>
  </si>
  <si>
    <t>Customer 862</t>
  </si>
  <si>
    <t>13:09:00</t>
  </si>
  <si>
    <t>17:20:45</t>
  </si>
  <si>
    <t>18:44:16</t>
  </si>
  <si>
    <t>19:42:58</t>
  </si>
  <si>
    <t>09:47:54</t>
  </si>
  <si>
    <t>15:19:55</t>
  </si>
  <si>
    <t>09:25:38</t>
  </si>
  <si>
    <t>15:50:48</t>
  </si>
  <si>
    <t>17:22:07</t>
  </si>
  <si>
    <t>14:50:27</t>
  </si>
  <si>
    <t>18:23:48</t>
  </si>
  <si>
    <t>20:56:35</t>
  </si>
  <si>
    <t>18:31:24</t>
  </si>
  <si>
    <t>Customer 968</t>
  </si>
  <si>
    <t>20:25:40</t>
  </si>
  <si>
    <t>12:20:23</t>
  </si>
  <si>
    <t>09:44:23</t>
  </si>
  <si>
    <t>15:09:29</t>
  </si>
  <si>
    <t>12:43:06</t>
  </si>
  <si>
    <t>12:12:22</t>
  </si>
  <si>
    <t>09:54:48</t>
  </si>
  <si>
    <t>11:42:47</t>
  </si>
  <si>
    <t>12:21:58</t>
  </si>
  <si>
    <t>10:04:38</t>
  </si>
  <si>
    <t>17:56:01</t>
  </si>
  <si>
    <t>20:40:28</t>
  </si>
  <si>
    <t>13:01:18</t>
  </si>
  <si>
    <t>Customer 462</t>
  </si>
  <si>
    <t>20:56:52</t>
  </si>
  <si>
    <t>09:47:33</t>
  </si>
  <si>
    <t>16:30:55</t>
  </si>
  <si>
    <t>14:08:36</t>
  </si>
  <si>
    <t>12:28:53</t>
  </si>
  <si>
    <t>11:01:58</t>
  </si>
  <si>
    <t>09:57:03</t>
  </si>
  <si>
    <t>13:08:59</t>
  </si>
  <si>
    <t>12:18:10</t>
  </si>
  <si>
    <t>16:26:32</t>
  </si>
  <si>
    <t>20:50:20</t>
  </si>
  <si>
    <t>14:39:30</t>
  </si>
  <si>
    <t>10:01:27</t>
  </si>
  <si>
    <t>11:16:06</t>
  </si>
  <si>
    <t>10:34:08</t>
  </si>
  <si>
    <t>17:56:10</t>
  </si>
  <si>
    <t>19:17:55</t>
  </si>
  <si>
    <t>20:53:22</t>
  </si>
  <si>
    <t>16:28:27</t>
  </si>
  <si>
    <t>Customer 123</t>
  </si>
  <si>
    <t>15:19:51</t>
  </si>
  <si>
    <t>10:52:55</t>
  </si>
  <si>
    <t>Customer 944</t>
  </si>
  <si>
    <t>11:50:34</t>
  </si>
  <si>
    <t>13:06:26</t>
  </si>
  <si>
    <t>18:39:16</t>
  </si>
  <si>
    <t>Customer 435</t>
  </si>
  <si>
    <t>19:58:29</t>
  </si>
  <si>
    <t>19:53:24</t>
  </si>
  <si>
    <t>12:08:43</t>
  </si>
  <si>
    <t>09:14:00</t>
  </si>
  <si>
    <t>20:50:58</t>
  </si>
  <si>
    <t>18:54:03</t>
  </si>
  <si>
    <t>11:05:58</t>
  </si>
  <si>
    <t>18:42:02</t>
  </si>
  <si>
    <t>20:04:21</t>
  </si>
  <si>
    <t>14:01:32</t>
  </si>
  <si>
    <t>09:18:12</t>
  </si>
  <si>
    <t>09:55:55</t>
  </si>
  <si>
    <t>09:43:03</t>
  </si>
  <si>
    <t>19:21:32</t>
  </si>
  <si>
    <t>13:14:55</t>
  </si>
  <si>
    <t>13:31:17</t>
  </si>
  <si>
    <t>Customer 703</t>
  </si>
  <si>
    <t>16:57:37</t>
  </si>
  <si>
    <t>12:04:11</t>
  </si>
  <si>
    <t>11:27:22</t>
  </si>
  <si>
    <t>15:23:29</t>
  </si>
  <si>
    <t>19:16:28</t>
  </si>
  <si>
    <t>11:24:30</t>
  </si>
  <si>
    <t>15:41:15</t>
  </si>
  <si>
    <t>20:15:16</t>
  </si>
  <si>
    <t>17:30:04</t>
  </si>
  <si>
    <t>10:36:31</t>
  </si>
  <si>
    <t>20:37:14</t>
  </si>
  <si>
    <t>17:03:43</t>
  </si>
  <si>
    <t>12:56:53</t>
  </si>
  <si>
    <t>14:39:01</t>
  </si>
  <si>
    <t>18:58:22</t>
  </si>
  <si>
    <t>19:10:40</t>
  </si>
  <si>
    <t>13:31:15</t>
  </si>
  <si>
    <t>12:41:46</t>
  </si>
  <si>
    <t>Customer 547</t>
  </si>
  <si>
    <t>10:03:15</t>
  </si>
  <si>
    <t>17:21:15</t>
  </si>
  <si>
    <t>12:32:50</t>
  </si>
  <si>
    <t>15:25:36</t>
  </si>
  <si>
    <t>12:01:10</t>
  </si>
  <si>
    <t>12:21:53</t>
  </si>
  <si>
    <t>16:28:50</t>
  </si>
  <si>
    <t>12:48:34</t>
  </si>
  <si>
    <t>18:13:13</t>
  </si>
  <si>
    <t>14:44:28</t>
  </si>
  <si>
    <t>12:02:33</t>
  </si>
  <si>
    <t>10:56:46</t>
  </si>
  <si>
    <t>13:24:36</t>
  </si>
  <si>
    <t>18:14:27</t>
  </si>
  <si>
    <t>15:32:41</t>
  </si>
  <si>
    <t>10:13:59</t>
  </si>
  <si>
    <t>18:23:34</t>
  </si>
  <si>
    <t>10:38:20</t>
  </si>
  <si>
    <t>20:39:24</t>
  </si>
  <si>
    <t>Customer 1113</t>
  </si>
  <si>
    <t>18:27:52</t>
  </si>
  <si>
    <t>Customer 355</t>
  </si>
  <si>
    <t>13:08:19</t>
  </si>
  <si>
    <t>17:57:05</t>
  </si>
  <si>
    <t>11:57:59</t>
  </si>
  <si>
    <t>09:57:47</t>
  </si>
  <si>
    <t>09:19:20</t>
  </si>
  <si>
    <t>11:50:01</t>
  </si>
  <si>
    <t>17:59:41</t>
  </si>
  <si>
    <t>15:19:44</t>
  </si>
  <si>
    <t>11:09:49</t>
  </si>
  <si>
    <t>12:57:29</t>
  </si>
  <si>
    <t>16:16:03</t>
  </si>
  <si>
    <t>Customer 57</t>
  </si>
  <si>
    <t>11:36:47</t>
  </si>
  <si>
    <t>18:06:21</t>
  </si>
  <si>
    <t>Customer 102</t>
  </si>
  <si>
    <t>13:49:02</t>
  </si>
  <si>
    <t>10:57:03</t>
  </si>
  <si>
    <t>Customer 1238</t>
  </si>
  <si>
    <t>16:35:54</t>
  </si>
  <si>
    <t>16:31:43</t>
  </si>
  <si>
    <t>17:30:49</t>
  </si>
  <si>
    <t>10:34:51</t>
  </si>
  <si>
    <t>14:00:15</t>
  </si>
  <si>
    <t>12:03:55</t>
  </si>
  <si>
    <t>13:10:55</t>
  </si>
  <si>
    <t>10:10:51</t>
  </si>
  <si>
    <t>10:54:04</t>
  </si>
  <si>
    <t>20:05:54</t>
  </si>
  <si>
    <t>13:41:55</t>
  </si>
  <si>
    <t>13:01:13</t>
  </si>
  <si>
    <t>Customer 14</t>
  </si>
  <si>
    <t>17:27:24</t>
  </si>
  <si>
    <t>20:54:57</t>
  </si>
  <si>
    <t>20:08:39</t>
  </si>
  <si>
    <t>09:14:52</t>
  </si>
  <si>
    <t>Customer 1223</t>
  </si>
  <si>
    <t>13:57:33</t>
  </si>
  <si>
    <t>10:29:24</t>
  </si>
  <si>
    <t>19:50:14</t>
  </si>
  <si>
    <t>10:00:38</t>
  </si>
  <si>
    <t>15:43:47</t>
  </si>
  <si>
    <t>Customer 116</t>
  </si>
  <si>
    <t>20:24:33</t>
  </si>
  <si>
    <t>20:18:32</t>
  </si>
  <si>
    <t>Customer 172</t>
  </si>
  <si>
    <t>12:41:09</t>
  </si>
  <si>
    <t>17:12:53</t>
  </si>
  <si>
    <t>12:48:44</t>
  </si>
  <si>
    <t>14:47:11</t>
  </si>
  <si>
    <t>19:23:14</t>
  </si>
  <si>
    <t>18:31:56</t>
  </si>
  <si>
    <t>13:43:41</t>
  </si>
  <si>
    <t>09:37:00</t>
  </si>
  <si>
    <t>13:24:24</t>
  </si>
  <si>
    <t>Customer 809</t>
  </si>
  <si>
    <t>10:02:53</t>
  </si>
  <si>
    <t>16:40:07</t>
  </si>
  <si>
    <t>16:03:34</t>
  </si>
  <si>
    <t>11:59:42</t>
  </si>
  <si>
    <t>09:04:05</t>
  </si>
  <si>
    <t>20:15:31</t>
  </si>
  <si>
    <t>09:54:02</t>
  </si>
  <si>
    <t>15:33:59</t>
  </si>
  <si>
    <t>16:40:36</t>
  </si>
  <si>
    <t>16:50:19</t>
  </si>
  <si>
    <t>10:55:31</t>
  </si>
  <si>
    <t>14:59:31</t>
  </si>
  <si>
    <t>14:43:39</t>
  </si>
  <si>
    <t>11:09:45</t>
  </si>
  <si>
    <t>19:07:33</t>
  </si>
  <si>
    <t>20:34:34</t>
  </si>
  <si>
    <t>09:54:56</t>
  </si>
  <si>
    <t>11:15:06</t>
  </si>
  <si>
    <t>11:58:18</t>
  </si>
  <si>
    <t>14:10:22</t>
  </si>
  <si>
    <t>12:01:12</t>
  </si>
  <si>
    <t>Customer 680</t>
  </si>
  <si>
    <t>15:29:59</t>
  </si>
  <si>
    <t>19:40:23</t>
  </si>
  <si>
    <t>10:46:36</t>
  </si>
  <si>
    <t>20:35:10</t>
  </si>
  <si>
    <t>17:26:32</t>
  </si>
  <si>
    <t>10:23:28</t>
  </si>
  <si>
    <t>14:17:07</t>
  </si>
  <si>
    <t>18:09:25</t>
  </si>
  <si>
    <t>11:55:02</t>
  </si>
  <si>
    <t>13:28:19</t>
  </si>
  <si>
    <t>11:48:48</t>
  </si>
  <si>
    <t>18:59:00</t>
  </si>
  <si>
    <t>11:44:35</t>
  </si>
  <si>
    <t>12:54:49</t>
  </si>
  <si>
    <t>17:31:17</t>
  </si>
  <si>
    <t>20:05:34</t>
  </si>
  <si>
    <t>14:29:28</t>
  </si>
  <si>
    <t>19:02:51</t>
  </si>
  <si>
    <t>10:09:25</t>
  </si>
  <si>
    <t>16:05:33</t>
  </si>
  <si>
    <t>20:05:01</t>
  </si>
  <si>
    <t>15:38:02</t>
  </si>
  <si>
    <t>19:21:55</t>
  </si>
  <si>
    <t>Customer 17</t>
  </si>
  <si>
    <t>19:10:17</t>
  </si>
  <si>
    <t>11:18:17</t>
  </si>
  <si>
    <t>12:43:27</t>
  </si>
  <si>
    <t>12:34:04</t>
  </si>
  <si>
    <t>10:02:33</t>
  </si>
  <si>
    <t>10:58:00</t>
  </si>
  <si>
    <t>20:37:04</t>
  </si>
  <si>
    <t>10:02:05</t>
  </si>
  <si>
    <t>16:34:59</t>
  </si>
  <si>
    <t>15:57:07</t>
  </si>
  <si>
    <t>18:56:00</t>
  </si>
  <si>
    <t>18:02:10</t>
  </si>
  <si>
    <t>18:31:57</t>
  </si>
  <si>
    <t>09:38:19</t>
  </si>
  <si>
    <t>17:25:13</t>
  </si>
  <si>
    <t>20:06:03</t>
  </si>
  <si>
    <t>11:16:32</t>
  </si>
  <si>
    <t>10:44:57</t>
  </si>
  <si>
    <t>Customer 107</t>
  </si>
  <si>
    <t>14:03:14</t>
  </si>
  <si>
    <t>20:48:21</t>
  </si>
  <si>
    <t>09:58:52</t>
  </si>
  <si>
    <t>18:41:16</t>
  </si>
  <si>
    <t>17:55:01</t>
  </si>
  <si>
    <t>13:00:42</t>
  </si>
  <si>
    <t>14:56:15</t>
  </si>
  <si>
    <t>09:46:28</t>
  </si>
  <si>
    <t>13:00:06</t>
  </si>
  <si>
    <t>09:39:59</t>
  </si>
  <si>
    <t>13:02:43</t>
  </si>
  <si>
    <t>09:04:43</t>
  </si>
  <si>
    <t>14:07:38</t>
  </si>
  <si>
    <t>14:35:08</t>
  </si>
  <si>
    <t>10:40:37</t>
  </si>
  <si>
    <t>20:46:15</t>
  </si>
  <si>
    <t>20:18:00</t>
  </si>
  <si>
    <t>Customer 524</t>
  </si>
  <si>
    <t>10:03:06</t>
  </si>
  <si>
    <t>Customer 356</t>
  </si>
  <si>
    <t>09:06:24</t>
  </si>
  <si>
    <t>09:59:05</t>
  </si>
  <si>
    <t>16:01:29</t>
  </si>
  <si>
    <t>09:21:35</t>
  </si>
  <si>
    <t>11:22:23</t>
  </si>
  <si>
    <t>10:46:57</t>
  </si>
  <si>
    <t>18:20:03</t>
  </si>
  <si>
    <t>14:38:39</t>
  </si>
  <si>
    <t>Customer 349</t>
  </si>
  <si>
    <t>09:38:17</t>
  </si>
  <si>
    <t>13:50:17</t>
  </si>
  <si>
    <t>12:08:06</t>
  </si>
  <si>
    <t>17:53:07</t>
  </si>
  <si>
    <t>18:35:15</t>
  </si>
  <si>
    <t>15:54:27</t>
  </si>
  <si>
    <t>11:09:35</t>
  </si>
  <si>
    <t>17:38:49</t>
  </si>
  <si>
    <t>12:01:17</t>
  </si>
  <si>
    <t>15:35:04</t>
  </si>
  <si>
    <t>14:59:59</t>
  </si>
  <si>
    <t>11:06:18</t>
  </si>
  <si>
    <t>18:30:35</t>
  </si>
  <si>
    <t>20:49:20</t>
  </si>
  <si>
    <t>20:39:44</t>
  </si>
  <si>
    <t>11:54:17</t>
  </si>
  <si>
    <t>10:21:13</t>
  </si>
  <si>
    <t>12:24:26</t>
  </si>
  <si>
    <t>16:32:47</t>
  </si>
  <si>
    <t>12:41:05</t>
  </si>
  <si>
    <t>Customer 213</t>
  </si>
  <si>
    <t>14:24:06</t>
  </si>
  <si>
    <t>15:32:51</t>
  </si>
  <si>
    <t>20:19:29</t>
  </si>
  <si>
    <t>Customer 1270</t>
  </si>
  <si>
    <t>10:39:15</t>
  </si>
  <si>
    <t>18:37:13</t>
  </si>
  <si>
    <t>09:31:56</t>
  </si>
  <si>
    <t>Customer 938</t>
  </si>
  <si>
    <t>19:17:23</t>
  </si>
  <si>
    <t>20:01:46</t>
  </si>
  <si>
    <t>14:15:34</t>
  </si>
  <si>
    <t>19:03:32</t>
  </si>
  <si>
    <t>10:16:53</t>
  </si>
  <si>
    <t>14:48:34</t>
  </si>
  <si>
    <t>15:15:22</t>
  </si>
  <si>
    <t>14:52:35</t>
  </si>
  <si>
    <t>18:45:53</t>
  </si>
  <si>
    <t>18:10:10</t>
  </si>
  <si>
    <t>13:37:57</t>
  </si>
  <si>
    <t>15:46:33</t>
  </si>
  <si>
    <t>17:05:01</t>
  </si>
  <si>
    <t>19:18:16</t>
  </si>
  <si>
    <t>Customer 1242</t>
  </si>
  <si>
    <t>13:36:39</t>
  </si>
  <si>
    <t>12:08:09</t>
  </si>
  <si>
    <t>10:11:42</t>
  </si>
  <si>
    <t>14:41:40</t>
  </si>
  <si>
    <t>10:23:59</t>
  </si>
  <si>
    <t>Customer 314</t>
  </si>
  <si>
    <t>11:04:23</t>
  </si>
  <si>
    <t>Customer 257</t>
  </si>
  <si>
    <t>19:21:11</t>
  </si>
  <si>
    <t>09:28:36</t>
  </si>
  <si>
    <t>17:52:41</t>
  </si>
  <si>
    <t>Customer 499</t>
  </si>
  <si>
    <t>09:23:49</t>
  </si>
  <si>
    <t>14:59:00</t>
  </si>
  <si>
    <t>20:00:02</t>
  </si>
  <si>
    <t>20:21:17</t>
  </si>
  <si>
    <t>14:01:52</t>
  </si>
  <si>
    <t>15:49:25</t>
  </si>
  <si>
    <t>Customer 316</t>
  </si>
  <si>
    <t>19:26:26</t>
  </si>
  <si>
    <t>12:43:40</t>
  </si>
  <si>
    <t>14:55:41</t>
  </si>
  <si>
    <t>12:44:16</t>
  </si>
  <si>
    <t>12:18:32</t>
  </si>
  <si>
    <t>11:43:39</t>
  </si>
  <si>
    <t>16:19:20</t>
  </si>
  <si>
    <t>Customer 824</t>
  </si>
  <si>
    <t>19:06:41</t>
  </si>
  <si>
    <t>11:03:42</t>
  </si>
  <si>
    <t>10:22:05</t>
  </si>
  <si>
    <t>20:16:22</t>
  </si>
  <si>
    <t>14:25:54</t>
  </si>
  <si>
    <t>17:24:37</t>
  </si>
  <si>
    <t>12:15:51</t>
  </si>
  <si>
    <t>11:19:21</t>
  </si>
  <si>
    <t>19:17:59</t>
  </si>
  <si>
    <t>11:59:22</t>
  </si>
  <si>
    <t>12:39:38</t>
  </si>
  <si>
    <t>19:45:01</t>
  </si>
  <si>
    <t>10:57:55</t>
  </si>
  <si>
    <t>09:50:01</t>
  </si>
  <si>
    <t>17:53:48</t>
  </si>
  <si>
    <t>19:29:50</t>
  </si>
  <si>
    <t>13:49:40</t>
  </si>
  <si>
    <t>09:39:43</t>
  </si>
  <si>
    <t>11:36:42</t>
  </si>
  <si>
    <t>14:19:11</t>
  </si>
  <si>
    <t>11:34:12</t>
  </si>
  <si>
    <t>16:13:22</t>
  </si>
  <si>
    <t>09:00:45</t>
  </si>
  <si>
    <t>20:25:48</t>
  </si>
  <si>
    <t>12:14:43</t>
  </si>
  <si>
    <t>Customer 682</t>
  </si>
  <si>
    <t>20:18:58</t>
  </si>
  <si>
    <t>09:20:52</t>
  </si>
  <si>
    <t>12:20:16</t>
  </si>
  <si>
    <t>20:43:17</t>
  </si>
  <si>
    <t>13:23:17</t>
  </si>
  <si>
    <t>09:01:33</t>
  </si>
  <si>
    <t>15:10:27</t>
  </si>
  <si>
    <t>14:52:33</t>
  </si>
  <si>
    <t>20:00:44</t>
  </si>
  <si>
    <t>15:08:45</t>
  </si>
  <si>
    <t>17:49:37</t>
  </si>
  <si>
    <t>13:00:04</t>
  </si>
  <si>
    <t>14:51:41</t>
  </si>
  <si>
    <t>20:22:38</t>
  </si>
  <si>
    <t>09:18:22</t>
  </si>
  <si>
    <t>14:24:28</t>
  </si>
  <si>
    <t>17:21:47</t>
  </si>
  <si>
    <t>10:35:22</t>
  </si>
  <si>
    <t>19:39:47</t>
  </si>
  <si>
    <t>12:39:17</t>
  </si>
  <si>
    <t>16:15:13</t>
  </si>
  <si>
    <t>11:53:57</t>
  </si>
  <si>
    <t>18:40:13</t>
  </si>
  <si>
    <t>09:39:53</t>
  </si>
  <si>
    <t>09:20:03</t>
  </si>
  <si>
    <t>20:09:00</t>
  </si>
  <si>
    <t>11:09:29</t>
  </si>
  <si>
    <t>10:26:12</t>
  </si>
  <si>
    <t>09:22:16</t>
  </si>
  <si>
    <t>11:53:09</t>
  </si>
  <si>
    <t>10:47:31</t>
  </si>
  <si>
    <t>14:58:04</t>
  </si>
  <si>
    <t>14:10:33</t>
  </si>
  <si>
    <t>17:09:52</t>
  </si>
  <si>
    <t>20:55:33</t>
  </si>
  <si>
    <t>16:02:01</t>
  </si>
  <si>
    <t>15:06:21</t>
  </si>
  <si>
    <t>10:03:50</t>
  </si>
  <si>
    <t>10:21:24</t>
  </si>
  <si>
    <t>17:37:57</t>
  </si>
  <si>
    <t>20:02:10</t>
  </si>
  <si>
    <t>10:42:46</t>
  </si>
  <si>
    <t>20:11:47</t>
  </si>
  <si>
    <t>13:03:35</t>
  </si>
  <si>
    <t>12:52:28</t>
  </si>
  <si>
    <t>14:34:40</t>
  </si>
  <si>
    <t>19:38:41</t>
  </si>
  <si>
    <t>Customer 521</t>
  </si>
  <si>
    <t>15:37:29</t>
  </si>
  <si>
    <t>20:57:49</t>
  </si>
  <si>
    <t>18:30:41</t>
  </si>
  <si>
    <t>16:57:46</t>
  </si>
  <si>
    <t>09:42:56</t>
  </si>
  <si>
    <t>12:46:59</t>
  </si>
  <si>
    <t>11:59:45</t>
  </si>
  <si>
    <t>17:14:18</t>
  </si>
  <si>
    <t>13:01:50</t>
  </si>
  <si>
    <t>18:03:47</t>
  </si>
  <si>
    <t>12:52:24</t>
  </si>
  <si>
    <t>14:21:00</t>
  </si>
  <si>
    <t>19:13:58</t>
  </si>
  <si>
    <t>14:51:27</t>
  </si>
  <si>
    <t>14:36:01</t>
  </si>
  <si>
    <t>13:25:10</t>
  </si>
  <si>
    <t>09:09:06</t>
  </si>
  <si>
    <t>13:42:37</t>
  </si>
  <si>
    <t>19:04:10</t>
  </si>
  <si>
    <t>17:55:50</t>
  </si>
  <si>
    <t>14:07:00</t>
  </si>
  <si>
    <t>09:38:21</t>
  </si>
  <si>
    <t>10:50:31</t>
  </si>
  <si>
    <t>14:04:29</t>
  </si>
  <si>
    <t>20:38:41</t>
  </si>
  <si>
    <t>20:46:39</t>
  </si>
  <si>
    <t>12:16:35</t>
  </si>
  <si>
    <t>09:04:27</t>
  </si>
  <si>
    <t>09:04:01</t>
  </si>
  <si>
    <t>Customer 1271</t>
  </si>
  <si>
    <t>10:07:37</t>
  </si>
  <si>
    <t>12:52:36</t>
  </si>
  <si>
    <t>11:26:40</t>
  </si>
  <si>
    <t>12:19:19</t>
  </si>
  <si>
    <t>14:25:32</t>
  </si>
  <si>
    <t>13:32:46</t>
  </si>
  <si>
    <t>10:45:02</t>
  </si>
  <si>
    <t>20:34:32</t>
  </si>
  <si>
    <t>Customer 1181</t>
  </si>
  <si>
    <t>17:11:02</t>
  </si>
  <si>
    <t>11:35:45</t>
  </si>
  <si>
    <t>14:55:58</t>
  </si>
  <si>
    <t>14:50:32</t>
  </si>
  <si>
    <t>12:08:25</t>
  </si>
  <si>
    <t>09:01:45</t>
  </si>
  <si>
    <t>12:11:43</t>
  </si>
  <si>
    <t>09:50:58</t>
  </si>
  <si>
    <t>10:34:00</t>
  </si>
  <si>
    <t>12:24:53</t>
  </si>
  <si>
    <t>09:22:38</t>
  </si>
  <si>
    <t>17:39:27</t>
  </si>
  <si>
    <t>19:55:11</t>
  </si>
  <si>
    <t>09:11:08</t>
  </si>
  <si>
    <t>19:47:31</t>
  </si>
  <si>
    <t>17:35:49</t>
  </si>
  <si>
    <t>16:57:51</t>
  </si>
  <si>
    <t>16:52:15</t>
  </si>
  <si>
    <t>19:25:36</t>
  </si>
  <si>
    <t>11:25:54</t>
  </si>
  <si>
    <t>18:55:37</t>
  </si>
  <si>
    <t>Customer 570</t>
  </si>
  <si>
    <t>12:48:10</t>
  </si>
  <si>
    <t>10:06:44</t>
  </si>
  <si>
    <t>17:15:54</t>
  </si>
  <si>
    <t>Customer 1117</t>
  </si>
  <si>
    <t>20:44:59</t>
  </si>
  <si>
    <t>11:09:36</t>
  </si>
  <si>
    <t>Customer 986</t>
  </si>
  <si>
    <t>11:15:19</t>
  </si>
  <si>
    <t>17:58:48</t>
  </si>
  <si>
    <t>14:15:03</t>
  </si>
  <si>
    <t>12:20:18</t>
  </si>
  <si>
    <t>Customer 475</t>
  </si>
  <si>
    <t>19:35:17</t>
  </si>
  <si>
    <t>10:52:52</t>
  </si>
  <si>
    <t>18:28:29</t>
  </si>
  <si>
    <t>14:52:18</t>
  </si>
  <si>
    <t>17:43:23</t>
  </si>
  <si>
    <t>17:19:36</t>
  </si>
  <si>
    <t>13:53:04</t>
  </si>
  <si>
    <t>11:35:18</t>
  </si>
  <si>
    <t>13:15:45</t>
  </si>
  <si>
    <t>17:30:23</t>
  </si>
  <si>
    <t>11:05:30</t>
  </si>
  <si>
    <t>17:59:40</t>
  </si>
  <si>
    <t>17:09:04</t>
  </si>
  <si>
    <t>12:05:35</t>
  </si>
  <si>
    <t>18:05:15</t>
  </si>
  <si>
    <t>12:07:06</t>
  </si>
  <si>
    <t>20:38:21</t>
  </si>
  <si>
    <t>17:54:47</t>
  </si>
  <si>
    <t>17:06:48</t>
  </si>
  <si>
    <t>15:09:32</t>
  </si>
  <si>
    <t>17:44:34</t>
  </si>
  <si>
    <t>17:40:36</t>
  </si>
  <si>
    <t>14:22:00</t>
  </si>
  <si>
    <t>18:43:56</t>
  </si>
  <si>
    <t>10:06:08</t>
  </si>
  <si>
    <t>10:50:07</t>
  </si>
  <si>
    <t>17:50:27</t>
  </si>
  <si>
    <t>16:17:22</t>
  </si>
  <si>
    <t>19:53:10</t>
  </si>
  <si>
    <t>17:10:52</t>
  </si>
  <si>
    <t>11:01:53</t>
  </si>
  <si>
    <t>14:19:01</t>
  </si>
  <si>
    <t>09:29:01</t>
  </si>
  <si>
    <t>Customer 945</t>
  </si>
  <si>
    <t>14:26:49</t>
  </si>
  <si>
    <t>19:47:05</t>
  </si>
  <si>
    <t>10:14:50</t>
  </si>
  <si>
    <t>13:43:54</t>
  </si>
  <si>
    <t>17:08:50</t>
  </si>
  <si>
    <t>09:51:40</t>
  </si>
  <si>
    <t>10:27:45</t>
  </si>
  <si>
    <t>12:48:40</t>
  </si>
  <si>
    <t>17:08:12</t>
  </si>
  <si>
    <t>10:39:56</t>
  </si>
  <si>
    <t>14:47:24</t>
  </si>
  <si>
    <t>12:15:22</t>
  </si>
  <si>
    <t>16:17:24</t>
  </si>
  <si>
    <t>14:15:14</t>
  </si>
  <si>
    <t>12:21:50</t>
  </si>
  <si>
    <t>Customer 716</t>
  </si>
  <si>
    <t>11:15:10</t>
  </si>
  <si>
    <t>Customer 558</t>
  </si>
  <si>
    <t>17:03:09</t>
  </si>
  <si>
    <t>12:51:54</t>
  </si>
  <si>
    <t>10:00:46</t>
  </si>
  <si>
    <t>12:03:04</t>
  </si>
  <si>
    <t>17:07:08</t>
  </si>
  <si>
    <t>13:07:51</t>
  </si>
  <si>
    <t>10:29:52</t>
  </si>
  <si>
    <t>14:56:24</t>
  </si>
  <si>
    <t>12:20:57</t>
  </si>
  <si>
    <t>18:56:03</t>
  </si>
  <si>
    <t>11:25:24</t>
  </si>
  <si>
    <t>14:51:46</t>
  </si>
  <si>
    <t>14:36:06</t>
  </si>
  <si>
    <t>12:40:13</t>
  </si>
  <si>
    <t>17:37:22</t>
  </si>
  <si>
    <t>13:47:22</t>
  </si>
  <si>
    <t>12:59:50</t>
  </si>
  <si>
    <t>10:54:09</t>
  </si>
  <si>
    <t>Customer 194</t>
  </si>
  <si>
    <t>18:01:05</t>
  </si>
  <si>
    <t>18:04:26</t>
  </si>
  <si>
    <t>19:44:02</t>
  </si>
  <si>
    <t>18:35:21</t>
  </si>
  <si>
    <t>11:24:02</t>
  </si>
  <si>
    <t>16:47:11</t>
  </si>
  <si>
    <t>10:32:20</t>
  </si>
  <si>
    <t>19:04:33</t>
  </si>
  <si>
    <t>12:44:58</t>
  </si>
  <si>
    <t>15:10:25</t>
  </si>
  <si>
    <t>Customer 519</t>
  </si>
  <si>
    <t>09:34:42</t>
  </si>
  <si>
    <t>Customer 745</t>
  </si>
  <si>
    <t>20:23:25</t>
  </si>
  <si>
    <t>15:46:40</t>
  </si>
  <si>
    <t>10:05:31</t>
  </si>
  <si>
    <t>16:36:51</t>
  </si>
  <si>
    <t>11:49:06</t>
  </si>
  <si>
    <t>11:25:25</t>
  </si>
  <si>
    <t>14:26:01</t>
  </si>
  <si>
    <t>15:16:17</t>
  </si>
  <si>
    <t>13:23:19</t>
  </si>
  <si>
    <t>11:04:06</t>
  </si>
  <si>
    <t>09:45:55</t>
  </si>
  <si>
    <t>09:13:47</t>
  </si>
  <si>
    <t>15:57:54</t>
  </si>
  <si>
    <t>12:37:16</t>
  </si>
  <si>
    <t>11:10:42</t>
  </si>
  <si>
    <t>15:15:04</t>
  </si>
  <si>
    <t>14:24:41</t>
  </si>
  <si>
    <t>16:36:58</t>
  </si>
  <si>
    <t>13:44:20</t>
  </si>
  <si>
    <t>17:05:12</t>
  </si>
  <si>
    <t>17:24:53</t>
  </si>
  <si>
    <t>19:52:09</t>
  </si>
  <si>
    <t>11:28:38</t>
  </si>
  <si>
    <t>13:11:09</t>
  </si>
  <si>
    <t>11:52:48</t>
  </si>
  <si>
    <t>15:27:15</t>
  </si>
  <si>
    <t>16:36:00</t>
  </si>
  <si>
    <t>11:53:23</t>
  </si>
  <si>
    <t>13:06:10</t>
  </si>
  <si>
    <t>10:24:58</t>
  </si>
  <si>
    <t>20:21:43</t>
  </si>
  <si>
    <t>18:53:36</t>
  </si>
  <si>
    <t>09:58:58</t>
  </si>
  <si>
    <t>18:04:51</t>
  </si>
  <si>
    <t>Customer 545</t>
  </si>
  <si>
    <t>17:23:33</t>
  </si>
  <si>
    <t>20:20:40</t>
  </si>
  <si>
    <t>09:23:02</t>
  </si>
  <si>
    <t>18:59:42</t>
  </si>
  <si>
    <t>17:20:30</t>
  </si>
  <si>
    <t>12:47:26</t>
  </si>
  <si>
    <t>18:20:46</t>
  </si>
  <si>
    <t>17:23:35</t>
  </si>
  <si>
    <t>14:31:43</t>
  </si>
  <si>
    <t>15:12:47</t>
  </si>
  <si>
    <t>11:52:30</t>
  </si>
  <si>
    <t>Customer 1016</t>
  </si>
  <si>
    <t>10:09:35</t>
  </si>
  <si>
    <t>13:57:04</t>
  </si>
  <si>
    <t>12:21:44</t>
  </si>
  <si>
    <t>19:56:44</t>
  </si>
  <si>
    <t>12:40:12</t>
  </si>
  <si>
    <t>14:58:13</t>
  </si>
  <si>
    <t>15:31:12</t>
  </si>
  <si>
    <t>20:13:29</t>
  </si>
  <si>
    <t>19:36:09</t>
  </si>
  <si>
    <t>19:13:36</t>
  </si>
  <si>
    <t>Customer 1178</t>
  </si>
  <si>
    <t>10:14:11</t>
  </si>
  <si>
    <t>14:19:48</t>
  </si>
  <si>
    <t>12:05:46</t>
  </si>
  <si>
    <t>19:36:24</t>
  </si>
  <si>
    <t>17:35:50</t>
  </si>
  <si>
    <t>19:01:15</t>
  </si>
  <si>
    <t>14:22:31</t>
  </si>
  <si>
    <t>20:42:57</t>
  </si>
  <si>
    <t>09:40:45</t>
  </si>
  <si>
    <t>16:13:39</t>
  </si>
  <si>
    <t>09:06:05</t>
  </si>
  <si>
    <t>19:22:14</t>
  </si>
  <si>
    <t>17:11:55</t>
  </si>
  <si>
    <t>20:06:42</t>
  </si>
  <si>
    <t>Customer 163</t>
  </si>
  <si>
    <t>16:54:41</t>
  </si>
  <si>
    <t>20:56:40</t>
  </si>
  <si>
    <t>18:29:40</t>
  </si>
  <si>
    <t>17:51:46</t>
  </si>
  <si>
    <t>12:10:08</t>
  </si>
  <si>
    <t>17:06:14</t>
  </si>
  <si>
    <t>Customer 804</t>
  </si>
  <si>
    <t>14:16:28</t>
  </si>
  <si>
    <t>14:22:30</t>
  </si>
  <si>
    <t>11:49:08</t>
  </si>
  <si>
    <t>10:44:53</t>
  </si>
  <si>
    <t>18:52:11</t>
  </si>
  <si>
    <t>15:24:48</t>
  </si>
  <si>
    <t>11:41:18</t>
  </si>
  <si>
    <t>13:25:24</t>
  </si>
  <si>
    <t>14:19:47</t>
  </si>
  <si>
    <t>11:00:17</t>
  </si>
  <si>
    <t>18:14:58</t>
  </si>
  <si>
    <t>13:23:59</t>
  </si>
  <si>
    <t>19:06:08</t>
  </si>
  <si>
    <t>20:37:27</t>
  </si>
  <si>
    <t>17:54:33</t>
  </si>
  <si>
    <t>17:24:51</t>
  </si>
  <si>
    <t>17:22:21</t>
  </si>
  <si>
    <t>16:37:33</t>
  </si>
  <si>
    <t>20:41:07</t>
  </si>
  <si>
    <t>19:08:39</t>
  </si>
  <si>
    <t>15:31:06</t>
  </si>
  <si>
    <t>12:44:36</t>
  </si>
  <si>
    <t>13:08:41</t>
  </si>
  <si>
    <t>09:29:23</t>
  </si>
  <si>
    <t>17:17:38</t>
  </si>
  <si>
    <t>18:18:07</t>
  </si>
  <si>
    <t>17:57:08</t>
  </si>
  <si>
    <t>16:23:06</t>
  </si>
  <si>
    <t>Customer 898</t>
  </si>
  <si>
    <t>12:14:09</t>
  </si>
  <si>
    <t>20:48:40</t>
  </si>
  <si>
    <t>15:10:07</t>
  </si>
  <si>
    <t>10:49:24</t>
  </si>
  <si>
    <t>17:51:58</t>
  </si>
  <si>
    <t>09:11:05</t>
  </si>
  <si>
    <t>12:30:28</t>
  </si>
  <si>
    <t>20:39:48</t>
  </si>
  <si>
    <t>11:54:02</t>
  </si>
  <si>
    <t>Customer 501</t>
  </si>
  <si>
    <t>17:12:45</t>
  </si>
  <si>
    <t>20:26:59</t>
  </si>
  <si>
    <t>11:20:20</t>
  </si>
  <si>
    <t>Customer 520</t>
  </si>
  <si>
    <t>18:11:09</t>
  </si>
  <si>
    <t>Customer 199</t>
  </si>
  <si>
    <t>11:49:54</t>
  </si>
  <si>
    <t>15:45:18</t>
  </si>
  <si>
    <t>12:29:11</t>
  </si>
  <si>
    <t>15:00:20</t>
  </si>
  <si>
    <t>10:53:28</t>
  </si>
  <si>
    <t>11:31:28</t>
  </si>
  <si>
    <t>15:39:57</t>
  </si>
  <si>
    <t>12:13:00</t>
  </si>
  <si>
    <t>14:08:53</t>
  </si>
  <si>
    <t>16:32:25</t>
  </si>
  <si>
    <t>20:58:40</t>
  </si>
  <si>
    <t>19:53:22</t>
  </si>
  <si>
    <t>16:15:08</t>
  </si>
  <si>
    <t>11:10:08</t>
  </si>
  <si>
    <t>17:04:37</t>
  </si>
  <si>
    <t>Customer 1252</t>
  </si>
  <si>
    <t>15:49:10</t>
  </si>
  <si>
    <t>13:42:24</t>
  </si>
  <si>
    <t>17:50:03</t>
  </si>
  <si>
    <t>09:28:29</t>
  </si>
  <si>
    <t>15:49:26</t>
  </si>
  <si>
    <t>16:07:21</t>
  </si>
  <si>
    <t>13:53:44</t>
  </si>
  <si>
    <t>19:24:32</t>
  </si>
  <si>
    <t>13:29:41</t>
  </si>
  <si>
    <t>19:51:47</t>
  </si>
  <si>
    <t>17:37:30</t>
  </si>
  <si>
    <t>12:56:43</t>
  </si>
  <si>
    <t>17:35:57</t>
  </si>
  <si>
    <t>14:21:24</t>
  </si>
  <si>
    <t>11:51:09</t>
  </si>
  <si>
    <t>11:21:55</t>
  </si>
  <si>
    <t>12:24:19</t>
  </si>
  <si>
    <t>12:40:59</t>
  </si>
  <si>
    <t>18:13:29</t>
  </si>
  <si>
    <t>11:49:09</t>
  </si>
  <si>
    <t>17:15:06</t>
  </si>
  <si>
    <t>18:43:24</t>
  </si>
  <si>
    <t>13:52:31</t>
  </si>
  <si>
    <t>13:37:43</t>
  </si>
  <si>
    <t>19:32:35</t>
  </si>
  <si>
    <t>13:03:47</t>
  </si>
  <si>
    <t>18:04:07</t>
  </si>
  <si>
    <t>19:41:16</t>
  </si>
  <si>
    <t>20:36:29</t>
  </si>
  <si>
    <t>20:41:56</t>
  </si>
  <si>
    <t>09:34:52</t>
  </si>
  <si>
    <t>15:19:12</t>
  </si>
  <si>
    <t>19:49:47</t>
  </si>
  <si>
    <t>12:25:03</t>
  </si>
  <si>
    <t>17:07:24</t>
  </si>
  <si>
    <t>13:03:45</t>
  </si>
  <si>
    <t>18:43:08</t>
  </si>
  <si>
    <t>12:28:55</t>
  </si>
  <si>
    <t>15:18:00</t>
  </si>
  <si>
    <t>15:55:31</t>
  </si>
  <si>
    <t>17:04:35</t>
  </si>
  <si>
    <t>18:04:50</t>
  </si>
  <si>
    <t>11:32:57</t>
  </si>
  <si>
    <t>17:33:26</t>
  </si>
  <si>
    <t>12:04:42</t>
  </si>
  <si>
    <t>18:36:15</t>
  </si>
  <si>
    <t>Customer 596</t>
  </si>
  <si>
    <t>Customer 389</t>
  </si>
  <si>
    <t>09:32:02</t>
  </si>
  <si>
    <t>16:09:03</t>
  </si>
  <si>
    <t>20:15:40</t>
  </si>
  <si>
    <t>12:19:25</t>
  </si>
  <si>
    <t>Customer 1169</t>
  </si>
  <si>
    <t>11:23:24</t>
  </si>
  <si>
    <t>Customer 983</t>
  </si>
  <si>
    <t>20:47:17</t>
  </si>
  <si>
    <t>Customer 631</t>
  </si>
  <si>
    <t>13:05:40</t>
  </si>
  <si>
    <t>09:24:08</t>
  </si>
  <si>
    <t>15:24:03</t>
  </si>
  <si>
    <t>11:06:58</t>
  </si>
  <si>
    <t>09:29:42</t>
  </si>
  <si>
    <t>13:29:38</t>
  </si>
  <si>
    <t>14:17:46</t>
  </si>
  <si>
    <t>11:32:27</t>
  </si>
  <si>
    <t>12:41:40</t>
  </si>
  <si>
    <t>11:10:35</t>
  </si>
  <si>
    <t>15:33:20</t>
  </si>
  <si>
    <t>14:37:13</t>
  </si>
  <si>
    <t>16:46:56</t>
  </si>
  <si>
    <t>20:36:16</t>
  </si>
  <si>
    <t>20:49:13</t>
  </si>
  <si>
    <t>18:31:15</t>
  </si>
  <si>
    <t>11:36:14</t>
  </si>
  <si>
    <t>18:16:47</t>
  </si>
  <si>
    <t>15:50:32</t>
  </si>
  <si>
    <t>19:59:32</t>
  </si>
  <si>
    <t>10:14:09</t>
  </si>
  <si>
    <t>09:14:44</t>
  </si>
  <si>
    <t>11:49:25</t>
  </si>
  <si>
    <t>13:47:12</t>
  </si>
  <si>
    <t>19:21:58</t>
  </si>
  <si>
    <t>17:07:18</t>
  </si>
  <si>
    <t>14:13:11</t>
  </si>
  <si>
    <t>15:35:09</t>
  </si>
  <si>
    <t>11:38:06</t>
  </si>
  <si>
    <t>17:05:06</t>
  </si>
  <si>
    <t>15:13:52</t>
  </si>
  <si>
    <t>17:51:20</t>
  </si>
  <si>
    <t>11:36:06</t>
  </si>
  <si>
    <t>15:30:41</t>
  </si>
  <si>
    <t>16:05:37</t>
  </si>
  <si>
    <t>16:52:59</t>
  </si>
  <si>
    <t>13:35:56</t>
  </si>
  <si>
    <t>13:35:06</t>
  </si>
  <si>
    <t>17:46:30</t>
  </si>
  <si>
    <t>10:23:32</t>
  </si>
  <si>
    <t>14:43:16</t>
  </si>
  <si>
    <t>11:33:58</t>
  </si>
  <si>
    <t>11:43:11</t>
  </si>
  <si>
    <t>16:30:36</t>
  </si>
  <si>
    <t>12:35:15</t>
  </si>
  <si>
    <t>12:11:31</t>
  </si>
  <si>
    <t>19:35:27</t>
  </si>
  <si>
    <t>14:21:07</t>
  </si>
  <si>
    <t>09:55:19</t>
  </si>
  <si>
    <t>17:36:54</t>
  </si>
  <si>
    <t>19:55:52</t>
  </si>
  <si>
    <t>13:49:07</t>
  </si>
  <si>
    <t>18:54:41</t>
  </si>
  <si>
    <t>09:41:12</t>
  </si>
  <si>
    <t>11:25:11</t>
  </si>
  <si>
    <t>17:39:08</t>
  </si>
  <si>
    <t>19:27:46</t>
  </si>
  <si>
    <t>15:14:21</t>
  </si>
  <si>
    <t>15:48:19</t>
  </si>
  <si>
    <t>Customer 336</t>
  </si>
  <si>
    <t>16:27:23</t>
  </si>
  <si>
    <t>10:33:34</t>
  </si>
  <si>
    <t>Customer 383</t>
  </si>
  <si>
    <t>11:03:56</t>
  </si>
  <si>
    <t>15:34:45</t>
  </si>
  <si>
    <t>12:47:16</t>
  </si>
  <si>
    <t>Customer 326</t>
  </si>
  <si>
    <t>12:03:25</t>
  </si>
  <si>
    <t>20:52:57</t>
  </si>
  <si>
    <t>20:26:55</t>
  </si>
  <si>
    <t>12:38:39</t>
  </si>
  <si>
    <t>19:45:11</t>
  </si>
  <si>
    <t>18:21:58</t>
  </si>
  <si>
    <t>17:58:31</t>
  </si>
  <si>
    <t>20:41:48</t>
  </si>
  <si>
    <t>14:29:24</t>
  </si>
  <si>
    <t>09:32:20</t>
  </si>
  <si>
    <t>09:38:38</t>
  </si>
  <si>
    <t>18:09:52</t>
  </si>
  <si>
    <t>16:53:14</t>
  </si>
  <si>
    <t>09:30:21</t>
  </si>
  <si>
    <t>10:30:14</t>
  </si>
  <si>
    <t>12:29:46</t>
  </si>
  <si>
    <t>09:43:47</t>
  </si>
  <si>
    <t>12:31:10</t>
  </si>
  <si>
    <t>14:06:29</t>
  </si>
  <si>
    <t>11:24:59</t>
  </si>
  <si>
    <t>18:38:58</t>
  </si>
  <si>
    <t>15:01:03</t>
  </si>
  <si>
    <t>10:50:05</t>
  </si>
  <si>
    <t>17:54:49</t>
  </si>
  <si>
    <t>09:07:42</t>
  </si>
  <si>
    <t>20:41:43</t>
  </si>
  <si>
    <t>14:16:29</t>
  </si>
  <si>
    <t>14:31:42</t>
  </si>
  <si>
    <t>15:38:17</t>
  </si>
  <si>
    <t>17:07:15</t>
  </si>
  <si>
    <t>Customer 718</t>
  </si>
  <si>
    <t>12:31:38</t>
  </si>
  <si>
    <t>14:41:54</t>
  </si>
  <si>
    <t>12:05:37</t>
  </si>
  <si>
    <t>11:08:13</t>
  </si>
  <si>
    <t>18:38:36</t>
  </si>
  <si>
    <t>09:05:48</t>
  </si>
  <si>
    <t>15:41:05</t>
  </si>
  <si>
    <t>20:41:15</t>
  </si>
  <si>
    <t>13:23:55</t>
  </si>
  <si>
    <t>Customer 307</t>
  </si>
  <si>
    <t>19:23:10</t>
  </si>
  <si>
    <t>16:52:31</t>
  </si>
  <si>
    <t>16:12:12</t>
  </si>
  <si>
    <t>11:12:03</t>
  </si>
  <si>
    <t>19:12:21</t>
  </si>
  <si>
    <t>15:32:14</t>
  </si>
  <si>
    <t>17:35:12</t>
  </si>
  <si>
    <t>12:03:36</t>
  </si>
  <si>
    <t>Customer 1239</t>
  </si>
  <si>
    <t>12:43:22</t>
  </si>
  <si>
    <t>11:18:27</t>
  </si>
  <si>
    <t>14:59:28</t>
  </si>
  <si>
    <t>12:48:19</t>
  </si>
  <si>
    <t>09:29:22</t>
  </si>
  <si>
    <t>09:34:47</t>
  </si>
  <si>
    <t>18:56:29</t>
  </si>
  <si>
    <t>13:15:21</t>
  </si>
  <si>
    <t>14:37:22</t>
  </si>
  <si>
    <t>09:44:38</t>
  </si>
  <si>
    <t>Customer 203</t>
  </si>
  <si>
    <t>13:39:11</t>
  </si>
  <si>
    <t>20:32:32</t>
  </si>
  <si>
    <t>12:48:21</t>
  </si>
  <si>
    <t>18:38:10</t>
  </si>
  <si>
    <t>18:17:57</t>
  </si>
  <si>
    <t>09:46:45</t>
  </si>
  <si>
    <t>15:29:22</t>
  </si>
  <si>
    <t>10:33:17</t>
  </si>
  <si>
    <t>09:26:55</t>
  </si>
  <si>
    <t>14:16:23</t>
  </si>
  <si>
    <t>09:01:06</t>
  </si>
  <si>
    <t>14:36:03</t>
  </si>
  <si>
    <t>15:42:08</t>
  </si>
  <si>
    <t>11:24:56</t>
  </si>
  <si>
    <t>16:16:39</t>
  </si>
  <si>
    <t>15:24:07</t>
  </si>
  <si>
    <t>18:22:35</t>
  </si>
  <si>
    <t>13:54:58</t>
  </si>
  <si>
    <t>12:24:50</t>
  </si>
  <si>
    <t>10:13:51</t>
  </si>
  <si>
    <t>13:44:21</t>
  </si>
  <si>
    <t>09:39:37</t>
  </si>
  <si>
    <t>20:23:43</t>
  </si>
  <si>
    <t>10:47:30</t>
  </si>
  <si>
    <t>14:49:49</t>
  </si>
  <si>
    <t>20:34:45</t>
  </si>
  <si>
    <t>19:17:12</t>
  </si>
  <si>
    <t>15:30:36</t>
  </si>
  <si>
    <t>Customer 45</t>
  </si>
  <si>
    <t>20:13:56</t>
  </si>
  <si>
    <t>11:04:50</t>
  </si>
  <si>
    <t>13:35:01</t>
  </si>
  <si>
    <t>15:28:17</t>
  </si>
  <si>
    <t>13:19:32</t>
  </si>
  <si>
    <t>10:31:53</t>
  </si>
  <si>
    <t>09:22:14</t>
  </si>
  <si>
    <t>10:05:59</t>
  </si>
  <si>
    <t>16:18:52</t>
  </si>
  <si>
    <t>15:16:13</t>
  </si>
  <si>
    <t>12:48:30</t>
  </si>
  <si>
    <t>09:14:46</t>
  </si>
  <si>
    <t>20:09:25</t>
  </si>
  <si>
    <t>10:45:37</t>
  </si>
  <si>
    <t>Customer 1213</t>
  </si>
  <si>
    <t>13:26:17</t>
  </si>
  <si>
    <t>Customer 1056</t>
  </si>
  <si>
    <t>20:35:07</t>
  </si>
  <si>
    <t>Customer 275</t>
  </si>
  <si>
    <t>09:54:27</t>
  </si>
  <si>
    <t>18:32:37</t>
  </si>
  <si>
    <t>19:51:51</t>
  </si>
  <si>
    <t>17:48:00</t>
  </si>
  <si>
    <t>19:35:04</t>
  </si>
  <si>
    <t>Customer 465</t>
  </si>
  <si>
    <t>13:47:06</t>
  </si>
  <si>
    <t>19:51:29</t>
  </si>
  <si>
    <t>15:53:09</t>
  </si>
  <si>
    <t>20:28:24</t>
  </si>
  <si>
    <t>18:10:05</t>
  </si>
  <si>
    <t>16:30:52</t>
  </si>
  <si>
    <t>15:10:47</t>
  </si>
  <si>
    <t>Customer 299</t>
  </si>
  <si>
    <t>14:04:31</t>
  </si>
  <si>
    <t>Customer 1082</t>
  </si>
  <si>
    <t>13:46:38</t>
  </si>
  <si>
    <t>16:52:06</t>
  </si>
  <si>
    <t>19:43:57</t>
  </si>
  <si>
    <t>19:42:26</t>
  </si>
  <si>
    <t>09:25:26</t>
  </si>
  <si>
    <t>20:56:55</t>
  </si>
  <si>
    <t>12:10:32</t>
  </si>
  <si>
    <t>14:25:04</t>
  </si>
  <si>
    <t>13:48:53</t>
  </si>
  <si>
    <t>09:25:43</t>
  </si>
  <si>
    <t>17:47:37</t>
  </si>
  <si>
    <t>09:09:27</t>
  </si>
  <si>
    <t>19:42:16</t>
  </si>
  <si>
    <t>14:23:11</t>
  </si>
  <si>
    <t>10:39:50</t>
  </si>
  <si>
    <t>18:29:48</t>
  </si>
  <si>
    <t>10:28:28</t>
  </si>
  <si>
    <t>13:49:59</t>
  </si>
  <si>
    <t>14:36:47</t>
  </si>
  <si>
    <t>13:41:38</t>
  </si>
  <si>
    <t>Customer 929</t>
  </si>
  <si>
    <t>14:03:18</t>
  </si>
  <si>
    <t>17:15:03</t>
  </si>
  <si>
    <t>09:16:30</t>
  </si>
  <si>
    <t>11:09:52</t>
  </si>
  <si>
    <t>11:25:52</t>
  </si>
  <si>
    <t>Operations</t>
  </si>
  <si>
    <t>Steven Lee</t>
  </si>
  <si>
    <t>In Progress</t>
  </si>
  <si>
    <t>Campaign 30</t>
  </si>
  <si>
    <t>PRJ-1029</t>
  </si>
  <si>
    <t>Sales</t>
  </si>
  <si>
    <t>Collin Reed</t>
  </si>
  <si>
    <t>Campaign 29</t>
  </si>
  <si>
    <t>PRJ-1028</t>
  </si>
  <si>
    <t>Marketing</t>
  </si>
  <si>
    <t>Natasha Morales</t>
  </si>
  <si>
    <t>Not Started</t>
  </si>
  <si>
    <t>Campaign 28</t>
  </si>
  <si>
    <t>PRJ-1027</t>
  </si>
  <si>
    <t>Jessica Blake</t>
  </si>
  <si>
    <t>Delayed</t>
  </si>
  <si>
    <t>Campaign 27</t>
  </si>
  <si>
    <t>PRJ-1026</t>
  </si>
  <si>
    <t>Wendy Johnston</t>
  </si>
  <si>
    <t>Campaign 26</t>
  </si>
  <si>
    <t>PRJ-1025</t>
  </si>
  <si>
    <t>Christina Hernandez</t>
  </si>
  <si>
    <t>Campaign 25</t>
  </si>
  <si>
    <t>PRJ-1024</t>
  </si>
  <si>
    <t>Joshua Herman</t>
  </si>
  <si>
    <t>Campaign 24</t>
  </si>
  <si>
    <t>PRJ-1023</t>
  </si>
  <si>
    <t>Julie Pearson</t>
  </si>
  <si>
    <t>Campaign 23</t>
  </si>
  <si>
    <t>PRJ-1022</t>
  </si>
  <si>
    <t>Jessica Wilkinson</t>
  </si>
  <si>
    <t>Campaign 22</t>
  </si>
  <si>
    <t>PRJ-1021</t>
  </si>
  <si>
    <t>Larry Giles</t>
  </si>
  <si>
    <t>Campaign 21</t>
  </si>
  <si>
    <t>PRJ-1020</t>
  </si>
  <si>
    <t>IT</t>
  </si>
  <si>
    <t>Timothy Warren</t>
  </si>
  <si>
    <t>Campaign 20</t>
  </si>
  <si>
    <t>PRJ-1019</t>
  </si>
  <si>
    <t>Monica Dixon</t>
  </si>
  <si>
    <t>Campaign 19</t>
  </si>
  <si>
    <t>PRJ-1018</t>
  </si>
  <si>
    <t>Scott Brown</t>
  </si>
  <si>
    <t>Campaign 18</t>
  </si>
  <si>
    <t>PRJ-1017</t>
  </si>
  <si>
    <t>Dylan Carpenter</t>
  </si>
  <si>
    <t>Campaign 17</t>
  </si>
  <si>
    <t>PRJ-1016</t>
  </si>
  <si>
    <t>Mrs. Jeanne Harrison</t>
  </si>
  <si>
    <t>Completed</t>
  </si>
  <si>
    <t>Campaign 16</t>
  </si>
  <si>
    <t>PRJ-1015</t>
  </si>
  <si>
    <t>Brian Eaton</t>
  </si>
  <si>
    <t>Campaign 15</t>
  </si>
  <si>
    <t>PRJ-1014</t>
  </si>
  <si>
    <t>Joseph Zuniga</t>
  </si>
  <si>
    <t>Campaign 14</t>
  </si>
  <si>
    <t>PRJ-1013</t>
  </si>
  <si>
    <t>Michelle Cox</t>
  </si>
  <si>
    <t>Campaign 13</t>
  </si>
  <si>
    <t>PRJ-1012</t>
  </si>
  <si>
    <t>Jennifer Mathis</t>
  </si>
  <si>
    <t>Campaign 12</t>
  </si>
  <si>
    <t>PRJ-1011</t>
  </si>
  <si>
    <t>Maureen Weber</t>
  </si>
  <si>
    <t>Campaign 11</t>
  </si>
  <si>
    <t>PRJ-1010</t>
  </si>
  <si>
    <t>David Anderson</t>
  </si>
  <si>
    <t>Campaign 10</t>
  </si>
  <si>
    <t>PRJ-1009</t>
  </si>
  <si>
    <t>Chelsea Conrad</t>
  </si>
  <si>
    <t>Campaign 9</t>
  </si>
  <si>
    <t>PRJ-1008</t>
  </si>
  <si>
    <t>Jared Wright</t>
  </si>
  <si>
    <t>Campaign 8</t>
  </si>
  <si>
    <t>PRJ-1007</t>
  </si>
  <si>
    <t>Amy Rodriguez</t>
  </si>
  <si>
    <t>Campaign 7</t>
  </si>
  <si>
    <t>PRJ-1006</t>
  </si>
  <si>
    <t>Heidi Jackson</t>
  </si>
  <si>
    <t>Campaign 6</t>
  </si>
  <si>
    <t>PRJ-1005</t>
  </si>
  <si>
    <t>Angela Torres</t>
  </si>
  <si>
    <t>Campaign 5</t>
  </si>
  <si>
    <t>PRJ-1004</t>
  </si>
  <si>
    <t>Brittney Berry</t>
  </si>
  <si>
    <t>Campaign 4</t>
  </si>
  <si>
    <t>PRJ-1003</t>
  </si>
  <si>
    <t>Benjamin Steele</t>
  </si>
  <si>
    <t>Campaign 3</t>
  </si>
  <si>
    <t>PRJ-1002</t>
  </si>
  <si>
    <t>Julie Schmidt</t>
  </si>
  <si>
    <t>Campaign 2</t>
  </si>
  <si>
    <t>PRJ-1001</t>
  </si>
  <si>
    <t>Nicole Smith</t>
  </si>
  <si>
    <t>Campaign 1</t>
  </si>
  <si>
    <t>PRJ-1000</t>
  </si>
  <si>
    <t>Spent ($)</t>
  </si>
  <si>
    <t>Budget ($)</t>
  </si>
  <si>
    <t>Team</t>
  </si>
  <si>
    <t>Project Owner</t>
  </si>
  <si>
    <t>Status</t>
  </si>
  <si>
    <t>End Date</t>
  </si>
  <si>
    <t>Start Date</t>
  </si>
  <si>
    <t>Project Name</t>
  </si>
  <si>
    <t>Project ID</t>
  </si>
  <si>
    <t>Transactions</t>
  </si>
  <si>
    <t>Project</t>
  </si>
  <si>
    <t>Financial</t>
  </si>
  <si>
    <t>What I see in your context</t>
  </si>
  <si>
    <t>You currently have a Python in Excel file open (Python_In_Excel). That suggests you’re doing analytical or automation-focused work, likely switching between thinking, coding, and validating results. Productivity for this kind of work benefits a lot from focus, repeatability, and reducing manual steps.</t>
  </si>
  <si>
    <t>High‑impact ways to be more productive (practical &amp; realistic)</t>
  </si>
  <si>
    <t>1. Design your day around energy, not time</t>
  </si>
  <si>
    <t>Instead of asking “what should I do today?”, ask:</t>
  </si>
  <si>
    <t>*   What requires deep thinking?</t>
  </si>
  <si>
    <t>*   What is mechanical or repeatable?</t>
  </si>
  <si>
    <t>For example:</t>
  </si>
  <si>
    <t>*   Do Python logic, data modeling, or debugging during your highest‑energy window.</t>
  </si>
  <si>
    <t>*   Do cleanup, formatting, documentation, or email when energy is lower.</t>
  </si>
  <si>
    <t>This alone often adds 20–30% effective output without working longer.</t>
  </si>
  <si>
    <t>2. Reduce context switching (especially in Excel + Python work)</t>
  </si>
  <si>
    <t>Every time you switch between:</t>
  </si>
  <si>
    <t>*   Excel ↔ browser ↔ notes ↔ email</t>
  </si>
  <si>
    <t>you lose focus.</t>
  </si>
  <si>
    <t>Try this pattern:</t>
  </si>
  <si>
    <t>*   One window for doing (Excel / Python)</t>
  </si>
  <si>
    <t>*   One window for reference (docs, notes)</t>
  </si>
  <si>
    <t>*   Everything else closed or muted for a set block</t>
  </si>
  <si>
    <t>Even 60–90 minute blocks like this can dramatically improve throughput.</t>
  </si>
  <si>
    <t>3. Turn repeat work into systems (this is where you win)</t>
  </si>
  <si>
    <t>Since you’re already using Python in Excel:</t>
  </si>
  <si>
    <t>*   Automate data cleaning</t>
  </si>
  <si>
    <t>*   Standardize analysis templates</t>
  </si>
  <si>
    <t>*   Save reusable Python snippets (e.g., load → validate → summarize)</t>
  </si>
  <si>
    <t>Ask yourself:</t>
  </si>
  <si>
    <t>&gt; “If I had to do this again next month, what would I hate redoing?”</t>
  </si>
  <si>
    <t>Then automate that first.</t>
  </si>
  <si>
    <t>4. Define “done” before you start</t>
  </si>
  <si>
    <t>A huge productivity killer is vague goals like:</t>
  </si>
  <si>
    <t>*   “Work on analysis”</t>
  </si>
  <si>
    <t>*   “Improve the model”</t>
  </si>
  <si>
    <t>Instead, define a finish line:</t>
  </si>
  <si>
    <t>*   “Script runs without errors on sample data”</t>
  </si>
  <si>
    <t>*   “Workbook produces final chart + summary table”</t>
  </si>
  <si>
    <t>*   “Results ready to share with one sentence conclusion”</t>
  </si>
  <si>
    <t>Clear “done” criteria prevent overworking and second‑guessing.</t>
  </si>
  <si>
    <t>5. Capture ideas instead of acting on them immediately</t>
  </si>
  <si>
    <t>When you’re focused and think:</t>
  </si>
  <si>
    <t>&gt; “Oh, I should also fix that other thing…”</t>
  </si>
  <si>
    <t>Don’t switch.</t>
  </si>
  <si>
    <t>Write it down in a simple parking list and keep going.</t>
  </si>
  <si>
    <t>This protects deep focus while still respecting good ideas.</t>
  </si>
  <si>
    <t>6. End the day by setting up tomorrow</t>
  </si>
  <si>
    <t>Before you stop:</t>
  </si>
  <si>
    <t>*   Write 1–3 concrete tasks for tomorrow</t>
  </si>
  <si>
    <t>*   Make the first task extremely easy to start</t>
  </si>
  <si>
    <t>Example:</t>
  </si>
  <si>
    <t>*   “Open Ch5\_Mine.xlsm and run the data load cell”</t>
  </si>
  <si>
    <t>This removes friction and decision‑making when you start again.</t>
  </si>
  <si>
    <t>A simple productivity loop (you can reuse daily)</t>
  </si>
  <si>
    <t>1.  Pick one meaningful outcome</t>
  </si>
  <si>
    <t>2.  Block uninterrupted time</t>
  </si>
  <si>
    <t>3.  Reduce inputs (notifications, tabs)</t>
  </si>
  <si>
    <t>4.  Work until the outcome is reached</t>
  </si>
  <si>
    <t>5.  Capture improvements for next time</t>
  </si>
  <si>
    <t>Repeat.</t>
  </si>
  <si>
    <t>If you want, I can:</t>
  </si>
  <si>
    <t>*   Help you optimize a specific Excel + Python workflow</t>
  </si>
  <si>
    <t>*   Suggest ways to automate parts of your current file</t>
  </si>
  <si>
    <t>*   Help you set up a lightweight daily productivity system that fits analytical work</t>
  </si>
  <si>
    <t>summarize the Transaction name range as time-series data into PivotTables or Charts</t>
  </si>
  <si>
    <t>Transaction Summary</t>
  </si>
  <si>
    <t>Time-Series Analysis of Transactions Data</t>
  </si>
  <si>
    <t>1. Monthly Sales Summary</t>
  </si>
  <si>
    <t>Year-Month</t>
  </si>
  <si>
    <t>Total Sales ($)</t>
  </si>
  <si>
    <t>Total Quantity</t>
  </si>
  <si>
    <t>Transaction Count</t>
  </si>
  <si>
    <t>Avg Sale ($)</t>
  </si>
  <si>
    <t>2. Sales by Product</t>
  </si>
  <si>
    <t>% of Total Sales</t>
  </si>
  <si>
    <t>Total</t>
  </si>
  <si>
    <t>3. Sales by City</t>
  </si>
  <si>
    <t>4. Yearly Summary</t>
  </si>
  <si>
    <t>Year</t>
  </si>
  <si>
    <t>Created the Transaction Summary sheet</t>
  </si>
  <si>
    <t>Prompt</t>
  </si>
  <si>
    <t>In the Transactions tab for the Transaction named range, create a new sheet and show data insights</t>
  </si>
  <si>
    <t>Data Insights Dashboard</t>
  </si>
  <si>
    <t>Comprehensive Analysis of Transaction Data</t>
  </si>
  <si>
    <t>1. KEY METRICS OVERVIEW</t>
  </si>
  <si>
    <t>Metric</t>
  </si>
  <si>
    <t>Value</t>
  </si>
  <si>
    <t>Total Transactions</t>
  </si>
  <si>
    <t>Total Sales Revenue</t>
  </si>
  <si>
    <t>Total Units Sold</t>
  </si>
  <si>
    <t>Average Sale Value</t>
  </si>
  <si>
    <t>Average Quantity/Transaction</t>
  </si>
  <si>
    <t>Highest Single Sale</t>
  </si>
  <si>
    <t>Lowest Single Sale</t>
  </si>
  <si>
    <t>Unique Cities</t>
  </si>
  <si>
    <t>Unique Products</t>
  </si>
  <si>
    <t>Unique Stores</t>
  </si>
  <si>
    <t>2. SALES BY PRODUCT</t>
  </si>
  <si>
    <t>Total Sales</t>
  </si>
  <si>
    <t>Total Qty</t>
  </si>
  <si>
    <t>Avg Sale</t>
  </si>
  <si>
    <t>% of Revenue</t>
  </si>
  <si>
    <t>TOTAL</t>
  </si>
  <si>
    <t>Created the Data Insights sheet</t>
  </si>
  <si>
    <t>3. SALES BY CITY</t>
  </si>
  <si>
    <t>4. SALES BY STORE NAME</t>
  </si>
  <si>
    <t>Northwind Traders</t>
  </si>
  <si>
    <t>Wide World Importers</t>
  </si>
  <si>
    <t>Proseware, Inc.</t>
  </si>
  <si>
    <t>5. TOP PERFORMERS</t>
  </si>
  <si>
    <t>Insight</t>
  </si>
  <si>
    <t>Top Selling Product (by Revenue)</t>
  </si>
  <si>
    <t>Top Selling Product Revenue</t>
  </si>
  <si>
    <t>Top City (by Revenue)</t>
  </si>
  <si>
    <t>Top City Revenue</t>
  </si>
  <si>
    <t>Most Transactions City</t>
  </si>
  <si>
    <t>Most Transactions Count</t>
  </si>
  <si>
    <t>LOWEST PERFORMERS</t>
  </si>
  <si>
    <t>Lowest Selling Product</t>
  </si>
  <si>
    <t>Lowest Product Revenue</t>
  </si>
  <si>
    <t>Lowest City (by Revenue)</t>
  </si>
  <si>
    <t>Lowest City Revenue</t>
  </si>
  <si>
    <t>6. YEARLY BREAKDOWN</t>
  </si>
  <si>
    <t>7. STORE CHARACTERISTICS</t>
  </si>
  <si>
    <t>Min</t>
  </si>
  <si>
    <t>Max</t>
  </si>
  <si>
    <t>Average</t>
  </si>
  <si>
    <t>Store Area (m²)</t>
  </si>
  <si>
    <t>Number of Sellers</t>
  </si>
  <si>
    <t>Rental per m² ($)</t>
  </si>
  <si>
    <t>8. SALES DISTRIBUTION (QUARTILES)</t>
  </si>
  <si>
    <t>Statistic</t>
  </si>
  <si>
    <t>Minimum</t>
  </si>
  <si>
    <t>25th Percentile (Q1)</t>
  </si>
  <si>
    <t>Median (Q2)</t>
  </si>
  <si>
    <t>75th Percentile (Q3)</t>
  </si>
  <si>
    <t>Maximum</t>
  </si>
  <si>
    <t>Standard Deviation</t>
  </si>
  <si>
    <t>Advanced Data Insights</t>
  </si>
  <si>
    <t>Deep-Dive Analysis of Transaction Patterns</t>
  </si>
  <si>
    <t>1. QUARTERLY PERFORMANCE ANALYSIS</t>
  </si>
  <si>
    <t>Quarter</t>
  </si>
  <si>
    <t>QoQ Growth %</t>
  </si>
  <si>
    <t>Q1 2022</t>
  </si>
  <si>
    <t>—</t>
  </si>
  <si>
    <t>Q2 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</si>
  <si>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</si>
  <si>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</si>
  <si>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</si>
  <si>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</si>
  <si>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</si>
  <si>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</si>
  <si>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</si>
  <si>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</si>
  <si>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</si>
  <si>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</si>
  <si>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2. PRODUCT-CITY SALES MATRIX</t>
  </si>
  <si>
    <t>3. DAY OF WEEK ANALYSIS</t>
  </si>
  <si>
    <t>Day</t>
  </si>
  <si>
    <t>% of Week</t>
  </si>
  <si>
    <t>Sunday</t>
  </si>
  <si>
    <t>Monday</t>
  </si>
  <si>
    <t>Tuesday</t>
  </si>
  <si>
    <t>Wednesday</t>
  </si>
  <si>
    <t>Thursday</t>
  </si>
  <si>
    <t>Friday</t>
  </si>
  <si>
    <t>Saturday</t>
  </si>
  <si>
    <t>4. YEAR-OVER-YEAR GROWTH</t>
  </si>
  <si>
    <t>2022→2023 %</t>
  </si>
  <si>
    <t>2023→2024 %</t>
  </si>
  <si>
    <t>Total Revenue</t>
  </si>
  <si>
    <t>Avg Sale Value</t>
  </si>
  <si>
    <t>Units Sold</t>
  </si>
  <si>
    <t>5. PRODUCT PERFORMANCE RANKING</t>
  </si>
  <si>
    <t>Rank</t>
  </si>
  <si>
    <t>Revenue</t>
  </si>
  <si>
    <t>Rev/Unit</t>
  </si>
  <si>
    <t>6. STORE BRAND MARKET SHARE</t>
  </si>
  <si>
    <t>Store Brand</t>
  </si>
  <si>
    <t>Market Share</t>
  </si>
  <si>
    <t>Avg Transaction</t>
  </si>
  <si>
    <t>Growth Rate</t>
  </si>
  <si>
    <t>Liberty's Bakery</t>
  </si>
  <si>
    <t>VanArsdel, Ltd.</t>
  </si>
  <si>
    <t>Relecloud</t>
  </si>
  <si>
    <t>7. ANALYSIS PRIORITY PERFORMANCE</t>
  </si>
  <si>
    <t>Priority Level</t>
  </si>
  <si>
    <t>% of Total</t>
  </si>
  <si>
    <t>Priority 1</t>
  </si>
  <si>
    <t>Priority 2</t>
  </si>
  <si>
    <t>Priority 3</t>
  </si>
  <si>
    <t>Priority 4</t>
  </si>
  <si>
    <t>Priority 5</t>
  </si>
  <si>
    <t>Priority 6</t>
  </si>
  <si>
    <t>Priority 7</t>
  </si>
  <si>
    <t>Priority 8</t>
  </si>
  <si>
    <t>Priority 9</t>
  </si>
  <si>
    <t>Priority 10</t>
  </si>
  <si>
    <t>8. KEY BUSINESS INSIGHTS</t>
  </si>
  <si>
    <t>Best Performing Month</t>
  </si>
  <si>
    <t>Highest Single Transaction</t>
  </si>
  <si>
    <t>Most Popular Product</t>
  </si>
  <si>
    <t>Busiest Store</t>
  </si>
  <si>
    <t>Average Store Area</t>
  </si>
  <si>
    <t>Total Rental Cost Est.</t>
  </si>
  <si>
    <t>Revenue per m²</t>
  </si>
  <si>
    <t>Avg Units per Transaction</t>
  </si>
  <si>
    <t>Can i see more insights in a new sheer? Done after the Data Insights was created</t>
  </si>
  <si>
    <t>Created the Advanced Insights</t>
  </si>
  <si>
    <t>In the Transactions sheet for the Transaction table, add 2 columns for quarter and year based on the Transaction Data column</t>
  </si>
  <si>
    <t>In the Transactions sheet for the Transaction table, add a column that flags underperforming stores that are below average sales.</t>
  </si>
  <si>
    <t>Underperforming Flag</t>
  </si>
  <si>
    <t>In the Transactions sheet for the Transaction table, compare the sales trends of the underperforming stores</t>
  </si>
  <si>
    <t>Add 2 columns to Transaction table</t>
  </si>
  <si>
    <t>Add 1 column to Transaction table</t>
  </si>
  <si>
    <t>Underperforming Stores Analysis</t>
  </si>
  <si>
    <t>Comparing Sales Trends: Below Average vs At/Above Average Transactions</t>
  </si>
  <si>
    <t>1. PERFORMANCE OVERVIEW</t>
  </si>
  <si>
    <t>Below Average</t>
  </si>
  <si>
    <t>At/Above Average</t>
  </si>
  <si>
    <t>Difference</t>
  </si>
  <si>
    <t>% Difference</t>
  </si>
  <si>
    <t>Average Sale ($)</t>
  </si>
  <si>
    <t>Avg Quantity/Transaction</t>
  </si>
  <si>
    <t>2. YEARLY TREND COMPARISON</t>
  </si>
  <si>
    <t>Below Avg Sales</t>
  </si>
  <si>
    <t>Above Avg Sales</t>
  </si>
  <si>
    <t>Below Avg Count</t>
  </si>
  <si>
    <t>Above Avg Count</t>
  </si>
  <si>
    <t>Below Avg %</t>
  </si>
  <si>
    <t>3. QUARTERLY TREND COMPARISON</t>
  </si>
  <si>
    <t>Q1</t>
  </si>
  <si>
    <t>Q2</t>
  </si>
  <si>
    <t>Q3</t>
  </si>
  <si>
    <t>Q4</t>
  </si>
  <si>
    <t>4. PRODUCT PERFORMANCE BY CATEGORY</t>
  </si>
  <si>
    <t>Gap ($)</t>
  </si>
  <si>
    <t>5. CITY PERFORMANCE COMPARISON</t>
  </si>
  <si>
    <t>6. STORE BRAND COMPARISON</t>
  </si>
  <si>
    <t>Liberty's Delightful Bakery &amp; Café</t>
  </si>
  <si>
    <t>7. KEY INSIGHTS</t>
  </si>
  <si>
    <t>Sales Threshold (Avg)</t>
  </si>
  <si>
    <t>% of Below Avg Transactions</t>
  </si>
  <si>
    <t>Revenue Lost to Below Avg</t>
  </si>
  <si>
    <t>Avg Below Avg Transaction</t>
  </si>
  <si>
    <t>Avg Above Avg Transaction</t>
  </si>
  <si>
    <t>Gap in Avg Transaction</t>
  </si>
  <si>
    <t>Year with Most Below Avg %</t>
  </si>
  <si>
    <t>Product Most Affected</t>
  </si>
  <si>
    <t>City Most Affected</t>
  </si>
  <si>
    <t>Created the Underperforming Analysis sheet</t>
  </si>
  <si>
    <t>Give me insights into Wide World Importers sales trends as an underperformer</t>
  </si>
  <si>
    <t>Wide World Importers - Underperforming Sales Analysis</t>
  </si>
  <si>
    <t>Deep-Dive into Below Average Transaction Trends</t>
  </si>
  <si>
    <t>1. KEY PERFORMANCE METRICS</t>
  </si>
  <si>
    <t>Below Avg Transactions</t>
  </si>
  <si>
    <t>Above Avg Transactions</t>
  </si>
  <si>
    <t>Revenue Gap (Lost Potential)</t>
  </si>
  <si>
    <t>2. YEARLY SALES TREND</t>
  </si>
  <si>
    <t>3. QUARTERLY PERFORMANCE ANALYSIS</t>
  </si>
  <si>
    <t>Total Count</t>
  </si>
  <si>
    <t>4. PRODUCT PERFORMANCE</t>
  </si>
  <si>
    <t>5. CITY PERFORMANCE</t>
  </si>
  <si>
    <t>6. COMPARISON WITH OTHER STORE BRANDS</t>
  </si>
  <si>
    <t>7. KEY INSIGHTS FOR WIDE WORLD IMPORTERS</t>
  </si>
  <si>
    <t>Interpretation</t>
  </si>
  <si>
    <t>Underperformance Rate</t>
  </si>
  <si>
    <t>Revenue from Below Avg</t>
  </si>
  <si>
    <t>Transaction Value Gap</t>
  </si>
  <si>
    <t>Best Performing Quarter</t>
  </si>
  <si>
    <t>Worst Performing Product</t>
  </si>
  <si>
    <t>Worst Performing City</t>
  </si>
  <si>
    <t>Rank Among Store Brands</t>
  </si>
  <si>
    <t>% of transactions below $258.35 threshold</t>
  </si>
  <si>
    <t>Total revenue from underperforming transactions</t>
  </si>
  <si>
    <t>Average value of below-threshold sales</t>
  </si>
  <si>
    <t>Average value of above-threshold sales</t>
  </si>
  <si>
    <t>Opportunity gap per transaction</t>
  </si>
  <si>
    <t>Quarter with lowest below-avg % (best)</t>
  </si>
  <si>
    <t>Product with most below-avg transactions</t>
  </si>
  <si>
    <t>City with highest below-avg %</t>
  </si>
  <si>
    <t>Ranking (1=best, 6=worst underperformance)</t>
  </si>
  <si>
    <t>## 💡 **Strategic Recommendations for Wide World Importers:**</t>
  </si>
  <si>
    <t>1. **Focus on Ice Cream** - Highest number of underperforming transactions; consider promotions or bundling</t>
  </si>
  <si>
    <t>2. **Target New Orleans &amp; Chicago** - Cities with 51%+ underperformance rates need attention</t>
  </si>
  <si>
    <t>3. **Replicate Seattle/LA Success** - Study what's working in these top-performing cities (40% below avg)</t>
  </si>
  <si>
    <t>4. **Continue 2024 Momentum** - 2024 shows best performance at 41.1% below avg vs 53.1% in 2023</t>
  </si>
  <si>
    <t>5. **Celebrate Success** - Wide World Importers actually leads all store brands with the lowest underperformance rate!</t>
  </si>
  <si>
    <t>Month</t>
  </si>
  <si>
    <t>Total Amount</t>
  </si>
  <si>
    <t>Total Expenses</t>
  </si>
  <si>
    <t>Monthly Summary (Last 12 Months)</t>
  </si>
  <si>
    <t>Max Date:</t>
  </si>
  <si>
    <t>Using the Financial sheet and Finance table, create a line chart displaying monthly totals for Amount and Expense over the past 12 months</t>
  </si>
  <si>
    <t>Created Wide World Importers Analysis sheet</t>
  </si>
  <si>
    <t>Created a line chart in Financial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</si>
</sst>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7"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&quot;ý&quot;;&quot;ý&quot;;&quot;þ&quot;"/>
    <numFmt numFmtId="169" formatCode="#,##0&quot;.&quot;"/>
    <numFmt numFmtId="170" formatCode="0.E+00"/>
    <numFmt numFmtId="171" formatCode=";;;"/>
    <numFmt numFmtId="172" formatCode="_(#,##0_);[Red]\(#,##0\);_(\-_);"/>
    <numFmt numFmtId="173" formatCode="_(&quot;$&quot;#,##0.0_);\(&quot;$&quot;#,##0.0\);_(&quot;-&quot;_)"/>
    <numFmt numFmtId="174" formatCode="_(#,##0.0_);\(#,##0.0\);_(&quot;-&quot;_)"/>
    <numFmt numFmtId="175" formatCode="&quot;Row &quot;###0"/>
    <numFmt numFmtId="176" formatCode="#,##0."/>
    <numFmt numFmtId="177" formatCode="_(#,##0_);\(#,##0\);_(\-_)"/>
    <numFmt numFmtId="178" formatCode="_(#,##0.00_);\(#,##0.00\);_(\-_._0_0_)"/>
    <numFmt numFmtId="179" formatCode="&quot;$&quot;* _(#,##0.00_);&quot;$&quot;* \(#,##0.00\);&quot;$&quot;* _(\-_._0_0_)"/>
    <numFmt numFmtId="180" formatCode="&quot;$&quot;* _(#,##0_);&quot;$&quot;* \(#,##0\);&quot;$&quot;* _(\-_)"/>
    <numFmt numFmtId="181" formatCode="[$-C09]dd\ mmm\ yy;@"/>
    <numFmt numFmtId="182" formatCode="mmm\ yy"/>
    <numFmt numFmtId="183" formatCode="[$-C09]d\ mmm\ yy;@"/>
    <numFmt numFmtId="184" formatCode="[$-F800]dddd\,\ mmmm\ dd\,\ yyyy"/>
    <numFmt numFmtId="186" formatCode="&quot;$&quot;#,##0.00"/>
    <numFmt numFmtId="187" formatCode="0.0%"/>
    <numFmt numFmtId="192" formatCode="#,##0.0"/>
    <numFmt numFmtId="193" formatCode="&quot;$&quot;#,##0"/>
    <numFmt numFmtId="194" formatCode="0.0"/>
    <numFmt numFmtId="195" formatCode="mmm\ yyyy"/>
  </numFmts>
  <fonts count="45" x14ac:knownFonts="1">
    <font>
      <sz val="9"/>
      <color theme="1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u/>
      <sz val="20"/>
      <color theme="10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b/>
      <sz val="9"/>
      <color rgb="FFFFFFFF"/>
      <name val="Arial"/>
      <family val="2"/>
    </font>
    <font>
      <sz val="12"/>
      <color rgb="FF424242"/>
      <name val="Aptos"/>
      <family val="2"/>
    </font>
    <font>
      <b/>
      <sz val="18"/>
      <color theme="1"/>
      <name val="Arial"/>
      <family val="2"/>
    </font>
    <font>
      <i/>
      <sz val="9"/>
      <color theme="1"/>
      <name val="Arial"/>
      <family val="2"/>
    </font>
    <font>
      <b/>
      <sz val="14"/>
      <color rgb="FFFFFFFF"/>
      <name val="Arial"/>
      <family val="2"/>
    </font>
    <font>
      <b/>
      <sz val="18"/>
      <color rgb="FF1F4E79"/>
      <name val="Arial"/>
      <family val="2"/>
    </font>
    <font>
      <sz val="8"/>
      <color rgb="FF242424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EB9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5" fillId="0" borderId="0" applyNumberFormat="0" applyFill="0" applyBorder="0" applyProtection="0"/>
    <xf numFmtId="0" fontId="28" fillId="0" borderId="0" applyNumberFormat="0" applyFill="0" applyBorder="0">
      <alignment horizontal="left"/>
      <protection locked="0"/>
    </xf>
    <xf numFmtId="0" fontId="16" fillId="0" borderId="0" applyNumberFormat="0" applyFill="0" applyBorder="0" applyProtection="0"/>
    <xf numFmtId="0" fontId="17" fillId="3" borderId="1" applyNumberFormat="0" applyProtection="0"/>
    <xf numFmtId="0" fontId="18" fillId="0" borderId="0" applyNumberFormat="0" applyFill="0" applyAlignment="0" applyProtection="0"/>
    <xf numFmtId="0" fontId="19" fillId="0" borderId="0" applyNumberFormat="0" applyFill="0" applyAlignment="0" applyProtection="0"/>
    <xf numFmtId="0" fontId="27" fillId="0" borderId="3" applyNumberFormat="0" applyAlignment="0">
      <alignment horizontal="center"/>
    </xf>
    <xf numFmtId="0" fontId="26" fillId="4" borderId="7" applyNumberFormat="0" applyAlignment="0">
      <protection locked="0"/>
    </xf>
    <xf numFmtId="0" fontId="4" fillId="0" borderId="0" applyNumberFormat="0" applyFill="0" applyBorder="0"/>
    <xf numFmtId="183" fontId="24" fillId="0" borderId="0" applyFill="0" applyBorder="0" applyProtection="0">
      <alignment horizontal="center"/>
    </xf>
    <xf numFmtId="182" fontId="25" fillId="0" borderId="0" applyFill="0" applyBorder="0" applyProtection="0">
      <alignment horizontal="center"/>
    </xf>
    <xf numFmtId="171" fontId="2" fillId="5" borderId="7" applyAlignment="0"/>
    <xf numFmtId="168" fontId="3" fillId="2" borderId="2">
      <alignment horizontal="center"/>
      <protection locked="0"/>
    </xf>
    <xf numFmtId="0" fontId="5" fillId="0" borderId="0" applyFill="0" applyBorder="0">
      <alignment horizontal="left" vertical="center"/>
      <protection locked="0"/>
    </xf>
    <xf numFmtId="164" fontId="29" fillId="6" borderId="8" applyNumberFormat="0" applyAlignment="0"/>
    <xf numFmtId="164" fontId="2" fillId="0" borderId="9" applyNumberFormat="0" applyFont="0" applyFill="0" applyAlignment="0"/>
    <xf numFmtId="172" fontId="2" fillId="0" borderId="10" applyNumberFormat="0" applyFont="0" applyFill="0" applyAlignment="0" applyProtection="0"/>
    <xf numFmtId="0" fontId="7" fillId="0" borderId="0"/>
    <xf numFmtId="0" fontId="33" fillId="0" borderId="11" applyNumberFormat="0" applyFill="0" applyBorder="0"/>
    <xf numFmtId="172" fontId="2" fillId="0" borderId="0" applyFont="0" applyFill="0" applyBorder="0" applyAlignment="0" applyProtection="0"/>
    <xf numFmtId="0" fontId="27" fillId="7" borderId="2" applyNumberFormat="0" applyAlignment="0" applyProtection="0"/>
    <xf numFmtId="0" fontId="8" fillId="0" borderId="0" applyNumberFormat="0" applyFill="0" applyBorder="0" applyAlignment="0" applyProtection="0"/>
    <xf numFmtId="173" fontId="9" fillId="0" borderId="0" applyFill="0" applyBorder="0">
      <alignment horizontal="right" vertical="center"/>
    </xf>
    <xf numFmtId="174" fontId="9" fillId="0" borderId="0" applyFill="0" applyBorder="0">
      <alignment horizontal="right" vertical="center"/>
    </xf>
    <xf numFmtId="175" fontId="30" fillId="7" borderId="7">
      <alignment horizontal="center"/>
    </xf>
    <xf numFmtId="164" fontId="6" fillId="8" borderId="8" applyFont="0" applyAlignment="0"/>
    <xf numFmtId="0" fontId="14" fillId="11" borderId="0" applyNumberFormat="0">
      <alignment horizontal="center"/>
    </xf>
    <xf numFmtId="0" fontId="31" fillId="0" borderId="0" applyNumberFormat="0" applyFill="0" applyBorder="0" applyProtection="0"/>
    <xf numFmtId="0" fontId="32" fillId="9" borderId="12" applyNumberFormat="0" applyAlignment="0">
      <protection locked="0"/>
    </xf>
    <xf numFmtId="0" fontId="23" fillId="0" borderId="0" applyNumberFormat="0" applyFill="0" applyBorder="0" applyAlignment="0" applyProtection="0"/>
    <xf numFmtId="0" fontId="21" fillId="0" borderId="1" applyNumberFormat="0" applyFill="0" applyAlignment="0" applyProtection="0"/>
    <xf numFmtId="0" fontId="22" fillId="0" borderId="13" applyNumberFormat="0" applyFill="0" applyAlignment="0" applyProtection="0"/>
    <xf numFmtId="0" fontId="20" fillId="0" borderId="14" applyNumberFormat="0" applyFill="0" applyAlignment="0" applyProtection="0"/>
    <xf numFmtId="0" fontId="19" fillId="0" borderId="15" applyNumberFormat="0" applyFill="0" applyAlignment="0" applyProtection="0"/>
    <xf numFmtId="176" fontId="17" fillId="3" borderId="1"/>
    <xf numFmtId="0" fontId="1" fillId="0" borderId="0"/>
    <xf numFmtId="0" fontId="34" fillId="0" borderId="0" applyNumberFormat="0" applyFill="0" applyBorder="0" applyAlignment="0" applyProtection="0"/>
  </cellStyleXfs>
  <cellXfs count="117">
    <xf numFmtId="0" fontId="0" fillId="0" borderId="0" xfId="0"/>
    <xf numFmtId="168" fontId="3" fillId="2" borderId="2" xfId="0" applyNumberFormat="1" applyFont="1" applyFill="1" applyBorder="1" applyAlignment="1" applyProtection="1">
      <alignment horizontal="center"/>
      <protection locked="0"/>
    </xf>
    <xf numFmtId="0" fontId="17" fillId="3" borderId="1" xfId="10"/>
    <xf numFmtId="0" fontId="18" fillId="0" borderId="0" xfId="11"/>
    <xf numFmtId="0" fontId="19" fillId="0" borderId="0" xfId="12"/>
    <xf numFmtId="0" fontId="27" fillId="0" borderId="3" xfId="13" applyAlignment="1">
      <alignment horizontal="center"/>
    </xf>
    <xf numFmtId="170" fontId="27" fillId="0" borderId="3" xfId="13" applyNumberFormat="1" applyAlignment="1">
      <alignment horizontal="center"/>
    </xf>
    <xf numFmtId="0" fontId="10" fillId="0" borderId="0" xfId="0" applyFont="1"/>
    <xf numFmtId="0" fontId="11" fillId="0" borderId="0" xfId="12" applyFont="1" applyAlignment="1">
      <alignment horizontal="left" vertical="center"/>
    </xf>
    <xf numFmtId="0" fontId="12" fillId="0" borderId="0" xfId="0" applyFont="1"/>
    <xf numFmtId="0" fontId="12" fillId="0" borderId="0" xfId="6" applyFont="1" applyAlignment="1">
      <alignment horizontal="left" vertical="center"/>
    </xf>
    <xf numFmtId="0" fontId="28" fillId="0" borderId="0" xfId="8">
      <alignment horizontal="left"/>
      <protection locked="0"/>
    </xf>
    <xf numFmtId="0" fontId="28" fillId="0" borderId="0" xfId="8" applyAlignment="1">
      <alignment horizontal="right"/>
      <protection locked="0"/>
    </xf>
    <xf numFmtId="0" fontId="14" fillId="11" borderId="0" xfId="33">
      <alignment horizontal="center"/>
    </xf>
    <xf numFmtId="0" fontId="15" fillId="0" borderId="0" xfId="7" applyBorder="1"/>
    <xf numFmtId="0" fontId="13" fillId="0" borderId="0" xfId="0" applyFont="1" applyAlignment="1">
      <alignment horizontal="left"/>
    </xf>
    <xf numFmtId="0" fontId="16" fillId="0" borderId="0" xfId="9" applyBorder="1"/>
    <xf numFmtId="0" fontId="0" fillId="0" borderId="0" xfId="0" applyAlignment="1">
      <alignment horizontal="left"/>
    </xf>
    <xf numFmtId="0" fontId="20" fillId="0" borderId="0" xfId="6" applyBorder="1"/>
    <xf numFmtId="0" fontId="33" fillId="0" borderId="0" xfId="25" applyBorder="1"/>
    <xf numFmtId="0" fontId="26" fillId="4" borderId="7" xfId="14">
      <protection locked="0"/>
    </xf>
    <xf numFmtId="0" fontId="13" fillId="0" borderId="0" xfId="0" applyFont="1"/>
    <xf numFmtId="0" fontId="27" fillId="0" borderId="3" xfId="13" applyAlignment="1"/>
    <xf numFmtId="171" fontId="2" fillId="5" borderId="7" xfId="18"/>
    <xf numFmtId="168" fontId="3" fillId="2" borderId="2" xfId="19">
      <alignment horizontal="center"/>
      <protection locked="0"/>
    </xf>
    <xf numFmtId="0" fontId="29" fillId="6" borderId="8" xfId="21" applyNumberFormat="1"/>
    <xf numFmtId="0" fontId="0" fillId="0" borderId="9" xfId="22" applyNumberFormat="1" applyFont="1"/>
    <xf numFmtId="0" fontId="0" fillId="0" borderId="10" xfId="23" applyNumberFormat="1" applyFont="1"/>
    <xf numFmtId="0" fontId="27" fillId="7" borderId="2" xfId="27"/>
    <xf numFmtId="0" fontId="8" fillId="0" borderId="0" xfId="28"/>
    <xf numFmtId="175" fontId="30" fillId="7" borderId="7" xfId="31">
      <alignment horizontal="center"/>
    </xf>
    <xf numFmtId="164" fontId="0" fillId="8" borderId="8" xfId="32" applyFont="1"/>
    <xf numFmtId="0" fontId="31" fillId="0" borderId="0" xfId="34"/>
    <xf numFmtId="0" fontId="32" fillId="9" borderId="12" xfId="35">
      <protection locked="0"/>
    </xf>
    <xf numFmtId="172" fontId="0" fillId="0" borderId="0" xfId="26" applyFont="1"/>
    <xf numFmtId="9" fontId="0" fillId="0" borderId="0" xfId="5" applyFont="1"/>
    <xf numFmtId="168" fontId="3" fillId="10" borderId="2" xfId="0" applyNumberFormat="1" applyFont="1" applyFill="1" applyBorder="1" applyAlignment="1" applyProtection="1">
      <alignment horizontal="center"/>
      <protection locked="0"/>
    </xf>
    <xf numFmtId="183" fontId="24" fillId="0" borderId="0" xfId="16">
      <alignment horizontal="center"/>
    </xf>
    <xf numFmtId="0" fontId="4" fillId="0" borderId="0" xfId="15"/>
    <xf numFmtId="169" fontId="17" fillId="3" borderId="1" xfId="10" applyNumberFormat="1"/>
    <xf numFmtId="0" fontId="15" fillId="0" borderId="0" xfId="7"/>
    <xf numFmtId="0" fontId="16" fillId="0" borderId="0" xfId="9"/>
    <xf numFmtId="176" fontId="17" fillId="3" borderId="1" xfId="41"/>
    <xf numFmtId="177" fontId="0" fillId="0" borderId="0" xfId="2" applyNumberFormat="1" applyFont="1"/>
    <xf numFmtId="178" fontId="0" fillId="0" borderId="0" xfId="1" applyNumberFormat="1" applyFont="1"/>
    <xf numFmtId="179" fontId="0" fillId="0" borderId="0" xfId="3" applyNumberFormat="1" applyFont="1"/>
    <xf numFmtId="180" fontId="0" fillId="0" borderId="0" xfId="4" applyNumberFormat="1" applyFont="1"/>
    <xf numFmtId="181" fontId="24" fillId="0" borderId="0" xfId="16" applyNumberFormat="1" applyBorder="1">
      <alignment horizontal="center"/>
    </xf>
    <xf numFmtId="182" fontId="25" fillId="0" borderId="0" xfId="17" applyBorder="1">
      <alignment horizontal="center"/>
    </xf>
    <xf numFmtId="184" fontId="0" fillId="0" borderId="0" xfId="0" applyNumberFormat="1"/>
    <xf numFmtId="2" fontId="0" fillId="0" borderId="0" xfId="0" applyNumberFormat="1"/>
    <xf numFmtId="1" fontId="24" fillId="0" borderId="0" xfId="16" applyNumberFormat="1">
      <alignment horizontal="center"/>
    </xf>
    <xf numFmtId="2" fontId="24" fillId="0" borderId="0" xfId="16" applyNumberFormat="1">
      <alignment horizontal="center"/>
    </xf>
    <xf numFmtId="2" fontId="0" fillId="0" borderId="0" xfId="0" applyNumberFormat="1" applyAlignment="1">
      <alignment horizontal="center" vertical="top"/>
    </xf>
    <xf numFmtId="0" fontId="35" fillId="0" borderId="0" xfId="0" applyFont="1"/>
    <xf numFmtId="0" fontId="36" fillId="0" borderId="0" xfId="0" applyFont="1"/>
    <xf numFmtId="0" fontId="12" fillId="0" borderId="0" xfId="6" applyFont="1" applyAlignment="1">
      <alignment horizontal="left" vertical="center"/>
    </xf>
    <xf numFmtId="0" fontId="28" fillId="0" borderId="0" xfId="8">
      <alignment horizontal="left"/>
      <protection locked="0"/>
    </xf>
    <xf numFmtId="0" fontId="27" fillId="0" borderId="4" xfId="13" applyBorder="1" applyAlignment="1">
      <alignment horizontal="left"/>
    </xf>
    <xf numFmtId="0" fontId="27" fillId="0" borderId="5" xfId="13" applyBorder="1" applyAlignment="1">
      <alignment horizontal="left"/>
    </xf>
    <xf numFmtId="0" fontId="27" fillId="0" borderId="6" xfId="13" applyBorder="1" applyAlignment="1">
      <alignment horizontal="left"/>
    </xf>
    <xf numFmtId="0" fontId="26" fillId="4" borderId="7" xfId="14" applyAlignment="1">
      <alignment horizontal="left"/>
      <protection locked="0"/>
    </xf>
    <xf numFmtId="0" fontId="0" fillId="0" borderId="0" xfId="0"/>
    <xf numFmtId="0" fontId="14" fillId="11" borderId="0" xfId="33">
      <alignment horizontal="center"/>
    </xf>
    <xf numFmtId="0" fontId="25" fillId="0" borderId="0" xfId="0" applyFont="1"/>
    <xf numFmtId="0" fontId="37" fillId="0" borderId="0" xfId="0" applyFont="1"/>
    <xf numFmtId="0" fontId="38" fillId="12" borderId="0" xfId="0" applyFont="1" applyFill="1"/>
    <xf numFmtId="186" fontId="0" fillId="0" borderId="0" xfId="0" applyNumberFormat="1"/>
    <xf numFmtId="3" fontId="0" fillId="0" borderId="0" xfId="0" applyNumberFormat="1"/>
    <xf numFmtId="187" fontId="0" fillId="0" borderId="0" xfId="0" applyNumberFormat="1"/>
    <xf numFmtId="186" fontId="25" fillId="0" borderId="0" xfId="0" applyNumberFormat="1" applyFont="1"/>
    <xf numFmtId="3" fontId="25" fillId="0" borderId="0" xfId="0" applyNumberFormat="1" applyFont="1"/>
    <xf numFmtId="187" fontId="25" fillId="0" borderId="0" xfId="0" applyNumberFormat="1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4" fontId="0" fillId="0" borderId="0" xfId="0" applyNumberFormat="1"/>
    <xf numFmtId="0" fontId="38" fillId="13" borderId="0" xfId="0" applyFont="1" applyFill="1"/>
    <xf numFmtId="0" fontId="38" fillId="14" borderId="0" xfId="0" applyFont="1" applyFill="1"/>
    <xf numFmtId="0" fontId="42" fillId="12" borderId="0" xfId="0" applyFont="1" applyFill="1"/>
    <xf numFmtId="0" fontId="38" fillId="12" borderId="2" xfId="0" applyFont="1" applyFill="1" applyBorder="1"/>
    <xf numFmtId="0" fontId="0" fillId="0" borderId="2" xfId="0" applyBorder="1"/>
    <xf numFmtId="186" fontId="0" fillId="0" borderId="2" xfId="0" applyNumberFormat="1" applyBorder="1"/>
    <xf numFmtId="3" fontId="0" fillId="0" borderId="2" xfId="0" applyNumberFormat="1" applyBorder="1"/>
    <xf numFmtId="4" fontId="0" fillId="0" borderId="2" xfId="0" applyNumberFormat="1" applyBorder="1"/>
    <xf numFmtId="187" fontId="0" fillId="0" borderId="2" xfId="0" applyNumberFormat="1" applyBorder="1"/>
    <xf numFmtId="0" fontId="25" fillId="0" borderId="2" xfId="0" applyFont="1" applyBorder="1"/>
    <xf numFmtId="186" fontId="25" fillId="0" borderId="2" xfId="0" applyNumberFormat="1" applyFont="1" applyBorder="1"/>
    <xf numFmtId="3" fontId="25" fillId="0" borderId="2" xfId="0" applyNumberFormat="1" applyFont="1" applyBorder="1"/>
    <xf numFmtId="187" fontId="25" fillId="0" borderId="2" xfId="0" applyNumberFormat="1" applyFont="1" applyBorder="1"/>
    <xf numFmtId="0" fontId="38" fillId="13" borderId="2" xfId="0" applyFont="1" applyFill="1" applyBorder="1"/>
    <xf numFmtId="0" fontId="38" fillId="14" borderId="2" xfId="0" applyFont="1" applyFill="1" applyBorder="1"/>
    <xf numFmtId="0" fontId="38" fillId="15" borderId="2" xfId="0" applyFont="1" applyFill="1" applyBorder="1"/>
    <xf numFmtId="0" fontId="38" fillId="16" borderId="2" xfId="0" applyFont="1" applyFill="1" applyBorder="1"/>
    <xf numFmtId="0" fontId="38" fillId="17" borderId="2" xfId="0" applyFont="1" applyFill="1" applyBorder="1"/>
    <xf numFmtId="0" fontId="38" fillId="18" borderId="2" xfId="0" applyFont="1" applyFill="1" applyBorder="1"/>
    <xf numFmtId="192" fontId="0" fillId="0" borderId="2" xfId="0" applyNumberFormat="1" applyBorder="1"/>
    <xf numFmtId="0" fontId="25" fillId="19" borderId="2" xfId="0" applyFont="1" applyFill="1" applyBorder="1"/>
    <xf numFmtId="0" fontId="43" fillId="0" borderId="0" xfId="0" applyFont="1"/>
    <xf numFmtId="0" fontId="38" fillId="12" borderId="0" xfId="0" applyFont="1" applyFill="1"/>
    <xf numFmtId="0" fontId="25" fillId="20" borderId="0" xfId="0" applyFont="1" applyFill="1"/>
    <xf numFmtId="193" fontId="0" fillId="0" borderId="0" xfId="0" applyNumberFormat="1"/>
    <xf numFmtId="9" fontId="25" fillId="0" borderId="0" xfId="0" applyNumberFormat="1" applyFont="1"/>
    <xf numFmtId="0" fontId="38" fillId="13" borderId="0" xfId="0" applyFont="1" applyFill="1"/>
    <xf numFmtId="0" fontId="25" fillId="21" borderId="0" xfId="0" applyFont="1" applyFill="1"/>
    <xf numFmtId="193" fontId="38" fillId="12" borderId="0" xfId="0" applyNumberFormat="1" applyFont="1" applyFill="1"/>
    <xf numFmtId="193" fontId="25" fillId="0" borderId="0" xfId="0" applyNumberFormat="1" applyFont="1"/>
    <xf numFmtId="193" fontId="25" fillId="21" borderId="0" xfId="0" applyNumberFormat="1" applyFont="1" applyFill="1"/>
    <xf numFmtId="0" fontId="38" fillId="14" borderId="0" xfId="0" applyFont="1" applyFill="1"/>
    <xf numFmtId="0" fontId="25" fillId="22" borderId="0" xfId="0" applyFont="1" applyFill="1"/>
    <xf numFmtId="194" fontId="0" fillId="0" borderId="0" xfId="0" applyNumberFormat="1"/>
    <xf numFmtId="0" fontId="44" fillId="0" borderId="0" xfId="0" applyFont="1"/>
    <xf numFmtId="0" fontId="0" fillId="23" borderId="0" xfId="0" applyFill="1"/>
    <xf numFmtId="186" fontId="0" fillId="23" borderId="0" xfId="0" applyNumberFormat="1" applyFill="1"/>
    <xf numFmtId="187" fontId="0" fillId="23" borderId="0" xfId="0" applyNumberFormat="1" applyFill="1"/>
    <xf numFmtId="195" fontId="0" fillId="0" borderId="0" xfId="0" applyNumberFormat="1"/>
    <xf numFmtId="195" fontId="18" fillId="0" borderId="0" xfId="11" applyNumberFormat="1"/>
  </cellXfs>
  <cellStyles count="44">
    <cellStyle name="Accounts Ref" xfId="15" xr:uid="{00000000-0005-0000-0000-000000000000}"/>
    <cellStyle name="Assumption" xfId="14" xr:uid="{00000000-0005-0000-0000-000001000000}"/>
    <cellStyle name="Comma" xfId="1" builtinId="3"/>
    <cellStyle name="Comma [0]" xfId="2" builtinId="6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2" xfId="43" xr:uid="{E5E29EAE-8245-4F95-B751-D9C883F65AC7}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rmal 3" xfId="42" xr:uid="{9D915720-914F-4917-A575-5220F55A30DC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19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184" formatCode="[$-F800]dddd\,\ mmmm\ dd\,\ yyyy"/>
    </dxf>
    <dxf>
      <numFmt numFmtId="2" formatCode="0.00"/>
    </dxf>
    <dxf>
      <numFmt numFmtId="184" formatCode="[$-F800]dddd\,\ mmmm\ dd\,\ yyyy"/>
    </dxf>
    <dxf>
      <border outline="0">
        <top style="thin">
          <color auto="1"/>
        </top>
      </border>
    </dxf>
    <dxf>
      <numFmt numFmtId="2" formatCode="0.00"/>
    </dxf>
    <dxf>
      <numFmt numFmtId="2" formatCode="0.00"/>
    </dxf>
    <dxf>
      <border outline="0">
        <top style="thin">
          <color auto="1"/>
        </top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18"/>
      <tableStyleElement type="firstRowStripe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23/09/relationships/Python" Target="pytho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Amount vs Expenses (Last 12 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Financial!$S$9</c:f>
              <c:strCache>
                <c:ptCount val="1"/>
                <c:pt idx="0">
                  <c:v>Total Amount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Financial!$R$10:$R$21</c:f>
              <c:numCache>
                <c:formatCode>mmm\ yyyy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Financial!$S$10:$S$21</c:f>
              <c:numCache>
                <c:formatCode>#,##0.00</c:formatCode>
                <c:ptCount val="12"/>
                <c:pt idx="0">
                  <c:v>106357.18999999999</c:v>
                </c:pt>
                <c:pt idx="1">
                  <c:v>97531.480000000069</c:v>
                </c:pt>
                <c:pt idx="2">
                  <c:v>102584.45999999998</c:v>
                </c:pt>
                <c:pt idx="3">
                  <c:v>83369.549999999988</c:v>
                </c:pt>
                <c:pt idx="4">
                  <c:v>99130.83000000006</c:v>
                </c:pt>
                <c:pt idx="5">
                  <c:v>106716.71999999996</c:v>
                </c:pt>
                <c:pt idx="6">
                  <c:v>113568.20999999995</c:v>
                </c:pt>
                <c:pt idx="7">
                  <c:v>97413.02999999997</c:v>
                </c:pt>
                <c:pt idx="8">
                  <c:v>106073.10000000002</c:v>
                </c:pt>
                <c:pt idx="9">
                  <c:v>95574.809999999939</c:v>
                </c:pt>
                <c:pt idx="10">
                  <c:v>98152.770000000048</c:v>
                </c:pt>
                <c:pt idx="11">
                  <c:v>105323.97999999998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D-4D98-B4F2-FA98DC21105B}"/>
            </c:ext>
          </c:extLst>
        </c:ser>
        <c:ser>
          <c:idx val="1"/>
          <c:order val="1"/>
          <c:tx>
            <c:strRef>
              <c:f>Financial!$T$9</c:f>
              <c:strCache>
                <c:ptCount val="1"/>
                <c:pt idx="0">
                  <c:v>Total Expenses</c:v>
                </c:pt>
              </c:strCache>
            </c:strRef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diamond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Financial!$R$10:$R$21</c:f>
              <c:numCache>
                <c:formatCode>mmm\ yyyy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Financial!$T$10:$T$21</c:f>
              <c:numCache>
                <c:formatCode>#,##0.00</c:formatCode>
                <c:ptCount val="12"/>
                <c:pt idx="0">
                  <c:v>47860.735499999981</c:v>
                </c:pt>
                <c:pt idx="1">
                  <c:v>43889.166000000012</c:v>
                </c:pt>
                <c:pt idx="2">
                  <c:v>46163.007000000027</c:v>
                </c:pt>
                <c:pt idx="3">
                  <c:v>37516.29750000003</c:v>
                </c:pt>
                <c:pt idx="4">
                  <c:v>44608.873500000009</c:v>
                </c:pt>
                <c:pt idx="5">
                  <c:v>48022.524000000019</c:v>
                </c:pt>
                <c:pt idx="6">
                  <c:v>51105.694499999983</c:v>
                </c:pt>
                <c:pt idx="7">
                  <c:v>43835.863500000021</c:v>
                </c:pt>
                <c:pt idx="8">
                  <c:v>47732.895000000026</c:v>
                </c:pt>
                <c:pt idx="9">
                  <c:v>43008.664499999999</c:v>
                </c:pt>
                <c:pt idx="10">
                  <c:v>44168.746500000001</c:v>
                </c:pt>
                <c:pt idx="11">
                  <c:v>47395.791000000005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ED-4D98-B4F2-FA98DC211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5710623"/>
        <c:axId val="1655707263"/>
      </c:lineChart>
      <c:dateAx>
        <c:axId val="1655710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707263"/>
        <c:crosses val="autoZero"/>
        <c:auto val="1"/>
        <c:lblOffset val="100"/>
        <c:baseTimeUnit val="months"/>
      </c:dateAx>
      <c:valAx>
        <c:axId val="165570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71062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Trend (2022-2024)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'Transaction Summary'!$B$7</c:f>
              <c:strCache>
                <c:ptCount val="1"/>
                <c:pt idx="0">
                  <c:v>Total Sales 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'Transaction Summary'!$A$8:$A$43</c:f>
              <c:strCache>
                <c:ptCount val="36"/>
                <c:pt idx="0">
                  <c:v>Jan 2022</c:v>
                </c:pt>
                <c:pt idx="1">
                  <c:v>Feb 2022</c:v>
                </c:pt>
                <c:pt idx="2">
                  <c:v>Mar 2022</c:v>
                </c:pt>
                <c:pt idx="3">
                  <c:v>Apr 2022</c:v>
                </c:pt>
                <c:pt idx="4">
                  <c:v>May 2022</c:v>
                </c:pt>
                <c:pt idx="5">
                  <c:v>Jun 2022</c:v>
                </c:pt>
                <c:pt idx="6">
                  <c:v>Jul 2022</c:v>
                </c:pt>
                <c:pt idx="7">
                  <c:v>Aug 2022</c:v>
                </c:pt>
                <c:pt idx="8">
                  <c:v>Sep 2022</c:v>
                </c:pt>
                <c:pt idx="9">
                  <c:v>Oct 2022</c:v>
                </c:pt>
                <c:pt idx="10">
                  <c:v>Nov 2022</c:v>
                </c:pt>
                <c:pt idx="11">
                  <c:v>Dec 2022</c:v>
                </c:pt>
                <c:pt idx="12">
                  <c:v>Jan 2023</c:v>
                </c:pt>
                <c:pt idx="13">
                  <c:v>Feb 2023</c:v>
                </c:pt>
                <c:pt idx="14">
                  <c:v>Mar 2023</c:v>
                </c:pt>
                <c:pt idx="15">
                  <c:v>Apr 2023</c:v>
                </c:pt>
                <c:pt idx="16">
                  <c:v>May 2023</c:v>
                </c:pt>
                <c:pt idx="17">
                  <c:v>Jun 2023</c:v>
                </c:pt>
                <c:pt idx="18">
                  <c:v>Jul 2023</c:v>
                </c:pt>
                <c:pt idx="19">
                  <c:v>Aug 2023</c:v>
                </c:pt>
                <c:pt idx="20">
                  <c:v>Sep 2023</c:v>
                </c:pt>
                <c:pt idx="21">
                  <c:v>Oct 2023</c:v>
                </c:pt>
                <c:pt idx="22">
                  <c:v>Nov 2023</c:v>
                </c:pt>
                <c:pt idx="23">
                  <c:v>Dec 2023</c:v>
                </c:pt>
                <c:pt idx="24">
                  <c:v>Jan 2024</c:v>
                </c:pt>
                <c:pt idx="25">
                  <c:v>Feb 2024</c:v>
                </c:pt>
                <c:pt idx="26">
                  <c:v>Mar 2024</c:v>
                </c:pt>
                <c:pt idx="27">
                  <c:v>Apr 2024</c:v>
                </c:pt>
                <c:pt idx="28">
                  <c:v>May 2024</c:v>
                </c:pt>
                <c:pt idx="29">
                  <c:v>Jun 2024</c:v>
                </c:pt>
                <c:pt idx="30">
                  <c:v>Jul 2024</c:v>
                </c:pt>
                <c:pt idx="31">
                  <c:v>Aug 2024</c:v>
                </c:pt>
                <c:pt idx="32">
                  <c:v>Sep 2024</c:v>
                </c:pt>
                <c:pt idx="33">
                  <c:v>Oct 2024</c:v>
                </c:pt>
                <c:pt idx="34">
                  <c:v>Nov 2024</c:v>
                </c:pt>
                <c:pt idx="35">
                  <c:v>Dec 2024</c:v>
                </c:pt>
              </c:strCache>
            </c:strRef>
          </c:cat>
          <c:val>
            <c:numRef>
              <c:f>'Transaction Summary'!$B$8:$B$43</c:f>
              <c:numCache>
                <c:formatCode>"$"#,##0.00</c:formatCode>
                <c:ptCount val="36"/>
                <c:pt idx="0">
                  <c:v>11187.180000000002</c:v>
                </c:pt>
                <c:pt idx="1">
                  <c:v>13723.360000000002</c:v>
                </c:pt>
                <c:pt idx="2">
                  <c:v>8516.1900000000023</c:v>
                </c:pt>
                <c:pt idx="3">
                  <c:v>10500.61</c:v>
                </c:pt>
                <c:pt idx="4">
                  <c:v>10006.229999999998</c:v>
                </c:pt>
                <c:pt idx="5">
                  <c:v>9634.57</c:v>
                </c:pt>
                <c:pt idx="6">
                  <c:v>11649.19</c:v>
                </c:pt>
                <c:pt idx="7">
                  <c:v>11791.069999999998</c:v>
                </c:pt>
                <c:pt idx="8">
                  <c:v>12202.019999999997</c:v>
                </c:pt>
                <c:pt idx="9">
                  <c:v>10410.939999999999</c:v>
                </c:pt>
                <c:pt idx="10">
                  <c:v>13215.609999999999</c:v>
                </c:pt>
                <c:pt idx="11">
                  <c:v>12027.46</c:v>
                </c:pt>
                <c:pt idx="12">
                  <c:v>11093.480000000001</c:v>
                </c:pt>
                <c:pt idx="13">
                  <c:v>7562.2699999999995</c:v>
                </c:pt>
                <c:pt idx="14">
                  <c:v>9742.9</c:v>
                </c:pt>
                <c:pt idx="15">
                  <c:v>11493.199999999993</c:v>
                </c:pt>
                <c:pt idx="16">
                  <c:v>10337.180000000002</c:v>
                </c:pt>
                <c:pt idx="17">
                  <c:v>7767.9100000000044</c:v>
                </c:pt>
                <c:pt idx="18">
                  <c:v>7839.52</c:v>
                </c:pt>
                <c:pt idx="19">
                  <c:v>11059.349999999999</c:v>
                </c:pt>
                <c:pt idx="20">
                  <c:v>10202.520000000002</c:v>
                </c:pt>
                <c:pt idx="21">
                  <c:v>10944.589999999997</c:v>
                </c:pt>
                <c:pt idx="22">
                  <c:v>10400.830000000002</c:v>
                </c:pt>
                <c:pt idx="23">
                  <c:v>8618.4599999999991</c:v>
                </c:pt>
                <c:pt idx="24">
                  <c:v>13985.990000000002</c:v>
                </c:pt>
                <c:pt idx="25">
                  <c:v>9085</c:v>
                </c:pt>
                <c:pt idx="26">
                  <c:v>9467.2200000000012</c:v>
                </c:pt>
                <c:pt idx="27">
                  <c:v>12224.45</c:v>
                </c:pt>
                <c:pt idx="28">
                  <c:v>10073.09</c:v>
                </c:pt>
                <c:pt idx="29">
                  <c:v>10641.380000000001</c:v>
                </c:pt>
                <c:pt idx="30">
                  <c:v>12487.420000000002</c:v>
                </c:pt>
                <c:pt idx="31">
                  <c:v>14072.24</c:v>
                </c:pt>
                <c:pt idx="32">
                  <c:v>11256.02</c:v>
                </c:pt>
                <c:pt idx="33">
                  <c:v>10913.299999999997</c:v>
                </c:pt>
                <c:pt idx="34">
                  <c:v>10615.22</c:v>
                </c:pt>
                <c:pt idx="35">
                  <c:v>10779.31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6-43B8-A246-2AE52C55B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536767"/>
        <c:axId val="1366533407"/>
      </c:lineChart>
      <c:catAx>
        <c:axId val="13665367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33407"/>
        <c:crosses val="autoZero"/>
        <c:auto val="1"/>
        <c:lblAlgn val="ctr"/>
        <c:lblOffset val="100"/>
        <c:noMultiLvlLbl val="0"/>
      </c:catAx>
      <c:valAx>
        <c:axId val="136653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36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Trend (2022-2024)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'Transaction Summary'!$B$7</c:f>
              <c:strCache>
                <c:ptCount val="1"/>
                <c:pt idx="0">
                  <c:v>Total Sales 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'Transaction Summary'!$A$8:$A$43</c:f>
              <c:strCache>
                <c:ptCount val="36"/>
                <c:pt idx="0">
                  <c:v>Jan 2022</c:v>
                </c:pt>
                <c:pt idx="1">
                  <c:v>Feb 2022</c:v>
                </c:pt>
                <c:pt idx="2">
                  <c:v>Mar 2022</c:v>
                </c:pt>
                <c:pt idx="3">
                  <c:v>Apr 2022</c:v>
                </c:pt>
                <c:pt idx="4">
                  <c:v>May 2022</c:v>
                </c:pt>
                <c:pt idx="5">
                  <c:v>Jun 2022</c:v>
                </c:pt>
                <c:pt idx="6">
                  <c:v>Jul 2022</c:v>
                </c:pt>
                <c:pt idx="7">
                  <c:v>Aug 2022</c:v>
                </c:pt>
                <c:pt idx="8">
                  <c:v>Sep 2022</c:v>
                </c:pt>
                <c:pt idx="9">
                  <c:v>Oct 2022</c:v>
                </c:pt>
                <c:pt idx="10">
                  <c:v>Nov 2022</c:v>
                </c:pt>
                <c:pt idx="11">
                  <c:v>Dec 2022</c:v>
                </c:pt>
                <c:pt idx="12">
                  <c:v>Jan 2023</c:v>
                </c:pt>
                <c:pt idx="13">
                  <c:v>Feb 2023</c:v>
                </c:pt>
                <c:pt idx="14">
                  <c:v>Mar 2023</c:v>
                </c:pt>
                <c:pt idx="15">
                  <c:v>Apr 2023</c:v>
                </c:pt>
                <c:pt idx="16">
                  <c:v>May 2023</c:v>
                </c:pt>
                <c:pt idx="17">
                  <c:v>Jun 2023</c:v>
                </c:pt>
                <c:pt idx="18">
                  <c:v>Jul 2023</c:v>
                </c:pt>
                <c:pt idx="19">
                  <c:v>Aug 2023</c:v>
                </c:pt>
                <c:pt idx="20">
                  <c:v>Sep 2023</c:v>
                </c:pt>
                <c:pt idx="21">
                  <c:v>Oct 2023</c:v>
                </c:pt>
                <c:pt idx="22">
                  <c:v>Nov 2023</c:v>
                </c:pt>
                <c:pt idx="23">
                  <c:v>Dec 2023</c:v>
                </c:pt>
                <c:pt idx="24">
                  <c:v>Jan 2024</c:v>
                </c:pt>
                <c:pt idx="25">
                  <c:v>Feb 2024</c:v>
                </c:pt>
                <c:pt idx="26">
                  <c:v>Mar 2024</c:v>
                </c:pt>
                <c:pt idx="27">
                  <c:v>Apr 2024</c:v>
                </c:pt>
                <c:pt idx="28">
                  <c:v>May 2024</c:v>
                </c:pt>
                <c:pt idx="29">
                  <c:v>Jun 2024</c:v>
                </c:pt>
                <c:pt idx="30">
                  <c:v>Jul 2024</c:v>
                </c:pt>
                <c:pt idx="31">
                  <c:v>Aug 2024</c:v>
                </c:pt>
                <c:pt idx="32">
                  <c:v>Sep 2024</c:v>
                </c:pt>
                <c:pt idx="33">
                  <c:v>Oct 2024</c:v>
                </c:pt>
                <c:pt idx="34">
                  <c:v>Nov 2024</c:v>
                </c:pt>
                <c:pt idx="35">
                  <c:v>Dec 2024</c:v>
                </c:pt>
              </c:strCache>
            </c:strRef>
          </c:cat>
          <c:val>
            <c:numRef>
              <c:f>'Transaction Summary'!$B$8:$B$43</c:f>
              <c:numCache>
                <c:formatCode>"$"#,##0.00</c:formatCode>
                <c:ptCount val="36"/>
                <c:pt idx="0">
                  <c:v>11187.180000000002</c:v>
                </c:pt>
                <c:pt idx="1">
                  <c:v>13723.360000000002</c:v>
                </c:pt>
                <c:pt idx="2">
                  <c:v>8516.1900000000023</c:v>
                </c:pt>
                <c:pt idx="3">
                  <c:v>10500.61</c:v>
                </c:pt>
                <c:pt idx="4">
                  <c:v>10006.229999999998</c:v>
                </c:pt>
                <c:pt idx="5">
                  <c:v>9634.57</c:v>
                </c:pt>
                <c:pt idx="6">
                  <c:v>11649.19</c:v>
                </c:pt>
                <c:pt idx="7">
                  <c:v>11791.069999999998</c:v>
                </c:pt>
                <c:pt idx="8">
                  <c:v>12202.019999999997</c:v>
                </c:pt>
                <c:pt idx="9">
                  <c:v>10410.939999999999</c:v>
                </c:pt>
                <c:pt idx="10">
                  <c:v>13215.609999999999</c:v>
                </c:pt>
                <c:pt idx="11">
                  <c:v>12027.46</c:v>
                </c:pt>
                <c:pt idx="12">
                  <c:v>11093.480000000001</c:v>
                </c:pt>
                <c:pt idx="13">
                  <c:v>7562.2699999999995</c:v>
                </c:pt>
                <c:pt idx="14">
                  <c:v>9742.9</c:v>
                </c:pt>
                <c:pt idx="15">
                  <c:v>11493.199999999993</c:v>
                </c:pt>
                <c:pt idx="16">
                  <c:v>10337.180000000002</c:v>
                </c:pt>
                <c:pt idx="17">
                  <c:v>7767.9100000000044</c:v>
                </c:pt>
                <c:pt idx="18">
                  <c:v>7839.52</c:v>
                </c:pt>
                <c:pt idx="19">
                  <c:v>11059.349999999999</c:v>
                </c:pt>
                <c:pt idx="20">
                  <c:v>10202.520000000002</c:v>
                </c:pt>
                <c:pt idx="21">
                  <c:v>10944.589999999997</c:v>
                </c:pt>
                <c:pt idx="22">
                  <c:v>10400.830000000002</c:v>
                </c:pt>
                <c:pt idx="23">
                  <c:v>8618.4599999999991</c:v>
                </c:pt>
                <c:pt idx="24">
                  <c:v>13985.990000000002</c:v>
                </c:pt>
                <c:pt idx="25">
                  <c:v>9085</c:v>
                </c:pt>
                <c:pt idx="26">
                  <c:v>9467.2200000000012</c:v>
                </c:pt>
                <c:pt idx="27">
                  <c:v>12224.45</c:v>
                </c:pt>
                <c:pt idx="28">
                  <c:v>10073.09</c:v>
                </c:pt>
                <c:pt idx="29">
                  <c:v>10641.380000000001</c:v>
                </c:pt>
                <c:pt idx="30">
                  <c:v>12487.420000000002</c:v>
                </c:pt>
                <c:pt idx="31">
                  <c:v>14072.24</c:v>
                </c:pt>
                <c:pt idx="32">
                  <c:v>11256.02</c:v>
                </c:pt>
                <c:pt idx="33">
                  <c:v>10913.299999999997</c:v>
                </c:pt>
                <c:pt idx="34">
                  <c:v>10615.22</c:v>
                </c:pt>
                <c:pt idx="35">
                  <c:v>10779.31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2-4E0A-8223-55B4ED7C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05551"/>
        <c:axId val="395107951"/>
      </c:lineChart>
      <c:catAx>
        <c:axId val="39510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07951"/>
        <c:crosses val="autoZero"/>
        <c:auto val="1"/>
        <c:lblAlgn val="ctr"/>
        <c:lblOffset val="100"/>
        <c:noMultiLvlLbl val="0"/>
      </c:catAx>
      <c:valAx>
        <c:axId val="39510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0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Transactions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'Transaction Summary'!$B$7</c:f>
              <c:strCache>
                <c:ptCount val="1"/>
                <c:pt idx="0">
                  <c:v>Total Sales 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'Transaction Summary'!$A$8:$A$43</c:f>
              <c:strCache>
                <c:ptCount val="36"/>
                <c:pt idx="0">
                  <c:v>Jan 2022</c:v>
                </c:pt>
                <c:pt idx="1">
                  <c:v>Feb 2022</c:v>
                </c:pt>
                <c:pt idx="2">
                  <c:v>Mar 2022</c:v>
                </c:pt>
                <c:pt idx="3">
                  <c:v>Apr 2022</c:v>
                </c:pt>
                <c:pt idx="4">
                  <c:v>May 2022</c:v>
                </c:pt>
                <c:pt idx="5">
                  <c:v>Jun 2022</c:v>
                </c:pt>
                <c:pt idx="6">
                  <c:v>Jul 2022</c:v>
                </c:pt>
                <c:pt idx="7">
                  <c:v>Aug 2022</c:v>
                </c:pt>
                <c:pt idx="8">
                  <c:v>Sep 2022</c:v>
                </c:pt>
                <c:pt idx="9">
                  <c:v>Oct 2022</c:v>
                </c:pt>
                <c:pt idx="10">
                  <c:v>Nov 2022</c:v>
                </c:pt>
                <c:pt idx="11">
                  <c:v>Dec 2022</c:v>
                </c:pt>
                <c:pt idx="12">
                  <c:v>Jan 2023</c:v>
                </c:pt>
                <c:pt idx="13">
                  <c:v>Feb 2023</c:v>
                </c:pt>
                <c:pt idx="14">
                  <c:v>Mar 2023</c:v>
                </c:pt>
                <c:pt idx="15">
                  <c:v>Apr 2023</c:v>
                </c:pt>
                <c:pt idx="16">
                  <c:v>May 2023</c:v>
                </c:pt>
                <c:pt idx="17">
                  <c:v>Jun 2023</c:v>
                </c:pt>
                <c:pt idx="18">
                  <c:v>Jul 2023</c:v>
                </c:pt>
                <c:pt idx="19">
                  <c:v>Aug 2023</c:v>
                </c:pt>
                <c:pt idx="20">
                  <c:v>Sep 2023</c:v>
                </c:pt>
                <c:pt idx="21">
                  <c:v>Oct 2023</c:v>
                </c:pt>
                <c:pt idx="22">
                  <c:v>Nov 2023</c:v>
                </c:pt>
                <c:pt idx="23">
                  <c:v>Dec 2023</c:v>
                </c:pt>
                <c:pt idx="24">
                  <c:v>Jan 2024</c:v>
                </c:pt>
                <c:pt idx="25">
                  <c:v>Feb 2024</c:v>
                </c:pt>
                <c:pt idx="26">
                  <c:v>Mar 2024</c:v>
                </c:pt>
                <c:pt idx="27">
                  <c:v>Apr 2024</c:v>
                </c:pt>
                <c:pt idx="28">
                  <c:v>May 2024</c:v>
                </c:pt>
                <c:pt idx="29">
                  <c:v>Jun 2024</c:v>
                </c:pt>
                <c:pt idx="30">
                  <c:v>Jul 2024</c:v>
                </c:pt>
                <c:pt idx="31">
                  <c:v>Aug 2024</c:v>
                </c:pt>
                <c:pt idx="32">
                  <c:v>Sep 2024</c:v>
                </c:pt>
                <c:pt idx="33">
                  <c:v>Oct 2024</c:v>
                </c:pt>
                <c:pt idx="34">
                  <c:v>Nov 2024</c:v>
                </c:pt>
                <c:pt idx="35">
                  <c:v>Dec 2024</c:v>
                </c:pt>
              </c:strCache>
            </c:strRef>
          </c:cat>
          <c:val>
            <c:numRef>
              <c:f>'Transaction Summary'!$B$8:$B$43</c:f>
              <c:numCache>
                <c:formatCode>"$"#,##0.00</c:formatCode>
                <c:ptCount val="36"/>
                <c:pt idx="0">
                  <c:v>11187.180000000002</c:v>
                </c:pt>
                <c:pt idx="1">
                  <c:v>13723.360000000002</c:v>
                </c:pt>
                <c:pt idx="2">
                  <c:v>8516.1900000000023</c:v>
                </c:pt>
                <c:pt idx="3">
                  <c:v>10500.61</c:v>
                </c:pt>
                <c:pt idx="4">
                  <c:v>10006.229999999998</c:v>
                </c:pt>
                <c:pt idx="5">
                  <c:v>9634.57</c:v>
                </c:pt>
                <c:pt idx="6">
                  <c:v>11649.19</c:v>
                </c:pt>
                <c:pt idx="7">
                  <c:v>11791.069999999998</c:v>
                </c:pt>
                <c:pt idx="8">
                  <c:v>12202.019999999997</c:v>
                </c:pt>
                <c:pt idx="9">
                  <c:v>10410.939999999999</c:v>
                </c:pt>
                <c:pt idx="10">
                  <c:v>13215.609999999999</c:v>
                </c:pt>
                <c:pt idx="11">
                  <c:v>12027.46</c:v>
                </c:pt>
                <c:pt idx="12">
                  <c:v>11093.480000000001</c:v>
                </c:pt>
                <c:pt idx="13">
                  <c:v>7562.2699999999995</c:v>
                </c:pt>
                <c:pt idx="14">
                  <c:v>9742.9</c:v>
                </c:pt>
                <c:pt idx="15">
                  <c:v>11493.199999999993</c:v>
                </c:pt>
                <c:pt idx="16">
                  <c:v>10337.180000000002</c:v>
                </c:pt>
                <c:pt idx="17">
                  <c:v>7767.9100000000044</c:v>
                </c:pt>
                <c:pt idx="18">
                  <c:v>7839.52</c:v>
                </c:pt>
                <c:pt idx="19">
                  <c:v>11059.349999999999</c:v>
                </c:pt>
                <c:pt idx="20">
                  <c:v>10202.520000000002</c:v>
                </c:pt>
                <c:pt idx="21">
                  <c:v>10944.589999999997</c:v>
                </c:pt>
                <c:pt idx="22">
                  <c:v>10400.830000000002</c:v>
                </c:pt>
                <c:pt idx="23">
                  <c:v>8618.4599999999991</c:v>
                </c:pt>
                <c:pt idx="24">
                  <c:v>13985.990000000002</c:v>
                </c:pt>
                <c:pt idx="25">
                  <c:v>9085</c:v>
                </c:pt>
                <c:pt idx="26">
                  <c:v>9467.2200000000012</c:v>
                </c:pt>
                <c:pt idx="27">
                  <c:v>12224.45</c:v>
                </c:pt>
                <c:pt idx="28">
                  <c:v>10073.09</c:v>
                </c:pt>
                <c:pt idx="29">
                  <c:v>10641.380000000001</c:v>
                </c:pt>
                <c:pt idx="30">
                  <c:v>12487.420000000002</c:v>
                </c:pt>
                <c:pt idx="31">
                  <c:v>14072.24</c:v>
                </c:pt>
                <c:pt idx="32">
                  <c:v>11256.02</c:v>
                </c:pt>
                <c:pt idx="33">
                  <c:v>10913.299999999997</c:v>
                </c:pt>
                <c:pt idx="34">
                  <c:v>10615.22</c:v>
                </c:pt>
                <c:pt idx="35">
                  <c:v>10779.31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32-48CC-98CA-7079F91BAB91}"/>
            </c:ext>
          </c:extLst>
        </c:ser>
        <c:ser>
          <c:idx val="1"/>
          <c:order val="1"/>
          <c:tx>
            <c:strRef>
              <c:f>'Transaction Summary'!$C$7</c:f>
              <c:strCache>
                <c:ptCount val="1"/>
                <c:pt idx="0">
                  <c:v>Total Quantity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'Transaction Summary'!$A$8:$A$43</c:f>
              <c:strCache>
                <c:ptCount val="36"/>
                <c:pt idx="0">
                  <c:v>Jan 2022</c:v>
                </c:pt>
                <c:pt idx="1">
                  <c:v>Feb 2022</c:v>
                </c:pt>
                <c:pt idx="2">
                  <c:v>Mar 2022</c:v>
                </c:pt>
                <c:pt idx="3">
                  <c:v>Apr 2022</c:v>
                </c:pt>
                <c:pt idx="4">
                  <c:v>May 2022</c:v>
                </c:pt>
                <c:pt idx="5">
                  <c:v>Jun 2022</c:v>
                </c:pt>
                <c:pt idx="6">
                  <c:v>Jul 2022</c:v>
                </c:pt>
                <c:pt idx="7">
                  <c:v>Aug 2022</c:v>
                </c:pt>
                <c:pt idx="8">
                  <c:v>Sep 2022</c:v>
                </c:pt>
                <c:pt idx="9">
                  <c:v>Oct 2022</c:v>
                </c:pt>
                <c:pt idx="10">
                  <c:v>Nov 2022</c:v>
                </c:pt>
                <c:pt idx="11">
                  <c:v>Dec 2022</c:v>
                </c:pt>
                <c:pt idx="12">
                  <c:v>Jan 2023</c:v>
                </c:pt>
                <c:pt idx="13">
                  <c:v>Feb 2023</c:v>
                </c:pt>
                <c:pt idx="14">
                  <c:v>Mar 2023</c:v>
                </c:pt>
                <c:pt idx="15">
                  <c:v>Apr 2023</c:v>
                </c:pt>
                <c:pt idx="16">
                  <c:v>May 2023</c:v>
                </c:pt>
                <c:pt idx="17">
                  <c:v>Jun 2023</c:v>
                </c:pt>
                <c:pt idx="18">
                  <c:v>Jul 2023</c:v>
                </c:pt>
                <c:pt idx="19">
                  <c:v>Aug 2023</c:v>
                </c:pt>
                <c:pt idx="20">
                  <c:v>Sep 2023</c:v>
                </c:pt>
                <c:pt idx="21">
                  <c:v>Oct 2023</c:v>
                </c:pt>
                <c:pt idx="22">
                  <c:v>Nov 2023</c:v>
                </c:pt>
                <c:pt idx="23">
                  <c:v>Dec 2023</c:v>
                </c:pt>
                <c:pt idx="24">
                  <c:v>Jan 2024</c:v>
                </c:pt>
                <c:pt idx="25">
                  <c:v>Feb 2024</c:v>
                </c:pt>
                <c:pt idx="26">
                  <c:v>Mar 2024</c:v>
                </c:pt>
                <c:pt idx="27">
                  <c:v>Apr 2024</c:v>
                </c:pt>
                <c:pt idx="28">
                  <c:v>May 2024</c:v>
                </c:pt>
                <c:pt idx="29">
                  <c:v>Jun 2024</c:v>
                </c:pt>
                <c:pt idx="30">
                  <c:v>Jul 2024</c:v>
                </c:pt>
                <c:pt idx="31">
                  <c:v>Aug 2024</c:v>
                </c:pt>
                <c:pt idx="32">
                  <c:v>Sep 2024</c:v>
                </c:pt>
                <c:pt idx="33">
                  <c:v>Oct 2024</c:v>
                </c:pt>
                <c:pt idx="34">
                  <c:v>Nov 2024</c:v>
                </c:pt>
                <c:pt idx="35">
                  <c:v>Dec 2024</c:v>
                </c:pt>
              </c:strCache>
            </c:strRef>
          </c:cat>
          <c:val>
            <c:numRef>
              <c:f>'Transaction Summary'!$C$8:$C$43</c:f>
              <c:numCache>
                <c:formatCode>#,##0</c:formatCode>
                <c:ptCount val="36"/>
                <c:pt idx="0">
                  <c:v>1040</c:v>
                </c:pt>
                <c:pt idx="1">
                  <c:v>1123</c:v>
                </c:pt>
                <c:pt idx="2">
                  <c:v>961</c:v>
                </c:pt>
                <c:pt idx="3">
                  <c:v>1111</c:v>
                </c:pt>
                <c:pt idx="4">
                  <c:v>1017</c:v>
                </c:pt>
                <c:pt idx="5">
                  <c:v>995</c:v>
                </c:pt>
                <c:pt idx="6">
                  <c:v>1370</c:v>
                </c:pt>
                <c:pt idx="7">
                  <c:v>1059</c:v>
                </c:pt>
                <c:pt idx="8">
                  <c:v>1184</c:v>
                </c:pt>
                <c:pt idx="9">
                  <c:v>908</c:v>
                </c:pt>
                <c:pt idx="10">
                  <c:v>1100</c:v>
                </c:pt>
                <c:pt idx="11">
                  <c:v>1278</c:v>
                </c:pt>
                <c:pt idx="12">
                  <c:v>684</c:v>
                </c:pt>
                <c:pt idx="13">
                  <c:v>753</c:v>
                </c:pt>
                <c:pt idx="14">
                  <c:v>899</c:v>
                </c:pt>
                <c:pt idx="15">
                  <c:v>925</c:v>
                </c:pt>
                <c:pt idx="16">
                  <c:v>1053</c:v>
                </c:pt>
                <c:pt idx="17">
                  <c:v>798</c:v>
                </c:pt>
                <c:pt idx="18">
                  <c:v>772</c:v>
                </c:pt>
                <c:pt idx="19">
                  <c:v>1301</c:v>
                </c:pt>
                <c:pt idx="20">
                  <c:v>901</c:v>
                </c:pt>
                <c:pt idx="21">
                  <c:v>1118</c:v>
                </c:pt>
                <c:pt idx="22">
                  <c:v>1019</c:v>
                </c:pt>
                <c:pt idx="23">
                  <c:v>892</c:v>
                </c:pt>
                <c:pt idx="24">
                  <c:v>1341</c:v>
                </c:pt>
                <c:pt idx="25">
                  <c:v>902</c:v>
                </c:pt>
                <c:pt idx="26">
                  <c:v>1115</c:v>
                </c:pt>
                <c:pt idx="27">
                  <c:v>1099</c:v>
                </c:pt>
                <c:pt idx="28">
                  <c:v>914</c:v>
                </c:pt>
                <c:pt idx="29">
                  <c:v>1041</c:v>
                </c:pt>
                <c:pt idx="30">
                  <c:v>1154</c:v>
                </c:pt>
                <c:pt idx="31">
                  <c:v>1496</c:v>
                </c:pt>
                <c:pt idx="32">
                  <c:v>1057</c:v>
                </c:pt>
                <c:pt idx="33">
                  <c:v>1178</c:v>
                </c:pt>
                <c:pt idx="34">
                  <c:v>1154</c:v>
                </c:pt>
                <c:pt idx="35">
                  <c:v>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32-48CC-98CA-7079F91BAB91}"/>
            </c:ext>
          </c:extLst>
        </c:ser>
        <c:ser>
          <c:idx val="2"/>
          <c:order val="2"/>
          <c:tx>
            <c:strRef>
              <c:f>'Transaction Summary'!$D$7</c:f>
              <c:strCache>
                <c:ptCount val="1"/>
                <c:pt idx="0">
                  <c:v>Transaction Count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'Transaction Summary'!$A$8:$A$43</c:f>
              <c:strCache>
                <c:ptCount val="36"/>
                <c:pt idx="0">
                  <c:v>Jan 2022</c:v>
                </c:pt>
                <c:pt idx="1">
                  <c:v>Feb 2022</c:v>
                </c:pt>
                <c:pt idx="2">
                  <c:v>Mar 2022</c:v>
                </c:pt>
                <c:pt idx="3">
                  <c:v>Apr 2022</c:v>
                </c:pt>
                <c:pt idx="4">
                  <c:v>May 2022</c:v>
                </c:pt>
                <c:pt idx="5">
                  <c:v>Jun 2022</c:v>
                </c:pt>
                <c:pt idx="6">
                  <c:v>Jul 2022</c:v>
                </c:pt>
                <c:pt idx="7">
                  <c:v>Aug 2022</c:v>
                </c:pt>
                <c:pt idx="8">
                  <c:v>Sep 2022</c:v>
                </c:pt>
                <c:pt idx="9">
                  <c:v>Oct 2022</c:v>
                </c:pt>
                <c:pt idx="10">
                  <c:v>Nov 2022</c:v>
                </c:pt>
                <c:pt idx="11">
                  <c:v>Dec 2022</c:v>
                </c:pt>
                <c:pt idx="12">
                  <c:v>Jan 2023</c:v>
                </c:pt>
                <c:pt idx="13">
                  <c:v>Feb 2023</c:v>
                </c:pt>
                <c:pt idx="14">
                  <c:v>Mar 2023</c:v>
                </c:pt>
                <c:pt idx="15">
                  <c:v>Apr 2023</c:v>
                </c:pt>
                <c:pt idx="16">
                  <c:v>May 2023</c:v>
                </c:pt>
                <c:pt idx="17">
                  <c:v>Jun 2023</c:v>
                </c:pt>
                <c:pt idx="18">
                  <c:v>Jul 2023</c:v>
                </c:pt>
                <c:pt idx="19">
                  <c:v>Aug 2023</c:v>
                </c:pt>
                <c:pt idx="20">
                  <c:v>Sep 2023</c:v>
                </c:pt>
                <c:pt idx="21">
                  <c:v>Oct 2023</c:v>
                </c:pt>
                <c:pt idx="22">
                  <c:v>Nov 2023</c:v>
                </c:pt>
                <c:pt idx="23">
                  <c:v>Dec 2023</c:v>
                </c:pt>
                <c:pt idx="24">
                  <c:v>Jan 2024</c:v>
                </c:pt>
                <c:pt idx="25">
                  <c:v>Feb 2024</c:v>
                </c:pt>
                <c:pt idx="26">
                  <c:v>Mar 2024</c:v>
                </c:pt>
                <c:pt idx="27">
                  <c:v>Apr 2024</c:v>
                </c:pt>
                <c:pt idx="28">
                  <c:v>May 2024</c:v>
                </c:pt>
                <c:pt idx="29">
                  <c:v>Jun 2024</c:v>
                </c:pt>
                <c:pt idx="30">
                  <c:v>Jul 2024</c:v>
                </c:pt>
                <c:pt idx="31">
                  <c:v>Aug 2024</c:v>
                </c:pt>
                <c:pt idx="32">
                  <c:v>Sep 2024</c:v>
                </c:pt>
                <c:pt idx="33">
                  <c:v>Oct 2024</c:v>
                </c:pt>
                <c:pt idx="34">
                  <c:v>Nov 2024</c:v>
                </c:pt>
                <c:pt idx="35">
                  <c:v>Dec 2024</c:v>
                </c:pt>
              </c:strCache>
            </c:strRef>
          </c:cat>
          <c:val>
            <c:numRef>
              <c:f>'Transaction Summary'!$D$8:$D$43</c:f>
              <c:numCache>
                <c:formatCode>#,##0</c:formatCode>
                <c:ptCount val="36"/>
                <c:pt idx="0">
                  <c:v>41</c:v>
                </c:pt>
                <c:pt idx="1">
                  <c:v>50</c:v>
                </c:pt>
                <c:pt idx="2">
                  <c:v>38</c:v>
                </c:pt>
                <c:pt idx="3">
                  <c:v>44</c:v>
                </c:pt>
                <c:pt idx="4">
                  <c:v>38</c:v>
                </c:pt>
                <c:pt idx="5">
                  <c:v>43</c:v>
                </c:pt>
                <c:pt idx="6">
                  <c:v>53</c:v>
                </c:pt>
                <c:pt idx="7">
                  <c:v>40</c:v>
                </c:pt>
                <c:pt idx="8">
                  <c:v>43</c:v>
                </c:pt>
                <c:pt idx="9">
                  <c:v>39</c:v>
                </c:pt>
                <c:pt idx="10">
                  <c:v>46</c:v>
                </c:pt>
                <c:pt idx="11">
                  <c:v>48</c:v>
                </c:pt>
                <c:pt idx="12">
                  <c:v>36</c:v>
                </c:pt>
                <c:pt idx="13">
                  <c:v>29</c:v>
                </c:pt>
                <c:pt idx="14">
                  <c:v>38</c:v>
                </c:pt>
                <c:pt idx="15">
                  <c:v>42</c:v>
                </c:pt>
                <c:pt idx="16">
                  <c:v>44</c:v>
                </c:pt>
                <c:pt idx="17">
                  <c:v>33</c:v>
                </c:pt>
                <c:pt idx="18">
                  <c:v>31</c:v>
                </c:pt>
                <c:pt idx="19">
                  <c:v>47</c:v>
                </c:pt>
                <c:pt idx="20">
                  <c:v>37</c:v>
                </c:pt>
                <c:pt idx="21">
                  <c:v>40</c:v>
                </c:pt>
                <c:pt idx="22">
                  <c:v>41</c:v>
                </c:pt>
                <c:pt idx="23">
                  <c:v>37</c:v>
                </c:pt>
                <c:pt idx="24">
                  <c:v>54</c:v>
                </c:pt>
                <c:pt idx="25">
                  <c:v>31</c:v>
                </c:pt>
                <c:pt idx="26">
                  <c:v>40</c:v>
                </c:pt>
                <c:pt idx="27">
                  <c:v>45</c:v>
                </c:pt>
                <c:pt idx="28">
                  <c:v>38</c:v>
                </c:pt>
                <c:pt idx="29">
                  <c:v>44</c:v>
                </c:pt>
                <c:pt idx="30">
                  <c:v>46</c:v>
                </c:pt>
                <c:pt idx="31">
                  <c:v>51</c:v>
                </c:pt>
                <c:pt idx="32">
                  <c:v>48</c:v>
                </c:pt>
                <c:pt idx="33">
                  <c:v>42</c:v>
                </c:pt>
                <c:pt idx="34">
                  <c:v>41</c:v>
                </c:pt>
                <c:pt idx="3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32-48CC-98CA-7079F91BA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1991615"/>
        <c:axId val="1301992575"/>
      </c:barChart>
      <c:catAx>
        <c:axId val="130199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92575"/>
        <c:crosses val="autoZero"/>
        <c:auto val="1"/>
        <c:lblAlgn val="ctr"/>
        <c:lblOffset val="100"/>
        <c:noMultiLvlLbl val="0"/>
      </c:catAx>
      <c:valAx>
        <c:axId val="1301992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9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'Transaction Summary'!$B$48</c:f>
              <c:strCache>
                <c:ptCount val="1"/>
                <c:pt idx="0">
                  <c:v>Total Sales ($)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'Transaction Summary'!$A$49:$A$54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'Transaction Summary'!$B$49:$B$54</c:f>
              <c:numCache>
                <c:formatCode>"$"#,##0.00</c:formatCode>
                <c:ptCount val="6"/>
                <c:pt idx="0">
                  <c:v>58624.460000000021</c:v>
                </c:pt>
                <c:pt idx="1">
                  <c:v>71511.459999999963</c:v>
                </c:pt>
                <c:pt idx="2">
                  <c:v>62022.42000000002</c:v>
                </c:pt>
                <c:pt idx="3">
                  <c:v>64848.05</c:v>
                </c:pt>
                <c:pt idx="4">
                  <c:v>60060.349999999955</c:v>
                </c:pt>
                <c:pt idx="5">
                  <c:v>70460.540000000008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C-4424-9B86-A190913A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'Transaction Summary'!$B$65</c:f>
              <c:strCache>
                <c:ptCount val="1"/>
                <c:pt idx="0">
                  <c:v>Total Sales 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'Transaction Summary'!$A$66:$A$73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'Transaction Summary'!$B$66:$B$73</c:f>
              <c:numCache>
                <c:formatCode>"$"#,##0.00</c:formatCode>
                <c:ptCount val="8"/>
                <c:pt idx="0">
                  <c:v>47139.729999999981</c:v>
                </c:pt>
                <c:pt idx="1">
                  <c:v>46024.419999999984</c:v>
                </c:pt>
                <c:pt idx="2">
                  <c:v>44984.419999999991</c:v>
                </c:pt>
                <c:pt idx="3">
                  <c:v>44863.310000000012</c:v>
                </c:pt>
                <c:pt idx="4">
                  <c:v>57427.500000000029</c:v>
                </c:pt>
                <c:pt idx="5">
                  <c:v>43598.100000000006</c:v>
                </c:pt>
                <c:pt idx="6">
                  <c:v>55893.790000000023</c:v>
                </c:pt>
                <c:pt idx="7">
                  <c:v>47596.010000000017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E-4BB6-9617-9428621CE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73681055"/>
        <c:axId val="1373682495"/>
      </c:barChart>
      <c:catAx>
        <c:axId val="1373681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682495"/>
        <c:crosses val="autoZero"/>
        <c:auto val="1"/>
        <c:lblAlgn val="ctr"/>
        <c:lblOffset val="100"/>
        <c:noMultiLvlLbl val="0"/>
      </c:catAx>
      <c:valAx>
        <c:axId val="137368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681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 Sales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'Transaction Summary'!$A$82</c:f>
              <c:strCache>
                <c:ptCount val="1"/>
                <c:pt idx="0">
                  <c:v>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'Transaction Summary'!$A$83:$A$85</c:f>
              <c:numCache>
                <c:formatCode>General</c:formatCod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4-40D8-9CFE-F5574467796E}"/>
            </c:ext>
          </c:extLst>
        </c:ser>
        <c:ser>
          <c:idx val="1"/>
          <c:order val="1"/>
          <c:tx>
            <c:strRef>
              <c:f>'Transaction Summary'!$B$82</c:f>
              <c:strCache>
                <c:ptCount val="1"/>
                <c:pt idx="0">
                  <c:v>Total Sales ($)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'Transaction Summary'!$B$83:$B$85</c:f>
              <c:numCache>
                <c:formatCode>"$"#,##0.00</c:formatCode>
                <c:ptCount val="3"/>
                <c:pt idx="0">
                  <c:v>134864.42999999993</c:v>
                </c:pt>
                <c:pt idx="1">
                  <c:v>117062.21000000002</c:v>
                </c:pt>
                <c:pt idx="2">
                  <c:v>135600.64000000001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4-40D8-9CFE-F55744677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2415743"/>
        <c:axId val="394761631"/>
      </c:barChart>
      <c:catAx>
        <c:axId val="13424157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761631"/>
        <c:crosses val="autoZero"/>
        <c:auto val="1"/>
        <c:lblAlgn val="ctr"/>
        <c:lblOffset val="100"/>
        <c:noMultiLvlLbl val="0"/>
      </c:catAx>
      <c:valAx>
        <c:axId val="39476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415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Distribution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'Data Insights'!$A$21:$A$26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'Data Insights'!$B$21:$B$26</c:f>
              <c:numCache>
                <c:formatCode>"$"#,##0.00</c:formatCode>
                <c:ptCount val="6"/>
                <c:pt idx="0">
                  <c:v>58624.460000000021</c:v>
                </c:pt>
                <c:pt idx="1">
                  <c:v>71511.459999999963</c:v>
                </c:pt>
                <c:pt idx="2">
                  <c:v>62022.42000000002</c:v>
                </c:pt>
                <c:pt idx="3">
                  <c:v>64848.05</c:v>
                </c:pt>
                <c:pt idx="4">
                  <c:v>60060.349999999955</c:v>
                </c:pt>
                <c:pt idx="5">
                  <c:v>70460.540000000008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F-45FE-B6B1-5BDBBBF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'Data Insights'!$A$32:$A$39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'Data Insights'!$B$32:$B$39</c:f>
              <c:numCache>
                <c:formatCode>"$"#,##0.00</c:formatCode>
                <c:ptCount val="8"/>
                <c:pt idx="0">
                  <c:v>47139.729999999981</c:v>
                </c:pt>
                <c:pt idx="1">
                  <c:v>46024.419999999984</c:v>
                </c:pt>
                <c:pt idx="2">
                  <c:v>44984.419999999991</c:v>
                </c:pt>
                <c:pt idx="3">
                  <c:v>44863.310000000012</c:v>
                </c:pt>
                <c:pt idx="4">
                  <c:v>57427.500000000029</c:v>
                </c:pt>
                <c:pt idx="5">
                  <c:v>43598.100000000006</c:v>
                </c:pt>
                <c:pt idx="6">
                  <c:v>55893.790000000023</c:v>
                </c:pt>
                <c:pt idx="7">
                  <c:v>47596.010000000017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4-4764-B6E8-B55EE99B7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5837839"/>
        <c:axId val="715838319"/>
      </c:barChart>
      <c:catAx>
        <c:axId val="715837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838319"/>
        <c:crosses val="autoZero"/>
        <c:auto val="1"/>
        <c:lblAlgn val="ctr"/>
        <c:lblOffset val="100"/>
        <c:noMultiLvlLbl val="0"/>
      </c:catAx>
      <c:valAx>
        <c:axId val="715838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837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 Sales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'Data Insights'!$H$23:$H$25</c:f>
              <c:numCache>
                <c:formatCode>General</c:formatCod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7-4317-AF59-DAEF23F6A90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'Data Insights'!$I$23:$I$25</c:f>
              <c:numCache>
                <c:formatCode>"$"#,##0.00</c:formatCode>
                <c:ptCount val="3"/>
                <c:pt idx="0">
                  <c:v>134864.42999999993</c:v>
                </c:pt>
                <c:pt idx="1">
                  <c:v>117062.21000000002</c:v>
                </c:pt>
                <c:pt idx="2">
                  <c:v>135600.64000000001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7-4317-AF59-DAEF23F6A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1413967"/>
        <c:axId val="1631422607"/>
      </c:barChart>
      <c:catAx>
        <c:axId val="16314139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422607"/>
        <c:crosses val="autoZero"/>
        <c:auto val="1"/>
        <c:lblAlgn val="ctr"/>
        <c:lblOffset val="100"/>
        <c:noMultiLvlLbl val="0"/>
      </c:catAx>
      <c:valAx>
        <c:axId val="163142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41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&amp; Quantity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'Data Insights'!$A$21:$A$26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'Data Insights'!$B$21:$B$26</c:f>
              <c:numCache>
                <c:formatCode>"$"#,##0.00</c:formatCode>
                <c:ptCount val="6"/>
                <c:pt idx="0">
                  <c:v>58624.460000000021</c:v>
                </c:pt>
                <c:pt idx="1">
                  <c:v>71511.459999999963</c:v>
                </c:pt>
                <c:pt idx="2">
                  <c:v>62022.42000000002</c:v>
                </c:pt>
                <c:pt idx="3">
                  <c:v>64848.05</c:v>
                </c:pt>
                <c:pt idx="4">
                  <c:v>60060.349999999955</c:v>
                </c:pt>
                <c:pt idx="5">
                  <c:v>70460.540000000008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A-4A97-96E9-0F85C760D10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'Data Insights'!$A$21:$A$26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'Data Insights'!$C$21:$C$26</c:f>
              <c:numCache>
                <c:formatCode>#,##0</c:formatCode>
                <c:ptCount val="6"/>
                <c:pt idx="0">
                  <c:v>6340</c:v>
                </c:pt>
                <c:pt idx="1">
                  <c:v>6734</c:v>
                </c:pt>
                <c:pt idx="2">
                  <c:v>6244</c:v>
                </c:pt>
                <c:pt idx="3">
                  <c:v>5792</c:v>
                </c:pt>
                <c:pt idx="4">
                  <c:v>6074</c:v>
                </c:pt>
                <c:pt idx="5">
                  <c:v>6513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A-4A97-96E9-0F85C760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1410127"/>
        <c:axId val="1631412047"/>
      </c:barChart>
      <c:catAx>
        <c:axId val="163141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412047"/>
        <c:crosses val="autoZero"/>
        <c:auto val="1"/>
        <c:lblAlgn val="ctr"/>
        <c:lblOffset val="100"/>
        <c:noMultiLvlLbl val="0"/>
      </c:catAx>
      <c:valAx>
        <c:axId val="163141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410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Quarterly 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'Advanced Insights'!$B$6</c:f>
              <c:strCache>
                <c:ptCount val="1"/>
                <c:pt idx="0">
                  <c:v>Total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'Advanced Insights'!$A$7:$A$18</c:f>
              <c:strCache>
                <c:ptCount val="12"/>
                <c:pt idx="0">
                  <c:v>Q1 2022</c:v>
                </c:pt>
                <c:pt idx="1">
                  <c:v>Q2 2022</c:v>
                </c:pt>
                <c:pt idx="2">
                  <c:v>Q3 2022</c:v>
                </c:pt>
                <c:pt idx="3">
                  <c:v>Q4 2022</c:v>
                </c:pt>
                <c:pt idx="4">
                  <c:v>Q1 2023</c:v>
                </c:pt>
                <c:pt idx="5">
                  <c:v>Q2 2023</c:v>
                </c:pt>
                <c:pt idx="6">
                  <c:v>Q3 2023</c:v>
                </c:pt>
                <c:pt idx="7">
                  <c:v>Q4 2023</c:v>
                </c:pt>
                <c:pt idx="8">
                  <c:v>Q1 2024</c:v>
                </c:pt>
                <c:pt idx="9">
                  <c:v>Q2 2024</c:v>
                </c:pt>
                <c:pt idx="10">
                  <c:v>Q3 2024</c:v>
                </c:pt>
                <c:pt idx="11">
                  <c:v>Q4 2024</c:v>
                </c:pt>
              </c:strCache>
            </c:strRef>
          </c:cat>
          <c:val>
            <c:numRef>
              <c:f>'Advanced Insights'!$B$7:$B$18</c:f>
              <c:numCache>
                <c:formatCode>"$"#,##0.00</c:formatCode>
                <c:ptCount val="12"/>
                <c:pt idx="0">
                  <c:v>33426.729999999996</c:v>
                </c:pt>
                <c:pt idx="1">
                  <c:v>30141.410000000003</c:v>
                </c:pt>
                <c:pt idx="2">
                  <c:v>35642.28</c:v>
                </c:pt>
                <c:pt idx="3">
                  <c:v>35654.010000000017</c:v>
                </c:pt>
                <c:pt idx="4">
                  <c:v>28398.650000000012</c:v>
                </c:pt>
                <c:pt idx="5">
                  <c:v>29598.289999999994</c:v>
                </c:pt>
                <c:pt idx="6">
                  <c:v>29101.389999999996</c:v>
                </c:pt>
                <c:pt idx="7">
                  <c:v>29963.88</c:v>
                </c:pt>
                <c:pt idx="8">
                  <c:v>32538.21000000001</c:v>
                </c:pt>
                <c:pt idx="9">
                  <c:v>32938.920000000006</c:v>
                </c:pt>
                <c:pt idx="10">
                  <c:v>37815.679999999993</c:v>
                </c:pt>
                <c:pt idx="11">
                  <c:v>32307.83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E-4BE5-B1D5-5D483B2F6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2895"/>
        <c:axId val="55107215"/>
      </c:lineChart>
      <c:catAx>
        <c:axId val="55102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7215"/>
        <c:crosses val="autoZero"/>
        <c:auto val="1"/>
        <c:lblAlgn val="ctr"/>
        <c:lblOffset val="100"/>
        <c:noMultiLvlLbl val="0"/>
      </c:catAx>
      <c:valAx>
        <c:axId val="5510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2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Day of 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'Advanced Insights'!$B$33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'Advanced Insights'!$A$34:$A$40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'Advanced Insights'!$B$34:$B$40</c:f>
              <c:numCache>
                <c:formatCode>"$"#,##0.00</c:formatCode>
                <c:ptCount val="7"/>
                <c:pt idx="0">
                  <c:v>58973.760000000009</c:v>
                </c:pt>
                <c:pt idx="1">
                  <c:v>58137.679999999986</c:v>
                </c:pt>
                <c:pt idx="2">
                  <c:v>53134.37</c:v>
                </c:pt>
                <c:pt idx="3">
                  <c:v>49295.539999999994</c:v>
                </c:pt>
                <c:pt idx="4">
                  <c:v>58057.120000000024</c:v>
                </c:pt>
                <c:pt idx="5">
                  <c:v>57279.27999999997</c:v>
                </c:pt>
                <c:pt idx="6">
                  <c:v>52649.530000000021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5-467C-9A81-1EDF8F0B8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99055"/>
        <c:axId val="55111535"/>
      </c:barChart>
      <c:catAx>
        <c:axId val="55099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1535"/>
        <c:crosses val="autoZero"/>
        <c:auto val="1"/>
        <c:lblAlgn val="ctr"/>
        <c:lblOffset val="100"/>
        <c:noMultiLvlLbl val="0"/>
      </c:catAx>
      <c:valAx>
        <c:axId val="5511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'Advanced Insights'!$A$25:$G$25</c:f>
              <c:strCache>
                <c:ptCount val="7"/>
                <c:pt idx="0">
                  <c:v>chocolate cake</c:v>
                </c:pt>
                <c:pt idx="1">
                  <c:v>$6,598</c:v>
                </c:pt>
                <c:pt idx="2">
                  <c:v>$6,468</c:v>
                </c:pt>
                <c:pt idx="3">
                  <c:v>$6,036</c:v>
                </c:pt>
                <c:pt idx="4">
                  <c:v>$10,913</c:v>
                </c:pt>
                <c:pt idx="5">
                  <c:v>$7,990</c:v>
                </c:pt>
                <c:pt idx="6">
                  <c:v>Liberty's Bakery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'Advanced Insights'!$H$22:$I$24</c:f>
              <c:multiLvlStrCache>
                <c:ptCount val="2"/>
                <c:lvl>
                  <c:pt idx="0">
                    <c:v>Revenue</c:v>
                  </c:pt>
                  <c:pt idx="1">
                    <c:v>Market Share</c:v>
                  </c:pt>
                </c:lvl>
                <c:lvl>
                  <c:pt idx="0">
                    <c:v>$12,295</c:v>
                  </c:pt>
                  <c:pt idx="1">
                    <c:v>$7,670</c:v>
                  </c:pt>
                </c:lvl>
              </c:multiLvlStrCache>
            </c:multiLvlStrRef>
          </c:cat>
          <c:val>
            <c:numRef>
              <c:f>'Advanced Insights'!$H$25:$I$25</c:f>
              <c:numCache>
                <c:formatCode>0.0%</c:formatCode>
                <c:ptCount val="2"/>
                <c:pt idx="0" formatCode="&quot;$&quot;#,##0">
                  <c:v>69119.609999999942</c:v>
                </c:pt>
                <c:pt idx="1">
                  <c:v>0.17836063050838624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4-4DD7-B3D4-7F5617AF27CD}"/>
            </c:ext>
          </c:extLst>
        </c:ser>
        <c:ser>
          <c:idx val="1"/>
          <c:order val="1"/>
          <c:tx>
            <c:strRef>
              <c:f>'Advanced Insights'!$A$26:$G$26</c:f>
              <c:strCache>
                <c:ptCount val="7"/>
                <c:pt idx="0">
                  <c:v>cookies</c:v>
                </c:pt>
                <c:pt idx="1">
                  <c:v>$7,383</c:v>
                </c:pt>
                <c:pt idx="2">
                  <c:v>$10,331</c:v>
                </c:pt>
                <c:pt idx="3">
                  <c:v>$6,906</c:v>
                </c:pt>
                <c:pt idx="4">
                  <c:v>$6,140</c:v>
                </c:pt>
                <c:pt idx="5">
                  <c:v>$9,428</c:v>
                </c:pt>
                <c:pt idx="6">
                  <c:v>Northwind Traders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'Advanced Insights'!$H$22:$I$24</c:f>
              <c:multiLvlStrCache>
                <c:ptCount val="2"/>
                <c:lvl>
                  <c:pt idx="0">
                    <c:v>Revenue</c:v>
                  </c:pt>
                  <c:pt idx="1">
                    <c:v>Market Share</c:v>
                  </c:pt>
                </c:lvl>
                <c:lvl>
                  <c:pt idx="0">
                    <c:v>$12,295</c:v>
                  </c:pt>
                  <c:pt idx="1">
                    <c:v>$7,670</c:v>
                  </c:pt>
                </c:lvl>
              </c:multiLvlStrCache>
            </c:multiLvlStrRef>
          </c:cat>
          <c:val>
            <c:numRef>
              <c:f>'Advanced Insights'!$H$26:$I$26</c:f>
              <c:numCache>
                <c:formatCode>0.0%</c:formatCode>
                <c:ptCount val="2"/>
                <c:pt idx="0" formatCode="&quot;$&quot;#,##0">
                  <c:v>65112.680000000051</c:v>
                </c:pt>
                <c:pt idx="1">
                  <c:v>0.16802089390971403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4-4DD7-B3D4-7F5617AF27CD}"/>
            </c:ext>
          </c:extLst>
        </c:ser>
        <c:ser>
          <c:idx val="2"/>
          <c:order val="2"/>
          <c:tx>
            <c:strRef>
              <c:f>'Advanced Insights'!$A$27:$G$27</c:f>
              <c:strCache>
                <c:ptCount val="7"/>
                <c:pt idx="0">
                  <c:v>ice cream</c:v>
                </c:pt>
                <c:pt idx="1">
                  <c:v>$7,193</c:v>
                </c:pt>
                <c:pt idx="2">
                  <c:v>$5,144</c:v>
                </c:pt>
                <c:pt idx="3">
                  <c:v>$6,325</c:v>
                </c:pt>
                <c:pt idx="4">
                  <c:v>$5,322</c:v>
                </c:pt>
                <c:pt idx="5">
                  <c:v>$10,491</c:v>
                </c:pt>
                <c:pt idx="6">
                  <c:v>VanArsdel, Ltd.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'Advanced Insights'!$H$22:$I$24</c:f>
              <c:multiLvlStrCache>
                <c:ptCount val="2"/>
                <c:lvl>
                  <c:pt idx="0">
                    <c:v>Revenue</c:v>
                  </c:pt>
                  <c:pt idx="1">
                    <c:v>Market Share</c:v>
                  </c:pt>
                </c:lvl>
                <c:lvl>
                  <c:pt idx="0">
                    <c:v>$12,295</c:v>
                  </c:pt>
                  <c:pt idx="1">
                    <c:v>$7,670</c:v>
                  </c:pt>
                </c:lvl>
              </c:multiLvlStrCache>
            </c:multiLvlStrRef>
          </c:cat>
          <c:val>
            <c:numRef>
              <c:f>'Advanced Insights'!$H$27:$I$27</c:f>
              <c:numCache>
                <c:formatCode>0.0%</c:formatCode>
                <c:ptCount val="2"/>
                <c:pt idx="0" formatCode="&quot;$&quot;#,##0">
                  <c:v>58457.520000000004</c:v>
                </c:pt>
                <c:pt idx="1">
                  <c:v>0.15084749646528109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4-4DD7-B3D4-7F5617AF27CD}"/>
            </c:ext>
          </c:extLst>
        </c:ser>
        <c:ser>
          <c:idx val="3"/>
          <c:order val="3"/>
          <c:tx>
            <c:strRef>
              <c:f>'Advanced Insights'!$A$28:$G$28</c:f>
              <c:strCache>
                <c:ptCount val="7"/>
                <c:pt idx="0">
                  <c:v>spread</c:v>
                </c:pt>
                <c:pt idx="1">
                  <c:v>$10,138</c:v>
                </c:pt>
                <c:pt idx="2">
                  <c:v>$10,231</c:v>
                </c:pt>
                <c:pt idx="3">
                  <c:v>$11,984</c:v>
                </c:pt>
                <c:pt idx="4">
                  <c:v>$5,846</c:v>
                </c:pt>
                <c:pt idx="5">
                  <c:v>$8,765</c:v>
                </c:pt>
                <c:pt idx="6">
                  <c:v>Wide World Importers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'Advanced Insights'!$H$22:$I$24</c:f>
              <c:multiLvlStrCache>
                <c:ptCount val="2"/>
                <c:lvl>
                  <c:pt idx="0">
                    <c:v>Revenue</c:v>
                  </c:pt>
                  <c:pt idx="1">
                    <c:v>Market Share</c:v>
                  </c:pt>
                </c:lvl>
                <c:lvl>
                  <c:pt idx="0">
                    <c:v>$12,295</c:v>
                  </c:pt>
                  <c:pt idx="1">
                    <c:v>$7,670</c:v>
                  </c:pt>
                </c:lvl>
              </c:multiLvlStrCache>
            </c:multiLvlStrRef>
          </c:cat>
          <c:val>
            <c:numRef>
              <c:f>'Advanced Insights'!$H$28:$I$28</c:f>
              <c:numCache>
                <c:formatCode>0.0%</c:formatCode>
                <c:ptCount val="2"/>
                <c:pt idx="0" formatCode="&quot;$&quot;#,##0">
                  <c:v>64960.980000000018</c:v>
                </c:pt>
                <c:pt idx="1">
                  <c:v>0.16762943759727061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4-4DD7-B3D4-7F5617AF2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75182767"/>
        <c:axId val="1375188047"/>
      </c:barChart>
      <c:catAx>
        <c:axId val="1375182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047"/>
        <c:crosses val="autoZero"/>
        <c:auto val="1"/>
        <c:lblAlgn val="ctr"/>
        <c:lblOffset val="100"/>
        <c:noMultiLvlLbl val="0"/>
      </c:catAx>
      <c:valAx>
        <c:axId val="1375188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2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Year-over-Year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'Advanced Insights'!$G$6</c:f>
              <c:strCache>
                <c:ptCount val="1"/>
                <c:pt idx="0">
                  <c:v>Metric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'Advanced Insights'!$H$6:$J$6</c:f>
              <c:numCache>
                <c:formatCode>General</c:formatCod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B-4596-8B91-CDC695122757}"/>
            </c:ext>
          </c:extLst>
        </c:ser>
        <c:ser>
          <c:idx val="1"/>
          <c:order val="1"/>
          <c:tx>
            <c:strRef>
              <c:f>'Advanced Insights'!$G$7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'Advanced Insights'!$H$7:$J$7</c:f>
              <c:numCache>
                <c:formatCode>"$"#,##0</c:formatCode>
                <c:ptCount val="3"/>
                <c:pt idx="0">
                  <c:v>134864.42999999993</c:v>
                </c:pt>
                <c:pt idx="1">
                  <c:v>117062.21000000002</c:v>
                </c:pt>
                <c:pt idx="2">
                  <c:v>135600.64000000001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5B-4596-8B91-CDC69512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8789167"/>
        <c:axId val="1498789647"/>
      </c:barChart>
      <c:catAx>
        <c:axId val="14987891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789647"/>
        <c:crosses val="autoZero"/>
        <c:auto val="1"/>
        <c:lblAlgn val="ctr"/>
        <c:lblOffset val="100"/>
        <c:noMultiLvlLbl val="0"/>
      </c:catAx>
      <c:valAx>
        <c:axId val="149878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78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 Sales: Below vs Above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'Underperforming Analysis'!$A$15</c:f>
              <c:strCache>
                <c:ptCount val="1"/>
                <c:pt idx="0">
                  <c:v>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'Underperforming Analysis'!$A$16:$A$18</c:f>
              <c:numCache>
                <c:formatCode>General</c:formatCod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A1-4769-9EA7-BF3E2E6CC376}"/>
            </c:ext>
          </c:extLst>
        </c:ser>
        <c:ser>
          <c:idx val="1"/>
          <c:order val="1"/>
          <c:tx>
            <c:strRef>
              <c:f>'Underperforming Analysis'!$B$15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'Underperforming Analysis'!$B$16:$B$18</c:f>
              <c:numCache>
                <c:formatCode>"$"#,##0.00</c:formatCode>
                <c:ptCount val="3"/>
                <c:pt idx="0">
                  <c:v>33883.540000000023</c:v>
                </c:pt>
                <c:pt idx="1">
                  <c:v>30809.149999999998</c:v>
                </c:pt>
                <c:pt idx="2">
                  <c:v>34496.929999999993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A1-4769-9EA7-BF3E2E6CC376}"/>
            </c:ext>
          </c:extLst>
        </c:ser>
        <c:ser>
          <c:idx val="2"/>
          <c:order val="2"/>
          <c:tx>
            <c:strRef>
              <c:f>'Underperforming Analysis'!$C$15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'Underperforming Analysis'!$C$16:$C$18</c:f>
              <c:numCache>
                <c:formatCode>"$"#,##0.00</c:formatCode>
                <c:ptCount val="3"/>
                <c:pt idx="0">
                  <c:v>100980.88999999996</c:v>
                </c:pt>
                <c:pt idx="1">
                  <c:v>86253.059999999954</c:v>
                </c:pt>
                <c:pt idx="2">
                  <c:v>101103.71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A1-4769-9EA7-BF3E2E6CC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9660895"/>
        <c:axId val="1729655615"/>
      </c:barChart>
      <c:catAx>
        <c:axId val="172966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55615"/>
        <c:crosses val="autoZero"/>
        <c:auto val="1"/>
        <c:lblAlgn val="ctr"/>
        <c:lblOffset val="100"/>
        <c:noMultiLvlLbl val="0"/>
      </c:catAx>
      <c:valAx>
        <c:axId val="172965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6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Quarterly Sales Trend: Below vs Above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'Underperforming Analysis'!$B$23</c:f>
              <c:strCache>
                <c:ptCount val="1"/>
                <c:pt idx="0">
                  <c:v>Year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'Underperforming Analysis'!$A$24:$A$35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'Underperforming Analysis'!$B$24:$B$35</c:f>
              <c:numCache>
                <c:formatCode>General</c:formatCode>
                <c:ptCount val="12"/>
                <c:pt idx="0">
                  <c:v>2022</c:v>
                </c:pt>
                <c:pt idx="1">
                  <c:v>2022</c:v>
                </c:pt>
                <c:pt idx="2">
                  <c:v>2022</c:v>
                </c:pt>
                <c:pt idx="3">
                  <c:v>2022</c:v>
                </c:pt>
                <c:pt idx="4">
                  <c:v>2023</c:v>
                </c:pt>
                <c:pt idx="5">
                  <c:v>2023</c:v>
                </c:pt>
                <c:pt idx="6">
                  <c:v>2023</c:v>
                </c:pt>
                <c:pt idx="7">
                  <c:v>2023</c:v>
                </c:pt>
                <c:pt idx="8">
                  <c:v>2024</c:v>
                </c:pt>
                <c:pt idx="9">
                  <c:v>2024</c:v>
                </c:pt>
                <c:pt idx="10">
                  <c:v>2024</c:v>
                </c:pt>
                <c:pt idx="11">
                  <c:v>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9A-4024-94E7-0BF1D979F3F9}"/>
            </c:ext>
          </c:extLst>
        </c:ser>
        <c:ser>
          <c:idx val="1"/>
          <c:order val="1"/>
          <c:tx>
            <c:strRef>
              <c:f>'Underperforming Analysis'!$C$23</c:f>
              <c:strCache>
                <c:ptCount val="1"/>
                <c:pt idx="0">
                  <c:v>Below Avg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'Underperforming Analysis'!$A$24:$A$35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'Underperforming Analysis'!$C$24:$C$35</c:f>
              <c:numCache>
                <c:formatCode>"$"#,##0.00</c:formatCode>
                <c:ptCount val="12"/>
                <c:pt idx="0">
                  <c:v>8758.3000000000029</c:v>
                </c:pt>
                <c:pt idx="1">
                  <c:v>7086.8000000000011</c:v>
                </c:pt>
                <c:pt idx="2">
                  <c:v>8199.3899999999976</c:v>
                </c:pt>
                <c:pt idx="3">
                  <c:v>9839.0499999999975</c:v>
                </c:pt>
                <c:pt idx="4">
                  <c:v>7236.6899999999987</c:v>
                </c:pt>
                <c:pt idx="5">
                  <c:v>7133.0700000000006</c:v>
                </c:pt>
                <c:pt idx="6">
                  <c:v>7195.3300000000008</c:v>
                </c:pt>
                <c:pt idx="7">
                  <c:v>9244.0599999999977</c:v>
                </c:pt>
                <c:pt idx="8">
                  <c:v>8474.9399999999987</c:v>
                </c:pt>
                <c:pt idx="9">
                  <c:v>8728.7000000000025</c:v>
                </c:pt>
                <c:pt idx="10">
                  <c:v>9516.5300000000007</c:v>
                </c:pt>
                <c:pt idx="11">
                  <c:v>7776.76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A-4024-94E7-0BF1D979F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662335"/>
        <c:axId val="1729663775"/>
      </c:lineChart>
      <c:catAx>
        <c:axId val="172966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63775"/>
        <c:crosses val="autoZero"/>
        <c:auto val="1"/>
        <c:lblAlgn val="ctr"/>
        <c:lblOffset val="100"/>
        <c:noMultiLvlLbl val="0"/>
      </c:catAx>
      <c:valAx>
        <c:axId val="172966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Product: Below vs Above Avg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'Underperforming Analysis'!$J$6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'Underperforming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'Underperforming Analysis'!$J$7:$J$12</c:f>
              <c:numCache>
                <c:formatCode>"$"#,##0.00</c:formatCode>
                <c:ptCount val="6"/>
                <c:pt idx="0">
                  <c:v>17591.739999999994</c:v>
                </c:pt>
                <c:pt idx="1">
                  <c:v>16959.189999999995</c:v>
                </c:pt>
                <c:pt idx="2">
                  <c:v>16553.190000000013</c:v>
                </c:pt>
                <c:pt idx="3">
                  <c:v>14493.159999999991</c:v>
                </c:pt>
                <c:pt idx="4">
                  <c:v>18393.399999999998</c:v>
                </c:pt>
                <c:pt idx="5">
                  <c:v>15198.939999999999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07-479E-93A2-D3C95431A442}"/>
            </c:ext>
          </c:extLst>
        </c:ser>
        <c:ser>
          <c:idx val="1"/>
          <c:order val="1"/>
          <c:tx>
            <c:strRef>
              <c:f>'Underperforming Analysis'!$K$6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'Underperforming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'Underperforming Analysis'!$K$7:$K$12</c:f>
              <c:numCache>
                <c:formatCode>"$"#,##0.00</c:formatCode>
                <c:ptCount val="6"/>
                <c:pt idx="0">
                  <c:v>41032.720000000023</c:v>
                </c:pt>
                <c:pt idx="1">
                  <c:v>54552.270000000004</c:v>
                </c:pt>
                <c:pt idx="2">
                  <c:v>45469.229999999989</c:v>
                </c:pt>
                <c:pt idx="3">
                  <c:v>50354.889999999956</c:v>
                </c:pt>
                <c:pt idx="4">
                  <c:v>41666.94999999999</c:v>
                </c:pt>
                <c:pt idx="5">
                  <c:v>55261.599999999991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07-479E-93A2-D3C95431A442}"/>
            </c:ext>
          </c:extLst>
        </c:ser>
        <c:ser>
          <c:idx val="2"/>
          <c:order val="2"/>
          <c:tx>
            <c:strRef>
              <c:f>'Underperforming Analysis'!$L$6</c:f>
              <c:strCache>
                <c:ptCount val="1"/>
                <c:pt idx="0">
                  <c:v>Below Avg Count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'Underperforming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'Underperforming Analysis'!$L$7:$L$12</c:f>
              <c:numCache>
                <c:formatCode>General</c:formatCode>
                <c:ptCount val="6"/>
                <c:pt idx="0">
                  <c:v>120</c:v>
                </c:pt>
                <c:pt idx="1">
                  <c:v>120</c:v>
                </c:pt>
                <c:pt idx="2">
                  <c:v>130</c:v>
                </c:pt>
                <c:pt idx="3">
                  <c:v>112</c:v>
                </c:pt>
                <c:pt idx="4">
                  <c:v>135</c:v>
                </c:pt>
                <c:pt idx="5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07-479E-93A2-D3C95431A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91278623"/>
        <c:axId val="391277183"/>
      </c:barChart>
      <c:catAx>
        <c:axId val="3912786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77183"/>
        <c:crosses val="autoZero"/>
        <c:auto val="1"/>
        <c:lblAlgn val="ctr"/>
        <c:lblOffset val="100"/>
        <c:noMultiLvlLbl val="0"/>
      </c:catAx>
      <c:valAx>
        <c:axId val="391277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7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City: Below vs Above Avg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'Underperforming Analysis'!$J$16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'Underperforming Analysis'!$I$17:$I$24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'Underperforming Analysis'!$J$17:$J$24</c:f>
              <c:numCache>
                <c:formatCode>"$"#,##0.00</c:formatCode>
                <c:ptCount val="8"/>
                <c:pt idx="0">
                  <c:v>12531.99</c:v>
                </c:pt>
                <c:pt idx="1">
                  <c:v>12657.300000000001</c:v>
                </c:pt>
                <c:pt idx="2">
                  <c:v>9554.2999999999975</c:v>
                </c:pt>
                <c:pt idx="3">
                  <c:v>14133.729999999992</c:v>
                </c:pt>
                <c:pt idx="4">
                  <c:v>14333.279999999992</c:v>
                </c:pt>
                <c:pt idx="5">
                  <c:v>10390.990000000002</c:v>
                </c:pt>
                <c:pt idx="6">
                  <c:v>12910.740000000002</c:v>
                </c:pt>
                <c:pt idx="7">
                  <c:v>12677.289999999995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1-4159-A3A2-1B1EA640657B}"/>
            </c:ext>
          </c:extLst>
        </c:ser>
        <c:ser>
          <c:idx val="1"/>
          <c:order val="1"/>
          <c:tx>
            <c:strRef>
              <c:f>'Underperforming Analysis'!$K$16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'Underperforming Analysis'!$I$17:$I$24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'Underperforming Analysis'!$K$17:$K$24</c:f>
              <c:numCache>
                <c:formatCode>"$"#,##0.00</c:formatCode>
                <c:ptCount val="8"/>
                <c:pt idx="0">
                  <c:v>34607.739999999991</c:v>
                </c:pt>
                <c:pt idx="1">
                  <c:v>33367.120000000003</c:v>
                </c:pt>
                <c:pt idx="2">
                  <c:v>35430.120000000017</c:v>
                </c:pt>
                <c:pt idx="3">
                  <c:v>30729.580000000016</c:v>
                </c:pt>
                <c:pt idx="4">
                  <c:v>43094.219999999994</c:v>
                </c:pt>
                <c:pt idx="5">
                  <c:v>33207.109999999993</c:v>
                </c:pt>
                <c:pt idx="6">
                  <c:v>42983.049999999996</c:v>
                </c:pt>
                <c:pt idx="7">
                  <c:v>34918.720000000008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91-4159-A3A2-1B1EA640657B}"/>
            </c:ext>
          </c:extLst>
        </c:ser>
        <c:ser>
          <c:idx val="2"/>
          <c:order val="2"/>
          <c:tx>
            <c:strRef>
              <c:f>'Underperforming Analysis'!$L$16</c:f>
              <c:strCache>
                <c:ptCount val="1"/>
                <c:pt idx="0">
                  <c:v>Below Avg Count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'Underperforming Analysis'!$I$17:$I$24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'Underperforming Analysis'!$L$17:$L$24</c:f>
              <c:numCache>
                <c:formatCode>General</c:formatCode>
                <c:ptCount val="8"/>
                <c:pt idx="0">
                  <c:v>92</c:v>
                </c:pt>
                <c:pt idx="1">
                  <c:v>87</c:v>
                </c:pt>
                <c:pt idx="2">
                  <c:v>72</c:v>
                </c:pt>
                <c:pt idx="3">
                  <c:v>104</c:v>
                </c:pt>
                <c:pt idx="4">
                  <c:v>102</c:v>
                </c:pt>
                <c:pt idx="5">
                  <c:v>76</c:v>
                </c:pt>
                <c:pt idx="6">
                  <c:v>109</c:v>
                </c:pt>
                <c:pt idx="7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91-4159-A3A2-1B1EA640657B}"/>
            </c:ext>
          </c:extLst>
        </c:ser>
        <c:ser>
          <c:idx val="3"/>
          <c:order val="3"/>
          <c:tx>
            <c:strRef>
              <c:f>'Underperforming Analysis'!$M$16</c:f>
              <c:strCache>
                <c:ptCount val="1"/>
                <c:pt idx="0">
                  <c:v>Below Avg %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'Underperforming Analysis'!$I$17:$I$24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'Underperforming Analysis'!$M$17:$M$24</c:f>
              <c:numCache>
                <c:formatCode>0.0%</c:formatCode>
                <c:ptCount val="8"/>
                <c:pt idx="0">
                  <c:v>0.49729729729729732</c:v>
                </c:pt>
                <c:pt idx="1">
                  <c:v>0.50289017341040465</c:v>
                </c:pt>
                <c:pt idx="2">
                  <c:v>0.44171779141104295</c:v>
                </c:pt>
                <c:pt idx="3">
                  <c:v>0.55319148936170215</c:v>
                </c:pt>
                <c:pt idx="4">
                  <c:v>0.47441860465116281</c:v>
                </c:pt>
                <c:pt idx="5">
                  <c:v>0.45783132530120479</c:v>
                </c:pt>
                <c:pt idx="6">
                  <c:v>0.48230088495575218</c:v>
                </c:pt>
                <c:pt idx="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91-4159-A3A2-1B1EA6406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0133791"/>
        <c:axId val="1500129471"/>
      </c:barChart>
      <c:catAx>
        <c:axId val="1500133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29471"/>
        <c:crosses val="autoZero"/>
        <c:auto val="1"/>
        <c:lblAlgn val="ctr"/>
        <c:lblOffset val="100"/>
        <c:noMultiLvlLbl val="0"/>
      </c:catAx>
      <c:valAx>
        <c:axId val="1500129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33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Wide World Importers: Yearly Sales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'Wide World Importers Analysis'!$E$6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'Wide World Importers Analysis'!$D$7:$D$10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Total</c:v>
                </c:pt>
              </c:strCache>
            </c:strRef>
          </c:cat>
          <c:val>
            <c:numRef>
              <c:f>'Wide World Importers Analysis'!$E$7:$E$10</c:f>
              <c:numCache>
                <c:formatCode>"$"#,##0.00</c:formatCode>
                <c:ptCount val="4"/>
                <c:pt idx="0">
                  <c:v>3795.8300000000004</c:v>
                </c:pt>
                <c:pt idx="1">
                  <c:v>5635.47</c:v>
                </c:pt>
                <c:pt idx="2">
                  <c:v>5451.7400000000007</c:v>
                </c:pt>
                <c:pt idx="3">
                  <c:v>14883.04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5-4C4D-B001-0BBC36637AC5}"/>
            </c:ext>
          </c:extLst>
        </c:ser>
        <c:ser>
          <c:idx val="1"/>
          <c:order val="1"/>
          <c:tx>
            <c:strRef>
              <c:f>'Wide World Importers Analysis'!$F$6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'Wide World Importers Analysis'!$D$7:$D$10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Total</c:v>
                </c:pt>
              </c:strCache>
            </c:strRef>
          </c:cat>
          <c:val>
            <c:numRef>
              <c:f>'Wide World Importers Analysis'!$F$7:$F$10</c:f>
              <c:numCache>
                <c:formatCode>"$"#,##0.00</c:formatCode>
                <c:ptCount val="4"/>
                <c:pt idx="0">
                  <c:v>14583.77</c:v>
                </c:pt>
                <c:pt idx="1">
                  <c:v>14816.28</c:v>
                </c:pt>
                <c:pt idx="2">
                  <c:v>20677.890000000007</c:v>
                </c:pt>
                <c:pt idx="3">
                  <c:v>50077.94000000001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5-4C4D-B001-0BBC36637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90975"/>
        <c:axId val="394549743"/>
      </c:barChart>
      <c:catAx>
        <c:axId val="798390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49743"/>
        <c:crosses val="autoZero"/>
        <c:auto val="1"/>
        <c:lblAlgn val="ctr"/>
        <c:lblOffset val="100"/>
        <c:noMultiLvlLbl val="0"/>
      </c:catAx>
      <c:valAx>
        <c:axId val="39454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39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Performance: Below vs Above Avg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'Wide World Importers Analysis'!$J$6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'Wide World Importers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'Wide World Importers Analysis'!$J$7:$J$12</c:f>
              <c:numCache>
                <c:formatCode>"$"#,##0.00</c:formatCode>
                <c:ptCount val="6"/>
                <c:pt idx="0">
                  <c:v>2934.2799999999997</c:v>
                </c:pt>
                <c:pt idx="1">
                  <c:v>1971.9</c:v>
                </c:pt>
                <c:pt idx="2">
                  <c:v>2455.7600000000002</c:v>
                </c:pt>
                <c:pt idx="3">
                  <c:v>1631.2700000000002</c:v>
                </c:pt>
                <c:pt idx="4">
                  <c:v>3535.4700000000003</c:v>
                </c:pt>
                <c:pt idx="5">
                  <c:v>2354.36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3-4482-BDF4-119A28473C7A}"/>
            </c:ext>
          </c:extLst>
        </c:ser>
        <c:ser>
          <c:idx val="1"/>
          <c:order val="1"/>
          <c:tx>
            <c:strRef>
              <c:f>'Wide World Importers Analysis'!$K$6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'Wide World Importers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'Wide World Importers Analysis'!$K$7:$K$12</c:f>
              <c:numCache>
                <c:formatCode>"$"#,##0.00</c:formatCode>
                <c:ptCount val="6"/>
                <c:pt idx="0">
                  <c:v>7638.5</c:v>
                </c:pt>
                <c:pt idx="1">
                  <c:v>11437.79</c:v>
                </c:pt>
                <c:pt idx="2">
                  <c:v>7946.28</c:v>
                </c:pt>
                <c:pt idx="3">
                  <c:v>7066.5</c:v>
                </c:pt>
                <c:pt idx="4">
                  <c:v>7968.4400000000005</c:v>
                </c:pt>
                <c:pt idx="5">
                  <c:v>8020.4300000000012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63-4482-BDF4-119A2847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29619615"/>
        <c:axId val="1729618175"/>
      </c:barChart>
      <c:catAx>
        <c:axId val="1729619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18175"/>
        <c:crosses val="autoZero"/>
        <c:auto val="1"/>
        <c:lblAlgn val="ctr"/>
        <c:lblOffset val="100"/>
        <c:noMultiLvlLbl val="0"/>
      </c:catAx>
      <c:valAx>
        <c:axId val="1729618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1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Quarterly Below Average 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'Wide World Importers Analysis'!$B$20</c:f>
              <c:strCache>
                <c:ptCount val="1"/>
                <c:pt idx="0">
                  <c:v>Year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'Wide World Importers Analysis'!$A$21:$A$32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'Wide World Importers Analysis'!$B$21:$B$32</c:f>
              <c:numCache>
                <c:formatCode>General</c:formatCode>
                <c:ptCount val="12"/>
                <c:pt idx="0">
                  <c:v>2022</c:v>
                </c:pt>
                <c:pt idx="1">
                  <c:v>2022</c:v>
                </c:pt>
                <c:pt idx="2">
                  <c:v>2022</c:v>
                </c:pt>
                <c:pt idx="3">
                  <c:v>2022</c:v>
                </c:pt>
                <c:pt idx="4">
                  <c:v>2023</c:v>
                </c:pt>
                <c:pt idx="5">
                  <c:v>2023</c:v>
                </c:pt>
                <c:pt idx="6">
                  <c:v>2023</c:v>
                </c:pt>
                <c:pt idx="7">
                  <c:v>2023</c:v>
                </c:pt>
                <c:pt idx="8">
                  <c:v>2024</c:v>
                </c:pt>
                <c:pt idx="9">
                  <c:v>2024</c:v>
                </c:pt>
                <c:pt idx="10">
                  <c:v>2024</c:v>
                </c:pt>
                <c:pt idx="11">
                  <c:v>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5F-4BB1-B943-CBF28784523E}"/>
            </c:ext>
          </c:extLst>
        </c:ser>
        <c:ser>
          <c:idx val="1"/>
          <c:order val="1"/>
          <c:tx>
            <c:strRef>
              <c:f>'Wide World Importers Analysis'!$C$20</c:f>
              <c:strCache>
                <c:ptCount val="1"/>
                <c:pt idx="0">
                  <c:v>Below Avg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'Wide World Importers Analysis'!$A$21:$A$32</c:f>
              <c:strCache>
                <c:ptCount val="12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  <c:pt idx="4">
                  <c:v>Q1</c:v>
                </c:pt>
                <c:pt idx="5">
                  <c:v>Q2</c:v>
                </c:pt>
                <c:pt idx="6">
                  <c:v>Q3</c:v>
                </c:pt>
                <c:pt idx="7">
                  <c:v>Q4</c:v>
                </c:pt>
                <c:pt idx="8">
                  <c:v>Q1</c:v>
                </c:pt>
                <c:pt idx="9">
                  <c:v>Q2</c:v>
                </c:pt>
                <c:pt idx="10">
                  <c:v>Q3</c:v>
                </c:pt>
                <c:pt idx="11">
                  <c:v>Q4</c:v>
                </c:pt>
              </c:strCache>
            </c:strRef>
          </c:cat>
          <c:val>
            <c:numRef>
              <c:f>'Wide World Importers Analysis'!$C$21:$C$32</c:f>
              <c:numCache>
                <c:formatCode>"$"#,##0.00</c:formatCode>
                <c:ptCount val="12"/>
                <c:pt idx="0">
                  <c:v>1218.53</c:v>
                </c:pt>
                <c:pt idx="1">
                  <c:v>703.72</c:v>
                </c:pt>
                <c:pt idx="2">
                  <c:v>1133.21</c:v>
                </c:pt>
                <c:pt idx="3">
                  <c:v>740.36999999999989</c:v>
                </c:pt>
                <c:pt idx="4">
                  <c:v>1612.05</c:v>
                </c:pt>
                <c:pt idx="5">
                  <c:v>1027.2900000000002</c:v>
                </c:pt>
                <c:pt idx="6">
                  <c:v>688.31999999999994</c:v>
                </c:pt>
                <c:pt idx="7">
                  <c:v>2307.8100000000004</c:v>
                </c:pt>
                <c:pt idx="8">
                  <c:v>1451.3</c:v>
                </c:pt>
                <c:pt idx="9">
                  <c:v>1818.62</c:v>
                </c:pt>
                <c:pt idx="10">
                  <c:v>1502.3300000000002</c:v>
                </c:pt>
                <c:pt idx="11">
                  <c:v>679.49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5F-4BB1-B943-CBF287845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621055"/>
        <c:axId val="1729630175"/>
      </c:lineChart>
      <c:catAx>
        <c:axId val="1729621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30175"/>
        <c:crosses val="autoZero"/>
        <c:auto val="1"/>
        <c:lblAlgn val="ctr"/>
        <c:lblOffset val="100"/>
        <c:noMultiLvlLbl val="0"/>
      </c:catAx>
      <c:valAx>
        <c:axId val="172963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621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Wide World Importers: Yearly Sales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'Wide World Importers Analysis'!$E$6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'Wide World Importers Analysis'!$D$7:$D$10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Total</c:v>
                </c:pt>
              </c:strCache>
            </c:strRef>
          </c:cat>
          <c:val>
            <c:numRef>
              <c:f>'Wide World Importers Analysis'!$E$7:$E$10</c:f>
              <c:numCache>
                <c:formatCode>"$"#,##0.00</c:formatCode>
                <c:ptCount val="4"/>
                <c:pt idx="0">
                  <c:v>3795.8300000000004</c:v>
                </c:pt>
                <c:pt idx="1">
                  <c:v>5635.47</c:v>
                </c:pt>
                <c:pt idx="2">
                  <c:v>5451.7400000000007</c:v>
                </c:pt>
                <c:pt idx="3">
                  <c:v>14883.04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7-4FEB-A6D6-007811FACD88}"/>
            </c:ext>
          </c:extLst>
        </c:ser>
        <c:ser>
          <c:idx val="1"/>
          <c:order val="1"/>
          <c:tx>
            <c:strRef>
              <c:f>'Wide World Importers Analysis'!$F$6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'Wide World Importers Analysis'!$D$7:$D$10</c:f>
              <c:strCache>
                <c:ptCount val="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Total</c:v>
                </c:pt>
              </c:strCache>
            </c:strRef>
          </c:cat>
          <c:val>
            <c:numRef>
              <c:f>'Wide World Importers Analysis'!$F$7:$F$10</c:f>
              <c:numCache>
                <c:formatCode>"$"#,##0.00</c:formatCode>
                <c:ptCount val="4"/>
                <c:pt idx="0">
                  <c:v>14583.77</c:v>
                </c:pt>
                <c:pt idx="1">
                  <c:v>14816.28</c:v>
                </c:pt>
                <c:pt idx="2">
                  <c:v>20677.890000000007</c:v>
                </c:pt>
                <c:pt idx="3">
                  <c:v>50077.94000000001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7-4FEB-A6D6-007811FAC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0075599"/>
        <c:axId val="1800072719"/>
      </c:barChart>
      <c:catAx>
        <c:axId val="1800075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72719"/>
        <c:crosses val="autoZero"/>
        <c:auto val="1"/>
        <c:lblAlgn val="ctr"/>
        <c:lblOffset val="100"/>
        <c:noMultiLvlLbl val="0"/>
      </c:catAx>
      <c:valAx>
        <c:axId val="180007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75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Performance: Below vs Above Avg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'Wide World Importers Analysis'!$J$6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'Wide World Importers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'Wide World Importers Analysis'!$J$7:$J$12</c:f>
              <c:numCache>
                <c:formatCode>"$"#,##0.00</c:formatCode>
                <c:ptCount val="6"/>
                <c:pt idx="0">
                  <c:v>2934.2799999999997</c:v>
                </c:pt>
                <c:pt idx="1">
                  <c:v>1971.9</c:v>
                </c:pt>
                <c:pt idx="2">
                  <c:v>2455.7600000000002</c:v>
                </c:pt>
                <c:pt idx="3">
                  <c:v>1631.2700000000002</c:v>
                </c:pt>
                <c:pt idx="4">
                  <c:v>3535.4700000000003</c:v>
                </c:pt>
                <c:pt idx="5">
                  <c:v>2354.36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D-4113-B05B-939B5C482E7A}"/>
            </c:ext>
          </c:extLst>
        </c:ser>
        <c:ser>
          <c:idx val="1"/>
          <c:order val="1"/>
          <c:tx>
            <c:strRef>
              <c:f>'Wide World Importers Analysis'!$K$6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'Wide World Importers Analysis'!$I$7:$I$12</c:f>
              <c:strCache>
                <c:ptCount val="6"/>
                <c:pt idx="0">
                  <c:v>bagels</c:v>
                </c:pt>
                <c:pt idx="1">
                  <c:v>chips</c:v>
                </c:pt>
                <c:pt idx="2">
                  <c:v>chocolate cake</c:v>
                </c:pt>
                <c:pt idx="3">
                  <c:v>cookies</c:v>
                </c:pt>
                <c:pt idx="4">
                  <c:v>ice cream</c:v>
                </c:pt>
                <c:pt idx="5">
                  <c:v>spread</c:v>
                </c:pt>
              </c:strCache>
            </c:strRef>
          </c:cat>
          <c:val>
            <c:numRef>
              <c:f>'Wide World Importers Analysis'!$K$7:$K$12</c:f>
              <c:numCache>
                <c:formatCode>"$"#,##0.00</c:formatCode>
                <c:ptCount val="6"/>
                <c:pt idx="0">
                  <c:v>7638.5</c:v>
                </c:pt>
                <c:pt idx="1">
                  <c:v>11437.79</c:v>
                </c:pt>
                <c:pt idx="2">
                  <c:v>7946.28</c:v>
                </c:pt>
                <c:pt idx="3">
                  <c:v>7066.5</c:v>
                </c:pt>
                <c:pt idx="4">
                  <c:v>7968.4400000000005</c:v>
                </c:pt>
                <c:pt idx="5">
                  <c:v>8020.4300000000012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D-4113-B05B-939B5C48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00079919"/>
        <c:axId val="1800074639"/>
      </c:barChart>
      <c:catAx>
        <c:axId val="18000799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74639"/>
        <c:crosses val="autoZero"/>
        <c:auto val="1"/>
        <c:lblAlgn val="ctr"/>
        <c:lblOffset val="100"/>
        <c:noMultiLvlLbl val="0"/>
      </c:catAx>
      <c:valAx>
        <c:axId val="1800074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79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Store Brand: Underperformance Rate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'Wide World Importers Analysis'!$B$37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'Wide World Importers Analysis'!$A$38:$A$43</c:f>
              <c:strCache>
                <c:ptCount val="6"/>
                <c:pt idx="0">
                  <c:v>Liberty's Delightful Bakery &amp; Café</c:v>
                </c:pt>
                <c:pt idx="1">
                  <c:v>Northwind Traders</c:v>
                </c:pt>
                <c:pt idx="2">
                  <c:v>VanArsdel, Ltd.</c:v>
                </c:pt>
                <c:pt idx="3">
                  <c:v>Wide World Importers</c:v>
                </c:pt>
                <c:pt idx="4">
                  <c:v>Proseware, Inc.</c:v>
                </c:pt>
                <c:pt idx="5">
                  <c:v>Relecloud</c:v>
                </c:pt>
              </c:strCache>
            </c:strRef>
          </c:cat>
          <c:val>
            <c:numRef>
              <c:f>'Wide World Importers Analysis'!$B$38:$B$43</c:f>
              <c:numCache>
                <c:formatCode>"$"#,##0.00</c:formatCode>
                <c:ptCount val="6"/>
                <c:pt idx="0">
                  <c:v>69119.609999999942</c:v>
                </c:pt>
                <c:pt idx="1">
                  <c:v>65112.680000000051</c:v>
                </c:pt>
                <c:pt idx="2">
                  <c:v>58457.520000000004</c:v>
                </c:pt>
                <c:pt idx="3">
                  <c:v>64960.980000000018</c:v>
                </c:pt>
                <c:pt idx="4">
                  <c:v>68620.210000000006</c:v>
                </c:pt>
                <c:pt idx="5">
                  <c:v>61256.280000000013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6-4438-B771-ADFD3B6BB1B6}"/>
            </c:ext>
          </c:extLst>
        </c:ser>
        <c:ser>
          <c:idx val="1"/>
          <c:order val="1"/>
          <c:tx>
            <c:strRef>
              <c:f>'Wide World Importers Analysis'!$C$37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'Wide World Importers Analysis'!$A$38:$A$43</c:f>
              <c:strCache>
                <c:ptCount val="6"/>
                <c:pt idx="0">
                  <c:v>Liberty's Delightful Bakery &amp; Café</c:v>
                </c:pt>
                <c:pt idx="1">
                  <c:v>Northwind Traders</c:v>
                </c:pt>
                <c:pt idx="2">
                  <c:v>VanArsdel, Ltd.</c:v>
                </c:pt>
                <c:pt idx="3">
                  <c:v>Wide World Importers</c:v>
                </c:pt>
                <c:pt idx="4">
                  <c:v>Proseware, Inc.</c:v>
                </c:pt>
                <c:pt idx="5">
                  <c:v>Relecloud</c:v>
                </c:pt>
              </c:strCache>
            </c:strRef>
          </c:cat>
          <c:val>
            <c:numRef>
              <c:f>'Wide World Importers Analysis'!$C$38:$C$43</c:f>
              <c:numCache>
                <c:formatCode>"$"#,##0.00</c:formatCode>
                <c:ptCount val="6"/>
                <c:pt idx="0">
                  <c:v>18637.03</c:v>
                </c:pt>
                <c:pt idx="1">
                  <c:v>16449.509999999998</c:v>
                </c:pt>
                <c:pt idx="2">
                  <c:v>14530.629999999997</c:v>
                </c:pt>
                <c:pt idx="3">
                  <c:v>14883.039999999995</c:v>
                </c:pt>
                <c:pt idx="4">
                  <c:v>17197.84</c:v>
                </c:pt>
                <c:pt idx="5">
                  <c:v>17491.569999999992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6-4438-B771-ADFD3B6BB1B6}"/>
            </c:ext>
          </c:extLst>
        </c:ser>
        <c:ser>
          <c:idx val="2"/>
          <c:order val="2"/>
          <c:tx>
            <c:strRef>
              <c:f>'Wide World Importers Analysis'!$D$37</c:f>
              <c:strCache>
                <c:ptCount val="1"/>
                <c:pt idx="0">
                  <c:v>Below Avg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'Wide World Importers Analysis'!$A$38:$A$43</c:f>
              <c:strCache>
                <c:ptCount val="6"/>
                <c:pt idx="0">
                  <c:v>Liberty's Delightful Bakery &amp; Café</c:v>
                </c:pt>
                <c:pt idx="1">
                  <c:v>Northwind Traders</c:v>
                </c:pt>
                <c:pt idx="2">
                  <c:v>VanArsdel, Ltd.</c:v>
                </c:pt>
                <c:pt idx="3">
                  <c:v>Wide World Importers</c:v>
                </c:pt>
                <c:pt idx="4">
                  <c:v>Proseware, Inc.</c:v>
                </c:pt>
                <c:pt idx="5">
                  <c:v>Relecloud</c:v>
                </c:pt>
              </c:strCache>
            </c:strRef>
          </c:cat>
          <c:val>
            <c:numRef>
              <c:f>'Wide World Importers Analysis'!$D$38:$D$43</c:f>
              <c:numCache>
                <c:formatCode>0.0%</c:formatCode>
                <c:ptCount val="6"/>
                <c:pt idx="0">
                  <c:v>0.26963447855102213</c:v>
                </c:pt>
                <c:pt idx="1">
                  <c:v>0.25263143830049672</c:v>
                </c:pt>
                <c:pt idx="2">
                  <c:v>0.24856733573370879</c:v>
                </c:pt>
                <c:pt idx="3">
                  <c:v>0.22910738107707104</c:v>
                </c:pt>
                <c:pt idx="4">
                  <c:v>0.25062354079067956</c:v>
                </c:pt>
                <c:pt idx="5">
                  <c:v>0.28554737571396743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26-4438-B771-ADFD3B6B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00077039"/>
        <c:axId val="1800081359"/>
      </c:barChart>
      <c:catAx>
        <c:axId val="1800077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81359"/>
        <c:crosses val="autoZero"/>
        <c:auto val="1"/>
        <c:lblAlgn val="ctr"/>
        <c:lblOffset val="100"/>
        <c:noMultiLvlLbl val="0"/>
      </c:catAx>
      <c:valAx>
        <c:axId val="1800081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7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City Performance: Below vs Above Avg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'Wide World Importers Analysis'!$J$16</c:f>
              <c:strCache>
                <c:ptCount val="1"/>
                <c:pt idx="0">
                  <c:v>Below Avg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'Wide World Importers Analysis'!$I$17:$I$24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'Wide World Importers Analysis'!$J$17:$J$24</c:f>
              <c:numCache>
                <c:formatCode>"$"#,##0.00</c:formatCode>
                <c:ptCount val="8"/>
                <c:pt idx="0">
                  <c:v>1761.8100000000002</c:v>
                </c:pt>
                <c:pt idx="1">
                  <c:v>2018.16</c:v>
                </c:pt>
                <c:pt idx="2">
                  <c:v>1208.83</c:v>
                </c:pt>
                <c:pt idx="3">
                  <c:v>1780.68</c:v>
                </c:pt>
                <c:pt idx="4">
                  <c:v>2777.1800000000003</c:v>
                </c:pt>
                <c:pt idx="5">
                  <c:v>2125.2199999999998</c:v>
                </c:pt>
                <c:pt idx="6">
                  <c:v>1589.4399999999998</c:v>
                </c:pt>
                <c:pt idx="7">
                  <c:v>1621.72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D-4041-88FB-BD902D8EB85A}"/>
            </c:ext>
          </c:extLst>
        </c:ser>
        <c:ser>
          <c:idx val="1"/>
          <c:order val="1"/>
          <c:tx>
            <c:strRef>
              <c:f>'Wide World Importers Analysis'!$K$16</c:f>
              <c:strCache>
                <c:ptCount val="1"/>
                <c:pt idx="0">
                  <c:v>Above Avg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'Wide World Importers Analysis'!$I$17:$I$24</c:f>
              <c:strCache>
                <c:ptCount val="8"/>
                <c:pt idx="0">
                  <c:v>Boston</c:v>
                </c:pt>
                <c:pt idx="1">
                  <c:v>Chicago</c:v>
                </c:pt>
                <c:pt idx="2">
                  <c:v>Los Angeles</c:v>
                </c:pt>
                <c:pt idx="3">
                  <c:v>New Orleans</c:v>
                </c:pt>
                <c:pt idx="4">
                  <c:v>New York</c:v>
                </c:pt>
                <c:pt idx="5">
                  <c:v>San Francisco</c:v>
                </c:pt>
                <c:pt idx="6">
                  <c:v>Seattle</c:v>
                </c:pt>
                <c:pt idx="7">
                  <c:v>Tacoma</c:v>
                </c:pt>
              </c:strCache>
            </c:strRef>
          </c:cat>
          <c:val>
            <c:numRef>
              <c:f>'Wide World Importers Analysis'!$K$17:$K$24</c:f>
              <c:numCache>
                <c:formatCode>"$"#,##0.00</c:formatCode>
                <c:ptCount val="8"/>
                <c:pt idx="0">
                  <c:v>4705.8799999999992</c:v>
                </c:pt>
                <c:pt idx="1">
                  <c:v>5476.4500000000016</c:v>
                </c:pt>
                <c:pt idx="2">
                  <c:v>5179.3100000000004</c:v>
                </c:pt>
                <c:pt idx="3">
                  <c:v>4724.6899999999987</c:v>
                </c:pt>
                <c:pt idx="4">
                  <c:v>9032.010000000002</c:v>
                </c:pt>
                <c:pt idx="5">
                  <c:v>5341.41</c:v>
                </c:pt>
                <c:pt idx="6">
                  <c:v>8855.26</c:v>
                </c:pt>
                <c:pt idx="7">
                  <c:v>6762.93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1D-4041-88FB-BD902D8EB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00084239"/>
        <c:axId val="1800084719"/>
      </c:barChart>
      <c:catAx>
        <c:axId val="1800084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84719"/>
        <c:crosses val="autoZero"/>
        <c:auto val="1"/>
        <c:lblAlgn val="ctr"/>
        <c:lblOffset val="100"/>
        <c:noMultiLvlLbl val="0"/>
      </c:catAx>
      <c:valAx>
        <c:axId val="1800084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84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22</xdr:row>
      <xdr:rowOff>0</xdr:rowOff>
    </xdr:from>
    <xdr:to>
      <xdr:col>26</xdr:col>
      <xdr:colOff>0</xdr:colOff>
      <xdr:row>45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5FEB8-CA8E-9CE3-DAFB-43DA2637CB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ADB90D-3E3C-FB19-7D1F-4DBAAAC1F6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4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40CA27-5F4A-2570-C18D-629B3D15A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17</xdr:col>
      <xdr:colOff>259080</xdr:colOff>
      <xdr:row>42</xdr:row>
      <xdr:rowOff>129540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CB4872-B928-ED38-71C5-FEB85D06E2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45</xdr:row>
      <xdr:rowOff>0</xdr:rowOff>
    </xdr:from>
    <xdr:to>
      <xdr:col>12</xdr:col>
      <xdr:colOff>0</xdr:colOff>
      <xdr:row>60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32A758C-7B8E-C4CC-5EB4-88F4E80BBF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62</xdr:row>
      <xdr:rowOff>0</xdr:rowOff>
    </xdr:from>
    <xdr:to>
      <xdr:col>12</xdr:col>
      <xdr:colOff>0</xdr:colOff>
      <xdr:row>77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D696FD-EEEF-156E-4803-2FAFA28A6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79</xdr:row>
      <xdr:rowOff>0</xdr:rowOff>
    </xdr:from>
    <xdr:to>
      <xdr:col>12</xdr:col>
      <xdr:colOff>0</xdr:colOff>
      <xdr:row>92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135B532-05FA-3D64-FE91-5822D3D2A4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51</xdr:row>
      <xdr:rowOff>121920</xdr:rowOff>
    </xdr:from>
    <xdr:to>
      <xdr:col>1</xdr:col>
      <xdr:colOff>960120</xdr:colOff>
      <xdr:row>64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DFFF1-CE5F-854A-A087-F862E7B7D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53340</xdr:rowOff>
    </xdr:from>
    <xdr:to>
      <xdr:col>7</xdr:col>
      <xdr:colOff>838200</xdr:colOff>
      <xdr:row>64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F18810-0A01-23C6-2969-3A95A6C51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65</xdr:row>
      <xdr:rowOff>76200</xdr:rowOff>
    </xdr:from>
    <xdr:to>
      <xdr:col>3</xdr:col>
      <xdr:colOff>121920</xdr:colOff>
      <xdr:row>76</xdr:row>
      <xdr:rowOff>66040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65FEA3-DF58-E81F-B418-4AD4F8FB8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365760</xdr:colOff>
      <xdr:row>65</xdr:row>
      <xdr:rowOff>60960</xdr:rowOff>
    </xdr:from>
    <xdr:to>
      <xdr:col>9</xdr:col>
      <xdr:colOff>594360</xdr:colOff>
      <xdr:row>76</xdr:row>
      <xdr:rowOff>83820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575EA44-284C-5D41-4AC3-D8741944E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0</xdr:rowOff>
    </xdr:from>
    <xdr:to>
      <xdr:col>5</xdr:col>
      <xdr:colOff>0</xdr:colOff>
      <xdr:row>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55262A-CF2D-B25D-8700-B756211671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57</xdr:row>
      <xdr:rowOff>0</xdr:rowOff>
    </xdr:from>
    <xdr:to>
      <xdr:col>10</xdr:col>
      <xdr:colOff>0</xdr:colOff>
      <xdr:row>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D5D36F-8CE9-6289-8A60-0EAB2952F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9</xdr:col>
      <xdr:colOff>0</xdr:colOff>
      <xdr:row>94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56C4D2-AB5A-C63A-BDE8-ECA0F3E3A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15</xdr:col>
      <xdr:colOff>0</xdr:colOff>
      <xdr:row>75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CA53FD3-4D88-9CA9-EA11-A37EADFCDA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3</xdr:row>
      <xdr:rowOff>0</xdr:rowOff>
    </xdr:from>
    <xdr:to>
      <xdr:col>22</xdr:col>
      <xdr:colOff>436881</xdr:colOff>
      <xdr:row>21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6545D1-FAD9-30A5-609D-8355B885F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</xdr:colOff>
      <xdr:row>17</xdr:row>
      <xdr:rowOff>0</xdr:rowOff>
    </xdr:from>
    <xdr:to>
      <xdr:col>22</xdr:col>
      <xdr:colOff>436881</xdr:colOff>
      <xdr:row>36</xdr:row>
      <xdr:rowOff>5080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DA68C1-5380-9616-2BD7-A167E436F7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</xdr:colOff>
      <xdr:row>31</xdr:row>
      <xdr:rowOff>0</xdr:rowOff>
    </xdr:from>
    <xdr:to>
      <xdr:col>22</xdr:col>
      <xdr:colOff>436881</xdr:colOff>
      <xdr:row>48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EA33A7-7049-D0EF-F8C6-81DFC4F34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</xdr:colOff>
      <xdr:row>45</xdr:row>
      <xdr:rowOff>0</xdr:rowOff>
    </xdr:from>
    <xdr:to>
      <xdr:col>22</xdr:col>
      <xdr:colOff>436881</xdr:colOff>
      <xdr:row>62</xdr:row>
      <xdr:rowOff>78740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A56B732-E080-D8C2-9B73-9CEA4986C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0</xdr:rowOff>
    </xdr:from>
    <xdr:to>
      <xdr:col>2</xdr:col>
      <xdr:colOff>1148080</xdr:colOff>
      <xdr:row>78</xdr:row>
      <xdr:rowOff>134620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0E0C9C-A97F-8F58-BAF6-E1D4D863F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10</xdr:col>
      <xdr:colOff>599440</xdr:colOff>
      <xdr:row>78</xdr:row>
      <xdr:rowOff>134620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545BD1-78F5-72BD-4F9F-E562CB952C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74</xdr:row>
      <xdr:rowOff>0</xdr:rowOff>
    </xdr:from>
    <xdr:to>
      <xdr:col>3</xdr:col>
      <xdr:colOff>388620</xdr:colOff>
      <xdr:row>95</xdr:row>
      <xdr:rowOff>134620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52AC5A-327B-AECC-051A-B7C8920978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2</xdr:col>
      <xdr:colOff>1148080</xdr:colOff>
      <xdr:row>78</xdr:row>
      <xdr:rowOff>134620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DA13BD-B0B6-C3EF-F841-842EC25B83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57</xdr:row>
      <xdr:rowOff>0</xdr:rowOff>
    </xdr:from>
    <xdr:to>
      <xdr:col>10</xdr:col>
      <xdr:colOff>599440</xdr:colOff>
      <xdr:row>78</xdr:row>
      <xdr:rowOff>134620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9974679-EFC2-0305-CF6D-66EC17F07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74</xdr:row>
      <xdr:rowOff>0</xdr:rowOff>
    </xdr:from>
    <xdr:to>
      <xdr:col>3</xdr:col>
      <xdr:colOff>1023620</xdr:colOff>
      <xdr:row>95</xdr:row>
      <xdr:rowOff>134620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34BE8BA-FF4E-1ACA-3607-5B7793E3D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74</xdr:row>
      <xdr:rowOff>0</xdr:rowOff>
    </xdr:from>
    <xdr:to>
      <xdr:col>10</xdr:col>
      <xdr:colOff>599440</xdr:colOff>
      <xdr:row>95</xdr:row>
      <xdr:rowOff>134620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B290A28-B5AB-23FC-0F3A-FA20D352D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ython\Book%202025\Workbooks\Chapter%205%20Workbooks\SP%20Python%20in%20Excel%20Example%20Completed%20File%20Chapter%205.xlsm" TargetMode="External"/><Relationship Id="rId1" Type="http://schemas.openxmlformats.org/officeDocument/2006/relationships/externalLinkPath" Target="SP%20Python%20in%20Excel%20Example%20Completed%20File%20Chapter%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Navigator"/>
      <sheetName val="Model Parameters"/>
      <sheetName val="Style Guide"/>
      <sheetName val="Transactions"/>
      <sheetName val="Copilot pane prompts"/>
      <sheetName val="Copilot pane insights"/>
      <sheetName val="Project"/>
      <sheetName val="Financial"/>
      <sheetName val="WWI Example"/>
      <sheetName val="Financials Example"/>
      <sheetName val="Top Product Example"/>
      <sheetName val="Delayed Tasks Example"/>
      <sheetName val="Error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7">
          <cell r="I17">
            <v>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D64AD6-3E69-4AF9-8697-03C0C354C1CF}" name="Project" displayName="Project" ref="D10:L40" totalsRowShown="0" headerRowCellStyle="Table_Heading">
  <autoFilter ref="D10:L40" xr:uid="{4B00E45D-AE2B-4DE2-B977-D9190D5275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8F2649A-8902-43D4-8263-EA5F3CEE4D82}" name="Project ID"/>
    <tableColumn id="2" xr3:uid="{2AF0B65A-3AFC-424B-941C-66B61AFE4A42}" name="Project Name"/>
    <tableColumn id="3" xr3:uid="{4B175FD4-C7E1-419B-828C-646BFF4C015E}" name="Start Date"/>
    <tableColumn id="4" xr3:uid="{8D44975A-7FA1-4464-8E9F-07EB11715BB1}" name="End Date"/>
    <tableColumn id="5" xr3:uid="{42212101-69A4-4E93-B8B1-04E21B98C3A3}" name="Status"/>
    <tableColumn id="6" xr3:uid="{0203408B-3514-412B-BC8A-9B48BD758625}" name="Project Owner"/>
    <tableColumn id="7" xr3:uid="{5E8EAB78-2034-455A-828C-38021F21E298}" name="Team"/>
    <tableColumn id="8" xr3:uid="{0D2321EC-4B04-4D13-AC5E-A56C7BE1F24A}" name="Budget ($)" dataDxfId="14" dataCellStyle="Date"/>
    <tableColumn id="9" xr3:uid="{5A409862-12A0-43B0-85A5-710BB9CCC613}" name="Spent ($)" dataDxfId="13" dataCellStyle="Da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09320A-744D-4A9E-B745-1FD5756DBDA0}" name="Transactions" displayName="Transactions" ref="D10:Q1510" totalsRowShown="0" tableBorderDxfId="15" headerRowCellStyle="Table_Heading">
  <autoFilter ref="D10:Q1510" xr:uid="{9F09320A-744D-4A9E-B745-1FD5756DB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6A827AD9-B5B5-424C-B813-C3F36ABA564B}" name="Store ID"/>
    <tableColumn id="2" xr3:uid="{56D7F586-FF6A-4C3A-877C-6F75D013E832}" name="Store Name"/>
    <tableColumn id="3" xr3:uid="{A0BFC421-F29A-42C6-B923-1EE8C629E437}" name="City"/>
    <tableColumn id="6" xr3:uid="{0D4B5C84-2E91-4975-898E-D27C873C0508}" name="Area m2"/>
    <tableColumn id="7" xr3:uid="{6519C32D-09DD-44D6-AE48-B4F4C86681A8}" name="No. Sellers"/>
    <tableColumn id="8" xr3:uid="{074DE2A9-09A6-4F43-BC96-3BCF65EB8DF3}" name="Rental/month/m2"/>
    <tableColumn id="9" xr3:uid="{0BDB38C9-E382-4E74-86B4-D143473188D2}" name="Analysis Priority"/>
    <tableColumn id="10" xr3:uid="{87125E6D-2BF2-4849-A2CC-C4A1E7ACBFB8}" name="Transaction Date" dataCellStyle="Date"/>
    <tableColumn id="11" xr3:uid="{F01BB6C9-D36E-4C74-8AA1-BCFFFC8957E6}" name="Product"/>
    <tableColumn id="12" xr3:uid="{42D9186D-686E-4398-9650-F0662BE0AD64}" name="Sales Amount"/>
    <tableColumn id="13" xr3:uid="{9A98482C-43E2-40E4-8DEE-3B171C23269D}" name="Quantity Sold"/>
    <tableColumn id="4" xr3:uid="{737DB2E4-A54B-47E8-B6C6-BA70EE41F72D}" name="Quarter">
      <calculatedColumnFormula>"Q"&amp;ROUNDUP(MONTH(Transactions[[#This Row],[Transaction Date]])/3,0)</calculatedColumnFormula>
    </tableColumn>
    <tableColumn id="5" xr3:uid="{6BD0E5FB-0CF8-4800-9D77-4CFE76F09489}" name="Year">
      <calculatedColumnFormula>YEAR(Transactions[[#This Row],[Transaction Date]])</calculatedColumnFormula>
    </tableColumn>
    <tableColumn id="14" xr3:uid="{8B090052-D0FE-4D4A-A1A2-173333E41E2B}" name="Underperforming Flag">
      <calculatedColumnFormula>IF(Transactions[[#This Row],[Sales Amount]]&lt;AVERAGE(Transactions[Sales Amount]),"Below Average","At/Above Average")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A1C42E-1388-47C6-B598-76A236C27EBA}" name="Finance" displayName="Finance" ref="D10:P13506" totalsRowShown="0" tableBorderDxfId="12" headerRowCellStyle="Table_Heading">
  <autoFilter ref="D10:P13506" xr:uid="{677361E2-F072-4F57-ABD4-93CC175CE4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8F51435D-FDF9-4903-AC9A-FCB2359CC318}" name="Cash Slip Number"/>
    <tableColumn id="2" xr3:uid="{11029BAD-A572-401D-B29D-A3FBF7071CC2}" name="Date" dataDxfId="11"/>
    <tableColumn id="3" xr3:uid="{458F61AE-694A-408C-8BB9-F806C1052C21}" name="Time"/>
    <tableColumn id="4" xr3:uid="{D85156E2-7D46-4156-ACF9-FF93FDA510F3}" name="Products"/>
    <tableColumn id="5" xr3:uid="{BEEC132F-9CB2-4A22-9728-5474ECD23F7C}" name="Qty"/>
    <tableColumn id="6" xr3:uid="{C4C73CC8-5E33-4726-A606-4AD25C652CD5}" name="Unit Price"/>
    <tableColumn id="7" xr3:uid="{E0362EF6-1484-4EB8-B538-4794E437BD6D}" name="Amount" dataDxfId="10"/>
    <tableColumn id="8" xr3:uid="{C2094BE2-3EAC-479F-8FED-079B562E4BA1}" name="Payment Type"/>
    <tableColumn id="9" xr3:uid="{C888729D-6709-47F9-860B-032722246753}" name="Customer"/>
    <tableColumn id="10" xr3:uid="{66703CF8-3C7E-4ECD-8F19-FEC5AAA27745}" name="Store ID"/>
    <tableColumn id="11" xr3:uid="{1E74A321-EEC3-4597-A1DF-A029A3A291A2}" name="Purchasing Cost"/>
    <tableColumn id="12" xr3:uid="{087E413E-D4C7-4C94-AFA5-673D96077EFA}" name="Shipping Date" dataDxfId="9"/>
    <tableColumn id="13" xr3:uid="{CA4DF29C-6147-4496-B5CE-66CE7B296464}" name="Expenses" dataDxf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kathryn.newitt@sumproduct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S22"/>
  <sheetViews>
    <sheetView showGridLines="0" zoomScaleNormal="100" workbookViewId="0"/>
  </sheetViews>
  <sheetFormatPr defaultRowHeight="11.4" x14ac:dyDescent="0.2"/>
  <cols>
    <col min="3" max="4" width="3.75" customWidth="1"/>
  </cols>
  <sheetData>
    <row r="3" spans="1:19" ht="12" x14ac:dyDescent="0.25">
      <c r="A3" s="11" t="s">
        <v>0</v>
      </c>
    </row>
    <row r="5" spans="1:19" ht="21" x14ac:dyDescent="0.4">
      <c r="C5" s="40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7.399999999999999" x14ac:dyDescent="0.3">
      <c r="C6" s="41" t="str">
        <f>Model_Name</f>
        <v>SP Python in Excel Example Starter File Chapter 5</v>
      </c>
      <c r="D6" s="7"/>
      <c r="E6" s="7"/>
      <c r="F6" s="7"/>
      <c r="G6" s="7"/>
      <c r="H6" s="7"/>
      <c r="I6" s="7"/>
      <c r="J6" s="7"/>
    </row>
    <row r="7" spans="1:19" ht="13.8" x14ac:dyDescent="0.3">
      <c r="C7" s="7"/>
      <c r="D7" s="7"/>
      <c r="E7" s="7"/>
      <c r="F7" s="7"/>
      <c r="G7" s="7"/>
      <c r="H7" s="7"/>
      <c r="I7" s="7"/>
      <c r="J7" s="7"/>
    </row>
    <row r="8" spans="1:19" ht="13.8" x14ac:dyDescent="0.3">
      <c r="C8" s="7"/>
      <c r="D8" s="7"/>
      <c r="E8" s="7"/>
      <c r="F8" s="7"/>
      <c r="G8" s="7"/>
      <c r="H8" s="7"/>
      <c r="I8" s="7"/>
      <c r="J8" s="7"/>
    </row>
    <row r="9" spans="1:19" ht="13.8" x14ac:dyDescent="0.3">
      <c r="C9" s="7"/>
      <c r="D9" s="7"/>
      <c r="E9" s="7"/>
      <c r="F9" s="7"/>
      <c r="G9" s="7"/>
      <c r="H9" s="7"/>
      <c r="I9" s="7"/>
      <c r="J9" s="7"/>
    </row>
    <row r="10" spans="1:19" ht="13.8" x14ac:dyDescent="0.3">
      <c r="C10" s="7"/>
      <c r="D10" s="7"/>
      <c r="E10" s="7"/>
      <c r="F10" s="7"/>
      <c r="G10" s="7"/>
      <c r="H10" s="7"/>
      <c r="I10" s="7"/>
      <c r="J10" s="7"/>
    </row>
    <row r="11" spans="1:19" ht="14.4" x14ac:dyDescent="0.3">
      <c r="C11" s="7"/>
      <c r="D11" s="7"/>
      <c r="E11" s="7"/>
      <c r="F11" s="7"/>
      <c r="G11" s="7"/>
      <c r="H11" s="7"/>
      <c r="I11" s="7"/>
      <c r="J11" s="7"/>
      <c r="S11" s="38"/>
    </row>
    <row r="12" spans="1:19" ht="13.8" x14ac:dyDescent="0.3">
      <c r="C12" s="7"/>
      <c r="D12" s="7"/>
      <c r="E12" s="7"/>
      <c r="F12" s="7"/>
      <c r="G12" s="7"/>
      <c r="H12" s="7"/>
      <c r="I12" s="7"/>
      <c r="J12" s="7"/>
    </row>
    <row r="13" spans="1:19" ht="13.8" x14ac:dyDescent="0.3">
      <c r="C13" s="7"/>
      <c r="D13" s="7"/>
      <c r="E13" s="7"/>
      <c r="F13" s="7"/>
      <c r="G13" s="7"/>
      <c r="H13" s="7"/>
      <c r="I13" s="7"/>
      <c r="J13" s="7"/>
    </row>
    <row r="14" spans="1:19" ht="13.8" x14ac:dyDescent="0.3">
      <c r="C14" s="8" t="s">
        <v>71</v>
      </c>
      <c r="D14" s="9"/>
      <c r="E14" s="7"/>
      <c r="F14" s="7"/>
      <c r="G14" s="7"/>
      <c r="H14" s="7"/>
      <c r="I14" s="7"/>
      <c r="J14" s="7"/>
    </row>
    <row r="15" spans="1:19" ht="13.8" x14ac:dyDescent="0.3">
      <c r="C15" s="9"/>
      <c r="D15" s="9"/>
      <c r="E15" s="7"/>
      <c r="F15" s="7"/>
      <c r="G15" s="7"/>
      <c r="H15" s="7"/>
      <c r="I15" s="7"/>
      <c r="J15" s="7"/>
    </row>
    <row r="16" spans="1:19" ht="13.8" x14ac:dyDescent="0.3">
      <c r="C16" s="8" t="s">
        <v>1</v>
      </c>
      <c r="D16" s="9"/>
      <c r="E16" s="7"/>
      <c r="F16" s="7"/>
      <c r="G16" s="7"/>
      <c r="H16" s="7"/>
      <c r="I16" s="7"/>
      <c r="J16" s="7"/>
    </row>
    <row r="17" spans="3:10" ht="13.8" x14ac:dyDescent="0.2">
      <c r="C17" s="56" t="s">
        <v>70</v>
      </c>
      <c r="D17" s="56"/>
      <c r="E17" s="56"/>
      <c r="F17" s="56"/>
      <c r="G17" s="56"/>
      <c r="H17" s="56"/>
      <c r="I17" s="56"/>
      <c r="J17" s="56"/>
    </row>
    <row r="18" spans="3:10" ht="13.8" x14ac:dyDescent="0.2">
      <c r="C18" s="56"/>
      <c r="D18" s="56"/>
      <c r="E18" s="56"/>
      <c r="F18" s="56"/>
      <c r="G18" s="56"/>
      <c r="H18" s="56"/>
      <c r="I18" s="56"/>
      <c r="J18" s="56"/>
    </row>
    <row r="19" spans="3:10" ht="13.8" x14ac:dyDescent="0.3">
      <c r="C19" s="10"/>
      <c r="D19" s="9"/>
      <c r="E19" s="7"/>
      <c r="F19" s="7"/>
      <c r="G19" s="7"/>
      <c r="H19" s="7"/>
      <c r="I19" s="7"/>
      <c r="J19" s="7"/>
    </row>
    <row r="20" spans="3:10" ht="13.8" x14ac:dyDescent="0.3">
      <c r="C20" s="10"/>
      <c r="D20" s="9"/>
      <c r="E20" s="7"/>
      <c r="F20" s="7"/>
      <c r="G20" s="7"/>
      <c r="H20" s="7"/>
      <c r="I20" s="7"/>
      <c r="J20" s="7"/>
    </row>
    <row r="21" spans="3:10" ht="13.8" x14ac:dyDescent="0.3">
      <c r="C21" s="10" t="s">
        <v>2</v>
      </c>
      <c r="D21" s="9"/>
      <c r="E21" s="7"/>
      <c r="F21" s="7"/>
      <c r="G21" s="57" t="s">
        <v>72</v>
      </c>
      <c r="H21" s="57"/>
      <c r="I21" s="57"/>
      <c r="J21" s="7"/>
    </row>
    <row r="22" spans="3:10" ht="13.8" x14ac:dyDescent="0.3">
      <c r="C22" s="10" t="s">
        <v>3</v>
      </c>
      <c r="D22" s="9"/>
      <c r="E22" s="7"/>
      <c r="F22" s="7"/>
      <c r="G22" s="57" t="s">
        <v>4</v>
      </c>
      <c r="H22" s="57"/>
      <c r="I22" s="57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E6D5B-6E94-4DCF-91B0-D1E9DB101E8E}">
  <dimension ref="A1:A103"/>
  <sheetViews>
    <sheetView workbookViewId="0">
      <selection activeCell="J17" sqref="J17"/>
    </sheetView>
  </sheetViews>
  <sheetFormatPr defaultRowHeight="11.4" x14ac:dyDescent="0.2"/>
  <sheetData>
    <row r="1" spans="1:1" ht="17.399999999999999" x14ac:dyDescent="0.3">
      <c r="A1" s="54" t="s">
        <v>8615</v>
      </c>
    </row>
    <row r="3" spans="1:1" x14ac:dyDescent="0.2">
      <c r="A3" t="s">
        <v>8616</v>
      </c>
    </row>
    <row r="5" spans="1:1" ht="17.399999999999999" x14ac:dyDescent="0.3">
      <c r="A5" s="54" t="s">
        <v>8617</v>
      </c>
    </row>
    <row r="7" spans="1:1" ht="15.6" x14ac:dyDescent="0.3">
      <c r="A7" s="55" t="s">
        <v>8618</v>
      </c>
    </row>
    <row r="9" spans="1:1" x14ac:dyDescent="0.2">
      <c r="A9" t="s">
        <v>8619</v>
      </c>
    </row>
    <row r="11" spans="1:1" x14ac:dyDescent="0.2">
      <c r="A11" t="s">
        <v>8620</v>
      </c>
    </row>
    <row r="12" spans="1:1" x14ac:dyDescent="0.2">
      <c r="A12" t="s">
        <v>8621</v>
      </c>
    </row>
    <row r="14" spans="1:1" x14ac:dyDescent="0.2">
      <c r="A14" t="s">
        <v>8622</v>
      </c>
    </row>
    <row r="16" spans="1:1" x14ac:dyDescent="0.2">
      <c r="A16" t="s">
        <v>8623</v>
      </c>
    </row>
    <row r="17" spans="1:1" x14ac:dyDescent="0.2">
      <c r="A17" t="s">
        <v>8624</v>
      </c>
    </row>
    <row r="19" spans="1:1" x14ac:dyDescent="0.2">
      <c r="A19" t="s">
        <v>8625</v>
      </c>
    </row>
    <row r="21" spans="1:1" ht="15.6" x14ac:dyDescent="0.3">
      <c r="A21" s="55" t="s">
        <v>8626</v>
      </c>
    </row>
    <row r="23" spans="1:1" x14ac:dyDescent="0.2">
      <c r="A23" t="s">
        <v>8627</v>
      </c>
    </row>
    <row r="25" spans="1:1" x14ac:dyDescent="0.2">
      <c r="A25" t="s">
        <v>8628</v>
      </c>
    </row>
    <row r="26" spans="1:1" x14ac:dyDescent="0.2">
      <c r="A26" t="s">
        <v>8629</v>
      </c>
    </row>
    <row r="28" spans="1:1" x14ac:dyDescent="0.2">
      <c r="A28" t="s">
        <v>8630</v>
      </c>
    </row>
    <row r="30" spans="1:1" x14ac:dyDescent="0.2">
      <c r="A30" t="s">
        <v>8631</v>
      </c>
    </row>
    <row r="31" spans="1:1" x14ac:dyDescent="0.2">
      <c r="A31" t="s">
        <v>8632</v>
      </c>
    </row>
    <row r="32" spans="1:1" x14ac:dyDescent="0.2">
      <c r="A32" t="s">
        <v>8633</v>
      </c>
    </row>
    <row r="34" spans="1:1" x14ac:dyDescent="0.2">
      <c r="A34" t="s">
        <v>8634</v>
      </c>
    </row>
    <row r="36" spans="1:1" ht="15.6" x14ac:dyDescent="0.3">
      <c r="A36" s="55" t="s">
        <v>8635</v>
      </c>
    </row>
    <row r="38" spans="1:1" x14ac:dyDescent="0.2">
      <c r="A38" t="s">
        <v>8636</v>
      </c>
    </row>
    <row r="40" spans="1:1" x14ac:dyDescent="0.2">
      <c r="A40" t="s">
        <v>8637</v>
      </c>
    </row>
    <row r="41" spans="1:1" x14ac:dyDescent="0.2">
      <c r="A41" t="s">
        <v>8638</v>
      </c>
    </row>
    <row r="42" spans="1:1" x14ac:dyDescent="0.2">
      <c r="A42" t="s">
        <v>8639</v>
      </c>
    </row>
    <row r="44" spans="1:1" x14ac:dyDescent="0.2">
      <c r="A44" t="s">
        <v>8640</v>
      </c>
    </row>
    <row r="46" spans="1:1" x14ac:dyDescent="0.2">
      <c r="A46" t="s">
        <v>8641</v>
      </c>
    </row>
    <row r="48" spans="1:1" x14ac:dyDescent="0.2">
      <c r="A48" t="s">
        <v>8642</v>
      </c>
    </row>
    <row r="50" spans="1:1" ht="15.6" x14ac:dyDescent="0.3">
      <c r="A50" s="55" t="s">
        <v>8643</v>
      </c>
    </row>
    <row r="52" spans="1:1" x14ac:dyDescent="0.2">
      <c r="A52" t="s">
        <v>8644</v>
      </c>
    </row>
    <row r="54" spans="1:1" x14ac:dyDescent="0.2">
      <c r="A54" t="s">
        <v>8645</v>
      </c>
    </row>
    <row r="55" spans="1:1" x14ac:dyDescent="0.2">
      <c r="A55" t="s">
        <v>8646</v>
      </c>
    </row>
    <row r="57" spans="1:1" x14ac:dyDescent="0.2">
      <c r="A57" t="s">
        <v>8647</v>
      </c>
    </row>
    <row r="59" spans="1:1" x14ac:dyDescent="0.2">
      <c r="A59" t="s">
        <v>8648</v>
      </c>
    </row>
    <row r="60" spans="1:1" x14ac:dyDescent="0.2">
      <c r="A60" t="s">
        <v>8649</v>
      </c>
    </row>
    <row r="61" spans="1:1" x14ac:dyDescent="0.2">
      <c r="A61" t="s">
        <v>8650</v>
      </c>
    </row>
    <row r="63" spans="1:1" x14ac:dyDescent="0.2">
      <c r="A63" t="s">
        <v>8651</v>
      </c>
    </row>
    <row r="65" spans="1:1" ht="15.6" x14ac:dyDescent="0.3">
      <c r="A65" s="55" t="s">
        <v>8652</v>
      </c>
    </row>
    <row r="67" spans="1:1" x14ac:dyDescent="0.2">
      <c r="A67" t="s">
        <v>8653</v>
      </c>
    </row>
    <row r="69" spans="1:1" x14ac:dyDescent="0.2">
      <c r="A69" t="s">
        <v>8654</v>
      </c>
    </row>
    <row r="71" spans="1:1" x14ac:dyDescent="0.2">
      <c r="A71" t="s">
        <v>8655</v>
      </c>
    </row>
    <row r="72" spans="1:1" x14ac:dyDescent="0.2">
      <c r="A72" t="s">
        <v>8656</v>
      </c>
    </row>
    <row r="74" spans="1:1" x14ac:dyDescent="0.2">
      <c r="A74" t="s">
        <v>8657</v>
      </c>
    </row>
    <row r="76" spans="1:1" ht="15.6" x14ac:dyDescent="0.3">
      <c r="A76" s="55" t="s">
        <v>8658</v>
      </c>
    </row>
    <row r="78" spans="1:1" x14ac:dyDescent="0.2">
      <c r="A78" t="s">
        <v>8659</v>
      </c>
    </row>
    <row r="80" spans="1:1" x14ac:dyDescent="0.2">
      <c r="A80" t="s">
        <v>8660</v>
      </c>
    </row>
    <row r="81" spans="1:1" x14ac:dyDescent="0.2">
      <c r="A81" t="s">
        <v>8661</v>
      </c>
    </row>
    <row r="83" spans="1:1" x14ac:dyDescent="0.2">
      <c r="A83" t="s">
        <v>8662</v>
      </c>
    </row>
    <row r="85" spans="1:1" x14ac:dyDescent="0.2">
      <c r="A85" t="s">
        <v>8663</v>
      </c>
    </row>
    <row r="87" spans="1:1" x14ac:dyDescent="0.2">
      <c r="A87" t="s">
        <v>8664</v>
      </c>
    </row>
    <row r="89" spans="1:1" ht="17.399999999999999" x14ac:dyDescent="0.3">
      <c r="A89" s="54" t="s">
        <v>8665</v>
      </c>
    </row>
    <row r="91" spans="1:1" x14ac:dyDescent="0.2">
      <c r="A91" t="s">
        <v>8666</v>
      </c>
    </row>
    <row r="92" spans="1:1" x14ac:dyDescent="0.2">
      <c r="A92" t="s">
        <v>8667</v>
      </c>
    </row>
    <row r="93" spans="1:1" x14ac:dyDescent="0.2">
      <c r="A93" t="s">
        <v>8668</v>
      </c>
    </row>
    <row r="94" spans="1:1" x14ac:dyDescent="0.2">
      <c r="A94" t="s">
        <v>8669</v>
      </c>
    </row>
    <row r="95" spans="1:1" x14ac:dyDescent="0.2">
      <c r="A95" t="s">
        <v>8670</v>
      </c>
    </row>
    <row r="97" spans="1:1" x14ac:dyDescent="0.2">
      <c r="A97" t="s">
        <v>8671</v>
      </c>
    </row>
    <row r="99" spans="1:1" x14ac:dyDescent="0.2">
      <c r="A99" t="s">
        <v>8672</v>
      </c>
    </row>
    <row r="101" spans="1:1" x14ac:dyDescent="0.2">
      <c r="A101" t="s">
        <v>8673</v>
      </c>
    </row>
    <row r="102" spans="1:1" x14ac:dyDescent="0.2">
      <c r="A102" t="s">
        <v>8674</v>
      </c>
    </row>
    <row r="103" spans="1:1" x14ac:dyDescent="0.2">
      <c r="A103" t="s">
        <v>8675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7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1.4" x14ac:dyDescent="0.2"/>
  <cols>
    <col min="1" max="5" width="3.75" customWidth="1"/>
    <col min="6" max="6" width="17.75" customWidth="1"/>
  </cols>
  <sheetData>
    <row r="1" spans="1:12" ht="21" x14ac:dyDescent="0.4">
      <c r="A1" s="40" t="s">
        <v>0</v>
      </c>
      <c r="F1" s="12"/>
      <c r="G1" s="12"/>
    </row>
    <row r="2" spans="1:12" ht="17.399999999999999" x14ac:dyDescent="0.3">
      <c r="A2" s="41" t="str">
        <f>Model_Name</f>
        <v>SP Python in Excel Example Starter File Chapter 5</v>
      </c>
    </row>
    <row r="3" spans="1:12" ht="12" x14ac:dyDescent="0.25">
      <c r="A3" s="11" t="s">
        <v>0</v>
      </c>
      <c r="B3" s="11"/>
      <c r="C3" s="11"/>
      <c r="D3" s="11"/>
      <c r="E3" s="11"/>
    </row>
    <row r="4" spans="1:12" ht="13.8" x14ac:dyDescent="0.25">
      <c r="E4" t="s">
        <v>5</v>
      </c>
      <c r="G4" s="24">
        <f>Overall_Error_Check</f>
        <v>0</v>
      </c>
    </row>
    <row r="7" spans="1:12" ht="16.2" thickBot="1" x14ac:dyDescent="0.35">
      <c r="B7" s="42">
        <v>1</v>
      </c>
      <c r="C7" s="42" t="s">
        <v>6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" thickTop="1" x14ac:dyDescent="0.2"/>
    <row r="9" spans="1:12" ht="12" x14ac:dyDescent="0.25">
      <c r="F9" s="11" t="s">
        <v>7</v>
      </c>
    </row>
    <row r="10" spans="1:12" ht="12" x14ac:dyDescent="0.25">
      <c r="F10" s="11" t="s">
        <v>9</v>
      </c>
    </row>
    <row r="11" spans="1:12" ht="12" x14ac:dyDescent="0.25">
      <c r="F11" s="11" t="s">
        <v>8</v>
      </c>
    </row>
    <row r="12" spans="1:12" ht="12" x14ac:dyDescent="0.25">
      <c r="F12" s="11" t="s">
        <v>8612</v>
      </c>
    </row>
    <row r="13" spans="1:12" ht="12" x14ac:dyDescent="0.25">
      <c r="F13" s="11" t="s">
        <v>8613</v>
      </c>
    </row>
    <row r="14" spans="1:12" ht="12" x14ac:dyDescent="0.25">
      <c r="F14" s="11" t="s">
        <v>8614</v>
      </c>
    </row>
    <row r="15" spans="1:12" ht="12" x14ac:dyDescent="0.25">
      <c r="F15" s="11" t="s">
        <v>10</v>
      </c>
    </row>
    <row r="16" spans="1:12" ht="12" x14ac:dyDescent="0.25">
      <c r="F16" s="11"/>
    </row>
    <row r="17" spans="6:6" ht="12" x14ac:dyDescent="0.25">
      <c r="F17" s="11"/>
    </row>
  </sheetData>
  <hyperlinks>
    <hyperlink ref="A3:E3" location="HL_Navigator" tooltip="Go to Navigator (Table of Contents)" display="Navigator" xr:uid="{00000000-0004-0000-0100-000000000000}"/>
    <hyperlink ref="F9" location="HL_1" display="Cover" xr:uid="{67D29CFE-22BF-4A67-A4F0-8D08A275005A}"/>
    <hyperlink ref="F10" location="HL_3" display="Model Parameters" xr:uid="{EA318508-B96E-4A46-B7EC-E4949E234D10}"/>
    <hyperlink ref="F11" location="HL_4" display="Style Guide" xr:uid="{167DCA92-B556-4A60-AD2D-4740D1BB9210}"/>
    <hyperlink ref="F12" location="HL_5" display="Transactions" xr:uid="{CF8A5D8A-16E7-4EFF-B5E5-585AF731AE7A}"/>
    <hyperlink ref="F13" location="HL_6" display="Project" xr:uid="{C6524678-C935-4C81-8C3D-E5F647E3B6A1}"/>
    <hyperlink ref="F14" location="HL_7" display="Financial" xr:uid="{1E02DCB6-A7F5-44AB-A3F2-1C9683253E38}"/>
    <hyperlink ref="F15" location="HL_8" display="Error Checks" xr:uid="{663DE29A-C6AD-4CC2-96BA-306B3B3366D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 showOutlineSymbols="0"/>
  </sheetPr>
  <dimension ref="A1:S33"/>
  <sheetViews>
    <sheetView showGridLines="0" showOutlineSymbols="0" zoomScaleNormal="100" workbookViewId="0">
      <pane ySplit="4" topLeftCell="A5" activePane="bottomLeft" state="frozen"/>
      <selection activeCell="A3" sqref="A3:E3"/>
      <selection pane="bottomLeft"/>
    </sheetView>
  </sheetViews>
  <sheetFormatPr defaultColWidth="0" defaultRowHeight="11.4" outlineLevelRow="1" x14ac:dyDescent="0.2"/>
  <cols>
    <col min="1" max="5" width="3.75" customWidth="1"/>
    <col min="6" max="6" width="16.125" customWidth="1"/>
    <col min="7" max="7" width="14.375" customWidth="1"/>
    <col min="8" max="8" width="3" customWidth="1"/>
    <col min="9" max="18" width="9.125" customWidth="1"/>
    <col min="19" max="19" width="1.75" customWidth="1"/>
    <col min="20" max="16384" width="9.125" hidden="1"/>
  </cols>
  <sheetData>
    <row r="1" spans="1:18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57"/>
      <c r="K1" s="57"/>
    </row>
    <row r="2" spans="1:18" ht="17.399999999999999" x14ac:dyDescent="0.3">
      <c r="A2" s="41" t="str">
        <f>Model_Name</f>
        <v>SP Python in Excel Example Starter File Chapter 5</v>
      </c>
    </row>
    <row r="3" spans="1:18" ht="12" x14ac:dyDescent="0.25">
      <c r="A3" s="57" t="s">
        <v>0</v>
      </c>
      <c r="B3" s="57"/>
      <c r="C3" s="57"/>
      <c r="D3" s="57"/>
      <c r="E3" s="57"/>
    </row>
    <row r="4" spans="1:18" ht="13.8" x14ac:dyDescent="0.25">
      <c r="E4" t="s">
        <v>5</v>
      </c>
      <c r="I4" s="1">
        <f>Overall_Error_Check</f>
        <v>0</v>
      </c>
    </row>
    <row r="6" spans="1:18" ht="16.2" thickBot="1" x14ac:dyDescent="0.35">
      <c r="B6" s="42">
        <f>MAX($B$5:$B5)+1</f>
        <v>1</v>
      </c>
      <c r="C6" s="2" t="s">
        <v>51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" outlineLevel="1" thickTop="1" x14ac:dyDescent="0.2"/>
    <row r="8" spans="1:18" ht="16.8" outlineLevel="1" x14ac:dyDescent="0.3">
      <c r="C8" s="3" t="s">
        <v>52</v>
      </c>
    </row>
    <row r="9" spans="1:18" ht="16.8" outlineLevel="1" x14ac:dyDescent="0.3">
      <c r="C9" s="3"/>
    </row>
    <row r="10" spans="1:18" ht="16.8" outlineLevel="1" x14ac:dyDescent="0.3">
      <c r="C10" s="3"/>
      <c r="E10" s="4" t="s">
        <v>51</v>
      </c>
    </row>
    <row r="11" spans="1:18" outlineLevel="1" x14ac:dyDescent="0.2">
      <c r="E11" t="s">
        <v>16</v>
      </c>
      <c r="G11" s="58" t="str">
        <f ca="1">IF(ISERROR(OR(FIND("[",CELL("filename",A1)),FIND("]",CELL("filename",A1)))),"",MID(CELL("filename",A1),FIND("[",CELL("filename",A1))+1,FIND("]",CELL("filename",A1))-FIND("[",CELL("filename",A1))-1))</f>
        <v>Ch5_Mine.xlsm</v>
      </c>
      <c r="H11" s="59"/>
      <c r="I11" s="59"/>
      <c r="J11" s="59"/>
      <c r="K11" s="59"/>
      <c r="L11" s="59"/>
      <c r="M11" s="59"/>
      <c r="N11" s="60"/>
    </row>
    <row r="12" spans="1:18" outlineLevel="1" x14ac:dyDescent="0.2">
      <c r="E12" t="s">
        <v>53</v>
      </c>
      <c r="G12" s="61" t="s">
        <v>54</v>
      </c>
      <c r="H12" s="61"/>
      <c r="I12" s="61"/>
      <c r="J12" s="61"/>
      <c r="K12" s="61"/>
      <c r="L12" s="61"/>
      <c r="M12" s="61"/>
      <c r="N12" s="61"/>
    </row>
    <row r="13" spans="1:18" outlineLevel="1" x14ac:dyDescent="0.2"/>
    <row r="14" spans="1:18" outlineLevel="1" x14ac:dyDescent="0.2"/>
    <row r="15" spans="1:18" ht="16.2" thickBot="1" x14ac:dyDescent="0.35">
      <c r="B15" s="42">
        <f>MAX($B$5:$B14)+1</f>
        <v>2</v>
      </c>
      <c r="C15" s="2" t="s">
        <v>55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" outlineLevel="1" thickTop="1" x14ac:dyDescent="0.2"/>
    <row r="17" spans="3:7" ht="16.8" outlineLevel="1" x14ac:dyDescent="0.3">
      <c r="C17" s="3" t="s">
        <v>56</v>
      </c>
    </row>
    <row r="18" spans="3:7" outlineLevel="1" x14ac:dyDescent="0.2"/>
    <row r="19" spans="3:7" outlineLevel="1" x14ac:dyDescent="0.2">
      <c r="E19" t="s">
        <v>57</v>
      </c>
      <c r="G19" s="5">
        <v>365</v>
      </c>
    </row>
    <row r="20" spans="3:7" outlineLevel="1" x14ac:dyDescent="0.2">
      <c r="E20" t="s">
        <v>58</v>
      </c>
      <c r="G20" s="5">
        <v>1</v>
      </c>
    </row>
    <row r="21" spans="3:7" outlineLevel="1" x14ac:dyDescent="0.2">
      <c r="E21" t="s">
        <v>59</v>
      </c>
      <c r="G21" s="5">
        <v>3</v>
      </c>
    </row>
    <row r="22" spans="3:7" outlineLevel="1" x14ac:dyDescent="0.2">
      <c r="E22" t="s">
        <v>60</v>
      </c>
      <c r="G22" s="5">
        <v>6</v>
      </c>
    </row>
    <row r="23" spans="3:7" outlineLevel="1" x14ac:dyDescent="0.2">
      <c r="E23" t="s">
        <v>61</v>
      </c>
      <c r="G23" s="5">
        <v>12</v>
      </c>
    </row>
    <row r="24" spans="3:7" outlineLevel="1" x14ac:dyDescent="0.2">
      <c r="E24" t="s">
        <v>62</v>
      </c>
      <c r="G24" s="5">
        <v>4</v>
      </c>
    </row>
    <row r="25" spans="3:7" outlineLevel="1" x14ac:dyDescent="0.2"/>
    <row r="26" spans="3:7" outlineLevel="1" x14ac:dyDescent="0.2">
      <c r="E26" t="s">
        <v>63</v>
      </c>
      <c r="G26" s="5">
        <v>5</v>
      </c>
    </row>
    <row r="27" spans="3:7" outlineLevel="1" x14ac:dyDescent="0.2"/>
    <row r="28" spans="3:7" outlineLevel="1" x14ac:dyDescent="0.2">
      <c r="E28" t="s">
        <v>64</v>
      </c>
      <c r="G28" s="6">
        <v>9.9999999999999997E+98</v>
      </c>
    </row>
    <row r="29" spans="3:7" outlineLevel="1" x14ac:dyDescent="0.2">
      <c r="E29" t="s">
        <v>65</v>
      </c>
      <c r="G29" s="6">
        <v>1E-8</v>
      </c>
    </row>
    <row r="30" spans="3:7" outlineLevel="1" x14ac:dyDescent="0.2"/>
    <row r="31" spans="3:7" outlineLevel="1" x14ac:dyDescent="0.2">
      <c r="E31" t="s">
        <v>66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7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howOutlineSymbols="0"/>
  </sheetPr>
  <dimension ref="A1:O81"/>
  <sheetViews>
    <sheetView showGridLines="0" showOutlineSymbols="0" zoomScaleNormal="100" workbookViewId="0">
      <pane ySplit="4" topLeftCell="A5" activePane="bottomLeft" state="frozen"/>
      <selection pane="bottomLeft"/>
    </sheetView>
  </sheetViews>
  <sheetFormatPr defaultColWidth="0" defaultRowHeight="11.4" outlineLevelRow="1" x14ac:dyDescent="0.2"/>
  <cols>
    <col min="1" max="5" width="3.75" customWidth="1"/>
    <col min="6" max="7" width="9.125" customWidth="1"/>
    <col min="8" max="8" width="1.75" customWidth="1"/>
    <col min="9" max="9" width="17.125" bestFit="1" customWidth="1"/>
    <col min="10" max="10" width="1.75" customWidth="1"/>
    <col min="11" max="11" width="23.375" customWidth="1"/>
    <col min="12" max="13" width="9.125" customWidth="1"/>
    <col min="14" max="14" width="1.75" customWidth="1"/>
    <col min="15" max="15" width="0" hidden="1" customWidth="1"/>
    <col min="16" max="16384" width="9.125" hidden="1"/>
  </cols>
  <sheetData>
    <row r="1" spans="1:13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7.399999999999999" x14ac:dyDescent="0.3">
      <c r="A2" s="41" t="str">
        <f>Model_Name</f>
        <v>SP Python in Excel Example Starter File Chapter 5</v>
      </c>
    </row>
    <row r="3" spans="1:13" ht="12" x14ac:dyDescent="0.25">
      <c r="A3" s="57" t="s">
        <v>0</v>
      </c>
      <c r="B3" s="57"/>
      <c r="C3" s="57"/>
      <c r="D3" s="57"/>
      <c r="E3" s="57"/>
    </row>
    <row r="4" spans="1:13" ht="13.8" x14ac:dyDescent="0.25">
      <c r="E4" t="s">
        <v>5</v>
      </c>
      <c r="I4" s="1">
        <f>Overall_Error_Check</f>
        <v>0</v>
      </c>
    </row>
    <row r="6" spans="1:13" ht="16.2" thickBot="1" x14ac:dyDescent="0.35">
      <c r="B6" s="42">
        <f>MAX($B$5:$B5)+1</f>
        <v>1</v>
      </c>
      <c r="C6" s="2" t="s">
        <v>11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" outlineLevel="1" thickTop="1" x14ac:dyDescent="0.2"/>
    <row r="8" spans="1:13" ht="12" outlineLevel="1" x14ac:dyDescent="0.25">
      <c r="C8" s="63" t="s">
        <v>12</v>
      </c>
      <c r="D8" s="63"/>
      <c r="E8" s="63"/>
      <c r="F8" s="63"/>
      <c r="G8" s="63"/>
      <c r="H8" s="13"/>
      <c r="I8" s="13" t="s">
        <v>13</v>
      </c>
      <c r="J8" s="13"/>
      <c r="K8" s="13" t="s">
        <v>14</v>
      </c>
    </row>
    <row r="9" spans="1:13" outlineLevel="1" x14ac:dyDescent="0.2">
      <c r="C9" s="62"/>
      <c r="D9" s="62"/>
      <c r="E9" s="62"/>
      <c r="F9" s="62"/>
      <c r="G9" s="62"/>
      <c r="K9" s="17"/>
    </row>
    <row r="10" spans="1:13" ht="21" outlineLevel="1" x14ac:dyDescent="0.4">
      <c r="C10" s="62" t="s">
        <v>15</v>
      </c>
      <c r="D10" s="62"/>
      <c r="E10" s="62"/>
      <c r="F10" s="62"/>
      <c r="G10" s="62"/>
      <c r="I10" s="14" t="str">
        <f>C10</f>
        <v>Sheet Title</v>
      </c>
      <c r="K10" s="15" t="s">
        <v>15</v>
      </c>
    </row>
    <row r="11" spans="1:13" ht="17.399999999999999" outlineLevel="1" x14ac:dyDescent="0.3">
      <c r="C11" s="62" t="s">
        <v>16</v>
      </c>
      <c r="D11" s="62"/>
      <c r="E11" s="62"/>
      <c r="F11" s="62"/>
      <c r="G11" s="62"/>
      <c r="I11" s="16" t="str">
        <f>C11</f>
        <v>Model Name</v>
      </c>
      <c r="K11" s="15" t="s">
        <v>16</v>
      </c>
    </row>
    <row r="12" spans="1:13" outlineLevel="1" x14ac:dyDescent="0.2">
      <c r="C12" s="62"/>
      <c r="D12" s="62"/>
      <c r="E12" s="62"/>
      <c r="F12" s="62"/>
      <c r="G12" s="62"/>
      <c r="K12" s="17"/>
    </row>
    <row r="13" spans="1:13" ht="16.2" outlineLevel="1" thickBot="1" x14ac:dyDescent="0.35">
      <c r="C13" s="62" t="s">
        <v>17</v>
      </c>
      <c r="D13" s="62"/>
      <c r="E13" s="62"/>
      <c r="F13" s="62"/>
      <c r="G13" s="62"/>
      <c r="I13" s="39" t="str">
        <f>C13</f>
        <v>Header 1</v>
      </c>
      <c r="K13" s="15" t="s">
        <v>17</v>
      </c>
    </row>
    <row r="14" spans="1:13" ht="17.399999999999999" outlineLevel="1" thickTop="1" x14ac:dyDescent="0.3">
      <c r="C14" s="62" t="s">
        <v>18</v>
      </c>
      <c r="D14" s="62"/>
      <c r="E14" s="62"/>
      <c r="F14" s="62"/>
      <c r="G14" s="62"/>
      <c r="I14" s="3" t="str">
        <f>C14</f>
        <v>Header 2</v>
      </c>
      <c r="K14" s="15" t="s">
        <v>18</v>
      </c>
    </row>
    <row r="15" spans="1:13" ht="14.4" outlineLevel="1" x14ac:dyDescent="0.3">
      <c r="C15" s="62" t="s">
        <v>19</v>
      </c>
      <c r="D15" s="62"/>
      <c r="E15" s="62"/>
      <c r="F15" s="62"/>
      <c r="G15" s="62"/>
      <c r="I15" s="4" t="str">
        <f>C15</f>
        <v>Header 3</v>
      </c>
      <c r="K15" s="15" t="s">
        <v>19</v>
      </c>
    </row>
    <row r="16" spans="1:13" ht="14.4" outlineLevel="1" x14ac:dyDescent="0.3">
      <c r="C16" s="62" t="s">
        <v>20</v>
      </c>
      <c r="D16" s="62"/>
      <c r="E16" s="62"/>
      <c r="F16" s="62"/>
      <c r="G16" s="62"/>
      <c r="I16" s="18" t="str">
        <f>C16</f>
        <v>Header 4</v>
      </c>
      <c r="K16" s="15" t="s">
        <v>20</v>
      </c>
    </row>
    <row r="17" spans="2:14" outlineLevel="1" x14ac:dyDescent="0.2">
      <c r="C17" s="62"/>
      <c r="D17" s="62"/>
      <c r="E17" s="62"/>
      <c r="F17" s="62"/>
      <c r="G17" s="62"/>
      <c r="K17" s="17"/>
    </row>
    <row r="18" spans="2:14" ht="14.4" outlineLevel="1" x14ac:dyDescent="0.3">
      <c r="C18" s="62" t="s">
        <v>21</v>
      </c>
      <c r="D18" s="62"/>
      <c r="E18" s="62"/>
      <c r="F18" s="62"/>
      <c r="G18" s="62"/>
      <c r="I18" s="19" t="str">
        <f>C18</f>
        <v>Notes</v>
      </c>
      <c r="K18" s="15" t="s">
        <v>21</v>
      </c>
    </row>
    <row r="19" spans="2:14" outlineLevel="1" x14ac:dyDescent="0.2">
      <c r="C19" s="62"/>
      <c r="D19" s="62"/>
      <c r="E19" s="62"/>
      <c r="F19" s="62"/>
      <c r="G19" s="62"/>
      <c r="K19" s="17"/>
      <c r="N19" s="19"/>
    </row>
    <row r="20" spans="2:14" ht="14.4" outlineLevel="1" x14ac:dyDescent="0.3">
      <c r="C20" s="62" t="s">
        <v>22</v>
      </c>
      <c r="D20" s="62"/>
      <c r="E20" s="62"/>
      <c r="F20" s="62"/>
      <c r="G20" s="62"/>
      <c r="I20" s="13" t="str">
        <f>C20</f>
        <v>Table Heading</v>
      </c>
      <c r="K20" s="15" t="s">
        <v>22</v>
      </c>
    </row>
    <row r="21" spans="2:14" outlineLevel="1" x14ac:dyDescent="0.2"/>
    <row r="22" spans="2:14" outlineLevel="1" x14ac:dyDescent="0.2"/>
    <row r="23" spans="2:14" ht="16.2" thickBot="1" x14ac:dyDescent="0.35">
      <c r="B23" s="42">
        <f>MAX($B$5:$B22)+1</f>
        <v>2</v>
      </c>
      <c r="C23" s="2" t="s">
        <v>23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" outlineLevel="1" thickTop="1" x14ac:dyDescent="0.2"/>
    <row r="25" spans="2:14" ht="12" outlineLevel="1" x14ac:dyDescent="0.25">
      <c r="C25" s="63" t="s">
        <v>12</v>
      </c>
      <c r="D25" s="63"/>
      <c r="E25" s="63"/>
      <c r="F25" s="63"/>
      <c r="G25" s="63"/>
      <c r="H25" s="13"/>
      <c r="I25" s="13" t="s">
        <v>13</v>
      </c>
      <c r="J25" s="13"/>
      <c r="K25" s="13" t="s">
        <v>14</v>
      </c>
    </row>
    <row r="26" spans="2:14" ht="14.4" outlineLevel="1" x14ac:dyDescent="0.3">
      <c r="C26" s="62"/>
      <c r="D26" s="62"/>
      <c r="E26" s="62"/>
      <c r="F26" s="62"/>
      <c r="G26" s="62"/>
      <c r="K26" s="15"/>
    </row>
    <row r="27" spans="2:14" ht="14.4" outlineLevel="1" x14ac:dyDescent="0.3">
      <c r="C27" s="62" t="s">
        <v>24</v>
      </c>
      <c r="D27" s="62"/>
      <c r="E27" s="62"/>
      <c r="F27" s="62"/>
      <c r="G27" s="62"/>
      <c r="I27" s="20" t="s">
        <v>24</v>
      </c>
      <c r="K27" s="21" t="str">
        <f>C27</f>
        <v>Assumption</v>
      </c>
    </row>
    <row r="28" spans="2:14" ht="14.4" outlineLevel="1" x14ac:dyDescent="0.3">
      <c r="C28" s="62"/>
      <c r="D28" s="62"/>
      <c r="E28" s="62"/>
      <c r="F28" s="62"/>
      <c r="G28" s="62"/>
      <c r="K28" s="21"/>
    </row>
    <row r="29" spans="2:14" ht="14.4" outlineLevel="1" x14ac:dyDescent="0.3">
      <c r="C29" s="62" t="s">
        <v>25</v>
      </c>
      <c r="D29" s="62"/>
      <c r="E29" s="62"/>
      <c r="F29" s="62"/>
      <c r="G29" s="62"/>
      <c r="I29" s="22" t="str">
        <f>C29</f>
        <v>Constraint</v>
      </c>
      <c r="K29" s="21" t="str">
        <f>C29</f>
        <v>Constraint</v>
      </c>
    </row>
    <row r="30" spans="2:14" ht="14.4" outlineLevel="1" x14ac:dyDescent="0.3">
      <c r="C30" s="62"/>
      <c r="D30" s="62"/>
      <c r="E30" s="62"/>
      <c r="F30" s="62"/>
      <c r="G30" s="62"/>
      <c r="K30" s="21"/>
    </row>
    <row r="31" spans="2:14" ht="14.4" outlineLevel="1" x14ac:dyDescent="0.3">
      <c r="C31" s="62" t="s">
        <v>26</v>
      </c>
      <c r="D31" s="62"/>
      <c r="E31" s="62"/>
      <c r="F31" s="62"/>
      <c r="G31" s="62"/>
      <c r="I31" s="23"/>
      <c r="K31" s="21" t="str">
        <f>C31</f>
        <v>Empty</v>
      </c>
    </row>
    <row r="32" spans="2:14" ht="14.4" outlineLevel="1" x14ac:dyDescent="0.3">
      <c r="C32" s="62"/>
      <c r="D32" s="62"/>
      <c r="E32" s="62"/>
      <c r="F32" s="62"/>
      <c r="G32" s="62"/>
      <c r="K32" s="21"/>
    </row>
    <row r="33" spans="3:11" ht="14.4" outlineLevel="1" x14ac:dyDescent="0.3">
      <c r="C33" t="s">
        <v>27</v>
      </c>
      <c r="I33" s="24">
        <v>0</v>
      </c>
      <c r="K33" s="21" t="str">
        <f>C33</f>
        <v>Error Check</v>
      </c>
    </row>
    <row r="34" spans="3:11" ht="14.4" outlineLevel="1" x14ac:dyDescent="0.3">
      <c r="K34" s="21"/>
    </row>
    <row r="35" spans="3:11" ht="14.4" outlineLevel="1" x14ac:dyDescent="0.3">
      <c r="C35" s="62" t="s">
        <v>28</v>
      </c>
      <c r="D35" s="62"/>
      <c r="E35" s="62"/>
      <c r="F35" s="62"/>
      <c r="G35" s="62"/>
      <c r="I35" s="11" t="s">
        <v>28</v>
      </c>
      <c r="K35" s="21" t="str">
        <f>C35</f>
        <v>Hyperlink</v>
      </c>
    </row>
    <row r="36" spans="3:11" ht="14.4" outlineLevel="1" x14ac:dyDescent="0.3">
      <c r="C36" s="62"/>
      <c r="D36" s="62"/>
      <c r="E36" s="62"/>
      <c r="F36" s="62"/>
      <c r="G36" s="62"/>
      <c r="K36" s="21"/>
    </row>
    <row r="37" spans="3:11" ht="14.4" outlineLevel="1" x14ac:dyDescent="0.3">
      <c r="C37" s="62" t="s">
        <v>29</v>
      </c>
      <c r="D37" s="62"/>
      <c r="E37" s="62"/>
      <c r="F37" s="62"/>
      <c r="G37" s="62"/>
      <c r="I37" s="25" t="str">
        <f>'Error Checks'!E12</f>
        <v>Example</v>
      </c>
      <c r="K37" s="21" t="str">
        <f>C37</f>
        <v>Internal Reference</v>
      </c>
    </row>
    <row r="38" spans="3:11" ht="14.4" outlineLevel="1" x14ac:dyDescent="0.3">
      <c r="C38" s="62"/>
      <c r="D38" s="62"/>
      <c r="E38" s="62"/>
      <c r="F38" s="62"/>
      <c r="G38" s="62"/>
      <c r="K38" s="21"/>
    </row>
    <row r="39" spans="3:11" ht="14.4" outlineLevel="1" x14ac:dyDescent="0.3">
      <c r="C39" s="62" t="s">
        <v>30</v>
      </c>
      <c r="D39" s="62"/>
      <c r="E39" s="62"/>
      <c r="F39" s="62"/>
      <c r="G39" s="62"/>
      <c r="I39" s="26">
        <v>77</v>
      </c>
      <c r="K39" s="21" t="s">
        <v>31</v>
      </c>
    </row>
    <row r="40" spans="3:11" ht="14.4" outlineLevel="1" x14ac:dyDescent="0.3">
      <c r="C40" s="62"/>
      <c r="D40" s="62"/>
      <c r="E40" s="62"/>
      <c r="F40" s="62"/>
      <c r="G40" s="62"/>
      <c r="K40" s="21"/>
    </row>
    <row r="41" spans="3:11" ht="14.4" outlineLevel="1" x14ac:dyDescent="0.3">
      <c r="C41" s="62" t="s">
        <v>32</v>
      </c>
      <c r="D41" s="62"/>
      <c r="E41" s="62"/>
      <c r="F41" s="62"/>
      <c r="G41" s="62"/>
      <c r="I41" s="27">
        <f>I39</f>
        <v>77</v>
      </c>
      <c r="K41" s="21" t="str">
        <f>C41</f>
        <v>Line Total</v>
      </c>
    </row>
    <row r="42" spans="3:11" ht="14.4" outlineLevel="1" x14ac:dyDescent="0.3">
      <c r="C42" s="62"/>
      <c r="D42" s="62"/>
      <c r="E42" s="62"/>
      <c r="F42" s="62"/>
      <c r="G42" s="62"/>
      <c r="K42" s="21"/>
    </row>
    <row r="43" spans="3:11" ht="14.4" outlineLevel="1" x14ac:dyDescent="0.3">
      <c r="C43" s="62" t="s">
        <v>33</v>
      </c>
      <c r="D43" s="62"/>
      <c r="E43" s="62"/>
      <c r="F43" s="62"/>
      <c r="G43" s="62"/>
      <c r="I43" s="28">
        <v>365</v>
      </c>
      <c r="K43" s="21" t="str">
        <f>C43</f>
        <v>Parameter</v>
      </c>
    </row>
    <row r="44" spans="3:11" ht="14.4" outlineLevel="1" x14ac:dyDescent="0.3">
      <c r="C44" s="62"/>
      <c r="D44" s="62"/>
      <c r="E44" s="62"/>
      <c r="F44" s="62"/>
      <c r="G44" s="62"/>
      <c r="K44" s="21"/>
    </row>
    <row r="45" spans="3:11" ht="14.4" outlineLevel="1" x14ac:dyDescent="0.3">
      <c r="C45" s="62" t="s">
        <v>34</v>
      </c>
      <c r="D45" s="62"/>
      <c r="E45" s="62"/>
      <c r="F45" s="62"/>
      <c r="G45" s="62"/>
      <c r="I45" s="29" t="s">
        <v>35</v>
      </c>
      <c r="K45" s="21" t="str">
        <f>C45</f>
        <v>Range Name Description</v>
      </c>
    </row>
    <row r="46" spans="3:11" ht="14.4" outlineLevel="1" x14ac:dyDescent="0.3">
      <c r="C46" s="62"/>
      <c r="D46" s="62"/>
      <c r="E46" s="62"/>
      <c r="F46" s="62"/>
      <c r="G46" s="62"/>
      <c r="K46" s="21"/>
    </row>
    <row r="47" spans="3:11" ht="14.4" outlineLevel="1" x14ac:dyDescent="0.3">
      <c r="C47" s="62" t="s">
        <v>36</v>
      </c>
      <c r="D47" s="62"/>
      <c r="E47" s="62"/>
      <c r="F47" s="62"/>
      <c r="G47" s="62"/>
      <c r="I47" s="30">
        <f>ROW(C47)</f>
        <v>47</v>
      </c>
      <c r="K47" s="21" t="s">
        <v>37</v>
      </c>
    </row>
    <row r="48" spans="3:11" ht="14.4" outlineLevel="1" x14ac:dyDescent="0.3">
      <c r="C48" s="62"/>
      <c r="D48" s="62"/>
      <c r="E48" s="62"/>
      <c r="F48" s="62"/>
      <c r="G48" s="62"/>
      <c r="K48" s="21"/>
    </row>
    <row r="49" spans="2:13" ht="14.4" outlineLevel="1" x14ac:dyDescent="0.3">
      <c r="C49" s="62" t="s">
        <v>38</v>
      </c>
      <c r="D49" s="62"/>
      <c r="E49" s="62"/>
      <c r="F49" s="62"/>
      <c r="G49" s="62"/>
      <c r="I49" s="31">
        <f>I41</f>
        <v>77</v>
      </c>
      <c r="K49" s="21" t="str">
        <f>C49</f>
        <v>Row Summary</v>
      </c>
    </row>
    <row r="50" spans="2:13" ht="14.4" outlineLevel="1" x14ac:dyDescent="0.3">
      <c r="C50" s="62"/>
      <c r="D50" s="62"/>
      <c r="E50" s="62"/>
      <c r="F50" s="62"/>
      <c r="G50" s="62"/>
      <c r="K50" s="21"/>
    </row>
    <row r="51" spans="2:13" ht="14.4" outlineLevel="1" x14ac:dyDescent="0.3">
      <c r="C51" s="62" t="s">
        <v>39</v>
      </c>
      <c r="D51" s="62"/>
      <c r="E51" s="62"/>
      <c r="F51" s="62"/>
      <c r="G51" s="62"/>
      <c r="I51" s="32" t="s">
        <v>40</v>
      </c>
      <c r="K51" s="21" t="str">
        <f>C51</f>
        <v>Units</v>
      </c>
    </row>
    <row r="52" spans="2:13" ht="14.4" outlineLevel="1" x14ac:dyDescent="0.3">
      <c r="C52" s="62"/>
      <c r="D52" s="62"/>
      <c r="E52" s="62"/>
      <c r="F52" s="62"/>
      <c r="G52" s="62"/>
      <c r="K52" s="21"/>
    </row>
    <row r="53" spans="2:13" ht="14.4" outlineLevel="1" x14ac:dyDescent="0.3">
      <c r="C53" s="62" t="s">
        <v>41</v>
      </c>
      <c r="D53" s="62"/>
      <c r="E53" s="62"/>
      <c r="F53" s="62"/>
      <c r="G53" s="62"/>
      <c r="I53" s="33"/>
      <c r="K53" s="21" t="str">
        <f>C53</f>
        <v>WIP</v>
      </c>
    </row>
    <row r="54" spans="2:13" ht="14.4" outlineLevel="1" x14ac:dyDescent="0.3">
      <c r="C54" s="62"/>
      <c r="D54" s="62"/>
      <c r="E54" s="62"/>
      <c r="F54" s="62"/>
      <c r="G54" s="62"/>
      <c r="K54" s="21"/>
    </row>
    <row r="55" spans="2:13" outlineLevel="1" x14ac:dyDescent="0.2">
      <c r="C55" s="62"/>
      <c r="D55" s="62"/>
      <c r="E55" s="62"/>
      <c r="F55" s="62"/>
      <c r="G55" s="62"/>
    </row>
    <row r="56" spans="2:13" ht="16.2" thickBot="1" x14ac:dyDescent="0.35">
      <c r="B56" s="42">
        <f>MAX($B$5:$B55)+1</f>
        <v>3</v>
      </c>
      <c r="C56" s="2" t="s">
        <v>42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" outlineLevel="1" thickTop="1" x14ac:dyDescent="0.2"/>
    <row r="58" spans="2:13" ht="12" outlineLevel="1" x14ac:dyDescent="0.25">
      <c r="C58" s="63" t="s">
        <v>12</v>
      </c>
      <c r="D58" s="63"/>
      <c r="E58" s="63"/>
      <c r="F58" s="63"/>
      <c r="G58" s="63"/>
      <c r="H58" s="13"/>
      <c r="I58" s="13" t="s">
        <v>13</v>
      </c>
      <c r="J58" s="13"/>
      <c r="K58" s="13" t="s">
        <v>14</v>
      </c>
    </row>
    <row r="59" spans="2:13" outlineLevel="1" x14ac:dyDescent="0.2"/>
    <row r="60" spans="2:13" ht="14.4" outlineLevel="1" x14ac:dyDescent="0.3">
      <c r="C60" s="62" t="s">
        <v>43</v>
      </c>
      <c r="D60" s="62"/>
      <c r="E60" s="62"/>
      <c r="F60" s="62"/>
      <c r="G60" s="62"/>
      <c r="I60" s="44">
        <v>123456.789</v>
      </c>
      <c r="K60" s="21" t="str">
        <f t="shared" ref="K60:K66" si="0">C60</f>
        <v>Comma</v>
      </c>
    </row>
    <row r="61" spans="2:13" ht="14.4" outlineLevel="1" x14ac:dyDescent="0.3">
      <c r="C61" s="62"/>
      <c r="D61" s="62"/>
      <c r="E61" s="62"/>
      <c r="F61" s="62"/>
      <c r="G61" s="62"/>
      <c r="K61" s="21"/>
    </row>
    <row r="62" spans="2:13" ht="14.4" outlineLevel="1" x14ac:dyDescent="0.3">
      <c r="C62" s="62" t="s">
        <v>44</v>
      </c>
      <c r="D62" s="62"/>
      <c r="E62" s="62"/>
      <c r="F62" s="62"/>
      <c r="G62" s="62"/>
      <c r="I62" s="43">
        <v>-123456.789</v>
      </c>
      <c r="K62" s="21" t="str">
        <f t="shared" si="0"/>
        <v>Comma [0]</v>
      </c>
    </row>
    <row r="63" spans="2:13" ht="14.4" outlineLevel="1" x14ac:dyDescent="0.3">
      <c r="C63" s="62"/>
      <c r="D63" s="62"/>
      <c r="E63" s="62"/>
      <c r="F63" s="62"/>
      <c r="G63" s="62"/>
      <c r="K63" s="21"/>
    </row>
    <row r="64" spans="2:13" ht="14.4" outlineLevel="1" x14ac:dyDescent="0.3">
      <c r="C64" s="62" t="s">
        <v>45</v>
      </c>
      <c r="D64" s="62"/>
      <c r="E64" s="62"/>
      <c r="F64" s="62"/>
      <c r="G64" s="62"/>
      <c r="I64" s="45">
        <v>123456.789</v>
      </c>
      <c r="K64" s="21" t="str">
        <f t="shared" si="0"/>
        <v>Currency</v>
      </c>
    </row>
    <row r="65" spans="3:11" ht="14.4" outlineLevel="1" x14ac:dyDescent="0.3">
      <c r="C65" s="62"/>
      <c r="D65" s="62"/>
      <c r="E65" s="62"/>
      <c r="F65" s="62"/>
      <c r="G65" s="62"/>
      <c r="K65" s="21"/>
    </row>
    <row r="66" spans="3:11" ht="14.4" outlineLevel="1" x14ac:dyDescent="0.3">
      <c r="C66" s="62" t="s">
        <v>46</v>
      </c>
      <c r="D66" s="62"/>
      <c r="E66" s="62"/>
      <c r="F66" s="62"/>
      <c r="G66" s="62"/>
      <c r="I66" s="46">
        <v>123456.789</v>
      </c>
      <c r="K66" s="21" t="str">
        <f t="shared" si="0"/>
        <v>Currency [0]</v>
      </c>
    </row>
    <row r="67" spans="3:11" ht="14.4" outlineLevel="1" x14ac:dyDescent="0.3">
      <c r="C67" s="62"/>
      <c r="D67" s="62"/>
      <c r="E67" s="62"/>
      <c r="F67" s="62"/>
      <c r="G67" s="62"/>
      <c r="K67" s="21"/>
    </row>
    <row r="68" spans="3:11" ht="14.4" outlineLevel="1" x14ac:dyDescent="0.3">
      <c r="C68" s="62" t="s">
        <v>47</v>
      </c>
      <c r="D68" s="62"/>
      <c r="E68" s="62"/>
      <c r="F68" s="62"/>
      <c r="G68" s="62"/>
      <c r="I68" s="47">
        <f ca="1">TODAY()</f>
        <v>46099</v>
      </c>
      <c r="K68" s="21" t="str">
        <f>C68</f>
        <v>Date</v>
      </c>
    </row>
    <row r="69" spans="3:11" ht="14.4" outlineLevel="1" x14ac:dyDescent="0.3">
      <c r="C69" s="62"/>
      <c r="D69" s="62"/>
      <c r="E69" s="62"/>
      <c r="F69" s="62"/>
      <c r="G69" s="62"/>
      <c r="K69" s="21"/>
    </row>
    <row r="70" spans="3:11" ht="14.4" outlineLevel="1" x14ac:dyDescent="0.3">
      <c r="C70" s="62" t="s">
        <v>48</v>
      </c>
      <c r="D70" s="62"/>
      <c r="E70" s="62"/>
      <c r="F70" s="62"/>
      <c r="G70" s="62"/>
      <c r="I70" s="48">
        <f ca="1">TODAY()</f>
        <v>46099</v>
      </c>
      <c r="K70" s="21" t="str">
        <f>C70</f>
        <v>Date Heading</v>
      </c>
    </row>
    <row r="71" spans="3:11" ht="14.4" outlineLevel="1" x14ac:dyDescent="0.3">
      <c r="C71" s="62"/>
      <c r="D71" s="62"/>
      <c r="E71" s="62"/>
      <c r="F71" s="62"/>
      <c r="G71" s="62"/>
      <c r="K71" s="21"/>
    </row>
    <row r="72" spans="3:11" ht="14.4" outlineLevel="1" x14ac:dyDescent="0.3">
      <c r="C72" s="62" t="s">
        <v>49</v>
      </c>
      <c r="D72" s="62"/>
      <c r="E72" s="62"/>
      <c r="F72" s="62"/>
      <c r="G72" s="62"/>
      <c r="I72" s="34">
        <v>-123456.789</v>
      </c>
      <c r="K72" s="21" t="str">
        <f>C72</f>
        <v>Numbers 0</v>
      </c>
    </row>
    <row r="73" spans="3:11" ht="14.4" outlineLevel="1" x14ac:dyDescent="0.3">
      <c r="C73" s="62"/>
      <c r="D73" s="62"/>
      <c r="E73" s="62"/>
      <c r="F73" s="62"/>
      <c r="G73" s="62"/>
      <c r="K73" s="21"/>
    </row>
    <row r="74" spans="3:11" ht="14.4" outlineLevel="1" x14ac:dyDescent="0.3">
      <c r="C74" s="62" t="s">
        <v>50</v>
      </c>
      <c r="D74" s="62"/>
      <c r="E74" s="62"/>
      <c r="F74" s="62"/>
      <c r="G74" s="62"/>
      <c r="I74" s="35">
        <v>0.5</v>
      </c>
      <c r="K74" s="21" t="str">
        <f>C74</f>
        <v>Percent</v>
      </c>
    </row>
    <row r="75" spans="3:11" outlineLevel="1" x14ac:dyDescent="0.2">
      <c r="C75" s="62"/>
      <c r="D75" s="62"/>
      <c r="E75" s="62"/>
      <c r="F75" s="62"/>
      <c r="G75" s="62"/>
    </row>
    <row r="76" spans="3:11" outlineLevel="1" x14ac:dyDescent="0.2">
      <c r="C76" s="62"/>
      <c r="D76" s="62"/>
      <c r="E76" s="62"/>
      <c r="F76" s="62"/>
      <c r="G76" s="62"/>
    </row>
    <row r="77" spans="3:11" x14ac:dyDescent="0.2">
      <c r="C77" s="62"/>
      <c r="D77" s="62"/>
      <c r="E77" s="62"/>
      <c r="F77" s="62"/>
      <c r="G77" s="62"/>
    </row>
    <row r="78" spans="3:11" x14ac:dyDescent="0.2">
      <c r="C78" s="62"/>
      <c r="D78" s="62"/>
      <c r="E78" s="62"/>
      <c r="F78" s="62"/>
      <c r="G78" s="62"/>
    </row>
    <row r="79" spans="3:11" x14ac:dyDescent="0.2">
      <c r="C79" s="62"/>
      <c r="D79" s="62"/>
      <c r="E79" s="62"/>
      <c r="F79" s="62"/>
      <c r="G79" s="62"/>
    </row>
    <row r="80" spans="3:11" x14ac:dyDescent="0.2">
      <c r="C80" s="62"/>
      <c r="D80" s="62"/>
      <c r="E80" s="62"/>
      <c r="F80" s="62"/>
      <c r="G80" s="62"/>
    </row>
    <row r="81" spans="3:7" x14ac:dyDescent="0.2">
      <c r="C81" s="62"/>
      <c r="D81" s="62"/>
      <c r="E81" s="62"/>
      <c r="F81" s="62"/>
      <c r="G81" s="62"/>
    </row>
  </sheetData>
  <mergeCells count="66">
    <mergeCell ref="C81:G81"/>
    <mergeCell ref="C75:G75"/>
    <mergeCell ref="C76:G76"/>
    <mergeCell ref="C77:G77"/>
    <mergeCell ref="C78:G78"/>
    <mergeCell ref="C79:G79"/>
    <mergeCell ref="C80:G80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</mergeCells>
  <conditionalFormatting sqref="I4">
    <cfRule type="cellIs" dxfId="6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D2EB3-B1ED-499F-84C1-926DC1D9F8E3}">
  <sheetPr codeName="Sheet10">
    <outlinePr summaryBelow="0" summaryRight="0"/>
  </sheetPr>
  <dimension ref="A1:V1511"/>
  <sheetViews>
    <sheetView showGridLines="0" workbookViewId="0">
      <pane ySplit="4" topLeftCell="A5" activePane="bottomLeft" state="frozen"/>
      <selection pane="bottomLeft" activeCell="F4" sqref="F4"/>
    </sheetView>
  </sheetViews>
  <sheetFormatPr defaultRowHeight="11.4" x14ac:dyDescent="0.2"/>
  <cols>
    <col min="1" max="3" width="3.75" customWidth="1"/>
    <col min="4" max="4" width="11" customWidth="1"/>
    <col min="5" max="5" width="27.25" bestFit="1" customWidth="1"/>
    <col min="6" max="6" width="12.25" bestFit="1" customWidth="1"/>
    <col min="7" max="7" width="10.25" customWidth="1"/>
    <col min="8" max="8" width="9.75" bestFit="1" customWidth="1"/>
    <col min="9" max="9" width="14.875" bestFit="1" customWidth="1"/>
    <col min="10" max="10" width="14.25" bestFit="1" customWidth="1"/>
    <col min="11" max="11" width="15" bestFit="1" customWidth="1"/>
    <col min="12" max="12" width="10.375" customWidth="1"/>
    <col min="13" max="13" width="7.25" bestFit="1" customWidth="1"/>
    <col min="14" max="14" width="11.75" bestFit="1" customWidth="1"/>
    <col min="15" max="15" width="10.125" bestFit="1" customWidth="1"/>
    <col min="20" max="20" width="12.125" bestFit="1" customWidth="1"/>
  </cols>
  <sheetData>
    <row r="1" spans="1:22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Project</v>
      </c>
    </row>
    <row r="2" spans="1:22" ht="17.399999999999999" x14ac:dyDescent="0.3">
      <c r="A2" s="41" t="str">
        <f>Model_Name</f>
        <v>SP Python in Excel Example Starter File Chapter 5</v>
      </c>
    </row>
    <row r="3" spans="1:22" ht="12" x14ac:dyDescent="0.25">
      <c r="A3" s="11" t="s">
        <v>0</v>
      </c>
      <c r="B3" s="11"/>
      <c r="C3" s="11"/>
      <c r="D3" s="11"/>
      <c r="E3" s="11"/>
    </row>
    <row r="4" spans="1:22" ht="13.8" x14ac:dyDescent="0.25">
      <c r="B4" t="s">
        <v>5</v>
      </c>
      <c r="F4" s="1">
        <f>Overall_Error_Check</f>
        <v>0</v>
      </c>
    </row>
    <row r="6" spans="1:22" ht="16.2" thickBot="1" x14ac:dyDescent="0.35">
      <c r="B6" s="42">
        <f>MAX($B$5:$B5)+1</f>
        <v>1</v>
      </c>
      <c r="C6" s="2" t="str">
        <f ca="1">A1</f>
        <v>Project</v>
      </c>
      <c r="D6" s="2"/>
      <c r="E6" s="2"/>
      <c r="F6" s="2"/>
      <c r="G6" s="2"/>
      <c r="H6" s="2"/>
      <c r="I6" s="2"/>
      <c r="J6" s="2"/>
      <c r="K6" s="2"/>
      <c r="L6" s="2"/>
    </row>
    <row r="7" spans="1:22" ht="12" thickTop="1" x14ac:dyDescent="0.2"/>
    <row r="8" spans="1:22" ht="16.8" x14ac:dyDescent="0.3">
      <c r="C8" s="3" t="s">
        <v>73</v>
      </c>
      <c r="F8" s="3"/>
    </row>
    <row r="9" spans="1:22" ht="16.8" x14ac:dyDescent="0.3">
      <c r="C9" s="3"/>
    </row>
    <row r="10" spans="1:22" ht="12" x14ac:dyDescent="0.25">
      <c r="D10" s="13" t="s">
        <v>8611</v>
      </c>
      <c r="E10" s="13" t="s">
        <v>8610</v>
      </c>
      <c r="F10" s="13" t="s">
        <v>8609</v>
      </c>
      <c r="G10" s="13" t="s">
        <v>8608</v>
      </c>
      <c r="H10" s="13" t="s">
        <v>8607</v>
      </c>
      <c r="I10" s="13" t="s">
        <v>8606</v>
      </c>
      <c r="J10" s="13" t="s">
        <v>8605</v>
      </c>
      <c r="K10" s="13" t="s">
        <v>8604</v>
      </c>
      <c r="L10" s="13" t="s">
        <v>8603</v>
      </c>
    </row>
    <row r="11" spans="1:22" x14ac:dyDescent="0.2">
      <c r="D11" t="s">
        <v>8602</v>
      </c>
      <c r="E11" t="s">
        <v>8601</v>
      </c>
      <c r="F11">
        <v>44932</v>
      </c>
      <c r="G11">
        <v>44985</v>
      </c>
      <c r="H11" t="s">
        <v>8507</v>
      </c>
      <c r="I11" t="s">
        <v>8600</v>
      </c>
      <c r="J11" t="s">
        <v>8514</v>
      </c>
      <c r="K11" s="53">
        <v>70574.31</v>
      </c>
      <c r="L11" s="50">
        <v>53163.51</v>
      </c>
    </row>
    <row r="12" spans="1:22" x14ac:dyDescent="0.2">
      <c r="D12" t="s">
        <v>8599</v>
      </c>
      <c r="E12" t="s">
        <v>8598</v>
      </c>
      <c r="F12">
        <v>45001</v>
      </c>
      <c r="G12">
        <v>45079</v>
      </c>
      <c r="H12" t="s">
        <v>8516</v>
      </c>
      <c r="I12" t="s">
        <v>8597</v>
      </c>
      <c r="J12" t="s">
        <v>8541</v>
      </c>
      <c r="K12" s="52">
        <v>21442.25</v>
      </c>
      <c r="L12" s="52">
        <v>41087.9</v>
      </c>
      <c r="M12" s="51"/>
    </row>
    <row r="13" spans="1:22" ht="12" customHeight="1" x14ac:dyDescent="0.3">
      <c r="C13" s="3"/>
      <c r="D13" t="s">
        <v>8596</v>
      </c>
      <c r="E13" t="s">
        <v>8595</v>
      </c>
      <c r="F13">
        <v>44964</v>
      </c>
      <c r="G13">
        <v>45009</v>
      </c>
      <c r="H13" t="s">
        <v>8516</v>
      </c>
      <c r="I13" t="s">
        <v>8594</v>
      </c>
      <c r="J13" t="s">
        <v>8514</v>
      </c>
      <c r="K13" s="52">
        <v>49336.59</v>
      </c>
      <c r="L13" s="52">
        <v>47849.66</v>
      </c>
      <c r="M13" s="51"/>
      <c r="Q13" s="3"/>
      <c r="R13" s="3"/>
      <c r="V13" s="3"/>
    </row>
    <row r="14" spans="1:22" x14ac:dyDescent="0.2">
      <c r="D14" t="s">
        <v>8593</v>
      </c>
      <c r="E14" t="s">
        <v>8592</v>
      </c>
      <c r="F14">
        <v>45071</v>
      </c>
      <c r="G14">
        <v>45129</v>
      </c>
      <c r="H14" t="s">
        <v>8520</v>
      </c>
      <c r="I14" t="s">
        <v>8591</v>
      </c>
      <c r="J14" t="s">
        <v>8541</v>
      </c>
      <c r="K14" s="52">
        <v>13500.29</v>
      </c>
      <c r="L14" s="52">
        <v>43973.26</v>
      </c>
      <c r="M14" s="51"/>
    </row>
    <row r="15" spans="1:22" x14ac:dyDescent="0.2">
      <c r="D15" t="s">
        <v>8590</v>
      </c>
      <c r="E15" t="s">
        <v>8589</v>
      </c>
      <c r="F15">
        <v>45053</v>
      </c>
      <c r="G15">
        <v>45125</v>
      </c>
      <c r="H15" t="s">
        <v>8555</v>
      </c>
      <c r="I15" t="s">
        <v>8588</v>
      </c>
      <c r="J15" t="s">
        <v>8514</v>
      </c>
      <c r="K15" s="52">
        <v>69918.87</v>
      </c>
      <c r="L15" s="52">
        <v>12032.53</v>
      </c>
      <c r="M15" s="51"/>
    </row>
    <row r="16" spans="1:22" x14ac:dyDescent="0.2">
      <c r="D16" t="s">
        <v>8587</v>
      </c>
      <c r="E16" t="s">
        <v>8586</v>
      </c>
      <c r="F16">
        <v>44967</v>
      </c>
      <c r="G16">
        <v>45005</v>
      </c>
      <c r="H16" t="s">
        <v>8555</v>
      </c>
      <c r="I16" t="s">
        <v>8585</v>
      </c>
      <c r="J16" t="s">
        <v>8541</v>
      </c>
      <c r="K16" s="52">
        <v>46037.41</v>
      </c>
      <c r="L16" s="52">
        <v>67153.48</v>
      </c>
      <c r="M16" s="51"/>
    </row>
    <row r="17" spans="3:13" x14ac:dyDescent="0.2">
      <c r="D17" t="s">
        <v>8584</v>
      </c>
      <c r="E17" t="s">
        <v>8583</v>
      </c>
      <c r="F17">
        <v>45056</v>
      </c>
      <c r="G17">
        <v>45099</v>
      </c>
      <c r="H17" t="s">
        <v>8507</v>
      </c>
      <c r="I17" t="s">
        <v>8582</v>
      </c>
      <c r="J17" t="s">
        <v>8514</v>
      </c>
      <c r="K17" s="52">
        <v>16793.95</v>
      </c>
      <c r="L17" s="52">
        <v>61486.83</v>
      </c>
      <c r="M17" s="51"/>
    </row>
    <row r="18" spans="3:13" x14ac:dyDescent="0.2">
      <c r="D18" t="s">
        <v>8581</v>
      </c>
      <c r="E18" t="s">
        <v>8580</v>
      </c>
      <c r="F18">
        <v>45034</v>
      </c>
      <c r="G18">
        <v>45118</v>
      </c>
      <c r="H18" t="s">
        <v>8520</v>
      </c>
      <c r="I18" t="s">
        <v>8579</v>
      </c>
      <c r="J18" t="s">
        <v>8541</v>
      </c>
      <c r="K18" s="52">
        <v>20427.78</v>
      </c>
      <c r="L18" s="52">
        <v>11973.25</v>
      </c>
      <c r="M18" s="51"/>
    </row>
    <row r="19" spans="3:13" x14ac:dyDescent="0.2">
      <c r="D19" t="s">
        <v>8578</v>
      </c>
      <c r="E19" t="s">
        <v>8577</v>
      </c>
      <c r="F19">
        <v>45090</v>
      </c>
      <c r="G19">
        <v>45149</v>
      </c>
      <c r="H19" t="s">
        <v>8520</v>
      </c>
      <c r="I19" t="s">
        <v>8576</v>
      </c>
      <c r="J19" t="s">
        <v>8541</v>
      </c>
      <c r="K19" s="52">
        <v>56975.69</v>
      </c>
      <c r="L19" s="52">
        <v>28397.11</v>
      </c>
      <c r="M19" s="51"/>
    </row>
    <row r="20" spans="3:13" x14ac:dyDescent="0.2">
      <c r="D20" t="s">
        <v>8575</v>
      </c>
      <c r="E20" t="s">
        <v>8574</v>
      </c>
      <c r="F20">
        <v>45058</v>
      </c>
      <c r="G20">
        <v>45149</v>
      </c>
      <c r="H20" t="s">
        <v>8520</v>
      </c>
      <c r="I20" t="s">
        <v>8573</v>
      </c>
      <c r="J20" t="s">
        <v>8510</v>
      </c>
      <c r="K20" s="52">
        <v>53561.1</v>
      </c>
      <c r="L20" s="52">
        <v>44066.38</v>
      </c>
      <c r="M20" s="51"/>
    </row>
    <row r="21" spans="3:13" x14ac:dyDescent="0.2">
      <c r="D21" t="s">
        <v>8572</v>
      </c>
      <c r="E21" t="s">
        <v>8571</v>
      </c>
      <c r="F21">
        <v>44959</v>
      </c>
      <c r="G21">
        <v>44998</v>
      </c>
      <c r="H21" t="s">
        <v>8555</v>
      </c>
      <c r="I21" t="s">
        <v>8570</v>
      </c>
      <c r="J21" t="s">
        <v>8514</v>
      </c>
      <c r="K21" s="52">
        <v>39643.17</v>
      </c>
      <c r="L21" s="52">
        <v>5498.73</v>
      </c>
      <c r="M21" s="51"/>
    </row>
    <row r="22" spans="3:13" ht="12" customHeight="1" x14ac:dyDescent="0.3">
      <c r="C22" s="3"/>
      <c r="D22" t="s">
        <v>8569</v>
      </c>
      <c r="E22" t="s">
        <v>8568</v>
      </c>
      <c r="F22">
        <v>45018</v>
      </c>
      <c r="G22">
        <v>45063</v>
      </c>
      <c r="H22" t="s">
        <v>8520</v>
      </c>
      <c r="I22" t="s">
        <v>8567</v>
      </c>
      <c r="J22" t="s">
        <v>8510</v>
      </c>
      <c r="K22" s="52">
        <v>63430.37</v>
      </c>
      <c r="L22" s="52">
        <v>49721.14</v>
      </c>
      <c r="M22" s="51"/>
    </row>
    <row r="23" spans="3:13" x14ac:dyDescent="0.2">
      <c r="D23" t="s">
        <v>8566</v>
      </c>
      <c r="E23" t="s">
        <v>8565</v>
      </c>
      <c r="F23">
        <v>45051</v>
      </c>
      <c r="G23">
        <v>45130</v>
      </c>
      <c r="H23" t="s">
        <v>8516</v>
      </c>
      <c r="I23" t="s">
        <v>8564</v>
      </c>
      <c r="J23" t="s">
        <v>8514</v>
      </c>
      <c r="K23" s="52">
        <v>67337.11</v>
      </c>
      <c r="L23" s="52">
        <v>56868.800000000003</v>
      </c>
      <c r="M23" s="51"/>
    </row>
    <row r="24" spans="3:13" x14ac:dyDescent="0.2">
      <c r="D24" t="s">
        <v>8563</v>
      </c>
      <c r="E24" t="s">
        <v>8562</v>
      </c>
      <c r="F24">
        <v>45096</v>
      </c>
      <c r="G24">
        <v>45203</v>
      </c>
      <c r="H24" t="s">
        <v>8516</v>
      </c>
      <c r="I24" t="s">
        <v>8561</v>
      </c>
      <c r="J24" t="s">
        <v>8514</v>
      </c>
      <c r="K24" s="52">
        <v>32814.28</v>
      </c>
      <c r="L24" s="52">
        <v>47191.47</v>
      </c>
      <c r="M24" s="51"/>
    </row>
    <row r="25" spans="3:13" x14ac:dyDescent="0.2">
      <c r="D25" t="s">
        <v>8560</v>
      </c>
      <c r="E25" t="s">
        <v>8559</v>
      </c>
      <c r="F25">
        <v>44993</v>
      </c>
      <c r="G25">
        <v>45029</v>
      </c>
      <c r="H25" t="s">
        <v>8555</v>
      </c>
      <c r="I25" t="s">
        <v>8558</v>
      </c>
      <c r="J25" t="s">
        <v>8541</v>
      </c>
      <c r="K25" s="52">
        <v>17152.099999999999</v>
      </c>
      <c r="L25" s="52">
        <v>25190.82</v>
      </c>
      <c r="M25" s="51"/>
    </row>
    <row r="26" spans="3:13" x14ac:dyDescent="0.2">
      <c r="D26" t="s">
        <v>8557</v>
      </c>
      <c r="E26" t="s">
        <v>8556</v>
      </c>
      <c r="F26">
        <v>44961</v>
      </c>
      <c r="G26">
        <v>45053</v>
      </c>
      <c r="H26" t="s">
        <v>8555</v>
      </c>
      <c r="I26" t="s">
        <v>8554</v>
      </c>
      <c r="J26" t="s">
        <v>8510</v>
      </c>
      <c r="K26" s="52">
        <v>34989.49</v>
      </c>
      <c r="L26" s="52">
        <v>11270.03</v>
      </c>
      <c r="M26" s="51"/>
    </row>
    <row r="27" spans="3:13" x14ac:dyDescent="0.2">
      <c r="D27" t="s">
        <v>8553</v>
      </c>
      <c r="E27" t="s">
        <v>8552</v>
      </c>
      <c r="F27">
        <v>45053</v>
      </c>
      <c r="G27">
        <v>45139</v>
      </c>
      <c r="H27" t="s">
        <v>8516</v>
      </c>
      <c r="I27" t="s">
        <v>8551</v>
      </c>
      <c r="J27" t="s">
        <v>8510</v>
      </c>
      <c r="K27" s="52">
        <v>70909.87</v>
      </c>
      <c r="L27" s="52">
        <v>46364.39</v>
      </c>
      <c r="M27" s="51"/>
    </row>
    <row r="28" spans="3:13" x14ac:dyDescent="0.2">
      <c r="D28" t="s">
        <v>8550</v>
      </c>
      <c r="E28" t="s">
        <v>8549</v>
      </c>
      <c r="F28">
        <v>44953</v>
      </c>
      <c r="G28">
        <v>45004</v>
      </c>
      <c r="H28" t="s">
        <v>8507</v>
      </c>
      <c r="I28" t="s">
        <v>8548</v>
      </c>
      <c r="J28" t="s">
        <v>8541</v>
      </c>
      <c r="K28" s="52">
        <v>47701.72</v>
      </c>
      <c r="L28" s="52">
        <v>21347.34</v>
      </c>
      <c r="M28" s="51"/>
    </row>
    <row r="29" spans="3:13" x14ac:dyDescent="0.2">
      <c r="D29" t="s">
        <v>8547</v>
      </c>
      <c r="E29" t="s">
        <v>8546</v>
      </c>
      <c r="F29">
        <v>44928</v>
      </c>
      <c r="G29">
        <v>44986</v>
      </c>
      <c r="H29" t="s">
        <v>8520</v>
      </c>
      <c r="I29" t="s">
        <v>8545</v>
      </c>
      <c r="J29" t="s">
        <v>8541</v>
      </c>
      <c r="K29" s="52">
        <v>35344.959999999999</v>
      </c>
      <c r="L29" s="52">
        <v>67252.47</v>
      </c>
      <c r="M29" s="51"/>
    </row>
    <row r="30" spans="3:13" x14ac:dyDescent="0.2">
      <c r="D30" t="s">
        <v>8544</v>
      </c>
      <c r="E30" t="s">
        <v>8543</v>
      </c>
      <c r="F30">
        <v>45096</v>
      </c>
      <c r="G30">
        <v>45183</v>
      </c>
      <c r="H30" t="s">
        <v>8507</v>
      </c>
      <c r="I30" t="s">
        <v>8542</v>
      </c>
      <c r="J30" t="s">
        <v>8541</v>
      </c>
      <c r="K30" s="52">
        <v>66548.77</v>
      </c>
      <c r="L30" s="52">
        <v>46611.67</v>
      </c>
      <c r="M30" s="51"/>
    </row>
    <row r="31" spans="3:13" x14ac:dyDescent="0.2">
      <c r="D31" t="s">
        <v>8540</v>
      </c>
      <c r="E31" t="s">
        <v>8539</v>
      </c>
      <c r="F31">
        <v>44971</v>
      </c>
      <c r="G31">
        <v>45013</v>
      </c>
      <c r="H31" t="s">
        <v>8520</v>
      </c>
      <c r="I31" t="s">
        <v>8538</v>
      </c>
      <c r="J31" t="s">
        <v>8510</v>
      </c>
      <c r="K31" s="52">
        <v>74316.92</v>
      </c>
      <c r="L31" s="52">
        <v>5737.97</v>
      </c>
      <c r="M31" s="51"/>
    </row>
    <row r="32" spans="3:13" x14ac:dyDescent="0.2">
      <c r="D32" t="s">
        <v>8537</v>
      </c>
      <c r="E32" t="s">
        <v>8536</v>
      </c>
      <c r="F32">
        <v>45102</v>
      </c>
      <c r="G32">
        <v>45171</v>
      </c>
      <c r="H32" t="s">
        <v>8516</v>
      </c>
      <c r="I32" t="s">
        <v>8535</v>
      </c>
      <c r="J32" t="s">
        <v>8510</v>
      </c>
      <c r="K32" s="52">
        <v>24912.92</v>
      </c>
      <c r="L32" s="52">
        <v>17384.66</v>
      </c>
      <c r="M32" s="51"/>
    </row>
    <row r="33" spans="4:13" x14ac:dyDescent="0.2">
      <c r="D33" t="s">
        <v>8534</v>
      </c>
      <c r="E33" t="s">
        <v>8533</v>
      </c>
      <c r="F33">
        <v>45074</v>
      </c>
      <c r="G33">
        <v>45149</v>
      </c>
      <c r="H33" t="s">
        <v>8520</v>
      </c>
      <c r="I33" t="s">
        <v>8532</v>
      </c>
      <c r="J33" t="s">
        <v>8505</v>
      </c>
      <c r="K33" s="52">
        <v>47377.43</v>
      </c>
      <c r="L33" s="52">
        <v>45067.27</v>
      </c>
      <c r="M33" s="51"/>
    </row>
    <row r="34" spans="4:13" x14ac:dyDescent="0.2">
      <c r="D34" t="s">
        <v>8531</v>
      </c>
      <c r="E34" t="s">
        <v>8530</v>
      </c>
      <c r="F34">
        <v>44962</v>
      </c>
      <c r="G34">
        <v>45016</v>
      </c>
      <c r="H34" t="s">
        <v>8516</v>
      </c>
      <c r="I34" t="s">
        <v>8529</v>
      </c>
      <c r="J34" t="s">
        <v>8505</v>
      </c>
      <c r="K34" s="52">
        <v>13491.02</v>
      </c>
      <c r="L34" s="52">
        <v>23683.38</v>
      </c>
      <c r="M34" s="51"/>
    </row>
    <row r="35" spans="4:13" x14ac:dyDescent="0.2">
      <c r="D35" t="s">
        <v>8528</v>
      </c>
      <c r="E35" t="s">
        <v>8527</v>
      </c>
      <c r="F35">
        <v>45042</v>
      </c>
      <c r="G35">
        <v>45116</v>
      </c>
      <c r="H35" t="s">
        <v>8516</v>
      </c>
      <c r="I35" t="s">
        <v>8526</v>
      </c>
      <c r="J35" t="s">
        <v>8510</v>
      </c>
      <c r="K35" s="52">
        <v>33029.85</v>
      </c>
      <c r="L35" s="52">
        <v>14013.01</v>
      </c>
      <c r="M35" s="51"/>
    </row>
    <row r="36" spans="4:13" x14ac:dyDescent="0.2">
      <c r="D36" t="s">
        <v>8525</v>
      </c>
      <c r="E36" t="s">
        <v>8524</v>
      </c>
      <c r="F36">
        <v>44950</v>
      </c>
      <c r="G36">
        <v>45040</v>
      </c>
      <c r="H36" t="s">
        <v>8516</v>
      </c>
      <c r="I36" t="s">
        <v>8523</v>
      </c>
      <c r="J36" t="s">
        <v>8510</v>
      </c>
      <c r="K36" s="52">
        <v>27150.11</v>
      </c>
      <c r="L36" s="52">
        <v>55158.17</v>
      </c>
      <c r="M36" s="51"/>
    </row>
    <row r="37" spans="4:13" x14ac:dyDescent="0.2">
      <c r="D37" t="s">
        <v>8522</v>
      </c>
      <c r="E37" t="s">
        <v>8521</v>
      </c>
      <c r="F37">
        <v>44957</v>
      </c>
      <c r="G37">
        <v>45062</v>
      </c>
      <c r="H37" t="s">
        <v>8520</v>
      </c>
      <c r="I37" t="s">
        <v>8519</v>
      </c>
      <c r="J37" t="s">
        <v>8510</v>
      </c>
      <c r="K37" s="52">
        <v>10568.08</v>
      </c>
      <c r="L37" s="52">
        <v>26219.02</v>
      </c>
      <c r="M37" s="51"/>
    </row>
    <row r="38" spans="4:13" x14ac:dyDescent="0.2">
      <c r="D38" t="s">
        <v>8518</v>
      </c>
      <c r="E38" t="s">
        <v>8517</v>
      </c>
      <c r="F38">
        <v>45000</v>
      </c>
      <c r="G38">
        <v>45073</v>
      </c>
      <c r="H38" t="s">
        <v>8516</v>
      </c>
      <c r="I38" t="s">
        <v>8515</v>
      </c>
      <c r="J38" t="s">
        <v>8514</v>
      </c>
      <c r="K38" s="52">
        <v>47770.7</v>
      </c>
      <c r="L38" s="52">
        <v>48191.71</v>
      </c>
      <c r="M38" s="51"/>
    </row>
    <row r="39" spans="4:13" x14ac:dyDescent="0.2">
      <c r="D39" t="s">
        <v>8513</v>
      </c>
      <c r="E39" t="s">
        <v>8512</v>
      </c>
      <c r="F39">
        <v>45047</v>
      </c>
      <c r="G39">
        <v>45110</v>
      </c>
      <c r="H39" t="s">
        <v>8507</v>
      </c>
      <c r="I39" t="s">
        <v>8511</v>
      </c>
      <c r="J39" t="s">
        <v>8510</v>
      </c>
      <c r="K39" s="52">
        <v>23631</v>
      </c>
      <c r="L39" s="52">
        <v>31649.93</v>
      </c>
      <c r="M39" s="51"/>
    </row>
    <row r="40" spans="4:13" x14ac:dyDescent="0.2">
      <c r="D40" t="s">
        <v>8509</v>
      </c>
      <c r="E40" t="s">
        <v>8508</v>
      </c>
      <c r="F40">
        <v>44957</v>
      </c>
      <c r="G40">
        <v>45063</v>
      </c>
      <c r="H40" t="s">
        <v>8507</v>
      </c>
      <c r="I40" t="s">
        <v>8506</v>
      </c>
      <c r="J40" t="s">
        <v>8505</v>
      </c>
      <c r="K40" s="52">
        <v>52904.11</v>
      </c>
      <c r="L40" s="52">
        <v>32891.07</v>
      </c>
      <c r="M40" s="51"/>
    </row>
    <row r="41" spans="4:13" x14ac:dyDescent="0.2">
      <c r="K41" s="37"/>
      <c r="L41" s="51"/>
      <c r="M41" s="51"/>
    </row>
    <row r="42" spans="4:13" x14ac:dyDescent="0.2">
      <c r="K42" s="37"/>
      <c r="L42" s="51"/>
      <c r="M42" s="51"/>
    </row>
    <row r="43" spans="4:13" x14ac:dyDescent="0.2">
      <c r="K43" s="37"/>
      <c r="L43" s="51"/>
      <c r="M43" s="51"/>
    </row>
    <row r="44" spans="4:13" x14ac:dyDescent="0.2">
      <c r="K44" s="37"/>
      <c r="L44" s="51"/>
      <c r="M44" s="51"/>
    </row>
    <row r="45" spans="4:13" x14ac:dyDescent="0.2">
      <c r="K45" s="37"/>
      <c r="L45" s="51"/>
      <c r="M45" s="51"/>
    </row>
    <row r="46" spans="4:13" x14ac:dyDescent="0.2">
      <c r="K46" s="37"/>
      <c r="L46" s="51"/>
      <c r="M46" s="51"/>
    </row>
    <row r="47" spans="4:13" x14ac:dyDescent="0.2">
      <c r="K47" s="37"/>
      <c r="L47" s="51"/>
      <c r="M47" s="51"/>
    </row>
    <row r="48" spans="4:13" x14ac:dyDescent="0.2">
      <c r="K48" s="37"/>
      <c r="L48" s="51"/>
      <c r="M48" s="51"/>
    </row>
    <row r="49" spans="11:13" x14ac:dyDescent="0.2">
      <c r="K49" s="37"/>
      <c r="L49" s="51"/>
      <c r="M49" s="51"/>
    </row>
    <row r="50" spans="11:13" x14ac:dyDescent="0.2">
      <c r="K50" s="37"/>
      <c r="L50" s="51"/>
      <c r="M50" s="51"/>
    </row>
    <row r="51" spans="11:13" x14ac:dyDescent="0.2">
      <c r="K51" s="37"/>
      <c r="L51" s="51"/>
      <c r="M51" s="51"/>
    </row>
    <row r="52" spans="11:13" x14ac:dyDescent="0.2">
      <c r="K52" s="37"/>
      <c r="L52" s="51"/>
      <c r="M52" s="51"/>
    </row>
    <row r="53" spans="11:13" x14ac:dyDescent="0.2">
      <c r="K53" s="37"/>
      <c r="L53" s="51"/>
      <c r="M53" s="51"/>
    </row>
    <row r="54" spans="11:13" x14ac:dyDescent="0.2">
      <c r="K54" s="37"/>
      <c r="L54" s="51"/>
      <c r="M54" s="51"/>
    </row>
    <row r="55" spans="11:13" x14ac:dyDescent="0.2">
      <c r="K55" s="37"/>
      <c r="L55" s="51"/>
      <c r="M55" s="51"/>
    </row>
    <row r="56" spans="11:13" x14ac:dyDescent="0.2">
      <c r="K56" s="37"/>
      <c r="L56" s="51"/>
      <c r="M56" s="51"/>
    </row>
    <row r="57" spans="11:13" x14ac:dyDescent="0.2">
      <c r="K57" s="37"/>
      <c r="L57" s="51"/>
      <c r="M57" s="51"/>
    </row>
    <row r="58" spans="11:13" x14ac:dyDescent="0.2">
      <c r="K58" s="37"/>
      <c r="L58" s="51"/>
      <c r="M58" s="51"/>
    </row>
    <row r="59" spans="11:13" x14ac:dyDescent="0.2">
      <c r="K59" s="37"/>
      <c r="L59" s="51"/>
      <c r="M59" s="51"/>
    </row>
    <row r="60" spans="11:13" x14ac:dyDescent="0.2">
      <c r="K60" s="37"/>
      <c r="L60" s="51"/>
      <c r="M60" s="51"/>
    </row>
    <row r="61" spans="11:13" x14ac:dyDescent="0.2">
      <c r="K61" s="37"/>
      <c r="L61" s="51"/>
      <c r="M61" s="51"/>
    </row>
    <row r="62" spans="11:13" x14ac:dyDescent="0.2">
      <c r="K62" s="37"/>
      <c r="L62" s="51"/>
      <c r="M62" s="51"/>
    </row>
    <row r="63" spans="11:13" x14ac:dyDescent="0.2">
      <c r="K63" s="37"/>
      <c r="L63" s="51"/>
      <c r="M63" s="51"/>
    </row>
    <row r="64" spans="11:13" x14ac:dyDescent="0.2">
      <c r="K64" s="37"/>
      <c r="L64" s="51"/>
      <c r="M64" s="51"/>
    </row>
    <row r="65" spans="11:13" x14ac:dyDescent="0.2">
      <c r="K65" s="37"/>
      <c r="L65" s="51"/>
      <c r="M65" s="51"/>
    </row>
    <row r="66" spans="11:13" x14ac:dyDescent="0.2">
      <c r="K66" s="37"/>
      <c r="L66" s="51"/>
      <c r="M66" s="51"/>
    </row>
    <row r="67" spans="11:13" x14ac:dyDescent="0.2">
      <c r="K67" s="37"/>
      <c r="L67" s="51"/>
      <c r="M67" s="51"/>
    </row>
    <row r="68" spans="11:13" x14ac:dyDescent="0.2">
      <c r="K68" s="37"/>
      <c r="L68" s="51"/>
      <c r="M68" s="51"/>
    </row>
    <row r="69" spans="11:13" x14ac:dyDescent="0.2">
      <c r="K69" s="37"/>
      <c r="L69" s="51"/>
      <c r="M69" s="51"/>
    </row>
    <row r="70" spans="11:13" x14ac:dyDescent="0.2">
      <c r="K70" s="37"/>
      <c r="L70" s="51"/>
      <c r="M70" s="51"/>
    </row>
    <row r="71" spans="11:13" x14ac:dyDescent="0.2">
      <c r="K71" s="37"/>
      <c r="L71" s="51"/>
      <c r="M71" s="51"/>
    </row>
    <row r="72" spans="11:13" x14ac:dyDescent="0.2">
      <c r="K72" s="37"/>
      <c r="L72" s="51"/>
      <c r="M72" s="51"/>
    </row>
    <row r="73" spans="11:13" x14ac:dyDescent="0.2">
      <c r="K73" s="37"/>
      <c r="L73" s="51"/>
      <c r="M73" s="51"/>
    </row>
    <row r="74" spans="11:13" x14ac:dyDescent="0.2">
      <c r="K74" s="37"/>
      <c r="L74" s="51"/>
      <c r="M74" s="51"/>
    </row>
    <row r="75" spans="11:13" x14ac:dyDescent="0.2">
      <c r="K75" s="37"/>
      <c r="L75" s="51"/>
      <c r="M75" s="51"/>
    </row>
    <row r="76" spans="11:13" x14ac:dyDescent="0.2">
      <c r="K76" s="37"/>
      <c r="L76" s="51"/>
      <c r="M76" s="51"/>
    </row>
    <row r="77" spans="11:13" x14ac:dyDescent="0.2">
      <c r="K77" s="37"/>
      <c r="L77" s="51"/>
      <c r="M77" s="51"/>
    </row>
    <row r="78" spans="11:13" x14ac:dyDescent="0.2">
      <c r="K78" s="37"/>
      <c r="L78" s="51"/>
      <c r="M78" s="51"/>
    </row>
    <row r="79" spans="11:13" x14ac:dyDescent="0.2">
      <c r="K79" s="37"/>
      <c r="L79" s="51"/>
      <c r="M79" s="51"/>
    </row>
    <row r="80" spans="11:13" x14ac:dyDescent="0.2">
      <c r="K80" s="37"/>
      <c r="L80" s="51"/>
      <c r="M80" s="51"/>
    </row>
    <row r="81" spans="11:13" x14ac:dyDescent="0.2">
      <c r="K81" s="37"/>
      <c r="L81" s="51"/>
      <c r="M81" s="51"/>
    </row>
    <row r="82" spans="11:13" x14ac:dyDescent="0.2">
      <c r="K82" s="37"/>
      <c r="L82" s="51"/>
      <c r="M82" s="51"/>
    </row>
    <row r="83" spans="11:13" x14ac:dyDescent="0.2">
      <c r="K83" s="37"/>
      <c r="L83" s="51"/>
      <c r="M83" s="51"/>
    </row>
    <row r="84" spans="11:13" x14ac:dyDescent="0.2">
      <c r="K84" s="37"/>
      <c r="L84" s="51"/>
      <c r="M84" s="51"/>
    </row>
    <row r="85" spans="11:13" x14ac:dyDescent="0.2">
      <c r="K85" s="37"/>
      <c r="L85" s="51"/>
      <c r="M85" s="51"/>
    </row>
    <row r="86" spans="11:13" x14ac:dyDescent="0.2">
      <c r="K86" s="37"/>
      <c r="L86" s="51"/>
      <c r="M86" s="51"/>
    </row>
    <row r="87" spans="11:13" x14ac:dyDescent="0.2">
      <c r="K87" s="37"/>
      <c r="L87" s="51"/>
      <c r="M87" s="51"/>
    </row>
    <row r="88" spans="11:13" x14ac:dyDescent="0.2">
      <c r="K88" s="37"/>
      <c r="L88" s="51"/>
      <c r="M88" s="51"/>
    </row>
    <row r="89" spans="11:13" x14ac:dyDescent="0.2">
      <c r="K89" s="37"/>
      <c r="L89" s="51"/>
      <c r="M89" s="51"/>
    </row>
    <row r="90" spans="11:13" x14ac:dyDescent="0.2">
      <c r="K90" s="37"/>
      <c r="L90" s="51"/>
      <c r="M90" s="51"/>
    </row>
    <row r="91" spans="11:13" x14ac:dyDescent="0.2">
      <c r="K91" s="37"/>
      <c r="L91" s="51"/>
      <c r="M91" s="51"/>
    </row>
    <row r="92" spans="11:13" x14ac:dyDescent="0.2">
      <c r="K92" s="37"/>
      <c r="L92" s="51"/>
      <c r="M92" s="51"/>
    </row>
    <row r="93" spans="11:13" x14ac:dyDescent="0.2">
      <c r="K93" s="37"/>
      <c r="L93" s="51"/>
      <c r="M93" s="51"/>
    </row>
    <row r="94" spans="11:13" x14ac:dyDescent="0.2">
      <c r="K94" s="37"/>
      <c r="L94" s="51"/>
      <c r="M94" s="51"/>
    </row>
    <row r="95" spans="11:13" x14ac:dyDescent="0.2">
      <c r="K95" s="37"/>
      <c r="L95" s="51"/>
      <c r="M95" s="51"/>
    </row>
    <row r="96" spans="11:13" x14ac:dyDescent="0.2">
      <c r="K96" s="37"/>
      <c r="L96" s="51"/>
      <c r="M96" s="51"/>
    </row>
    <row r="97" spans="11:13" x14ac:dyDescent="0.2">
      <c r="K97" s="37"/>
      <c r="L97" s="51"/>
      <c r="M97" s="51"/>
    </row>
    <row r="98" spans="11:13" x14ac:dyDescent="0.2">
      <c r="K98" s="37"/>
      <c r="L98" s="51"/>
      <c r="M98" s="51"/>
    </row>
    <row r="99" spans="11:13" x14ac:dyDescent="0.2">
      <c r="K99" s="37"/>
      <c r="L99" s="51"/>
      <c r="M99" s="51"/>
    </row>
    <row r="100" spans="11:13" x14ac:dyDescent="0.2">
      <c r="K100" s="37"/>
      <c r="L100" s="51"/>
      <c r="M100" s="51"/>
    </row>
    <row r="101" spans="11:13" x14ac:dyDescent="0.2">
      <c r="K101" s="37"/>
      <c r="L101" s="51"/>
      <c r="M101" s="51"/>
    </row>
    <row r="102" spans="11:13" x14ac:dyDescent="0.2">
      <c r="K102" s="37"/>
      <c r="L102" s="51"/>
      <c r="M102" s="51"/>
    </row>
    <row r="103" spans="11:13" x14ac:dyDescent="0.2">
      <c r="K103" s="37"/>
      <c r="L103" s="51"/>
      <c r="M103" s="51"/>
    </row>
    <row r="104" spans="11:13" x14ac:dyDescent="0.2">
      <c r="K104" s="37"/>
      <c r="L104" s="51"/>
      <c r="M104" s="51"/>
    </row>
    <row r="105" spans="11:13" x14ac:dyDescent="0.2">
      <c r="K105" s="37"/>
      <c r="L105" s="51"/>
      <c r="M105" s="51"/>
    </row>
    <row r="106" spans="11:13" x14ac:dyDescent="0.2">
      <c r="K106" s="37"/>
      <c r="L106" s="51"/>
      <c r="M106" s="51"/>
    </row>
    <row r="107" spans="11:13" x14ac:dyDescent="0.2">
      <c r="K107" s="37"/>
      <c r="L107" s="51"/>
      <c r="M107" s="51"/>
    </row>
    <row r="108" spans="11:13" x14ac:dyDescent="0.2">
      <c r="K108" s="37"/>
      <c r="L108" s="51"/>
      <c r="M108" s="51"/>
    </row>
    <row r="109" spans="11:13" x14ac:dyDescent="0.2">
      <c r="K109" s="37"/>
      <c r="L109" s="51"/>
      <c r="M109" s="51"/>
    </row>
    <row r="110" spans="11:13" x14ac:dyDescent="0.2">
      <c r="K110" s="37"/>
      <c r="L110" s="51"/>
      <c r="M110" s="51"/>
    </row>
    <row r="111" spans="11:13" x14ac:dyDescent="0.2">
      <c r="K111" s="37"/>
      <c r="L111" s="51"/>
      <c r="M111" s="51"/>
    </row>
    <row r="112" spans="11:13" x14ac:dyDescent="0.2">
      <c r="K112" s="37"/>
      <c r="L112" s="51"/>
      <c r="M112" s="51"/>
    </row>
    <row r="113" spans="11:13" x14ac:dyDescent="0.2">
      <c r="K113" s="37"/>
      <c r="L113" s="51"/>
      <c r="M113" s="51"/>
    </row>
    <row r="114" spans="11:13" x14ac:dyDescent="0.2">
      <c r="K114" s="37"/>
      <c r="L114" s="51"/>
      <c r="M114" s="51"/>
    </row>
    <row r="115" spans="11:13" x14ac:dyDescent="0.2">
      <c r="K115" s="37"/>
      <c r="L115" s="51"/>
      <c r="M115" s="51"/>
    </row>
    <row r="116" spans="11:13" x14ac:dyDescent="0.2">
      <c r="K116" s="37"/>
      <c r="L116" s="51"/>
      <c r="M116" s="51"/>
    </row>
    <row r="117" spans="11:13" x14ac:dyDescent="0.2">
      <c r="K117" s="37"/>
      <c r="L117" s="51"/>
      <c r="M117" s="51"/>
    </row>
    <row r="118" spans="11:13" x14ac:dyDescent="0.2">
      <c r="K118" s="37"/>
      <c r="L118" s="51"/>
      <c r="M118" s="51"/>
    </row>
    <row r="119" spans="11:13" x14ac:dyDescent="0.2">
      <c r="K119" s="37"/>
      <c r="L119" s="51"/>
      <c r="M119" s="51"/>
    </row>
    <row r="120" spans="11:13" x14ac:dyDescent="0.2">
      <c r="K120" s="37"/>
      <c r="L120" s="51"/>
      <c r="M120" s="51"/>
    </row>
    <row r="121" spans="11:13" x14ac:dyDescent="0.2">
      <c r="K121" s="37"/>
      <c r="L121" s="51"/>
      <c r="M121" s="51"/>
    </row>
    <row r="122" spans="11:13" x14ac:dyDescent="0.2">
      <c r="K122" s="37"/>
      <c r="L122" s="51"/>
      <c r="M122" s="51"/>
    </row>
    <row r="123" spans="11:13" x14ac:dyDescent="0.2">
      <c r="K123" s="37"/>
      <c r="L123" s="51"/>
      <c r="M123" s="51"/>
    </row>
    <row r="124" spans="11:13" x14ac:dyDescent="0.2">
      <c r="K124" s="37"/>
      <c r="L124" s="51"/>
      <c r="M124" s="51"/>
    </row>
    <row r="125" spans="11:13" x14ac:dyDescent="0.2">
      <c r="K125" s="37"/>
      <c r="L125" s="51"/>
      <c r="M125" s="51"/>
    </row>
    <row r="126" spans="11:13" x14ac:dyDescent="0.2">
      <c r="K126" s="37"/>
      <c r="L126" s="51"/>
      <c r="M126" s="51"/>
    </row>
    <row r="127" spans="11:13" x14ac:dyDescent="0.2">
      <c r="K127" s="37"/>
      <c r="L127" s="51"/>
      <c r="M127" s="51"/>
    </row>
    <row r="128" spans="11:13" x14ac:dyDescent="0.2">
      <c r="K128" s="37"/>
      <c r="L128" s="51"/>
      <c r="M128" s="51"/>
    </row>
    <row r="129" spans="11:13" x14ac:dyDescent="0.2">
      <c r="K129" s="37"/>
      <c r="L129" s="51"/>
      <c r="M129" s="51"/>
    </row>
    <row r="130" spans="11:13" x14ac:dyDescent="0.2">
      <c r="K130" s="37"/>
      <c r="L130" s="51"/>
      <c r="M130" s="51"/>
    </row>
    <row r="131" spans="11:13" x14ac:dyDescent="0.2">
      <c r="K131" s="37"/>
      <c r="L131" s="51"/>
      <c r="M131" s="51"/>
    </row>
    <row r="132" spans="11:13" x14ac:dyDescent="0.2">
      <c r="K132" s="37"/>
      <c r="L132" s="51"/>
      <c r="M132" s="51"/>
    </row>
    <row r="133" spans="11:13" x14ac:dyDescent="0.2">
      <c r="K133" s="37"/>
      <c r="L133" s="51"/>
      <c r="M133" s="51"/>
    </row>
    <row r="134" spans="11:13" x14ac:dyDescent="0.2">
      <c r="K134" s="37"/>
      <c r="L134" s="51"/>
      <c r="M134" s="51"/>
    </row>
    <row r="135" spans="11:13" x14ac:dyDescent="0.2">
      <c r="K135" s="37"/>
      <c r="L135" s="51"/>
      <c r="M135" s="51"/>
    </row>
    <row r="136" spans="11:13" x14ac:dyDescent="0.2">
      <c r="K136" s="37"/>
      <c r="L136" s="51"/>
      <c r="M136" s="51"/>
    </row>
    <row r="137" spans="11:13" x14ac:dyDescent="0.2">
      <c r="K137" s="37"/>
      <c r="L137" s="51"/>
      <c r="M137" s="51"/>
    </row>
    <row r="138" spans="11:13" x14ac:dyDescent="0.2">
      <c r="K138" s="37"/>
      <c r="L138" s="51"/>
      <c r="M138" s="51"/>
    </row>
    <row r="139" spans="11:13" x14ac:dyDescent="0.2">
      <c r="K139" s="37"/>
      <c r="L139" s="51"/>
      <c r="M139" s="51"/>
    </row>
    <row r="140" spans="11:13" x14ac:dyDescent="0.2">
      <c r="K140" s="37"/>
      <c r="L140" s="51"/>
      <c r="M140" s="51"/>
    </row>
    <row r="141" spans="11:13" x14ac:dyDescent="0.2">
      <c r="K141" s="37"/>
      <c r="L141" s="51"/>
      <c r="M141" s="51"/>
    </row>
    <row r="142" spans="11:13" x14ac:dyDescent="0.2">
      <c r="K142" s="37"/>
      <c r="L142" s="51"/>
      <c r="M142" s="51"/>
    </row>
    <row r="143" spans="11:13" x14ac:dyDescent="0.2">
      <c r="K143" s="37"/>
      <c r="L143" s="51"/>
      <c r="M143" s="51"/>
    </row>
    <row r="144" spans="11:13" x14ac:dyDescent="0.2">
      <c r="K144" s="37"/>
      <c r="L144" s="51"/>
      <c r="M144" s="51"/>
    </row>
    <row r="145" spans="11:13" x14ac:dyDescent="0.2">
      <c r="K145" s="37"/>
      <c r="L145" s="51"/>
      <c r="M145" s="51"/>
    </row>
    <row r="146" spans="11:13" x14ac:dyDescent="0.2">
      <c r="K146" s="37"/>
      <c r="L146" s="51"/>
      <c r="M146" s="51"/>
    </row>
    <row r="147" spans="11:13" x14ac:dyDescent="0.2">
      <c r="K147" s="37"/>
      <c r="L147" s="51"/>
      <c r="M147" s="51"/>
    </row>
    <row r="148" spans="11:13" x14ac:dyDescent="0.2">
      <c r="K148" s="37"/>
      <c r="L148" s="51"/>
      <c r="M148" s="51"/>
    </row>
    <row r="149" spans="11:13" x14ac:dyDescent="0.2">
      <c r="K149" s="37"/>
      <c r="L149" s="51"/>
      <c r="M149" s="51"/>
    </row>
    <row r="150" spans="11:13" x14ac:dyDescent="0.2">
      <c r="K150" s="37"/>
      <c r="L150" s="51"/>
      <c r="M150" s="51"/>
    </row>
    <row r="151" spans="11:13" x14ac:dyDescent="0.2">
      <c r="K151" s="37"/>
      <c r="L151" s="51"/>
      <c r="M151" s="51"/>
    </row>
    <row r="152" spans="11:13" x14ac:dyDescent="0.2">
      <c r="K152" s="37"/>
      <c r="L152" s="51"/>
      <c r="M152" s="51"/>
    </row>
    <row r="153" spans="11:13" x14ac:dyDescent="0.2">
      <c r="K153" s="37"/>
      <c r="L153" s="51"/>
      <c r="M153" s="51"/>
    </row>
    <row r="154" spans="11:13" x14ac:dyDescent="0.2">
      <c r="K154" s="37"/>
      <c r="L154" s="51"/>
      <c r="M154" s="51"/>
    </row>
    <row r="155" spans="11:13" x14ac:dyDescent="0.2">
      <c r="K155" s="37"/>
      <c r="L155" s="51"/>
      <c r="M155" s="51"/>
    </row>
    <row r="156" spans="11:13" x14ac:dyDescent="0.2">
      <c r="K156" s="37"/>
      <c r="L156" s="51"/>
      <c r="M156" s="51"/>
    </row>
    <row r="157" spans="11:13" x14ac:dyDescent="0.2">
      <c r="K157" s="37"/>
      <c r="L157" s="51"/>
      <c r="M157" s="51"/>
    </row>
    <row r="158" spans="11:13" x14ac:dyDescent="0.2">
      <c r="K158" s="37"/>
      <c r="L158" s="51"/>
      <c r="M158" s="51"/>
    </row>
    <row r="159" spans="11:13" x14ac:dyDescent="0.2">
      <c r="K159" s="37"/>
      <c r="L159" s="51"/>
      <c r="M159" s="51"/>
    </row>
    <row r="160" spans="11:13" x14ac:dyDescent="0.2">
      <c r="K160" s="37"/>
      <c r="L160" s="51"/>
      <c r="M160" s="51"/>
    </row>
    <row r="161" spans="11:13" x14ac:dyDescent="0.2">
      <c r="K161" s="37"/>
      <c r="L161" s="51"/>
      <c r="M161" s="51"/>
    </row>
    <row r="162" spans="11:13" x14ac:dyDescent="0.2">
      <c r="K162" s="37"/>
      <c r="L162" s="51"/>
      <c r="M162" s="51"/>
    </row>
    <row r="163" spans="11:13" x14ac:dyDescent="0.2">
      <c r="K163" s="37"/>
      <c r="L163" s="51"/>
      <c r="M163" s="51"/>
    </row>
    <row r="164" spans="11:13" x14ac:dyDescent="0.2">
      <c r="K164" s="37"/>
      <c r="L164" s="51"/>
      <c r="M164" s="51"/>
    </row>
    <row r="165" spans="11:13" x14ac:dyDescent="0.2">
      <c r="K165" s="37"/>
      <c r="L165" s="51"/>
      <c r="M165" s="51"/>
    </row>
    <row r="166" spans="11:13" x14ac:dyDescent="0.2">
      <c r="K166" s="37"/>
      <c r="L166" s="51"/>
      <c r="M166" s="51"/>
    </row>
    <row r="167" spans="11:13" x14ac:dyDescent="0.2">
      <c r="K167" s="37"/>
      <c r="L167" s="51"/>
      <c r="M167" s="51"/>
    </row>
    <row r="168" spans="11:13" x14ac:dyDescent="0.2">
      <c r="K168" s="37"/>
      <c r="L168" s="51"/>
      <c r="M168" s="51"/>
    </row>
    <row r="169" spans="11:13" x14ac:dyDescent="0.2">
      <c r="K169" s="37"/>
      <c r="L169" s="51"/>
      <c r="M169" s="51"/>
    </row>
    <row r="170" spans="11:13" x14ac:dyDescent="0.2">
      <c r="K170" s="37"/>
      <c r="L170" s="51"/>
      <c r="M170" s="51"/>
    </row>
    <row r="171" spans="11:13" x14ac:dyDescent="0.2">
      <c r="K171" s="37"/>
      <c r="L171" s="51"/>
      <c r="M171" s="51"/>
    </row>
    <row r="172" spans="11:13" x14ac:dyDescent="0.2">
      <c r="K172" s="37"/>
      <c r="L172" s="51"/>
      <c r="M172" s="51"/>
    </row>
    <row r="173" spans="11:13" x14ac:dyDescent="0.2">
      <c r="K173" s="37"/>
      <c r="L173" s="51"/>
      <c r="M173" s="51"/>
    </row>
    <row r="174" spans="11:13" x14ac:dyDescent="0.2">
      <c r="K174" s="37"/>
      <c r="L174" s="51"/>
      <c r="M174" s="51"/>
    </row>
    <row r="175" spans="11:13" x14ac:dyDescent="0.2">
      <c r="K175" s="37"/>
      <c r="L175" s="51"/>
      <c r="M175" s="51"/>
    </row>
    <row r="176" spans="11:13" x14ac:dyDescent="0.2">
      <c r="K176" s="37"/>
      <c r="L176" s="51"/>
      <c r="M176" s="51"/>
    </row>
    <row r="177" spans="11:13" x14ac:dyDescent="0.2">
      <c r="K177" s="37"/>
      <c r="L177" s="51"/>
      <c r="M177" s="51"/>
    </row>
    <row r="178" spans="11:13" x14ac:dyDescent="0.2">
      <c r="K178" s="37"/>
      <c r="L178" s="51"/>
      <c r="M178" s="51"/>
    </row>
    <row r="179" spans="11:13" x14ac:dyDescent="0.2">
      <c r="K179" s="37"/>
      <c r="L179" s="51"/>
      <c r="M179" s="51"/>
    </row>
    <row r="180" spans="11:13" x14ac:dyDescent="0.2">
      <c r="K180" s="37"/>
      <c r="L180" s="51"/>
      <c r="M180" s="51"/>
    </row>
    <row r="181" spans="11:13" x14ac:dyDescent="0.2">
      <c r="K181" s="37"/>
      <c r="L181" s="51"/>
      <c r="M181" s="51"/>
    </row>
    <row r="182" spans="11:13" x14ac:dyDescent="0.2">
      <c r="K182" s="37"/>
      <c r="L182" s="51"/>
      <c r="M182" s="51"/>
    </row>
    <row r="183" spans="11:13" x14ac:dyDescent="0.2">
      <c r="K183" s="37"/>
      <c r="L183" s="51"/>
      <c r="M183" s="51"/>
    </row>
    <row r="184" spans="11:13" x14ac:dyDescent="0.2">
      <c r="K184" s="37"/>
      <c r="L184" s="51"/>
      <c r="M184" s="51"/>
    </row>
    <row r="185" spans="11:13" x14ac:dyDescent="0.2">
      <c r="K185" s="37"/>
      <c r="L185" s="51"/>
      <c r="M185" s="51"/>
    </row>
    <row r="186" spans="11:13" x14ac:dyDescent="0.2">
      <c r="K186" s="37"/>
      <c r="L186" s="51"/>
      <c r="M186" s="51"/>
    </row>
    <row r="187" spans="11:13" x14ac:dyDescent="0.2">
      <c r="K187" s="37"/>
      <c r="L187" s="51"/>
      <c r="M187" s="51"/>
    </row>
    <row r="188" spans="11:13" x14ac:dyDescent="0.2">
      <c r="K188" s="37"/>
      <c r="L188" s="51"/>
      <c r="M188" s="51"/>
    </row>
    <row r="189" spans="11:13" x14ac:dyDescent="0.2">
      <c r="K189" s="37"/>
      <c r="L189" s="51"/>
      <c r="M189" s="51"/>
    </row>
    <row r="190" spans="11:13" x14ac:dyDescent="0.2">
      <c r="K190" s="37"/>
      <c r="L190" s="51"/>
      <c r="M190" s="51"/>
    </row>
    <row r="191" spans="11:13" x14ac:dyDescent="0.2">
      <c r="K191" s="37"/>
      <c r="L191" s="51"/>
      <c r="M191" s="51"/>
    </row>
    <row r="192" spans="11:13" x14ac:dyDescent="0.2">
      <c r="K192" s="37"/>
      <c r="L192" s="51"/>
      <c r="M192" s="51"/>
    </row>
    <row r="193" spans="11:13" x14ac:dyDescent="0.2">
      <c r="K193" s="37"/>
      <c r="L193" s="51"/>
      <c r="M193" s="51"/>
    </row>
    <row r="194" spans="11:13" x14ac:dyDescent="0.2">
      <c r="K194" s="37"/>
      <c r="L194" s="51"/>
      <c r="M194" s="51"/>
    </row>
    <row r="195" spans="11:13" x14ac:dyDescent="0.2">
      <c r="K195" s="37"/>
      <c r="L195" s="51"/>
      <c r="M195" s="51"/>
    </row>
    <row r="196" spans="11:13" x14ac:dyDescent="0.2">
      <c r="K196" s="37"/>
      <c r="L196" s="51"/>
      <c r="M196" s="51"/>
    </row>
    <row r="197" spans="11:13" x14ac:dyDescent="0.2">
      <c r="K197" s="37"/>
      <c r="L197" s="51"/>
      <c r="M197" s="51"/>
    </row>
    <row r="198" spans="11:13" x14ac:dyDescent="0.2">
      <c r="K198" s="37"/>
      <c r="L198" s="51"/>
      <c r="M198" s="51"/>
    </row>
    <row r="199" spans="11:13" x14ac:dyDescent="0.2">
      <c r="K199" s="37"/>
      <c r="L199" s="51"/>
      <c r="M199" s="51"/>
    </row>
    <row r="200" spans="11:13" x14ac:dyDescent="0.2">
      <c r="K200" s="37"/>
      <c r="L200" s="51"/>
      <c r="M200" s="51"/>
    </row>
    <row r="201" spans="11:13" x14ac:dyDescent="0.2">
      <c r="K201" s="37"/>
      <c r="L201" s="51"/>
      <c r="M201" s="51"/>
    </row>
    <row r="202" spans="11:13" x14ac:dyDescent="0.2">
      <c r="K202" s="37"/>
      <c r="L202" s="51"/>
      <c r="M202" s="51"/>
    </row>
    <row r="203" spans="11:13" x14ac:dyDescent="0.2">
      <c r="K203" s="37"/>
      <c r="L203" s="51"/>
      <c r="M203" s="51"/>
    </row>
    <row r="204" spans="11:13" x14ac:dyDescent="0.2">
      <c r="K204" s="37"/>
      <c r="L204" s="51"/>
      <c r="M204" s="51"/>
    </row>
    <row r="205" spans="11:13" x14ac:dyDescent="0.2">
      <c r="K205" s="37"/>
      <c r="L205" s="51"/>
      <c r="M205" s="51"/>
    </row>
    <row r="206" spans="11:13" x14ac:dyDescent="0.2">
      <c r="K206" s="37"/>
      <c r="L206" s="51"/>
      <c r="M206" s="51"/>
    </row>
    <row r="207" spans="11:13" x14ac:dyDescent="0.2">
      <c r="K207" s="37"/>
      <c r="L207" s="51"/>
      <c r="M207" s="51"/>
    </row>
    <row r="208" spans="11:13" x14ac:dyDescent="0.2">
      <c r="K208" s="37"/>
      <c r="L208" s="51"/>
      <c r="M208" s="51"/>
    </row>
    <row r="209" spans="11:13" x14ac:dyDescent="0.2">
      <c r="K209" s="37"/>
      <c r="L209" s="51"/>
      <c r="M209" s="51"/>
    </row>
    <row r="210" spans="11:13" x14ac:dyDescent="0.2">
      <c r="K210" s="37"/>
      <c r="L210" s="51"/>
      <c r="M210" s="51"/>
    </row>
    <row r="211" spans="11:13" x14ac:dyDescent="0.2">
      <c r="K211" s="37"/>
      <c r="L211" s="51"/>
      <c r="M211" s="51"/>
    </row>
    <row r="212" spans="11:13" x14ac:dyDescent="0.2">
      <c r="K212" s="37"/>
      <c r="L212" s="51"/>
      <c r="M212" s="51"/>
    </row>
    <row r="213" spans="11:13" x14ac:dyDescent="0.2">
      <c r="K213" s="37"/>
      <c r="L213" s="51"/>
      <c r="M213" s="51"/>
    </row>
    <row r="214" spans="11:13" x14ac:dyDescent="0.2">
      <c r="K214" s="37"/>
      <c r="L214" s="51"/>
      <c r="M214" s="51"/>
    </row>
    <row r="215" spans="11:13" x14ac:dyDescent="0.2">
      <c r="K215" s="37"/>
      <c r="L215" s="51"/>
      <c r="M215" s="51"/>
    </row>
    <row r="216" spans="11:13" x14ac:dyDescent="0.2">
      <c r="K216" s="37"/>
      <c r="L216" s="51"/>
      <c r="M216" s="51"/>
    </row>
    <row r="217" spans="11:13" x14ac:dyDescent="0.2">
      <c r="K217" s="37"/>
      <c r="L217" s="51"/>
      <c r="M217" s="51"/>
    </row>
    <row r="218" spans="11:13" x14ac:dyDescent="0.2">
      <c r="K218" s="37"/>
      <c r="L218" s="51"/>
      <c r="M218" s="51"/>
    </row>
    <row r="219" spans="11:13" x14ac:dyDescent="0.2">
      <c r="K219" s="37"/>
      <c r="L219" s="51"/>
      <c r="M219" s="51"/>
    </row>
    <row r="220" spans="11:13" x14ac:dyDescent="0.2">
      <c r="K220" s="37"/>
      <c r="L220" s="51"/>
      <c r="M220" s="51"/>
    </row>
    <row r="221" spans="11:13" x14ac:dyDescent="0.2">
      <c r="K221" s="37"/>
      <c r="L221" s="51"/>
      <c r="M221" s="51"/>
    </row>
    <row r="222" spans="11:13" x14ac:dyDescent="0.2">
      <c r="K222" s="37"/>
      <c r="L222" s="51"/>
      <c r="M222" s="51"/>
    </row>
    <row r="223" spans="11:13" x14ac:dyDescent="0.2">
      <c r="K223" s="37"/>
      <c r="L223" s="51"/>
      <c r="M223" s="51"/>
    </row>
    <row r="224" spans="11:13" x14ac:dyDescent="0.2">
      <c r="K224" s="37"/>
      <c r="L224" s="51"/>
      <c r="M224" s="51"/>
    </row>
    <row r="225" spans="11:13" x14ac:dyDescent="0.2">
      <c r="K225" s="37"/>
      <c r="L225" s="51"/>
      <c r="M225" s="51"/>
    </row>
    <row r="226" spans="11:13" x14ac:dyDescent="0.2">
      <c r="K226" s="37"/>
      <c r="L226" s="51"/>
      <c r="M226" s="51"/>
    </row>
    <row r="227" spans="11:13" x14ac:dyDescent="0.2">
      <c r="K227" s="37"/>
      <c r="L227" s="51"/>
      <c r="M227" s="51"/>
    </row>
    <row r="228" spans="11:13" x14ac:dyDescent="0.2">
      <c r="K228" s="37"/>
      <c r="L228" s="51"/>
      <c r="M228" s="51"/>
    </row>
    <row r="229" spans="11:13" x14ac:dyDescent="0.2">
      <c r="K229" s="37"/>
      <c r="L229" s="51"/>
      <c r="M229" s="51"/>
    </row>
    <row r="230" spans="11:13" x14ac:dyDescent="0.2">
      <c r="K230" s="37"/>
      <c r="L230" s="51"/>
      <c r="M230" s="51"/>
    </row>
    <row r="231" spans="11:13" x14ac:dyDescent="0.2">
      <c r="K231" s="37"/>
      <c r="L231" s="51"/>
      <c r="M231" s="51"/>
    </row>
    <row r="232" spans="11:13" x14ac:dyDescent="0.2">
      <c r="K232" s="37"/>
      <c r="L232" s="51"/>
      <c r="M232" s="51"/>
    </row>
    <row r="233" spans="11:13" x14ac:dyDescent="0.2">
      <c r="K233" s="37"/>
      <c r="L233" s="51"/>
      <c r="M233" s="51"/>
    </row>
    <row r="234" spans="11:13" x14ac:dyDescent="0.2">
      <c r="K234" s="37"/>
      <c r="L234" s="51"/>
      <c r="M234" s="51"/>
    </row>
    <row r="235" spans="11:13" x14ac:dyDescent="0.2">
      <c r="K235" s="37"/>
      <c r="L235" s="51"/>
      <c r="M235" s="51"/>
    </row>
    <row r="236" spans="11:13" x14ac:dyDescent="0.2">
      <c r="K236" s="37"/>
      <c r="L236" s="51"/>
      <c r="M236" s="51"/>
    </row>
    <row r="237" spans="11:13" x14ac:dyDescent="0.2">
      <c r="K237" s="37"/>
      <c r="L237" s="51"/>
      <c r="M237" s="51"/>
    </row>
    <row r="238" spans="11:13" x14ac:dyDescent="0.2">
      <c r="K238" s="37"/>
      <c r="L238" s="51"/>
      <c r="M238" s="51"/>
    </row>
    <row r="239" spans="11:13" x14ac:dyDescent="0.2">
      <c r="K239" s="37"/>
      <c r="L239" s="51"/>
      <c r="M239" s="51"/>
    </row>
    <row r="240" spans="11:13" x14ac:dyDescent="0.2">
      <c r="K240" s="37"/>
      <c r="L240" s="51"/>
      <c r="M240" s="51"/>
    </row>
    <row r="241" spans="11:13" x14ac:dyDescent="0.2">
      <c r="K241" s="37"/>
      <c r="L241" s="51"/>
      <c r="M241" s="51"/>
    </row>
    <row r="242" spans="11:13" x14ac:dyDescent="0.2">
      <c r="K242" s="37"/>
      <c r="L242" s="51"/>
      <c r="M242" s="51"/>
    </row>
    <row r="243" spans="11:13" x14ac:dyDescent="0.2">
      <c r="K243" s="37"/>
      <c r="L243" s="51"/>
      <c r="M243" s="51"/>
    </row>
    <row r="244" spans="11:13" x14ac:dyDescent="0.2">
      <c r="K244" s="37"/>
      <c r="L244" s="51"/>
      <c r="M244" s="51"/>
    </row>
    <row r="245" spans="11:13" x14ac:dyDescent="0.2">
      <c r="K245" s="37"/>
      <c r="L245" s="51"/>
      <c r="M245" s="51"/>
    </row>
    <row r="246" spans="11:13" x14ac:dyDescent="0.2">
      <c r="K246" s="37"/>
      <c r="L246" s="51"/>
      <c r="M246" s="51"/>
    </row>
    <row r="247" spans="11:13" x14ac:dyDescent="0.2">
      <c r="K247" s="37"/>
      <c r="L247" s="51"/>
      <c r="M247" s="51"/>
    </row>
    <row r="248" spans="11:13" x14ac:dyDescent="0.2">
      <c r="K248" s="37"/>
      <c r="L248" s="51"/>
      <c r="M248" s="51"/>
    </row>
    <row r="249" spans="11:13" x14ac:dyDescent="0.2">
      <c r="K249" s="37"/>
      <c r="L249" s="51"/>
      <c r="M249" s="51"/>
    </row>
    <row r="250" spans="11:13" x14ac:dyDescent="0.2">
      <c r="K250" s="37"/>
      <c r="L250" s="51"/>
      <c r="M250" s="51"/>
    </row>
    <row r="251" spans="11:13" x14ac:dyDescent="0.2">
      <c r="K251" s="37"/>
      <c r="L251" s="51"/>
      <c r="M251" s="51"/>
    </row>
    <row r="252" spans="11:13" x14ac:dyDescent="0.2">
      <c r="K252" s="37"/>
      <c r="L252" s="51"/>
      <c r="M252" s="51"/>
    </row>
    <row r="253" spans="11:13" x14ac:dyDescent="0.2">
      <c r="K253" s="37"/>
      <c r="L253" s="51"/>
      <c r="M253" s="51"/>
    </row>
    <row r="254" spans="11:13" x14ac:dyDescent="0.2">
      <c r="K254" s="37"/>
      <c r="L254" s="51"/>
      <c r="M254" s="51"/>
    </row>
    <row r="255" spans="11:13" x14ac:dyDescent="0.2">
      <c r="K255" s="37"/>
      <c r="L255" s="51"/>
      <c r="M255" s="51"/>
    </row>
    <row r="256" spans="11:13" x14ac:dyDescent="0.2">
      <c r="K256" s="37"/>
      <c r="L256" s="51"/>
      <c r="M256" s="51"/>
    </row>
    <row r="257" spans="11:13" x14ac:dyDescent="0.2">
      <c r="K257" s="37"/>
      <c r="L257" s="51"/>
      <c r="M257" s="51"/>
    </row>
    <row r="258" spans="11:13" x14ac:dyDescent="0.2">
      <c r="K258" s="37"/>
      <c r="L258" s="51"/>
      <c r="M258" s="51"/>
    </row>
    <row r="259" spans="11:13" x14ac:dyDescent="0.2">
      <c r="K259" s="37"/>
      <c r="L259" s="51"/>
      <c r="M259" s="51"/>
    </row>
    <row r="260" spans="11:13" x14ac:dyDescent="0.2">
      <c r="K260" s="37"/>
      <c r="L260" s="51"/>
      <c r="M260" s="51"/>
    </row>
    <row r="261" spans="11:13" x14ac:dyDescent="0.2">
      <c r="K261" s="37"/>
      <c r="L261" s="51"/>
      <c r="M261" s="51"/>
    </row>
    <row r="262" spans="11:13" x14ac:dyDescent="0.2">
      <c r="K262" s="37"/>
      <c r="L262" s="51"/>
      <c r="M262" s="51"/>
    </row>
    <row r="263" spans="11:13" x14ac:dyDescent="0.2">
      <c r="K263" s="37"/>
      <c r="L263" s="51"/>
      <c r="M263" s="51"/>
    </row>
    <row r="264" spans="11:13" x14ac:dyDescent="0.2">
      <c r="K264" s="37"/>
      <c r="L264" s="51"/>
      <c r="M264" s="51"/>
    </row>
    <row r="265" spans="11:13" x14ac:dyDescent="0.2">
      <c r="K265" s="37"/>
      <c r="L265" s="51"/>
      <c r="M265" s="51"/>
    </row>
    <row r="266" spans="11:13" x14ac:dyDescent="0.2">
      <c r="K266" s="37"/>
      <c r="L266" s="51"/>
      <c r="M266" s="51"/>
    </row>
    <row r="267" spans="11:13" x14ac:dyDescent="0.2">
      <c r="K267" s="37"/>
      <c r="L267" s="51"/>
      <c r="M267" s="51"/>
    </row>
    <row r="268" spans="11:13" x14ac:dyDescent="0.2">
      <c r="K268" s="37"/>
      <c r="L268" s="51"/>
      <c r="M268" s="51"/>
    </row>
    <row r="269" spans="11:13" x14ac:dyDescent="0.2">
      <c r="K269" s="37"/>
      <c r="L269" s="51"/>
      <c r="M269" s="51"/>
    </row>
    <row r="270" spans="11:13" x14ac:dyDescent="0.2">
      <c r="K270" s="37"/>
      <c r="L270" s="51"/>
      <c r="M270" s="51"/>
    </row>
    <row r="271" spans="11:13" x14ac:dyDescent="0.2">
      <c r="K271" s="37"/>
      <c r="L271" s="51"/>
      <c r="M271" s="51"/>
    </row>
    <row r="272" spans="11:13" x14ac:dyDescent="0.2">
      <c r="K272" s="37"/>
      <c r="L272" s="51"/>
      <c r="M272" s="51"/>
    </row>
    <row r="273" spans="11:13" x14ac:dyDescent="0.2">
      <c r="K273" s="37"/>
      <c r="L273" s="51"/>
      <c r="M273" s="51"/>
    </row>
    <row r="274" spans="11:13" x14ac:dyDescent="0.2">
      <c r="K274" s="37"/>
      <c r="L274" s="51"/>
      <c r="M274" s="51"/>
    </row>
    <row r="275" spans="11:13" x14ac:dyDescent="0.2">
      <c r="K275" s="37"/>
      <c r="L275" s="51"/>
      <c r="M275" s="51"/>
    </row>
    <row r="276" spans="11:13" x14ac:dyDescent="0.2">
      <c r="K276" s="37"/>
      <c r="L276" s="51"/>
      <c r="M276" s="51"/>
    </row>
    <row r="277" spans="11:13" x14ac:dyDescent="0.2">
      <c r="K277" s="37"/>
      <c r="L277" s="51"/>
      <c r="M277" s="51"/>
    </row>
    <row r="278" spans="11:13" x14ac:dyDescent="0.2">
      <c r="K278" s="37"/>
      <c r="L278" s="51"/>
      <c r="M278" s="51"/>
    </row>
    <row r="279" spans="11:13" x14ac:dyDescent="0.2">
      <c r="K279" s="37"/>
      <c r="L279" s="51"/>
      <c r="M279" s="51"/>
    </row>
    <row r="280" spans="11:13" x14ac:dyDescent="0.2">
      <c r="K280" s="37"/>
      <c r="L280" s="51"/>
      <c r="M280" s="51"/>
    </row>
    <row r="281" spans="11:13" x14ac:dyDescent="0.2">
      <c r="K281" s="37"/>
      <c r="L281" s="51"/>
      <c r="M281" s="51"/>
    </row>
    <row r="282" spans="11:13" x14ac:dyDescent="0.2">
      <c r="K282" s="37"/>
      <c r="L282" s="51"/>
      <c r="M282" s="51"/>
    </row>
    <row r="283" spans="11:13" x14ac:dyDescent="0.2">
      <c r="K283" s="37"/>
      <c r="L283" s="51"/>
      <c r="M283" s="51"/>
    </row>
    <row r="284" spans="11:13" x14ac:dyDescent="0.2">
      <c r="K284" s="37"/>
      <c r="L284" s="51"/>
      <c r="M284" s="51"/>
    </row>
    <row r="285" spans="11:13" x14ac:dyDescent="0.2">
      <c r="K285" s="37"/>
      <c r="L285" s="51"/>
      <c r="M285" s="51"/>
    </row>
    <row r="286" spans="11:13" x14ac:dyDescent="0.2">
      <c r="K286" s="37"/>
      <c r="L286" s="51"/>
      <c r="M286" s="51"/>
    </row>
    <row r="287" spans="11:13" x14ac:dyDescent="0.2">
      <c r="K287" s="37"/>
      <c r="L287" s="51"/>
      <c r="M287" s="51"/>
    </row>
    <row r="288" spans="11:13" x14ac:dyDescent="0.2">
      <c r="K288" s="37"/>
      <c r="L288" s="51"/>
      <c r="M288" s="51"/>
    </row>
    <row r="289" spans="11:13" x14ac:dyDescent="0.2">
      <c r="K289" s="37"/>
      <c r="L289" s="51"/>
      <c r="M289" s="51"/>
    </row>
    <row r="290" spans="11:13" x14ac:dyDescent="0.2">
      <c r="K290" s="37"/>
      <c r="L290" s="51"/>
      <c r="M290" s="51"/>
    </row>
    <row r="291" spans="11:13" x14ac:dyDescent="0.2">
      <c r="K291" s="37"/>
      <c r="L291" s="51"/>
      <c r="M291" s="51"/>
    </row>
    <row r="292" spans="11:13" x14ac:dyDescent="0.2">
      <c r="K292" s="37"/>
      <c r="L292" s="51"/>
      <c r="M292" s="51"/>
    </row>
    <row r="293" spans="11:13" x14ac:dyDescent="0.2">
      <c r="K293" s="37"/>
      <c r="L293" s="51"/>
      <c r="M293" s="51"/>
    </row>
    <row r="294" spans="11:13" x14ac:dyDescent="0.2">
      <c r="K294" s="37"/>
      <c r="L294" s="51"/>
      <c r="M294" s="51"/>
    </row>
    <row r="295" spans="11:13" x14ac:dyDescent="0.2">
      <c r="K295" s="37"/>
      <c r="L295" s="51"/>
      <c r="M295" s="51"/>
    </row>
    <row r="296" spans="11:13" x14ac:dyDescent="0.2">
      <c r="K296" s="37"/>
      <c r="L296" s="51"/>
      <c r="M296" s="51"/>
    </row>
    <row r="297" spans="11:13" x14ac:dyDescent="0.2">
      <c r="K297" s="37"/>
      <c r="L297" s="51"/>
      <c r="M297" s="51"/>
    </row>
    <row r="298" spans="11:13" x14ac:dyDescent="0.2">
      <c r="K298" s="37"/>
      <c r="L298" s="51"/>
      <c r="M298" s="51"/>
    </row>
    <row r="299" spans="11:13" x14ac:dyDescent="0.2">
      <c r="K299" s="37"/>
      <c r="L299" s="51"/>
      <c r="M299" s="51"/>
    </row>
    <row r="300" spans="11:13" x14ac:dyDescent="0.2">
      <c r="K300" s="37"/>
      <c r="L300" s="51"/>
      <c r="M300" s="51"/>
    </row>
    <row r="301" spans="11:13" x14ac:dyDescent="0.2">
      <c r="K301" s="37"/>
      <c r="L301" s="51"/>
      <c r="M301" s="51"/>
    </row>
    <row r="302" spans="11:13" x14ac:dyDescent="0.2">
      <c r="K302" s="37"/>
      <c r="L302" s="51"/>
      <c r="M302" s="51"/>
    </row>
    <row r="303" spans="11:13" x14ac:dyDescent="0.2">
      <c r="K303" s="37"/>
      <c r="L303" s="51"/>
      <c r="M303" s="51"/>
    </row>
    <row r="304" spans="11:13" x14ac:dyDescent="0.2">
      <c r="K304" s="37"/>
      <c r="L304" s="51"/>
      <c r="M304" s="51"/>
    </row>
    <row r="305" spans="11:13" x14ac:dyDescent="0.2">
      <c r="K305" s="37"/>
      <c r="L305" s="51"/>
      <c r="M305" s="51"/>
    </row>
    <row r="306" spans="11:13" x14ac:dyDescent="0.2">
      <c r="K306" s="37"/>
      <c r="L306" s="51"/>
      <c r="M306" s="51"/>
    </row>
    <row r="307" spans="11:13" x14ac:dyDescent="0.2">
      <c r="K307" s="37"/>
      <c r="L307" s="51"/>
      <c r="M307" s="51"/>
    </row>
    <row r="308" spans="11:13" x14ac:dyDescent="0.2">
      <c r="K308" s="37"/>
      <c r="L308" s="51"/>
      <c r="M308" s="51"/>
    </row>
    <row r="309" spans="11:13" x14ac:dyDescent="0.2">
      <c r="K309" s="37"/>
      <c r="L309" s="51"/>
      <c r="M309" s="51"/>
    </row>
    <row r="310" spans="11:13" x14ac:dyDescent="0.2">
      <c r="K310" s="37"/>
      <c r="L310" s="51"/>
      <c r="M310" s="51"/>
    </row>
    <row r="311" spans="11:13" x14ac:dyDescent="0.2">
      <c r="K311" s="37"/>
      <c r="L311" s="51"/>
      <c r="M311" s="51"/>
    </row>
    <row r="312" spans="11:13" x14ac:dyDescent="0.2">
      <c r="K312" s="37"/>
      <c r="L312" s="51"/>
      <c r="M312" s="51"/>
    </row>
    <row r="313" spans="11:13" x14ac:dyDescent="0.2">
      <c r="K313" s="37"/>
      <c r="L313" s="51"/>
      <c r="M313" s="51"/>
    </row>
    <row r="314" spans="11:13" x14ac:dyDescent="0.2">
      <c r="K314" s="37"/>
      <c r="L314" s="51"/>
      <c r="M314" s="51"/>
    </row>
    <row r="315" spans="11:13" x14ac:dyDescent="0.2">
      <c r="K315" s="37"/>
      <c r="L315" s="51"/>
      <c r="M315" s="51"/>
    </row>
    <row r="316" spans="11:13" x14ac:dyDescent="0.2">
      <c r="K316" s="37"/>
      <c r="L316" s="51"/>
      <c r="M316" s="51"/>
    </row>
    <row r="317" spans="11:13" x14ac:dyDescent="0.2">
      <c r="K317" s="37"/>
      <c r="L317" s="51"/>
      <c r="M317" s="51"/>
    </row>
    <row r="318" spans="11:13" x14ac:dyDescent="0.2">
      <c r="K318" s="37"/>
      <c r="L318" s="51"/>
      <c r="M318" s="51"/>
    </row>
    <row r="319" spans="11:13" x14ac:dyDescent="0.2">
      <c r="K319" s="37"/>
      <c r="L319" s="51"/>
      <c r="M319" s="51"/>
    </row>
    <row r="320" spans="11:13" x14ac:dyDescent="0.2">
      <c r="K320" s="37"/>
      <c r="L320" s="51"/>
      <c r="M320" s="51"/>
    </row>
    <row r="321" spans="11:13" x14ac:dyDescent="0.2">
      <c r="K321" s="37"/>
      <c r="L321" s="51"/>
      <c r="M321" s="51"/>
    </row>
    <row r="322" spans="11:13" x14ac:dyDescent="0.2">
      <c r="K322" s="37"/>
      <c r="L322" s="51"/>
      <c r="M322" s="51"/>
    </row>
    <row r="323" spans="11:13" x14ac:dyDescent="0.2">
      <c r="K323" s="37"/>
      <c r="L323" s="51"/>
      <c r="M323" s="51"/>
    </row>
    <row r="324" spans="11:13" x14ac:dyDescent="0.2">
      <c r="K324" s="37"/>
      <c r="L324" s="51"/>
      <c r="M324" s="51"/>
    </row>
    <row r="325" spans="11:13" x14ac:dyDescent="0.2">
      <c r="K325" s="37"/>
      <c r="L325" s="51"/>
      <c r="M325" s="51"/>
    </row>
    <row r="326" spans="11:13" x14ac:dyDescent="0.2">
      <c r="K326" s="37"/>
      <c r="L326" s="51"/>
      <c r="M326" s="51"/>
    </row>
    <row r="327" spans="11:13" x14ac:dyDescent="0.2">
      <c r="K327" s="37"/>
      <c r="L327" s="51"/>
      <c r="M327" s="51"/>
    </row>
    <row r="328" spans="11:13" x14ac:dyDescent="0.2">
      <c r="K328" s="37"/>
      <c r="L328" s="51"/>
      <c r="M328" s="51"/>
    </row>
    <row r="329" spans="11:13" x14ac:dyDescent="0.2">
      <c r="K329" s="37"/>
      <c r="L329" s="51"/>
      <c r="M329" s="51"/>
    </row>
    <row r="330" spans="11:13" x14ac:dyDescent="0.2">
      <c r="K330" s="37"/>
      <c r="L330" s="51"/>
      <c r="M330" s="51"/>
    </row>
    <row r="331" spans="11:13" x14ac:dyDescent="0.2">
      <c r="K331" s="37"/>
      <c r="L331" s="51"/>
      <c r="M331" s="51"/>
    </row>
    <row r="332" spans="11:13" x14ac:dyDescent="0.2">
      <c r="K332" s="37"/>
      <c r="L332" s="51"/>
      <c r="M332" s="51"/>
    </row>
    <row r="333" spans="11:13" x14ac:dyDescent="0.2">
      <c r="K333" s="37"/>
      <c r="L333" s="51"/>
      <c r="M333" s="51"/>
    </row>
    <row r="334" spans="11:13" x14ac:dyDescent="0.2">
      <c r="K334" s="37"/>
      <c r="L334" s="51"/>
      <c r="M334" s="51"/>
    </row>
    <row r="335" spans="11:13" x14ac:dyDescent="0.2">
      <c r="K335" s="37"/>
      <c r="L335" s="51"/>
      <c r="M335" s="51"/>
    </row>
    <row r="336" spans="11:13" x14ac:dyDescent="0.2">
      <c r="K336" s="37"/>
      <c r="L336" s="51"/>
      <c r="M336" s="51"/>
    </row>
    <row r="337" spans="11:13" x14ac:dyDescent="0.2">
      <c r="K337" s="37"/>
      <c r="L337" s="51"/>
      <c r="M337" s="51"/>
    </row>
    <row r="338" spans="11:13" x14ac:dyDescent="0.2">
      <c r="K338" s="37"/>
      <c r="L338" s="51"/>
      <c r="M338" s="51"/>
    </row>
    <row r="339" spans="11:13" x14ac:dyDescent="0.2">
      <c r="K339" s="37"/>
      <c r="L339" s="51"/>
      <c r="M339" s="51"/>
    </row>
    <row r="340" spans="11:13" x14ac:dyDescent="0.2">
      <c r="K340" s="37"/>
      <c r="L340" s="51"/>
      <c r="M340" s="51"/>
    </row>
    <row r="341" spans="11:13" x14ac:dyDescent="0.2">
      <c r="K341" s="37"/>
      <c r="L341" s="51"/>
      <c r="M341" s="51"/>
    </row>
    <row r="342" spans="11:13" x14ac:dyDescent="0.2">
      <c r="K342" s="37"/>
      <c r="L342" s="51"/>
      <c r="M342" s="51"/>
    </row>
    <row r="343" spans="11:13" x14ac:dyDescent="0.2">
      <c r="K343" s="37"/>
      <c r="L343" s="51"/>
      <c r="M343" s="51"/>
    </row>
    <row r="344" spans="11:13" x14ac:dyDescent="0.2">
      <c r="K344" s="37"/>
      <c r="L344" s="51"/>
      <c r="M344" s="51"/>
    </row>
    <row r="345" spans="11:13" x14ac:dyDescent="0.2">
      <c r="K345" s="37"/>
      <c r="L345" s="51"/>
      <c r="M345" s="51"/>
    </row>
    <row r="346" spans="11:13" x14ac:dyDescent="0.2">
      <c r="K346" s="37"/>
      <c r="L346" s="51"/>
      <c r="M346" s="51"/>
    </row>
    <row r="347" spans="11:13" x14ac:dyDescent="0.2">
      <c r="K347" s="37"/>
      <c r="L347" s="51"/>
      <c r="M347" s="51"/>
    </row>
    <row r="348" spans="11:13" x14ac:dyDescent="0.2">
      <c r="K348" s="37"/>
      <c r="L348" s="51"/>
      <c r="M348" s="51"/>
    </row>
    <row r="349" spans="11:13" x14ac:dyDescent="0.2">
      <c r="K349" s="37"/>
      <c r="L349" s="51"/>
      <c r="M349" s="51"/>
    </row>
    <row r="350" spans="11:13" x14ac:dyDescent="0.2">
      <c r="K350" s="37"/>
      <c r="L350" s="51"/>
      <c r="M350" s="51"/>
    </row>
    <row r="351" spans="11:13" x14ac:dyDescent="0.2">
      <c r="K351" s="37"/>
      <c r="L351" s="51"/>
      <c r="M351" s="51"/>
    </row>
    <row r="352" spans="11:13" x14ac:dyDescent="0.2">
      <c r="K352" s="37"/>
      <c r="L352" s="51"/>
      <c r="M352" s="51"/>
    </row>
    <row r="353" spans="11:13" x14ac:dyDescent="0.2">
      <c r="K353" s="37"/>
      <c r="L353" s="51"/>
      <c r="M353" s="51"/>
    </row>
    <row r="354" spans="11:13" x14ac:dyDescent="0.2">
      <c r="K354" s="37"/>
      <c r="L354" s="51"/>
      <c r="M354" s="51"/>
    </row>
    <row r="355" spans="11:13" x14ac:dyDescent="0.2">
      <c r="K355" s="37"/>
      <c r="L355" s="51"/>
      <c r="M355" s="51"/>
    </row>
    <row r="356" spans="11:13" x14ac:dyDescent="0.2">
      <c r="K356" s="37"/>
      <c r="L356" s="51"/>
      <c r="M356" s="51"/>
    </row>
    <row r="357" spans="11:13" x14ac:dyDescent="0.2">
      <c r="K357" s="37"/>
      <c r="L357" s="51"/>
      <c r="M357" s="51"/>
    </row>
    <row r="358" spans="11:13" x14ac:dyDescent="0.2">
      <c r="K358" s="37"/>
      <c r="L358" s="51"/>
      <c r="M358" s="51"/>
    </row>
    <row r="359" spans="11:13" x14ac:dyDescent="0.2">
      <c r="K359" s="37"/>
      <c r="L359" s="51"/>
      <c r="M359" s="51"/>
    </row>
    <row r="360" spans="11:13" x14ac:dyDescent="0.2">
      <c r="K360" s="37"/>
      <c r="L360" s="51"/>
      <c r="M360" s="51"/>
    </row>
    <row r="361" spans="11:13" x14ac:dyDescent="0.2">
      <c r="K361" s="37"/>
      <c r="L361" s="51"/>
      <c r="M361" s="51"/>
    </row>
    <row r="362" spans="11:13" x14ac:dyDescent="0.2">
      <c r="K362" s="37"/>
      <c r="L362" s="51"/>
      <c r="M362" s="51"/>
    </row>
    <row r="363" spans="11:13" x14ac:dyDescent="0.2">
      <c r="K363" s="37"/>
      <c r="L363" s="51"/>
      <c r="M363" s="51"/>
    </row>
    <row r="364" spans="11:13" x14ac:dyDescent="0.2">
      <c r="K364" s="37"/>
      <c r="L364" s="51"/>
      <c r="M364" s="51"/>
    </row>
    <row r="365" spans="11:13" x14ac:dyDescent="0.2">
      <c r="K365" s="37"/>
      <c r="L365" s="51"/>
      <c r="M365" s="51"/>
    </row>
    <row r="366" spans="11:13" x14ac:dyDescent="0.2">
      <c r="K366" s="37"/>
      <c r="L366" s="51"/>
      <c r="M366" s="51"/>
    </row>
    <row r="367" spans="11:13" x14ac:dyDescent="0.2">
      <c r="K367" s="37"/>
      <c r="L367" s="51"/>
      <c r="M367" s="51"/>
    </row>
    <row r="368" spans="11:13" x14ac:dyDescent="0.2">
      <c r="K368" s="37"/>
      <c r="L368" s="51"/>
      <c r="M368" s="51"/>
    </row>
    <row r="369" spans="11:13" x14ac:dyDescent="0.2">
      <c r="K369" s="37"/>
      <c r="L369" s="51"/>
      <c r="M369" s="51"/>
    </row>
    <row r="370" spans="11:13" x14ac:dyDescent="0.2">
      <c r="K370" s="37"/>
      <c r="L370" s="51"/>
      <c r="M370" s="51"/>
    </row>
    <row r="371" spans="11:13" x14ac:dyDescent="0.2">
      <c r="K371" s="37"/>
      <c r="L371" s="51"/>
      <c r="M371" s="51"/>
    </row>
    <row r="372" spans="11:13" x14ac:dyDescent="0.2">
      <c r="K372" s="37"/>
      <c r="L372" s="51"/>
      <c r="M372" s="51"/>
    </row>
    <row r="373" spans="11:13" x14ac:dyDescent="0.2">
      <c r="K373" s="37"/>
      <c r="L373" s="51"/>
      <c r="M373" s="51"/>
    </row>
    <row r="374" spans="11:13" x14ac:dyDescent="0.2">
      <c r="K374" s="37"/>
      <c r="L374" s="51"/>
      <c r="M374" s="51"/>
    </row>
    <row r="375" spans="11:13" x14ac:dyDescent="0.2">
      <c r="K375" s="37"/>
      <c r="L375" s="51"/>
      <c r="M375" s="51"/>
    </row>
    <row r="376" spans="11:13" x14ac:dyDescent="0.2">
      <c r="K376" s="37"/>
      <c r="L376" s="51"/>
      <c r="M376" s="51"/>
    </row>
    <row r="377" spans="11:13" x14ac:dyDescent="0.2">
      <c r="K377" s="37"/>
      <c r="L377" s="51"/>
      <c r="M377" s="51"/>
    </row>
    <row r="378" spans="11:13" x14ac:dyDescent="0.2">
      <c r="K378" s="37"/>
      <c r="L378" s="51"/>
      <c r="M378" s="51"/>
    </row>
    <row r="379" spans="11:13" x14ac:dyDescent="0.2">
      <c r="K379" s="37"/>
      <c r="L379" s="51"/>
      <c r="M379" s="51"/>
    </row>
    <row r="380" spans="11:13" x14ac:dyDescent="0.2">
      <c r="K380" s="37"/>
      <c r="L380" s="51"/>
      <c r="M380" s="51"/>
    </row>
    <row r="381" spans="11:13" x14ac:dyDescent="0.2">
      <c r="K381" s="37"/>
      <c r="L381" s="51"/>
      <c r="M381" s="51"/>
    </row>
    <row r="382" spans="11:13" x14ac:dyDescent="0.2">
      <c r="K382" s="37"/>
      <c r="L382" s="51"/>
      <c r="M382" s="51"/>
    </row>
    <row r="383" spans="11:13" x14ac:dyDescent="0.2">
      <c r="K383" s="37"/>
      <c r="L383" s="51"/>
      <c r="M383" s="51"/>
    </row>
    <row r="384" spans="11:13" x14ac:dyDescent="0.2">
      <c r="K384" s="37"/>
      <c r="L384" s="51"/>
      <c r="M384" s="51"/>
    </row>
    <row r="385" spans="11:13" x14ac:dyDescent="0.2">
      <c r="K385" s="37"/>
      <c r="L385" s="51"/>
      <c r="M385" s="51"/>
    </row>
    <row r="386" spans="11:13" x14ac:dyDescent="0.2">
      <c r="K386" s="37"/>
      <c r="L386" s="51"/>
      <c r="M386" s="51"/>
    </row>
    <row r="387" spans="11:13" x14ac:dyDescent="0.2">
      <c r="K387" s="37"/>
      <c r="L387" s="51"/>
      <c r="M387" s="51"/>
    </row>
    <row r="388" spans="11:13" x14ac:dyDescent="0.2">
      <c r="K388" s="37"/>
      <c r="L388" s="51"/>
      <c r="M388" s="51"/>
    </row>
    <row r="389" spans="11:13" x14ac:dyDescent="0.2">
      <c r="K389" s="37"/>
      <c r="L389" s="51"/>
      <c r="M389" s="51"/>
    </row>
    <row r="390" spans="11:13" x14ac:dyDescent="0.2">
      <c r="K390" s="37"/>
      <c r="L390" s="51"/>
      <c r="M390" s="51"/>
    </row>
    <row r="391" spans="11:13" x14ac:dyDescent="0.2">
      <c r="K391" s="37"/>
      <c r="L391" s="51"/>
      <c r="M391" s="51"/>
    </row>
    <row r="392" spans="11:13" x14ac:dyDescent="0.2">
      <c r="K392" s="37"/>
      <c r="L392" s="51"/>
      <c r="M392" s="51"/>
    </row>
    <row r="393" spans="11:13" x14ac:dyDescent="0.2">
      <c r="K393" s="37"/>
      <c r="L393" s="51"/>
      <c r="M393" s="51"/>
    </row>
    <row r="394" spans="11:13" x14ac:dyDescent="0.2">
      <c r="K394" s="37"/>
      <c r="L394" s="51"/>
      <c r="M394" s="51"/>
    </row>
    <row r="395" spans="11:13" x14ac:dyDescent="0.2">
      <c r="K395" s="37"/>
      <c r="L395" s="51"/>
      <c r="M395" s="51"/>
    </row>
    <row r="396" spans="11:13" x14ac:dyDescent="0.2">
      <c r="K396" s="37"/>
      <c r="L396" s="51"/>
      <c r="M396" s="51"/>
    </row>
    <row r="397" spans="11:13" x14ac:dyDescent="0.2">
      <c r="K397" s="37"/>
      <c r="L397" s="51"/>
      <c r="M397" s="51"/>
    </row>
    <row r="398" spans="11:13" x14ac:dyDescent="0.2">
      <c r="K398" s="37"/>
      <c r="L398" s="51"/>
      <c r="M398" s="51"/>
    </row>
    <row r="399" spans="11:13" x14ac:dyDescent="0.2">
      <c r="K399" s="37"/>
      <c r="L399" s="51"/>
      <c r="M399" s="51"/>
    </row>
    <row r="400" spans="11:13" x14ac:dyDescent="0.2">
      <c r="K400" s="37"/>
      <c r="L400" s="51"/>
      <c r="M400" s="51"/>
    </row>
    <row r="401" spans="11:13" x14ac:dyDescent="0.2">
      <c r="K401" s="37"/>
      <c r="L401" s="51"/>
      <c r="M401" s="51"/>
    </row>
    <row r="402" spans="11:13" x14ac:dyDescent="0.2">
      <c r="K402" s="37"/>
      <c r="L402" s="51"/>
      <c r="M402" s="51"/>
    </row>
    <row r="403" spans="11:13" x14ac:dyDescent="0.2">
      <c r="K403" s="37"/>
      <c r="L403" s="51"/>
      <c r="M403" s="51"/>
    </row>
    <row r="404" spans="11:13" x14ac:dyDescent="0.2">
      <c r="K404" s="37"/>
      <c r="L404" s="51"/>
      <c r="M404" s="51"/>
    </row>
    <row r="405" spans="11:13" x14ac:dyDescent="0.2">
      <c r="K405" s="37"/>
      <c r="L405" s="51"/>
      <c r="M405" s="51"/>
    </row>
    <row r="406" spans="11:13" x14ac:dyDescent="0.2">
      <c r="K406" s="37"/>
      <c r="L406" s="51"/>
      <c r="M406" s="51"/>
    </row>
    <row r="407" spans="11:13" x14ac:dyDescent="0.2">
      <c r="K407" s="37"/>
      <c r="L407" s="51"/>
      <c r="M407" s="51"/>
    </row>
    <row r="408" spans="11:13" x14ac:dyDescent="0.2">
      <c r="K408" s="37"/>
      <c r="L408" s="51"/>
      <c r="M408" s="51"/>
    </row>
    <row r="409" spans="11:13" x14ac:dyDescent="0.2">
      <c r="K409" s="37"/>
      <c r="L409" s="51"/>
      <c r="M409" s="51"/>
    </row>
    <row r="410" spans="11:13" x14ac:dyDescent="0.2">
      <c r="K410" s="37"/>
      <c r="L410" s="51"/>
      <c r="M410" s="51"/>
    </row>
    <row r="411" spans="11:13" x14ac:dyDescent="0.2">
      <c r="K411" s="37"/>
      <c r="L411" s="51"/>
      <c r="M411" s="51"/>
    </row>
    <row r="412" spans="11:13" x14ac:dyDescent="0.2">
      <c r="K412" s="37"/>
      <c r="L412" s="51"/>
      <c r="M412" s="51"/>
    </row>
    <row r="413" spans="11:13" x14ac:dyDescent="0.2">
      <c r="K413" s="37"/>
      <c r="L413" s="51"/>
      <c r="M413" s="51"/>
    </row>
    <row r="414" spans="11:13" x14ac:dyDescent="0.2">
      <c r="K414" s="37"/>
      <c r="L414" s="51"/>
      <c r="M414" s="51"/>
    </row>
    <row r="415" spans="11:13" x14ac:dyDescent="0.2">
      <c r="K415" s="37"/>
      <c r="L415" s="51"/>
      <c r="M415" s="51"/>
    </row>
    <row r="416" spans="11:13" x14ac:dyDescent="0.2">
      <c r="K416" s="37"/>
      <c r="L416" s="51"/>
      <c r="M416" s="51"/>
    </row>
    <row r="417" spans="11:13" x14ac:dyDescent="0.2">
      <c r="K417" s="37"/>
      <c r="L417" s="51"/>
      <c r="M417" s="51"/>
    </row>
    <row r="418" spans="11:13" x14ac:dyDescent="0.2">
      <c r="K418" s="37"/>
      <c r="L418" s="51"/>
      <c r="M418" s="51"/>
    </row>
    <row r="419" spans="11:13" x14ac:dyDescent="0.2">
      <c r="K419" s="37"/>
      <c r="L419" s="51"/>
      <c r="M419" s="51"/>
    </row>
    <row r="420" spans="11:13" x14ac:dyDescent="0.2">
      <c r="K420" s="37"/>
      <c r="L420" s="51"/>
      <c r="M420" s="51"/>
    </row>
    <row r="421" spans="11:13" x14ac:dyDescent="0.2">
      <c r="K421" s="37"/>
      <c r="L421" s="51"/>
      <c r="M421" s="51"/>
    </row>
    <row r="422" spans="11:13" x14ac:dyDescent="0.2">
      <c r="K422" s="37"/>
      <c r="L422" s="51"/>
      <c r="M422" s="51"/>
    </row>
    <row r="423" spans="11:13" x14ac:dyDescent="0.2">
      <c r="K423" s="37"/>
      <c r="L423" s="51"/>
      <c r="M423" s="51"/>
    </row>
    <row r="424" spans="11:13" x14ac:dyDescent="0.2">
      <c r="K424" s="37"/>
      <c r="L424" s="51"/>
      <c r="M424" s="51"/>
    </row>
    <row r="425" spans="11:13" x14ac:dyDescent="0.2">
      <c r="K425" s="37"/>
      <c r="L425" s="51"/>
      <c r="M425" s="51"/>
    </row>
    <row r="426" spans="11:13" x14ac:dyDescent="0.2">
      <c r="K426" s="37"/>
      <c r="L426" s="51"/>
      <c r="M426" s="51"/>
    </row>
    <row r="427" spans="11:13" x14ac:dyDescent="0.2">
      <c r="K427" s="37"/>
      <c r="L427" s="51"/>
      <c r="M427" s="51"/>
    </row>
    <row r="428" spans="11:13" x14ac:dyDescent="0.2">
      <c r="K428" s="37"/>
      <c r="L428" s="51"/>
      <c r="M428" s="51"/>
    </row>
    <row r="429" spans="11:13" x14ac:dyDescent="0.2">
      <c r="K429" s="37"/>
      <c r="L429" s="51"/>
      <c r="M429" s="51"/>
    </row>
    <row r="430" spans="11:13" x14ac:dyDescent="0.2">
      <c r="K430" s="37"/>
      <c r="L430" s="51"/>
      <c r="M430" s="51"/>
    </row>
    <row r="431" spans="11:13" x14ac:dyDescent="0.2">
      <c r="K431" s="37"/>
      <c r="L431" s="51"/>
      <c r="M431" s="51"/>
    </row>
    <row r="432" spans="11:13" x14ac:dyDescent="0.2">
      <c r="K432" s="37"/>
      <c r="L432" s="51"/>
      <c r="M432" s="51"/>
    </row>
    <row r="433" spans="11:13" x14ac:dyDescent="0.2">
      <c r="K433" s="37"/>
      <c r="L433" s="51"/>
      <c r="M433" s="51"/>
    </row>
    <row r="434" spans="11:13" x14ac:dyDescent="0.2">
      <c r="K434" s="37"/>
      <c r="L434" s="51"/>
      <c r="M434" s="51"/>
    </row>
    <row r="435" spans="11:13" x14ac:dyDescent="0.2">
      <c r="K435" s="37"/>
      <c r="L435" s="51"/>
      <c r="M435" s="51"/>
    </row>
    <row r="436" spans="11:13" x14ac:dyDescent="0.2">
      <c r="K436" s="37"/>
      <c r="L436" s="51"/>
      <c r="M436" s="51"/>
    </row>
    <row r="437" spans="11:13" x14ac:dyDescent="0.2">
      <c r="K437" s="37"/>
      <c r="L437" s="51"/>
      <c r="M437" s="51"/>
    </row>
    <row r="438" spans="11:13" x14ac:dyDescent="0.2">
      <c r="K438" s="37"/>
      <c r="L438" s="51"/>
      <c r="M438" s="51"/>
    </row>
    <row r="439" spans="11:13" x14ac:dyDescent="0.2">
      <c r="K439" s="37"/>
      <c r="L439" s="51"/>
      <c r="M439" s="51"/>
    </row>
    <row r="440" spans="11:13" x14ac:dyDescent="0.2">
      <c r="K440" s="37"/>
      <c r="L440" s="51"/>
      <c r="M440" s="51"/>
    </row>
    <row r="441" spans="11:13" x14ac:dyDescent="0.2">
      <c r="K441" s="37"/>
      <c r="L441" s="51"/>
      <c r="M441" s="51"/>
    </row>
    <row r="442" spans="11:13" x14ac:dyDescent="0.2">
      <c r="K442" s="37"/>
      <c r="L442" s="51"/>
      <c r="M442" s="51"/>
    </row>
    <row r="443" spans="11:13" x14ac:dyDescent="0.2">
      <c r="K443" s="37"/>
      <c r="L443" s="51"/>
      <c r="M443" s="51"/>
    </row>
    <row r="444" spans="11:13" x14ac:dyDescent="0.2">
      <c r="K444" s="37"/>
      <c r="L444" s="51"/>
      <c r="M444" s="51"/>
    </row>
    <row r="445" spans="11:13" x14ac:dyDescent="0.2">
      <c r="K445" s="37"/>
      <c r="L445" s="51"/>
      <c r="M445" s="51"/>
    </row>
    <row r="446" spans="11:13" x14ac:dyDescent="0.2">
      <c r="K446" s="37"/>
      <c r="L446" s="51"/>
      <c r="M446" s="51"/>
    </row>
    <row r="447" spans="11:13" x14ac:dyDescent="0.2">
      <c r="K447" s="37"/>
      <c r="L447" s="51"/>
      <c r="M447" s="51"/>
    </row>
    <row r="448" spans="11:13" x14ac:dyDescent="0.2">
      <c r="K448" s="37"/>
      <c r="L448" s="51"/>
      <c r="M448" s="51"/>
    </row>
    <row r="449" spans="11:13" x14ac:dyDescent="0.2">
      <c r="K449" s="37"/>
      <c r="L449" s="51"/>
      <c r="M449" s="51"/>
    </row>
    <row r="450" spans="11:13" x14ac:dyDescent="0.2">
      <c r="K450" s="37"/>
      <c r="L450" s="51"/>
      <c r="M450" s="51"/>
    </row>
    <row r="451" spans="11:13" x14ac:dyDescent="0.2">
      <c r="K451" s="37"/>
      <c r="L451" s="51"/>
      <c r="M451" s="51"/>
    </row>
    <row r="452" spans="11:13" x14ac:dyDescent="0.2">
      <c r="K452" s="37"/>
      <c r="L452" s="51"/>
      <c r="M452" s="51"/>
    </row>
    <row r="453" spans="11:13" x14ac:dyDescent="0.2">
      <c r="K453" s="37"/>
      <c r="L453" s="51"/>
      <c r="M453" s="51"/>
    </row>
    <row r="454" spans="11:13" x14ac:dyDescent="0.2">
      <c r="K454" s="37"/>
      <c r="L454" s="51"/>
      <c r="M454" s="51"/>
    </row>
    <row r="455" spans="11:13" x14ac:dyDescent="0.2">
      <c r="K455" s="37"/>
      <c r="L455" s="51"/>
      <c r="M455" s="51"/>
    </row>
    <row r="456" spans="11:13" x14ac:dyDescent="0.2">
      <c r="K456" s="37"/>
      <c r="L456" s="51"/>
      <c r="M456" s="51"/>
    </row>
    <row r="457" spans="11:13" x14ac:dyDescent="0.2">
      <c r="K457" s="37"/>
      <c r="L457" s="51"/>
      <c r="M457" s="51"/>
    </row>
    <row r="458" spans="11:13" x14ac:dyDescent="0.2">
      <c r="K458" s="37"/>
      <c r="L458" s="51"/>
      <c r="M458" s="51"/>
    </row>
    <row r="459" spans="11:13" x14ac:dyDescent="0.2">
      <c r="K459" s="37"/>
      <c r="L459" s="51"/>
      <c r="M459" s="51"/>
    </row>
    <row r="460" spans="11:13" x14ac:dyDescent="0.2">
      <c r="K460" s="37"/>
      <c r="L460" s="51"/>
      <c r="M460" s="51"/>
    </row>
    <row r="461" spans="11:13" x14ac:dyDescent="0.2">
      <c r="K461" s="37"/>
      <c r="L461" s="51"/>
      <c r="M461" s="51"/>
    </row>
    <row r="462" spans="11:13" x14ac:dyDescent="0.2">
      <c r="K462" s="37"/>
      <c r="L462" s="51"/>
      <c r="M462" s="51"/>
    </row>
    <row r="463" spans="11:13" x14ac:dyDescent="0.2">
      <c r="K463" s="37"/>
      <c r="L463" s="51"/>
      <c r="M463" s="51"/>
    </row>
    <row r="464" spans="11:13" x14ac:dyDescent="0.2">
      <c r="K464" s="37"/>
      <c r="L464" s="51"/>
      <c r="M464" s="51"/>
    </row>
    <row r="465" spans="11:13" x14ac:dyDescent="0.2">
      <c r="K465" s="37"/>
      <c r="L465" s="51"/>
      <c r="M465" s="51"/>
    </row>
    <row r="466" spans="11:13" x14ac:dyDescent="0.2">
      <c r="K466" s="37"/>
      <c r="L466" s="51"/>
      <c r="M466" s="51"/>
    </row>
    <row r="467" spans="11:13" x14ac:dyDescent="0.2">
      <c r="K467" s="37"/>
      <c r="L467" s="51"/>
      <c r="M467" s="51"/>
    </row>
    <row r="468" spans="11:13" x14ac:dyDescent="0.2">
      <c r="K468" s="37"/>
      <c r="L468" s="51"/>
      <c r="M468" s="51"/>
    </row>
    <row r="469" spans="11:13" x14ac:dyDescent="0.2">
      <c r="K469" s="37"/>
      <c r="L469" s="51"/>
      <c r="M469" s="51"/>
    </row>
    <row r="470" spans="11:13" x14ac:dyDescent="0.2">
      <c r="K470" s="37"/>
      <c r="L470" s="51"/>
      <c r="M470" s="51"/>
    </row>
    <row r="471" spans="11:13" x14ac:dyDescent="0.2">
      <c r="K471" s="37"/>
      <c r="L471" s="51"/>
      <c r="M471" s="51"/>
    </row>
    <row r="472" spans="11:13" x14ac:dyDescent="0.2">
      <c r="K472" s="37"/>
      <c r="L472" s="51"/>
      <c r="M472" s="51"/>
    </row>
    <row r="473" spans="11:13" x14ac:dyDescent="0.2">
      <c r="K473" s="37"/>
      <c r="L473" s="51"/>
      <c r="M473" s="51"/>
    </row>
    <row r="474" spans="11:13" x14ac:dyDescent="0.2">
      <c r="K474" s="37"/>
      <c r="L474" s="51"/>
      <c r="M474" s="51"/>
    </row>
    <row r="475" spans="11:13" x14ac:dyDescent="0.2">
      <c r="K475" s="37"/>
      <c r="L475" s="51"/>
      <c r="M475" s="51"/>
    </row>
    <row r="476" spans="11:13" x14ac:dyDescent="0.2">
      <c r="K476" s="37"/>
      <c r="L476" s="51"/>
      <c r="M476" s="51"/>
    </row>
    <row r="477" spans="11:13" x14ac:dyDescent="0.2">
      <c r="K477" s="37"/>
      <c r="L477" s="51"/>
      <c r="M477" s="51"/>
    </row>
    <row r="478" spans="11:13" x14ac:dyDescent="0.2">
      <c r="K478" s="37"/>
      <c r="L478" s="51"/>
      <c r="M478" s="51"/>
    </row>
    <row r="479" spans="11:13" x14ac:dyDescent="0.2">
      <c r="K479" s="37"/>
      <c r="L479" s="51"/>
      <c r="M479" s="51"/>
    </row>
    <row r="480" spans="11:13" x14ac:dyDescent="0.2">
      <c r="K480" s="37"/>
      <c r="L480" s="51"/>
      <c r="M480" s="51"/>
    </row>
    <row r="481" spans="11:13" x14ac:dyDescent="0.2">
      <c r="K481" s="37"/>
      <c r="L481" s="51"/>
      <c r="M481" s="51"/>
    </row>
    <row r="482" spans="11:13" x14ac:dyDescent="0.2">
      <c r="K482" s="37"/>
      <c r="L482" s="51"/>
      <c r="M482" s="51"/>
    </row>
    <row r="483" spans="11:13" x14ac:dyDescent="0.2">
      <c r="K483" s="37"/>
      <c r="L483" s="51"/>
      <c r="M483" s="51"/>
    </row>
    <row r="484" spans="11:13" x14ac:dyDescent="0.2">
      <c r="K484" s="37"/>
      <c r="L484" s="51"/>
      <c r="M484" s="51"/>
    </row>
    <row r="485" spans="11:13" x14ac:dyDescent="0.2">
      <c r="K485" s="37"/>
      <c r="L485" s="51"/>
      <c r="M485" s="51"/>
    </row>
    <row r="486" spans="11:13" x14ac:dyDescent="0.2">
      <c r="K486" s="37"/>
      <c r="L486" s="51"/>
      <c r="M486" s="51"/>
    </row>
    <row r="487" spans="11:13" x14ac:dyDescent="0.2">
      <c r="K487" s="37"/>
      <c r="L487" s="51"/>
      <c r="M487" s="51"/>
    </row>
    <row r="488" spans="11:13" x14ac:dyDescent="0.2">
      <c r="K488" s="37"/>
      <c r="L488" s="51"/>
      <c r="M488" s="51"/>
    </row>
    <row r="489" spans="11:13" x14ac:dyDescent="0.2">
      <c r="K489" s="37"/>
      <c r="L489" s="51"/>
      <c r="M489" s="51"/>
    </row>
    <row r="490" spans="11:13" x14ac:dyDescent="0.2">
      <c r="K490" s="37"/>
      <c r="L490" s="51"/>
      <c r="M490" s="51"/>
    </row>
    <row r="491" spans="11:13" x14ac:dyDescent="0.2">
      <c r="K491" s="37"/>
      <c r="L491" s="51"/>
      <c r="M491" s="51"/>
    </row>
    <row r="492" spans="11:13" x14ac:dyDescent="0.2">
      <c r="K492" s="37"/>
      <c r="L492" s="51"/>
      <c r="M492" s="51"/>
    </row>
    <row r="493" spans="11:13" x14ac:dyDescent="0.2">
      <c r="K493" s="37"/>
      <c r="L493" s="51"/>
      <c r="M493" s="51"/>
    </row>
    <row r="494" spans="11:13" x14ac:dyDescent="0.2">
      <c r="K494" s="37"/>
      <c r="L494" s="51"/>
      <c r="M494" s="51"/>
    </row>
    <row r="495" spans="11:13" x14ac:dyDescent="0.2">
      <c r="K495" s="37"/>
      <c r="L495" s="51"/>
      <c r="M495" s="51"/>
    </row>
    <row r="496" spans="11:13" x14ac:dyDescent="0.2">
      <c r="K496" s="37"/>
      <c r="L496" s="51"/>
      <c r="M496" s="51"/>
    </row>
    <row r="497" spans="11:13" x14ac:dyDescent="0.2">
      <c r="K497" s="37"/>
      <c r="L497" s="51"/>
      <c r="M497" s="51"/>
    </row>
    <row r="498" spans="11:13" x14ac:dyDescent="0.2">
      <c r="K498" s="37"/>
      <c r="L498" s="51"/>
      <c r="M498" s="51"/>
    </row>
    <row r="499" spans="11:13" x14ac:dyDescent="0.2">
      <c r="K499" s="37"/>
      <c r="L499" s="51"/>
      <c r="M499" s="51"/>
    </row>
    <row r="500" spans="11:13" x14ac:dyDescent="0.2">
      <c r="K500" s="37"/>
      <c r="L500" s="51"/>
      <c r="M500" s="51"/>
    </row>
    <row r="501" spans="11:13" x14ac:dyDescent="0.2">
      <c r="K501" s="37"/>
      <c r="L501" s="51"/>
      <c r="M501" s="51"/>
    </row>
    <row r="502" spans="11:13" x14ac:dyDescent="0.2">
      <c r="K502" s="37"/>
      <c r="L502" s="51"/>
      <c r="M502" s="51"/>
    </row>
    <row r="503" spans="11:13" x14ac:dyDescent="0.2">
      <c r="K503" s="37"/>
      <c r="L503" s="51"/>
      <c r="M503" s="51"/>
    </row>
    <row r="504" spans="11:13" x14ac:dyDescent="0.2">
      <c r="K504" s="37"/>
      <c r="L504" s="51"/>
      <c r="M504" s="51"/>
    </row>
    <row r="505" spans="11:13" x14ac:dyDescent="0.2">
      <c r="K505" s="37"/>
      <c r="L505" s="51"/>
      <c r="M505" s="51"/>
    </row>
    <row r="506" spans="11:13" x14ac:dyDescent="0.2">
      <c r="K506" s="37"/>
      <c r="L506" s="51"/>
      <c r="M506" s="51"/>
    </row>
    <row r="507" spans="11:13" x14ac:dyDescent="0.2">
      <c r="K507" s="37"/>
      <c r="L507" s="51"/>
      <c r="M507" s="51"/>
    </row>
    <row r="508" spans="11:13" x14ac:dyDescent="0.2">
      <c r="K508" s="37"/>
      <c r="L508" s="51"/>
      <c r="M508" s="51"/>
    </row>
    <row r="509" spans="11:13" x14ac:dyDescent="0.2">
      <c r="K509" s="37"/>
      <c r="L509" s="51"/>
      <c r="M509" s="51"/>
    </row>
    <row r="510" spans="11:13" x14ac:dyDescent="0.2">
      <c r="K510" s="37"/>
      <c r="L510" s="51"/>
      <c r="M510" s="51"/>
    </row>
    <row r="511" spans="11:13" x14ac:dyDescent="0.2">
      <c r="K511" s="37"/>
      <c r="L511" s="51"/>
      <c r="M511" s="51"/>
    </row>
    <row r="512" spans="11:13" x14ac:dyDescent="0.2">
      <c r="K512" s="37"/>
      <c r="L512" s="51"/>
      <c r="M512" s="51"/>
    </row>
    <row r="513" spans="11:13" x14ac:dyDescent="0.2">
      <c r="K513" s="37"/>
      <c r="L513" s="51"/>
      <c r="M513" s="51"/>
    </row>
    <row r="514" spans="11:13" x14ac:dyDescent="0.2">
      <c r="K514" s="37"/>
      <c r="L514" s="51"/>
      <c r="M514" s="51"/>
    </row>
    <row r="515" spans="11:13" x14ac:dyDescent="0.2">
      <c r="K515" s="37"/>
      <c r="L515" s="51"/>
      <c r="M515" s="51"/>
    </row>
    <row r="516" spans="11:13" x14ac:dyDescent="0.2">
      <c r="K516" s="37"/>
      <c r="L516" s="51"/>
      <c r="M516" s="51"/>
    </row>
    <row r="517" spans="11:13" x14ac:dyDescent="0.2">
      <c r="K517" s="37"/>
      <c r="L517" s="51"/>
      <c r="M517" s="51"/>
    </row>
    <row r="518" spans="11:13" x14ac:dyDescent="0.2">
      <c r="K518" s="37"/>
      <c r="L518" s="51"/>
      <c r="M518" s="51"/>
    </row>
    <row r="519" spans="11:13" x14ac:dyDescent="0.2">
      <c r="K519" s="37"/>
      <c r="L519" s="51"/>
      <c r="M519" s="51"/>
    </row>
    <row r="520" spans="11:13" x14ac:dyDescent="0.2">
      <c r="K520" s="37"/>
      <c r="L520" s="51"/>
      <c r="M520" s="51"/>
    </row>
    <row r="521" spans="11:13" x14ac:dyDescent="0.2">
      <c r="K521" s="37"/>
      <c r="L521" s="51"/>
      <c r="M521" s="51"/>
    </row>
    <row r="522" spans="11:13" x14ac:dyDescent="0.2">
      <c r="K522" s="37"/>
      <c r="L522" s="51"/>
      <c r="M522" s="51"/>
    </row>
    <row r="523" spans="11:13" x14ac:dyDescent="0.2">
      <c r="K523" s="37"/>
      <c r="L523" s="51"/>
      <c r="M523" s="51"/>
    </row>
    <row r="524" spans="11:13" x14ac:dyDescent="0.2">
      <c r="K524" s="37"/>
      <c r="L524" s="51"/>
      <c r="M524" s="51"/>
    </row>
    <row r="525" spans="11:13" x14ac:dyDescent="0.2">
      <c r="K525" s="37"/>
      <c r="L525" s="51"/>
      <c r="M525" s="51"/>
    </row>
    <row r="526" spans="11:13" x14ac:dyDescent="0.2">
      <c r="K526" s="37"/>
      <c r="L526" s="51"/>
      <c r="M526" s="51"/>
    </row>
    <row r="527" spans="11:13" x14ac:dyDescent="0.2">
      <c r="K527" s="37"/>
      <c r="L527" s="51"/>
      <c r="M527" s="51"/>
    </row>
    <row r="528" spans="11:13" x14ac:dyDescent="0.2">
      <c r="K528" s="37"/>
      <c r="L528" s="51"/>
      <c r="M528" s="51"/>
    </row>
    <row r="529" spans="11:13" x14ac:dyDescent="0.2">
      <c r="K529" s="37"/>
      <c r="L529" s="51"/>
      <c r="M529" s="51"/>
    </row>
    <row r="530" spans="11:13" x14ac:dyDescent="0.2">
      <c r="K530" s="37"/>
      <c r="L530" s="51"/>
      <c r="M530" s="51"/>
    </row>
    <row r="531" spans="11:13" x14ac:dyDescent="0.2">
      <c r="K531" s="37"/>
      <c r="L531" s="51"/>
      <c r="M531" s="51"/>
    </row>
    <row r="532" spans="11:13" x14ac:dyDescent="0.2">
      <c r="K532" s="37"/>
      <c r="L532" s="51"/>
      <c r="M532" s="51"/>
    </row>
    <row r="533" spans="11:13" x14ac:dyDescent="0.2">
      <c r="K533" s="37"/>
      <c r="L533" s="51"/>
      <c r="M533" s="51"/>
    </row>
    <row r="534" spans="11:13" x14ac:dyDescent="0.2">
      <c r="K534" s="37"/>
      <c r="L534" s="51"/>
      <c r="M534" s="51"/>
    </row>
    <row r="535" spans="11:13" x14ac:dyDescent="0.2">
      <c r="K535" s="37"/>
      <c r="L535" s="51"/>
      <c r="M535" s="51"/>
    </row>
    <row r="536" spans="11:13" x14ac:dyDescent="0.2">
      <c r="K536" s="37"/>
      <c r="L536" s="51"/>
      <c r="M536" s="51"/>
    </row>
    <row r="537" spans="11:13" x14ac:dyDescent="0.2">
      <c r="K537" s="37"/>
      <c r="L537" s="51"/>
      <c r="M537" s="51"/>
    </row>
    <row r="538" spans="11:13" x14ac:dyDescent="0.2">
      <c r="K538" s="37"/>
      <c r="L538" s="51"/>
      <c r="M538" s="51"/>
    </row>
    <row r="539" spans="11:13" x14ac:dyDescent="0.2">
      <c r="K539" s="37"/>
      <c r="L539" s="51"/>
      <c r="M539" s="51"/>
    </row>
    <row r="540" spans="11:13" x14ac:dyDescent="0.2">
      <c r="K540" s="37"/>
      <c r="L540" s="51"/>
      <c r="M540" s="51"/>
    </row>
    <row r="541" spans="11:13" x14ac:dyDescent="0.2">
      <c r="K541" s="37"/>
      <c r="L541" s="51"/>
      <c r="M541" s="51"/>
    </row>
    <row r="542" spans="11:13" x14ac:dyDescent="0.2">
      <c r="K542" s="37"/>
      <c r="L542" s="51"/>
      <c r="M542" s="51"/>
    </row>
    <row r="543" spans="11:13" x14ac:dyDescent="0.2">
      <c r="K543" s="37"/>
      <c r="L543" s="51"/>
      <c r="M543" s="51"/>
    </row>
    <row r="544" spans="11:13" x14ac:dyDescent="0.2">
      <c r="K544" s="37"/>
      <c r="L544" s="51"/>
      <c r="M544" s="51"/>
    </row>
    <row r="545" spans="11:13" x14ac:dyDescent="0.2">
      <c r="K545" s="37"/>
      <c r="L545" s="51"/>
      <c r="M545" s="51"/>
    </row>
    <row r="546" spans="11:13" x14ac:dyDescent="0.2">
      <c r="K546" s="37"/>
      <c r="L546" s="51"/>
      <c r="M546" s="51"/>
    </row>
    <row r="547" spans="11:13" x14ac:dyDescent="0.2">
      <c r="K547" s="37"/>
      <c r="L547" s="51"/>
      <c r="M547" s="51"/>
    </row>
    <row r="548" spans="11:13" x14ac:dyDescent="0.2">
      <c r="K548" s="37"/>
      <c r="L548" s="51"/>
      <c r="M548" s="51"/>
    </row>
    <row r="549" spans="11:13" x14ac:dyDescent="0.2">
      <c r="K549" s="37"/>
      <c r="L549" s="51"/>
      <c r="M549" s="51"/>
    </row>
    <row r="550" spans="11:13" x14ac:dyDescent="0.2">
      <c r="K550" s="37"/>
      <c r="L550" s="51"/>
      <c r="M550" s="51"/>
    </row>
    <row r="551" spans="11:13" x14ac:dyDescent="0.2">
      <c r="K551" s="37"/>
      <c r="L551" s="51"/>
      <c r="M551" s="51"/>
    </row>
    <row r="552" spans="11:13" x14ac:dyDescent="0.2">
      <c r="K552" s="37"/>
      <c r="L552" s="51"/>
      <c r="M552" s="51"/>
    </row>
    <row r="553" spans="11:13" x14ac:dyDescent="0.2">
      <c r="K553" s="37"/>
      <c r="L553" s="51"/>
      <c r="M553" s="51"/>
    </row>
    <row r="554" spans="11:13" x14ac:dyDescent="0.2">
      <c r="K554" s="37"/>
      <c r="L554" s="51"/>
      <c r="M554" s="51"/>
    </row>
    <row r="555" spans="11:13" x14ac:dyDescent="0.2">
      <c r="K555" s="37"/>
      <c r="L555" s="51"/>
      <c r="M555" s="51"/>
    </row>
    <row r="556" spans="11:13" x14ac:dyDescent="0.2">
      <c r="K556" s="37"/>
      <c r="L556" s="51"/>
      <c r="M556" s="51"/>
    </row>
    <row r="557" spans="11:13" x14ac:dyDescent="0.2">
      <c r="K557" s="37"/>
      <c r="L557" s="51"/>
      <c r="M557" s="51"/>
    </row>
    <row r="558" spans="11:13" x14ac:dyDescent="0.2">
      <c r="K558" s="37"/>
      <c r="L558" s="51"/>
      <c r="M558" s="51"/>
    </row>
    <row r="559" spans="11:13" x14ac:dyDescent="0.2">
      <c r="K559" s="37"/>
      <c r="L559" s="51"/>
      <c r="M559" s="51"/>
    </row>
    <row r="560" spans="11:13" x14ac:dyDescent="0.2">
      <c r="K560" s="37"/>
      <c r="L560" s="51"/>
      <c r="M560" s="51"/>
    </row>
    <row r="561" spans="11:13" x14ac:dyDescent="0.2">
      <c r="K561" s="37"/>
      <c r="L561" s="51"/>
      <c r="M561" s="51"/>
    </row>
    <row r="562" spans="11:13" x14ac:dyDescent="0.2">
      <c r="K562" s="37"/>
      <c r="L562" s="51"/>
      <c r="M562" s="51"/>
    </row>
    <row r="563" spans="11:13" x14ac:dyDescent="0.2">
      <c r="K563" s="37"/>
      <c r="L563" s="51"/>
      <c r="M563" s="51"/>
    </row>
    <row r="564" spans="11:13" x14ac:dyDescent="0.2">
      <c r="K564" s="37"/>
      <c r="L564" s="51"/>
      <c r="M564" s="51"/>
    </row>
    <row r="565" spans="11:13" x14ac:dyDescent="0.2">
      <c r="K565" s="37"/>
      <c r="L565" s="51"/>
      <c r="M565" s="51"/>
    </row>
    <row r="566" spans="11:13" x14ac:dyDescent="0.2">
      <c r="K566" s="37"/>
      <c r="L566" s="51"/>
      <c r="M566" s="51"/>
    </row>
    <row r="567" spans="11:13" x14ac:dyDescent="0.2">
      <c r="K567" s="37"/>
      <c r="L567" s="51"/>
      <c r="M567" s="51"/>
    </row>
    <row r="568" spans="11:13" x14ac:dyDescent="0.2">
      <c r="K568" s="37"/>
      <c r="L568" s="51"/>
      <c r="M568" s="51"/>
    </row>
    <row r="569" spans="11:13" x14ac:dyDescent="0.2">
      <c r="K569" s="37"/>
      <c r="L569" s="51"/>
      <c r="M569" s="51"/>
    </row>
    <row r="570" spans="11:13" x14ac:dyDescent="0.2">
      <c r="K570" s="37"/>
      <c r="L570" s="51"/>
      <c r="M570" s="51"/>
    </row>
    <row r="571" spans="11:13" x14ac:dyDescent="0.2">
      <c r="K571" s="37"/>
      <c r="L571" s="51"/>
      <c r="M571" s="51"/>
    </row>
    <row r="572" spans="11:13" x14ac:dyDescent="0.2">
      <c r="K572" s="37"/>
      <c r="L572" s="51"/>
      <c r="M572" s="51"/>
    </row>
    <row r="573" spans="11:13" x14ac:dyDescent="0.2">
      <c r="K573" s="37"/>
      <c r="L573" s="51"/>
      <c r="M573" s="51"/>
    </row>
    <row r="574" spans="11:13" x14ac:dyDescent="0.2">
      <c r="K574" s="37"/>
      <c r="L574" s="51"/>
      <c r="M574" s="51"/>
    </row>
    <row r="575" spans="11:13" x14ac:dyDescent="0.2">
      <c r="K575" s="37"/>
      <c r="L575" s="51"/>
      <c r="M575" s="51"/>
    </row>
    <row r="576" spans="11:13" x14ac:dyDescent="0.2">
      <c r="K576" s="37"/>
      <c r="L576" s="51"/>
      <c r="M576" s="51"/>
    </row>
    <row r="577" spans="11:13" x14ac:dyDescent="0.2">
      <c r="K577" s="37"/>
      <c r="L577" s="51"/>
      <c r="M577" s="51"/>
    </row>
    <row r="578" spans="11:13" x14ac:dyDescent="0.2">
      <c r="K578" s="37"/>
      <c r="L578" s="51"/>
      <c r="M578" s="51"/>
    </row>
    <row r="579" spans="11:13" x14ac:dyDescent="0.2">
      <c r="K579" s="37"/>
      <c r="L579" s="51"/>
      <c r="M579" s="51"/>
    </row>
    <row r="580" spans="11:13" x14ac:dyDescent="0.2">
      <c r="K580" s="37"/>
      <c r="L580" s="51"/>
      <c r="M580" s="51"/>
    </row>
    <row r="581" spans="11:13" x14ac:dyDescent="0.2">
      <c r="K581" s="37"/>
      <c r="L581" s="51"/>
      <c r="M581" s="51"/>
    </row>
    <row r="582" spans="11:13" x14ac:dyDescent="0.2">
      <c r="K582" s="37"/>
      <c r="L582" s="51"/>
      <c r="M582" s="51"/>
    </row>
    <row r="583" spans="11:13" x14ac:dyDescent="0.2">
      <c r="K583" s="37"/>
      <c r="L583" s="51"/>
      <c r="M583" s="51"/>
    </row>
    <row r="584" spans="11:13" x14ac:dyDescent="0.2">
      <c r="K584" s="37"/>
      <c r="L584" s="51"/>
      <c r="M584" s="51"/>
    </row>
    <row r="585" spans="11:13" x14ac:dyDescent="0.2">
      <c r="K585" s="37"/>
      <c r="L585" s="51"/>
      <c r="M585" s="51"/>
    </row>
    <row r="586" spans="11:13" x14ac:dyDescent="0.2">
      <c r="K586" s="37"/>
      <c r="L586" s="51"/>
      <c r="M586" s="51"/>
    </row>
    <row r="587" spans="11:13" x14ac:dyDescent="0.2">
      <c r="K587" s="37"/>
      <c r="L587" s="51"/>
      <c r="M587" s="51"/>
    </row>
    <row r="588" spans="11:13" x14ac:dyDescent="0.2">
      <c r="K588" s="37"/>
      <c r="L588" s="51"/>
      <c r="M588" s="51"/>
    </row>
    <row r="589" spans="11:13" x14ac:dyDescent="0.2">
      <c r="K589" s="37"/>
      <c r="L589" s="51"/>
      <c r="M589" s="51"/>
    </row>
    <row r="590" spans="11:13" x14ac:dyDescent="0.2">
      <c r="K590" s="37"/>
      <c r="L590" s="51"/>
      <c r="M590" s="51"/>
    </row>
    <row r="591" spans="11:13" x14ac:dyDescent="0.2">
      <c r="K591" s="37"/>
      <c r="L591" s="51"/>
      <c r="M591" s="51"/>
    </row>
    <row r="592" spans="11:13" x14ac:dyDescent="0.2">
      <c r="K592" s="37"/>
      <c r="L592" s="51"/>
      <c r="M592" s="51"/>
    </row>
    <row r="593" spans="11:13" x14ac:dyDescent="0.2">
      <c r="K593" s="37"/>
      <c r="L593" s="51"/>
      <c r="M593" s="51"/>
    </row>
    <row r="594" spans="11:13" x14ac:dyDescent="0.2">
      <c r="K594" s="37"/>
      <c r="L594" s="51"/>
      <c r="M594" s="51"/>
    </row>
    <row r="595" spans="11:13" x14ac:dyDescent="0.2">
      <c r="K595" s="37"/>
      <c r="L595" s="51"/>
      <c r="M595" s="51"/>
    </row>
    <row r="596" spans="11:13" x14ac:dyDescent="0.2">
      <c r="K596" s="37"/>
      <c r="L596" s="51"/>
      <c r="M596" s="51"/>
    </row>
    <row r="597" spans="11:13" x14ac:dyDescent="0.2">
      <c r="K597" s="37"/>
      <c r="L597" s="51"/>
      <c r="M597" s="51"/>
    </row>
    <row r="598" spans="11:13" x14ac:dyDescent="0.2">
      <c r="K598" s="37"/>
      <c r="L598" s="51"/>
      <c r="M598" s="51"/>
    </row>
    <row r="599" spans="11:13" x14ac:dyDescent="0.2">
      <c r="K599" s="37"/>
      <c r="L599" s="51"/>
      <c r="M599" s="51"/>
    </row>
    <row r="600" spans="11:13" x14ac:dyDescent="0.2">
      <c r="K600" s="37"/>
      <c r="L600" s="51"/>
      <c r="M600" s="51"/>
    </row>
    <row r="601" spans="11:13" x14ac:dyDescent="0.2">
      <c r="K601" s="37"/>
      <c r="L601" s="51"/>
      <c r="M601" s="51"/>
    </row>
    <row r="602" spans="11:13" x14ac:dyDescent="0.2">
      <c r="K602" s="37"/>
      <c r="L602" s="51"/>
      <c r="M602" s="51"/>
    </row>
    <row r="603" spans="11:13" x14ac:dyDescent="0.2">
      <c r="K603" s="37"/>
      <c r="L603" s="51"/>
      <c r="M603" s="51"/>
    </row>
    <row r="604" spans="11:13" x14ac:dyDescent="0.2">
      <c r="K604" s="37"/>
      <c r="L604" s="51"/>
      <c r="M604" s="51"/>
    </row>
    <row r="605" spans="11:13" x14ac:dyDescent="0.2">
      <c r="K605" s="37"/>
      <c r="L605" s="51"/>
      <c r="M605" s="51"/>
    </row>
    <row r="606" spans="11:13" x14ac:dyDescent="0.2">
      <c r="K606" s="37"/>
      <c r="L606" s="51"/>
      <c r="M606" s="51"/>
    </row>
    <row r="607" spans="11:13" x14ac:dyDescent="0.2">
      <c r="K607" s="37"/>
      <c r="L607" s="51"/>
      <c r="M607" s="51"/>
    </row>
    <row r="608" spans="11:13" x14ac:dyDescent="0.2">
      <c r="K608" s="37"/>
      <c r="L608" s="51"/>
      <c r="M608" s="51"/>
    </row>
    <row r="609" spans="11:13" x14ac:dyDescent="0.2">
      <c r="K609" s="37"/>
      <c r="L609" s="51"/>
      <c r="M609" s="51"/>
    </row>
    <row r="610" spans="11:13" x14ac:dyDescent="0.2">
      <c r="K610" s="37"/>
      <c r="L610" s="51"/>
      <c r="M610" s="51"/>
    </row>
    <row r="611" spans="11:13" x14ac:dyDescent="0.2">
      <c r="K611" s="37"/>
      <c r="L611" s="51"/>
      <c r="M611" s="51"/>
    </row>
    <row r="612" spans="11:13" x14ac:dyDescent="0.2">
      <c r="K612" s="37"/>
      <c r="L612" s="51"/>
      <c r="M612" s="51"/>
    </row>
    <row r="613" spans="11:13" x14ac:dyDescent="0.2">
      <c r="K613" s="37"/>
      <c r="L613" s="51"/>
      <c r="M613" s="51"/>
    </row>
    <row r="614" spans="11:13" x14ac:dyDescent="0.2">
      <c r="K614" s="37"/>
      <c r="L614" s="51"/>
      <c r="M614" s="51"/>
    </row>
    <row r="615" spans="11:13" x14ac:dyDescent="0.2">
      <c r="K615" s="37"/>
      <c r="L615" s="51"/>
      <c r="M615" s="51"/>
    </row>
    <row r="616" spans="11:13" x14ac:dyDescent="0.2">
      <c r="K616" s="37"/>
      <c r="L616" s="51"/>
      <c r="M616" s="51"/>
    </row>
    <row r="617" spans="11:13" x14ac:dyDescent="0.2">
      <c r="K617" s="37"/>
      <c r="L617" s="51"/>
      <c r="M617" s="51"/>
    </row>
    <row r="618" spans="11:13" x14ac:dyDescent="0.2">
      <c r="K618" s="37"/>
      <c r="L618" s="51"/>
      <c r="M618" s="51"/>
    </row>
    <row r="619" spans="11:13" x14ac:dyDescent="0.2">
      <c r="K619" s="37"/>
      <c r="L619" s="51"/>
      <c r="M619" s="51"/>
    </row>
    <row r="620" spans="11:13" x14ac:dyDescent="0.2">
      <c r="K620" s="37"/>
      <c r="L620" s="51"/>
      <c r="M620" s="51"/>
    </row>
    <row r="621" spans="11:13" x14ac:dyDescent="0.2">
      <c r="K621" s="37"/>
      <c r="L621" s="51"/>
      <c r="M621" s="51"/>
    </row>
    <row r="622" spans="11:13" x14ac:dyDescent="0.2">
      <c r="K622" s="37"/>
      <c r="L622" s="51"/>
      <c r="M622" s="51"/>
    </row>
    <row r="623" spans="11:13" x14ac:dyDescent="0.2">
      <c r="K623" s="37"/>
      <c r="L623" s="51"/>
      <c r="M623" s="51"/>
    </row>
    <row r="624" spans="11:13" x14ac:dyDescent="0.2">
      <c r="K624" s="37"/>
      <c r="L624" s="51"/>
      <c r="M624" s="51"/>
    </row>
    <row r="625" spans="11:13" x14ac:dyDescent="0.2">
      <c r="K625" s="37"/>
      <c r="L625" s="51"/>
      <c r="M625" s="51"/>
    </row>
    <row r="626" spans="11:13" x14ac:dyDescent="0.2">
      <c r="K626" s="37"/>
      <c r="L626" s="51"/>
      <c r="M626" s="51"/>
    </row>
    <row r="627" spans="11:13" x14ac:dyDescent="0.2">
      <c r="K627" s="37"/>
      <c r="L627" s="51"/>
      <c r="M627" s="51"/>
    </row>
    <row r="628" spans="11:13" x14ac:dyDescent="0.2">
      <c r="K628" s="37"/>
      <c r="L628" s="51"/>
      <c r="M628" s="51"/>
    </row>
    <row r="629" spans="11:13" x14ac:dyDescent="0.2">
      <c r="K629" s="37"/>
      <c r="L629" s="51"/>
      <c r="M629" s="51"/>
    </row>
    <row r="630" spans="11:13" x14ac:dyDescent="0.2">
      <c r="K630" s="37"/>
      <c r="L630" s="51"/>
      <c r="M630" s="51"/>
    </row>
    <row r="631" spans="11:13" x14ac:dyDescent="0.2">
      <c r="K631" s="37"/>
      <c r="L631" s="51"/>
      <c r="M631" s="51"/>
    </row>
    <row r="632" spans="11:13" x14ac:dyDescent="0.2">
      <c r="K632" s="37"/>
      <c r="L632" s="51"/>
      <c r="M632" s="51"/>
    </row>
    <row r="633" spans="11:13" x14ac:dyDescent="0.2">
      <c r="K633" s="37"/>
      <c r="L633" s="51"/>
      <c r="M633" s="51"/>
    </row>
    <row r="634" spans="11:13" x14ac:dyDescent="0.2">
      <c r="K634" s="37"/>
      <c r="L634" s="51"/>
      <c r="M634" s="51"/>
    </row>
    <row r="635" spans="11:13" x14ac:dyDescent="0.2">
      <c r="K635" s="37"/>
      <c r="L635" s="51"/>
      <c r="M635" s="51"/>
    </row>
    <row r="636" spans="11:13" x14ac:dyDescent="0.2">
      <c r="K636" s="37"/>
      <c r="L636" s="51"/>
      <c r="M636" s="51"/>
    </row>
    <row r="637" spans="11:13" x14ac:dyDescent="0.2">
      <c r="K637" s="37"/>
      <c r="L637" s="51"/>
      <c r="M637" s="51"/>
    </row>
    <row r="638" spans="11:13" x14ac:dyDescent="0.2">
      <c r="K638" s="37"/>
      <c r="L638" s="51"/>
      <c r="M638" s="51"/>
    </row>
    <row r="639" spans="11:13" x14ac:dyDescent="0.2">
      <c r="K639" s="37"/>
      <c r="L639" s="51"/>
      <c r="M639" s="51"/>
    </row>
    <row r="640" spans="11:13" x14ac:dyDescent="0.2">
      <c r="K640" s="37"/>
      <c r="L640" s="51"/>
      <c r="M640" s="51"/>
    </row>
    <row r="641" spans="11:13" x14ac:dyDescent="0.2">
      <c r="K641" s="37"/>
      <c r="L641" s="51"/>
      <c r="M641" s="51"/>
    </row>
    <row r="642" spans="11:13" x14ac:dyDescent="0.2">
      <c r="K642" s="37"/>
      <c r="L642" s="51"/>
      <c r="M642" s="51"/>
    </row>
    <row r="643" spans="11:13" x14ac:dyDescent="0.2">
      <c r="K643" s="37"/>
      <c r="L643" s="51"/>
      <c r="M643" s="51"/>
    </row>
    <row r="644" spans="11:13" x14ac:dyDescent="0.2">
      <c r="K644" s="37"/>
      <c r="L644" s="51"/>
      <c r="M644" s="51"/>
    </row>
    <row r="645" spans="11:13" x14ac:dyDescent="0.2">
      <c r="K645" s="37"/>
      <c r="L645" s="51"/>
      <c r="M645" s="51"/>
    </row>
    <row r="646" spans="11:13" x14ac:dyDescent="0.2">
      <c r="K646" s="37"/>
      <c r="L646" s="51"/>
      <c r="M646" s="51"/>
    </row>
    <row r="647" spans="11:13" x14ac:dyDescent="0.2">
      <c r="K647" s="37"/>
      <c r="L647" s="51"/>
      <c r="M647" s="51"/>
    </row>
    <row r="648" spans="11:13" x14ac:dyDescent="0.2">
      <c r="K648" s="37"/>
      <c r="L648" s="51"/>
      <c r="M648" s="51"/>
    </row>
    <row r="649" spans="11:13" x14ac:dyDescent="0.2">
      <c r="K649" s="37"/>
      <c r="L649" s="51"/>
      <c r="M649" s="51"/>
    </row>
    <row r="650" spans="11:13" x14ac:dyDescent="0.2">
      <c r="K650" s="37"/>
      <c r="L650" s="51"/>
      <c r="M650" s="51"/>
    </row>
    <row r="651" spans="11:13" x14ac:dyDescent="0.2">
      <c r="K651" s="37"/>
      <c r="L651" s="51"/>
      <c r="M651" s="51"/>
    </row>
    <row r="652" spans="11:13" x14ac:dyDescent="0.2">
      <c r="K652" s="37"/>
      <c r="L652" s="51"/>
      <c r="M652" s="51"/>
    </row>
    <row r="653" spans="11:13" x14ac:dyDescent="0.2">
      <c r="K653" s="37"/>
      <c r="L653" s="51"/>
      <c r="M653" s="51"/>
    </row>
    <row r="654" spans="11:13" x14ac:dyDescent="0.2">
      <c r="K654" s="37"/>
      <c r="L654" s="51"/>
      <c r="M654" s="51"/>
    </row>
    <row r="655" spans="11:13" x14ac:dyDescent="0.2">
      <c r="K655" s="37"/>
      <c r="L655" s="51"/>
      <c r="M655" s="51"/>
    </row>
    <row r="656" spans="11:13" x14ac:dyDescent="0.2">
      <c r="K656" s="37"/>
      <c r="L656" s="51"/>
      <c r="M656" s="51"/>
    </row>
    <row r="657" spans="11:13" x14ac:dyDescent="0.2">
      <c r="K657" s="37"/>
      <c r="L657" s="51"/>
      <c r="M657" s="51"/>
    </row>
    <row r="658" spans="11:13" x14ac:dyDescent="0.2">
      <c r="K658" s="37"/>
      <c r="L658" s="51"/>
      <c r="M658" s="51"/>
    </row>
    <row r="659" spans="11:13" x14ac:dyDescent="0.2">
      <c r="K659" s="37"/>
      <c r="L659" s="51"/>
      <c r="M659" s="51"/>
    </row>
    <row r="660" spans="11:13" x14ac:dyDescent="0.2">
      <c r="K660" s="37"/>
      <c r="L660" s="51"/>
      <c r="M660" s="51"/>
    </row>
    <row r="661" spans="11:13" x14ac:dyDescent="0.2">
      <c r="K661" s="37"/>
      <c r="L661" s="51"/>
      <c r="M661" s="51"/>
    </row>
    <row r="662" spans="11:13" x14ac:dyDescent="0.2">
      <c r="K662" s="37"/>
      <c r="L662" s="51"/>
      <c r="M662" s="51"/>
    </row>
    <row r="663" spans="11:13" x14ac:dyDescent="0.2">
      <c r="K663" s="37"/>
      <c r="L663" s="51"/>
      <c r="M663" s="51"/>
    </row>
    <row r="664" spans="11:13" x14ac:dyDescent="0.2">
      <c r="K664" s="37"/>
      <c r="L664" s="51"/>
      <c r="M664" s="51"/>
    </row>
    <row r="665" spans="11:13" x14ac:dyDescent="0.2">
      <c r="K665" s="37"/>
      <c r="L665" s="51"/>
      <c r="M665" s="51"/>
    </row>
    <row r="666" spans="11:13" x14ac:dyDescent="0.2">
      <c r="K666" s="37"/>
      <c r="L666" s="51"/>
      <c r="M666" s="51"/>
    </row>
    <row r="667" spans="11:13" x14ac:dyDescent="0.2">
      <c r="K667" s="37"/>
      <c r="L667" s="51"/>
      <c r="M667" s="51"/>
    </row>
    <row r="668" spans="11:13" x14ac:dyDescent="0.2">
      <c r="K668" s="37"/>
      <c r="L668" s="51"/>
      <c r="M668" s="51"/>
    </row>
    <row r="669" spans="11:13" x14ac:dyDescent="0.2">
      <c r="K669" s="37"/>
      <c r="L669" s="51"/>
      <c r="M669" s="51"/>
    </row>
    <row r="670" spans="11:13" x14ac:dyDescent="0.2">
      <c r="K670" s="37"/>
      <c r="L670" s="51"/>
      <c r="M670" s="51"/>
    </row>
    <row r="671" spans="11:13" x14ac:dyDescent="0.2">
      <c r="K671" s="37"/>
      <c r="L671" s="51"/>
      <c r="M671" s="51"/>
    </row>
    <row r="672" spans="11:13" x14ac:dyDescent="0.2">
      <c r="K672" s="37"/>
      <c r="L672" s="51"/>
      <c r="M672" s="51"/>
    </row>
    <row r="673" spans="11:13" x14ac:dyDescent="0.2">
      <c r="K673" s="37"/>
      <c r="L673" s="51"/>
      <c r="M673" s="51"/>
    </row>
    <row r="674" spans="11:13" x14ac:dyDescent="0.2">
      <c r="K674" s="37"/>
      <c r="L674" s="51"/>
      <c r="M674" s="51"/>
    </row>
    <row r="675" spans="11:13" x14ac:dyDescent="0.2">
      <c r="K675" s="37"/>
      <c r="L675" s="51"/>
      <c r="M675" s="51"/>
    </row>
    <row r="676" spans="11:13" x14ac:dyDescent="0.2">
      <c r="K676" s="37"/>
      <c r="L676" s="51"/>
      <c r="M676" s="51"/>
    </row>
    <row r="677" spans="11:13" x14ac:dyDescent="0.2">
      <c r="K677" s="37"/>
      <c r="L677" s="51"/>
      <c r="M677" s="51"/>
    </row>
    <row r="678" spans="11:13" x14ac:dyDescent="0.2">
      <c r="K678" s="37"/>
      <c r="L678" s="51"/>
      <c r="M678" s="51"/>
    </row>
    <row r="679" spans="11:13" x14ac:dyDescent="0.2">
      <c r="K679" s="37"/>
      <c r="L679" s="51"/>
      <c r="M679" s="51"/>
    </row>
    <row r="680" spans="11:13" x14ac:dyDescent="0.2">
      <c r="K680" s="37"/>
      <c r="L680" s="51"/>
      <c r="M680" s="51"/>
    </row>
    <row r="681" spans="11:13" x14ac:dyDescent="0.2">
      <c r="K681" s="37"/>
      <c r="L681" s="51"/>
      <c r="M681" s="51"/>
    </row>
    <row r="682" spans="11:13" x14ac:dyDescent="0.2">
      <c r="K682" s="37"/>
      <c r="L682" s="51"/>
      <c r="M682" s="51"/>
    </row>
    <row r="683" spans="11:13" x14ac:dyDescent="0.2">
      <c r="K683" s="37"/>
      <c r="L683" s="51"/>
      <c r="M683" s="51"/>
    </row>
    <row r="684" spans="11:13" x14ac:dyDescent="0.2">
      <c r="K684" s="37"/>
      <c r="L684" s="51"/>
      <c r="M684" s="51"/>
    </row>
    <row r="685" spans="11:13" x14ac:dyDescent="0.2">
      <c r="K685" s="37"/>
      <c r="L685" s="51"/>
      <c r="M685" s="51"/>
    </row>
    <row r="686" spans="11:13" x14ac:dyDescent="0.2">
      <c r="K686" s="37"/>
      <c r="L686" s="51"/>
      <c r="M686" s="51"/>
    </row>
    <row r="687" spans="11:13" x14ac:dyDescent="0.2">
      <c r="K687" s="37"/>
      <c r="L687" s="51"/>
      <c r="M687" s="51"/>
    </row>
    <row r="688" spans="11:13" x14ac:dyDescent="0.2">
      <c r="K688" s="37"/>
      <c r="L688" s="51"/>
      <c r="M688" s="51"/>
    </row>
    <row r="689" spans="11:13" x14ac:dyDescent="0.2">
      <c r="K689" s="37"/>
      <c r="L689" s="51"/>
      <c r="M689" s="51"/>
    </row>
    <row r="690" spans="11:13" x14ac:dyDescent="0.2">
      <c r="K690" s="37"/>
      <c r="L690" s="51"/>
      <c r="M690" s="51"/>
    </row>
    <row r="691" spans="11:13" x14ac:dyDescent="0.2">
      <c r="K691" s="37"/>
      <c r="L691" s="51"/>
      <c r="M691" s="51"/>
    </row>
    <row r="692" spans="11:13" x14ac:dyDescent="0.2">
      <c r="K692" s="37"/>
      <c r="L692" s="51"/>
      <c r="M692" s="51"/>
    </row>
    <row r="693" spans="11:13" x14ac:dyDescent="0.2">
      <c r="K693" s="37"/>
      <c r="L693" s="51"/>
      <c r="M693" s="51"/>
    </row>
    <row r="694" spans="11:13" x14ac:dyDescent="0.2">
      <c r="K694" s="37"/>
      <c r="L694" s="51"/>
      <c r="M694" s="51"/>
    </row>
    <row r="695" spans="11:13" x14ac:dyDescent="0.2">
      <c r="K695" s="37"/>
      <c r="L695" s="51"/>
      <c r="M695" s="51"/>
    </row>
    <row r="696" spans="11:13" x14ac:dyDescent="0.2">
      <c r="K696" s="37"/>
      <c r="L696" s="51"/>
      <c r="M696" s="51"/>
    </row>
    <row r="697" spans="11:13" x14ac:dyDescent="0.2">
      <c r="K697" s="37"/>
      <c r="L697" s="51"/>
      <c r="M697" s="51"/>
    </row>
    <row r="698" spans="11:13" x14ac:dyDescent="0.2">
      <c r="K698" s="37"/>
      <c r="L698" s="51"/>
      <c r="M698" s="51"/>
    </row>
    <row r="699" spans="11:13" x14ac:dyDescent="0.2">
      <c r="K699" s="37"/>
      <c r="L699" s="51"/>
      <c r="M699" s="51"/>
    </row>
    <row r="700" spans="11:13" x14ac:dyDescent="0.2">
      <c r="K700" s="37"/>
      <c r="L700" s="51"/>
      <c r="M700" s="51"/>
    </row>
    <row r="701" spans="11:13" x14ac:dyDescent="0.2">
      <c r="K701" s="37"/>
      <c r="L701" s="51"/>
      <c r="M701" s="51"/>
    </row>
    <row r="702" spans="11:13" x14ac:dyDescent="0.2">
      <c r="K702" s="37"/>
      <c r="L702" s="51"/>
      <c r="M702" s="51"/>
    </row>
    <row r="703" spans="11:13" x14ac:dyDescent="0.2">
      <c r="K703" s="37"/>
      <c r="L703" s="51"/>
      <c r="M703" s="51"/>
    </row>
    <row r="704" spans="11:13" x14ac:dyDescent="0.2">
      <c r="K704" s="37"/>
      <c r="L704" s="51"/>
      <c r="M704" s="51"/>
    </row>
    <row r="705" spans="11:13" x14ac:dyDescent="0.2">
      <c r="K705" s="37"/>
      <c r="L705" s="51"/>
      <c r="M705" s="51"/>
    </row>
    <row r="706" spans="11:13" x14ac:dyDescent="0.2">
      <c r="K706" s="37"/>
      <c r="L706" s="51"/>
      <c r="M706" s="51"/>
    </row>
    <row r="707" spans="11:13" x14ac:dyDescent="0.2">
      <c r="K707" s="37"/>
      <c r="L707" s="51"/>
      <c r="M707" s="51"/>
    </row>
    <row r="708" spans="11:13" x14ac:dyDescent="0.2">
      <c r="K708" s="37"/>
      <c r="L708" s="51"/>
      <c r="M708" s="51"/>
    </row>
    <row r="709" spans="11:13" x14ac:dyDescent="0.2">
      <c r="K709" s="37"/>
      <c r="L709" s="51"/>
      <c r="M709" s="51"/>
    </row>
    <row r="710" spans="11:13" x14ac:dyDescent="0.2">
      <c r="K710" s="37"/>
      <c r="L710" s="51"/>
      <c r="M710" s="51"/>
    </row>
    <row r="711" spans="11:13" x14ac:dyDescent="0.2">
      <c r="K711" s="37"/>
      <c r="L711" s="51"/>
      <c r="M711" s="51"/>
    </row>
    <row r="712" spans="11:13" x14ac:dyDescent="0.2">
      <c r="K712" s="37"/>
      <c r="L712" s="51"/>
      <c r="M712" s="51"/>
    </row>
    <row r="713" spans="11:13" x14ac:dyDescent="0.2">
      <c r="K713" s="37"/>
      <c r="L713" s="51"/>
      <c r="M713" s="51"/>
    </row>
    <row r="714" spans="11:13" x14ac:dyDescent="0.2">
      <c r="K714" s="37"/>
      <c r="L714" s="51"/>
      <c r="M714" s="51"/>
    </row>
    <row r="715" spans="11:13" x14ac:dyDescent="0.2">
      <c r="K715" s="37"/>
      <c r="L715" s="51"/>
      <c r="M715" s="51"/>
    </row>
    <row r="716" spans="11:13" x14ac:dyDescent="0.2">
      <c r="K716" s="37"/>
      <c r="L716" s="51"/>
      <c r="M716" s="51"/>
    </row>
    <row r="717" spans="11:13" x14ac:dyDescent="0.2">
      <c r="K717" s="37"/>
      <c r="L717" s="51"/>
      <c r="M717" s="51"/>
    </row>
    <row r="718" spans="11:13" x14ac:dyDescent="0.2">
      <c r="K718" s="37"/>
      <c r="L718" s="51"/>
      <c r="M718" s="51"/>
    </row>
    <row r="719" spans="11:13" x14ac:dyDescent="0.2">
      <c r="K719" s="37"/>
      <c r="L719" s="51"/>
      <c r="M719" s="51"/>
    </row>
    <row r="720" spans="11:13" x14ac:dyDescent="0.2">
      <c r="K720" s="37"/>
      <c r="L720" s="51"/>
      <c r="M720" s="51"/>
    </row>
    <row r="721" spans="11:13" x14ac:dyDescent="0.2">
      <c r="K721" s="37"/>
      <c r="L721" s="51"/>
      <c r="M721" s="51"/>
    </row>
    <row r="722" spans="11:13" x14ac:dyDescent="0.2">
      <c r="K722" s="37"/>
      <c r="L722" s="51"/>
      <c r="M722" s="51"/>
    </row>
    <row r="723" spans="11:13" x14ac:dyDescent="0.2">
      <c r="K723" s="37"/>
      <c r="L723" s="51"/>
      <c r="M723" s="51"/>
    </row>
    <row r="724" spans="11:13" x14ac:dyDescent="0.2">
      <c r="K724" s="37"/>
      <c r="L724" s="51"/>
      <c r="M724" s="51"/>
    </row>
    <row r="725" spans="11:13" x14ac:dyDescent="0.2">
      <c r="K725" s="37"/>
      <c r="L725" s="51"/>
      <c r="M725" s="51"/>
    </row>
    <row r="726" spans="11:13" x14ac:dyDescent="0.2">
      <c r="K726" s="37"/>
      <c r="L726" s="51"/>
      <c r="M726" s="51"/>
    </row>
    <row r="727" spans="11:13" x14ac:dyDescent="0.2">
      <c r="K727" s="37"/>
      <c r="L727" s="51"/>
      <c r="M727" s="51"/>
    </row>
    <row r="728" spans="11:13" x14ac:dyDescent="0.2">
      <c r="K728" s="37"/>
      <c r="L728" s="51"/>
      <c r="M728" s="51"/>
    </row>
    <row r="729" spans="11:13" x14ac:dyDescent="0.2">
      <c r="K729" s="37"/>
      <c r="L729" s="51"/>
      <c r="M729" s="51"/>
    </row>
    <row r="730" spans="11:13" x14ac:dyDescent="0.2">
      <c r="K730" s="37"/>
      <c r="L730" s="51"/>
      <c r="M730" s="51"/>
    </row>
    <row r="731" spans="11:13" x14ac:dyDescent="0.2">
      <c r="K731" s="37"/>
      <c r="L731" s="51"/>
      <c r="M731" s="51"/>
    </row>
    <row r="732" spans="11:13" x14ac:dyDescent="0.2">
      <c r="K732" s="37"/>
      <c r="L732" s="51"/>
      <c r="M732" s="51"/>
    </row>
    <row r="733" spans="11:13" x14ac:dyDescent="0.2">
      <c r="K733" s="37"/>
      <c r="L733" s="51"/>
      <c r="M733" s="51"/>
    </row>
    <row r="734" spans="11:13" x14ac:dyDescent="0.2">
      <c r="K734" s="37"/>
      <c r="L734" s="51"/>
      <c r="M734" s="51"/>
    </row>
    <row r="735" spans="11:13" x14ac:dyDescent="0.2">
      <c r="K735" s="37"/>
      <c r="L735" s="51"/>
      <c r="M735" s="51"/>
    </row>
    <row r="736" spans="11:13" x14ac:dyDescent="0.2">
      <c r="K736" s="37"/>
      <c r="L736" s="51"/>
      <c r="M736" s="51"/>
    </row>
    <row r="737" spans="11:13" x14ac:dyDescent="0.2">
      <c r="K737" s="37"/>
      <c r="L737" s="51"/>
      <c r="M737" s="51"/>
    </row>
    <row r="738" spans="11:13" x14ac:dyDescent="0.2">
      <c r="K738" s="37"/>
      <c r="L738" s="51"/>
      <c r="M738" s="51"/>
    </row>
    <row r="739" spans="11:13" x14ac:dyDescent="0.2">
      <c r="K739" s="37"/>
      <c r="L739" s="51"/>
      <c r="M739" s="51"/>
    </row>
    <row r="740" spans="11:13" x14ac:dyDescent="0.2">
      <c r="K740" s="37"/>
      <c r="L740" s="51"/>
      <c r="M740" s="51"/>
    </row>
    <row r="741" spans="11:13" x14ac:dyDescent="0.2">
      <c r="K741" s="37"/>
      <c r="L741" s="51"/>
      <c r="M741" s="51"/>
    </row>
    <row r="742" spans="11:13" x14ac:dyDescent="0.2">
      <c r="K742" s="37"/>
      <c r="L742" s="51"/>
      <c r="M742" s="51"/>
    </row>
    <row r="743" spans="11:13" x14ac:dyDescent="0.2">
      <c r="K743" s="37"/>
      <c r="L743" s="51"/>
      <c r="M743" s="51"/>
    </row>
    <row r="744" spans="11:13" x14ac:dyDescent="0.2">
      <c r="K744" s="37"/>
      <c r="L744" s="51"/>
      <c r="M744" s="51"/>
    </row>
    <row r="745" spans="11:13" x14ac:dyDescent="0.2">
      <c r="K745" s="37"/>
      <c r="L745" s="51"/>
      <c r="M745" s="51"/>
    </row>
    <row r="746" spans="11:13" x14ac:dyDescent="0.2">
      <c r="K746" s="37"/>
      <c r="L746" s="51"/>
      <c r="M746" s="51"/>
    </row>
    <row r="747" spans="11:13" x14ac:dyDescent="0.2">
      <c r="K747" s="37"/>
      <c r="L747" s="51"/>
      <c r="M747" s="51"/>
    </row>
    <row r="748" spans="11:13" x14ac:dyDescent="0.2">
      <c r="K748" s="37"/>
      <c r="L748" s="51"/>
      <c r="M748" s="51"/>
    </row>
    <row r="749" spans="11:13" x14ac:dyDescent="0.2">
      <c r="K749" s="37"/>
      <c r="L749" s="51"/>
      <c r="M749" s="51"/>
    </row>
    <row r="750" spans="11:13" x14ac:dyDescent="0.2">
      <c r="K750" s="37"/>
      <c r="L750" s="51"/>
      <c r="M750" s="51"/>
    </row>
    <row r="751" spans="11:13" x14ac:dyDescent="0.2">
      <c r="K751" s="37"/>
      <c r="L751" s="51"/>
      <c r="M751" s="51"/>
    </row>
    <row r="752" spans="11:13" x14ac:dyDescent="0.2">
      <c r="K752" s="37"/>
      <c r="L752" s="51"/>
      <c r="M752" s="51"/>
    </row>
    <row r="753" spans="11:13" x14ac:dyDescent="0.2">
      <c r="K753" s="37"/>
      <c r="L753" s="51"/>
      <c r="M753" s="51"/>
    </row>
    <row r="754" spans="11:13" x14ac:dyDescent="0.2">
      <c r="K754" s="37"/>
      <c r="L754" s="51"/>
      <c r="M754" s="51"/>
    </row>
    <row r="755" spans="11:13" x14ac:dyDescent="0.2">
      <c r="K755" s="37"/>
      <c r="L755" s="51"/>
      <c r="M755" s="51"/>
    </row>
    <row r="756" spans="11:13" x14ac:dyDescent="0.2">
      <c r="K756" s="37"/>
      <c r="L756" s="51"/>
      <c r="M756" s="51"/>
    </row>
    <row r="757" spans="11:13" x14ac:dyDescent="0.2">
      <c r="K757" s="37"/>
      <c r="L757" s="51"/>
      <c r="M757" s="51"/>
    </row>
    <row r="758" spans="11:13" x14ac:dyDescent="0.2">
      <c r="K758" s="37"/>
      <c r="L758" s="51"/>
      <c r="M758" s="51"/>
    </row>
    <row r="759" spans="11:13" x14ac:dyDescent="0.2">
      <c r="K759" s="37"/>
      <c r="L759" s="51"/>
      <c r="M759" s="51"/>
    </row>
    <row r="760" spans="11:13" x14ac:dyDescent="0.2">
      <c r="K760" s="37"/>
      <c r="L760" s="51"/>
      <c r="M760" s="51"/>
    </row>
    <row r="761" spans="11:13" x14ac:dyDescent="0.2">
      <c r="K761" s="37"/>
      <c r="L761" s="51"/>
      <c r="M761" s="51"/>
    </row>
    <row r="762" spans="11:13" x14ac:dyDescent="0.2">
      <c r="K762" s="37"/>
      <c r="L762" s="51"/>
      <c r="M762" s="51"/>
    </row>
    <row r="763" spans="11:13" x14ac:dyDescent="0.2">
      <c r="K763" s="37"/>
      <c r="L763" s="51"/>
      <c r="M763" s="51"/>
    </row>
    <row r="764" spans="11:13" x14ac:dyDescent="0.2">
      <c r="K764" s="37"/>
      <c r="L764" s="51"/>
      <c r="M764" s="51"/>
    </row>
    <row r="765" spans="11:13" x14ac:dyDescent="0.2">
      <c r="K765" s="37"/>
      <c r="L765" s="51"/>
      <c r="M765" s="51"/>
    </row>
    <row r="766" spans="11:13" x14ac:dyDescent="0.2">
      <c r="K766" s="37"/>
      <c r="L766" s="51"/>
      <c r="M766" s="51"/>
    </row>
    <row r="767" spans="11:13" x14ac:dyDescent="0.2">
      <c r="K767" s="37"/>
      <c r="L767" s="51"/>
      <c r="M767" s="51"/>
    </row>
    <row r="768" spans="11:13" x14ac:dyDescent="0.2">
      <c r="K768" s="37"/>
      <c r="L768" s="51"/>
      <c r="M768" s="51"/>
    </row>
    <row r="769" spans="11:13" x14ac:dyDescent="0.2">
      <c r="K769" s="37"/>
      <c r="L769" s="51"/>
      <c r="M769" s="51"/>
    </row>
    <row r="770" spans="11:13" x14ac:dyDescent="0.2">
      <c r="K770" s="37"/>
      <c r="L770" s="51"/>
      <c r="M770" s="51"/>
    </row>
    <row r="771" spans="11:13" x14ac:dyDescent="0.2">
      <c r="K771" s="37"/>
      <c r="L771" s="51"/>
      <c r="M771" s="51"/>
    </row>
    <row r="772" spans="11:13" x14ac:dyDescent="0.2">
      <c r="K772" s="37"/>
      <c r="L772" s="51"/>
      <c r="M772" s="51"/>
    </row>
    <row r="773" spans="11:13" x14ac:dyDescent="0.2">
      <c r="K773" s="37"/>
      <c r="L773" s="51"/>
      <c r="M773" s="51"/>
    </row>
    <row r="774" spans="11:13" x14ac:dyDescent="0.2">
      <c r="K774" s="37"/>
      <c r="L774" s="51"/>
      <c r="M774" s="51"/>
    </row>
    <row r="775" spans="11:13" x14ac:dyDescent="0.2">
      <c r="K775" s="37"/>
      <c r="L775" s="51"/>
      <c r="M775" s="51"/>
    </row>
    <row r="776" spans="11:13" x14ac:dyDescent="0.2">
      <c r="K776" s="37"/>
      <c r="L776" s="51"/>
      <c r="M776" s="51"/>
    </row>
    <row r="777" spans="11:13" x14ac:dyDescent="0.2">
      <c r="K777" s="37"/>
      <c r="L777" s="51"/>
      <c r="M777" s="51"/>
    </row>
    <row r="778" spans="11:13" x14ac:dyDescent="0.2">
      <c r="K778" s="37"/>
      <c r="L778" s="51"/>
      <c r="M778" s="51"/>
    </row>
    <row r="779" spans="11:13" x14ac:dyDescent="0.2">
      <c r="K779" s="37"/>
      <c r="L779" s="51"/>
      <c r="M779" s="51"/>
    </row>
    <row r="780" spans="11:13" x14ac:dyDescent="0.2">
      <c r="K780" s="37"/>
      <c r="L780" s="51"/>
      <c r="M780" s="51"/>
    </row>
    <row r="781" spans="11:13" x14ac:dyDescent="0.2">
      <c r="K781" s="37"/>
      <c r="L781" s="51"/>
      <c r="M781" s="51"/>
    </row>
    <row r="782" spans="11:13" x14ac:dyDescent="0.2">
      <c r="K782" s="37"/>
      <c r="L782" s="51"/>
      <c r="M782" s="51"/>
    </row>
    <row r="783" spans="11:13" x14ac:dyDescent="0.2">
      <c r="K783" s="37"/>
      <c r="L783" s="51"/>
      <c r="M783" s="51"/>
    </row>
    <row r="784" spans="11:13" x14ac:dyDescent="0.2">
      <c r="K784" s="37"/>
      <c r="L784" s="51"/>
      <c r="M784" s="51"/>
    </row>
    <row r="785" spans="11:13" x14ac:dyDescent="0.2">
      <c r="K785" s="37"/>
      <c r="L785" s="51"/>
      <c r="M785" s="51"/>
    </row>
    <row r="786" spans="11:13" x14ac:dyDescent="0.2">
      <c r="K786" s="37"/>
      <c r="L786" s="51"/>
      <c r="M786" s="51"/>
    </row>
    <row r="787" spans="11:13" x14ac:dyDescent="0.2">
      <c r="K787" s="37"/>
      <c r="L787" s="51"/>
      <c r="M787" s="51"/>
    </row>
    <row r="788" spans="11:13" x14ac:dyDescent="0.2">
      <c r="K788" s="37"/>
      <c r="L788" s="51"/>
      <c r="M788" s="51"/>
    </row>
    <row r="789" spans="11:13" x14ac:dyDescent="0.2">
      <c r="K789" s="37"/>
      <c r="L789" s="51"/>
      <c r="M789" s="51"/>
    </row>
    <row r="790" spans="11:13" x14ac:dyDescent="0.2">
      <c r="K790" s="37"/>
      <c r="L790" s="51"/>
      <c r="M790" s="51"/>
    </row>
    <row r="791" spans="11:13" x14ac:dyDescent="0.2">
      <c r="K791" s="37"/>
      <c r="L791" s="51"/>
      <c r="M791" s="51"/>
    </row>
    <row r="792" spans="11:13" x14ac:dyDescent="0.2">
      <c r="K792" s="37"/>
      <c r="L792" s="51"/>
      <c r="M792" s="51"/>
    </row>
    <row r="793" spans="11:13" x14ac:dyDescent="0.2">
      <c r="K793" s="37"/>
      <c r="L793" s="51"/>
      <c r="M793" s="51"/>
    </row>
    <row r="794" spans="11:13" x14ac:dyDescent="0.2">
      <c r="K794" s="37"/>
      <c r="L794" s="51"/>
      <c r="M794" s="51"/>
    </row>
    <row r="795" spans="11:13" x14ac:dyDescent="0.2">
      <c r="K795" s="37"/>
      <c r="L795" s="51"/>
      <c r="M795" s="51"/>
    </row>
    <row r="796" spans="11:13" x14ac:dyDescent="0.2">
      <c r="K796" s="37"/>
      <c r="L796" s="51"/>
      <c r="M796" s="51"/>
    </row>
    <row r="797" spans="11:13" x14ac:dyDescent="0.2">
      <c r="K797" s="37"/>
      <c r="L797" s="51"/>
      <c r="M797" s="51"/>
    </row>
    <row r="798" spans="11:13" x14ac:dyDescent="0.2">
      <c r="K798" s="37"/>
      <c r="L798" s="51"/>
      <c r="M798" s="51"/>
    </row>
    <row r="799" spans="11:13" x14ac:dyDescent="0.2">
      <c r="K799" s="37"/>
      <c r="L799" s="51"/>
      <c r="M799" s="51"/>
    </row>
    <row r="800" spans="11:13" x14ac:dyDescent="0.2">
      <c r="K800" s="37"/>
      <c r="L800" s="51"/>
      <c r="M800" s="51"/>
    </row>
    <row r="801" spans="11:13" x14ac:dyDescent="0.2">
      <c r="K801" s="37"/>
      <c r="L801" s="51"/>
      <c r="M801" s="51"/>
    </row>
    <row r="802" spans="11:13" x14ac:dyDescent="0.2">
      <c r="K802" s="37"/>
      <c r="L802" s="51"/>
      <c r="M802" s="51"/>
    </row>
    <row r="803" spans="11:13" x14ac:dyDescent="0.2">
      <c r="K803" s="37"/>
      <c r="L803" s="51"/>
      <c r="M803" s="51"/>
    </row>
    <row r="804" spans="11:13" x14ac:dyDescent="0.2">
      <c r="K804" s="37"/>
      <c r="L804" s="51"/>
      <c r="M804" s="51"/>
    </row>
    <row r="805" spans="11:13" x14ac:dyDescent="0.2">
      <c r="K805" s="37"/>
      <c r="L805" s="51"/>
      <c r="M805" s="51"/>
    </row>
    <row r="806" spans="11:13" x14ac:dyDescent="0.2">
      <c r="K806" s="37"/>
      <c r="L806" s="51"/>
      <c r="M806" s="51"/>
    </row>
    <row r="807" spans="11:13" x14ac:dyDescent="0.2">
      <c r="K807" s="37"/>
      <c r="L807" s="51"/>
      <c r="M807" s="51"/>
    </row>
    <row r="808" spans="11:13" x14ac:dyDescent="0.2">
      <c r="K808" s="37"/>
      <c r="L808" s="51"/>
      <c r="M808" s="51"/>
    </row>
    <row r="809" spans="11:13" x14ac:dyDescent="0.2">
      <c r="K809" s="37"/>
      <c r="L809" s="51"/>
      <c r="M809" s="51"/>
    </row>
    <row r="810" spans="11:13" x14ac:dyDescent="0.2">
      <c r="K810" s="37"/>
      <c r="L810" s="51"/>
      <c r="M810" s="51"/>
    </row>
    <row r="811" spans="11:13" x14ac:dyDescent="0.2">
      <c r="K811" s="37"/>
      <c r="L811" s="51"/>
      <c r="M811" s="51"/>
    </row>
    <row r="812" spans="11:13" x14ac:dyDescent="0.2">
      <c r="K812" s="37"/>
      <c r="L812" s="51"/>
      <c r="M812" s="51"/>
    </row>
    <row r="813" spans="11:13" x14ac:dyDescent="0.2">
      <c r="K813" s="37"/>
      <c r="L813" s="51"/>
      <c r="M813" s="51"/>
    </row>
    <row r="814" spans="11:13" x14ac:dyDescent="0.2">
      <c r="K814" s="37"/>
      <c r="L814" s="51"/>
      <c r="M814" s="51"/>
    </row>
    <row r="815" spans="11:13" x14ac:dyDescent="0.2">
      <c r="K815" s="37"/>
      <c r="L815" s="51"/>
      <c r="M815" s="51"/>
    </row>
    <row r="816" spans="11:13" x14ac:dyDescent="0.2">
      <c r="K816" s="37"/>
      <c r="L816" s="51"/>
      <c r="M816" s="51"/>
    </row>
    <row r="817" spans="11:13" x14ac:dyDescent="0.2">
      <c r="K817" s="37"/>
      <c r="L817" s="51"/>
      <c r="M817" s="51"/>
    </row>
    <row r="818" spans="11:13" x14ac:dyDescent="0.2">
      <c r="K818" s="37"/>
      <c r="L818" s="51"/>
      <c r="M818" s="51"/>
    </row>
    <row r="819" spans="11:13" x14ac:dyDescent="0.2">
      <c r="K819" s="37"/>
      <c r="L819" s="51"/>
      <c r="M819" s="51"/>
    </row>
    <row r="820" spans="11:13" x14ac:dyDescent="0.2">
      <c r="K820" s="37"/>
      <c r="L820" s="51"/>
      <c r="M820" s="51"/>
    </row>
    <row r="821" spans="11:13" x14ac:dyDescent="0.2">
      <c r="K821" s="37"/>
      <c r="L821" s="51"/>
      <c r="M821" s="51"/>
    </row>
    <row r="822" spans="11:13" x14ac:dyDescent="0.2">
      <c r="K822" s="37"/>
      <c r="L822" s="51"/>
      <c r="M822" s="51"/>
    </row>
    <row r="823" spans="11:13" x14ac:dyDescent="0.2">
      <c r="K823" s="37"/>
      <c r="L823" s="51"/>
      <c r="M823" s="51"/>
    </row>
    <row r="824" spans="11:13" x14ac:dyDescent="0.2">
      <c r="K824" s="37"/>
      <c r="L824" s="51"/>
      <c r="M824" s="51"/>
    </row>
    <row r="825" spans="11:13" x14ac:dyDescent="0.2">
      <c r="K825" s="37"/>
      <c r="L825" s="51"/>
      <c r="M825" s="51"/>
    </row>
    <row r="826" spans="11:13" x14ac:dyDescent="0.2">
      <c r="K826" s="37"/>
      <c r="L826" s="51"/>
      <c r="M826" s="51"/>
    </row>
    <row r="827" spans="11:13" x14ac:dyDescent="0.2">
      <c r="K827" s="37"/>
      <c r="L827" s="51"/>
      <c r="M827" s="51"/>
    </row>
    <row r="828" spans="11:13" x14ac:dyDescent="0.2">
      <c r="K828" s="37"/>
      <c r="L828" s="51"/>
      <c r="M828" s="51"/>
    </row>
    <row r="829" spans="11:13" x14ac:dyDescent="0.2">
      <c r="K829" s="37"/>
      <c r="L829" s="51"/>
      <c r="M829" s="51"/>
    </row>
    <row r="830" spans="11:13" x14ac:dyDescent="0.2">
      <c r="K830" s="37"/>
      <c r="L830" s="51"/>
      <c r="M830" s="51"/>
    </row>
    <row r="831" spans="11:13" x14ac:dyDescent="0.2">
      <c r="K831" s="37"/>
      <c r="L831" s="51"/>
      <c r="M831" s="51"/>
    </row>
    <row r="832" spans="11:13" x14ac:dyDescent="0.2">
      <c r="K832" s="37"/>
      <c r="L832" s="51"/>
      <c r="M832" s="51"/>
    </row>
    <row r="833" spans="11:13" x14ac:dyDescent="0.2">
      <c r="K833" s="37"/>
      <c r="L833" s="51"/>
      <c r="M833" s="51"/>
    </row>
    <row r="834" spans="11:13" x14ac:dyDescent="0.2">
      <c r="K834" s="37"/>
      <c r="L834" s="51"/>
      <c r="M834" s="51"/>
    </row>
    <row r="835" spans="11:13" x14ac:dyDescent="0.2">
      <c r="K835" s="37"/>
      <c r="L835" s="51"/>
      <c r="M835" s="51"/>
    </row>
    <row r="836" spans="11:13" x14ac:dyDescent="0.2">
      <c r="K836" s="37"/>
      <c r="L836" s="51"/>
      <c r="M836" s="51"/>
    </row>
    <row r="837" spans="11:13" x14ac:dyDescent="0.2">
      <c r="K837" s="37"/>
      <c r="L837" s="51"/>
      <c r="M837" s="51"/>
    </row>
    <row r="838" spans="11:13" x14ac:dyDescent="0.2">
      <c r="K838" s="37"/>
      <c r="L838" s="51"/>
      <c r="M838" s="51"/>
    </row>
    <row r="839" spans="11:13" x14ac:dyDescent="0.2">
      <c r="K839" s="37"/>
      <c r="L839" s="51"/>
      <c r="M839" s="51"/>
    </row>
    <row r="840" spans="11:13" x14ac:dyDescent="0.2">
      <c r="K840" s="37"/>
      <c r="L840" s="51"/>
      <c r="M840" s="51"/>
    </row>
    <row r="841" spans="11:13" x14ac:dyDescent="0.2">
      <c r="K841" s="37"/>
      <c r="L841" s="51"/>
      <c r="M841" s="51"/>
    </row>
    <row r="842" spans="11:13" x14ac:dyDescent="0.2">
      <c r="K842" s="37"/>
      <c r="L842" s="51"/>
      <c r="M842" s="51"/>
    </row>
    <row r="843" spans="11:13" x14ac:dyDescent="0.2">
      <c r="K843" s="37"/>
      <c r="L843" s="51"/>
      <c r="M843" s="51"/>
    </row>
    <row r="844" spans="11:13" x14ac:dyDescent="0.2">
      <c r="K844" s="37"/>
      <c r="L844" s="51"/>
      <c r="M844" s="51"/>
    </row>
    <row r="845" spans="11:13" x14ac:dyDescent="0.2">
      <c r="K845" s="37"/>
      <c r="L845" s="51"/>
      <c r="M845" s="51"/>
    </row>
    <row r="846" spans="11:13" x14ac:dyDescent="0.2">
      <c r="K846" s="37"/>
      <c r="L846" s="51"/>
      <c r="M846" s="51"/>
    </row>
    <row r="847" spans="11:13" x14ac:dyDescent="0.2">
      <c r="K847" s="37"/>
      <c r="L847" s="51"/>
      <c r="M847" s="51"/>
    </row>
    <row r="848" spans="11:13" x14ac:dyDescent="0.2">
      <c r="K848" s="37"/>
      <c r="L848" s="51"/>
      <c r="M848" s="51"/>
    </row>
    <row r="849" spans="11:13" x14ac:dyDescent="0.2">
      <c r="K849" s="37"/>
      <c r="L849" s="51"/>
      <c r="M849" s="51"/>
    </row>
    <row r="850" spans="11:13" x14ac:dyDescent="0.2">
      <c r="K850" s="37"/>
      <c r="L850" s="51"/>
      <c r="M850" s="51"/>
    </row>
    <row r="851" spans="11:13" x14ac:dyDescent="0.2">
      <c r="K851" s="37"/>
      <c r="L851" s="51"/>
      <c r="M851" s="51"/>
    </row>
    <row r="852" spans="11:13" x14ac:dyDescent="0.2">
      <c r="K852" s="37"/>
      <c r="L852" s="51"/>
      <c r="M852" s="51"/>
    </row>
    <row r="853" spans="11:13" x14ac:dyDescent="0.2">
      <c r="K853" s="37"/>
      <c r="L853" s="51"/>
      <c r="M853" s="51"/>
    </row>
    <row r="854" spans="11:13" x14ac:dyDescent="0.2">
      <c r="K854" s="37"/>
      <c r="L854" s="51"/>
      <c r="M854" s="51"/>
    </row>
    <row r="855" spans="11:13" x14ac:dyDescent="0.2">
      <c r="K855" s="37"/>
      <c r="L855" s="51"/>
      <c r="M855" s="51"/>
    </row>
    <row r="856" spans="11:13" x14ac:dyDescent="0.2">
      <c r="K856" s="37"/>
      <c r="L856" s="51"/>
      <c r="M856" s="51"/>
    </row>
    <row r="857" spans="11:13" x14ac:dyDescent="0.2">
      <c r="K857" s="37"/>
      <c r="L857" s="51"/>
      <c r="M857" s="51"/>
    </row>
    <row r="858" spans="11:13" x14ac:dyDescent="0.2">
      <c r="K858" s="37"/>
      <c r="L858" s="51"/>
      <c r="M858" s="51"/>
    </row>
    <row r="859" spans="11:13" x14ac:dyDescent="0.2">
      <c r="K859" s="37"/>
      <c r="L859" s="51"/>
      <c r="M859" s="51"/>
    </row>
    <row r="860" spans="11:13" x14ac:dyDescent="0.2">
      <c r="K860" s="37"/>
      <c r="L860" s="51"/>
      <c r="M860" s="51"/>
    </row>
    <row r="861" spans="11:13" x14ac:dyDescent="0.2">
      <c r="K861" s="37"/>
      <c r="L861" s="51"/>
      <c r="M861" s="51"/>
    </row>
    <row r="862" spans="11:13" x14ac:dyDescent="0.2">
      <c r="K862" s="37"/>
      <c r="L862" s="51"/>
      <c r="M862" s="51"/>
    </row>
    <row r="863" spans="11:13" x14ac:dyDescent="0.2">
      <c r="K863" s="37"/>
      <c r="L863" s="51"/>
      <c r="M863" s="51"/>
    </row>
    <row r="864" spans="11:13" x14ac:dyDescent="0.2">
      <c r="K864" s="37"/>
      <c r="L864" s="51"/>
      <c r="M864" s="51"/>
    </row>
    <row r="865" spans="11:13" x14ac:dyDescent="0.2">
      <c r="K865" s="37"/>
      <c r="L865" s="51"/>
      <c r="M865" s="51"/>
    </row>
    <row r="866" spans="11:13" x14ac:dyDescent="0.2">
      <c r="K866" s="37"/>
      <c r="L866" s="51"/>
      <c r="M866" s="51"/>
    </row>
    <row r="867" spans="11:13" x14ac:dyDescent="0.2">
      <c r="K867" s="37"/>
      <c r="L867" s="51"/>
      <c r="M867" s="51"/>
    </row>
    <row r="868" spans="11:13" x14ac:dyDescent="0.2">
      <c r="K868" s="37"/>
      <c r="L868" s="51"/>
      <c r="M868" s="51"/>
    </row>
    <row r="869" spans="11:13" x14ac:dyDescent="0.2">
      <c r="K869" s="37"/>
      <c r="L869" s="51"/>
      <c r="M869" s="51"/>
    </row>
    <row r="870" spans="11:13" x14ac:dyDescent="0.2">
      <c r="K870" s="37"/>
      <c r="L870" s="51"/>
      <c r="M870" s="51"/>
    </row>
    <row r="871" spans="11:13" x14ac:dyDescent="0.2">
      <c r="K871" s="37"/>
      <c r="L871" s="51"/>
      <c r="M871" s="51"/>
    </row>
    <row r="872" spans="11:13" x14ac:dyDescent="0.2">
      <c r="K872" s="37"/>
      <c r="L872" s="51"/>
      <c r="M872" s="51"/>
    </row>
    <row r="873" spans="11:13" x14ac:dyDescent="0.2">
      <c r="K873" s="37"/>
      <c r="L873" s="51"/>
      <c r="M873" s="51"/>
    </row>
    <row r="874" spans="11:13" x14ac:dyDescent="0.2">
      <c r="K874" s="37"/>
      <c r="L874" s="51"/>
      <c r="M874" s="51"/>
    </row>
    <row r="875" spans="11:13" x14ac:dyDescent="0.2">
      <c r="K875" s="37"/>
      <c r="L875" s="51"/>
      <c r="M875" s="51"/>
    </row>
    <row r="876" spans="11:13" x14ac:dyDescent="0.2">
      <c r="K876" s="37"/>
      <c r="L876" s="51"/>
      <c r="M876" s="51"/>
    </row>
    <row r="877" spans="11:13" x14ac:dyDescent="0.2">
      <c r="K877" s="37"/>
      <c r="L877" s="51"/>
      <c r="M877" s="51"/>
    </row>
    <row r="878" spans="11:13" x14ac:dyDescent="0.2">
      <c r="K878" s="37"/>
      <c r="L878" s="51"/>
      <c r="M878" s="51"/>
    </row>
    <row r="879" spans="11:13" x14ac:dyDescent="0.2">
      <c r="K879" s="37"/>
      <c r="L879" s="51"/>
      <c r="M879" s="51"/>
    </row>
    <row r="880" spans="11:13" x14ac:dyDescent="0.2">
      <c r="K880" s="37"/>
      <c r="L880" s="51"/>
      <c r="M880" s="51"/>
    </row>
    <row r="881" spans="11:13" x14ac:dyDescent="0.2">
      <c r="K881" s="37"/>
      <c r="L881" s="51"/>
      <c r="M881" s="51"/>
    </row>
    <row r="882" spans="11:13" x14ac:dyDescent="0.2">
      <c r="K882" s="37"/>
      <c r="L882" s="51"/>
      <c r="M882" s="51"/>
    </row>
    <row r="883" spans="11:13" x14ac:dyDescent="0.2">
      <c r="K883" s="37"/>
      <c r="L883" s="51"/>
      <c r="M883" s="51"/>
    </row>
    <row r="884" spans="11:13" x14ac:dyDescent="0.2">
      <c r="K884" s="37"/>
      <c r="L884" s="51"/>
      <c r="M884" s="51"/>
    </row>
    <row r="885" spans="11:13" x14ac:dyDescent="0.2">
      <c r="K885" s="37"/>
      <c r="L885" s="51"/>
      <c r="M885" s="51"/>
    </row>
    <row r="886" spans="11:13" x14ac:dyDescent="0.2">
      <c r="K886" s="37"/>
      <c r="L886" s="51"/>
      <c r="M886" s="51"/>
    </row>
    <row r="887" spans="11:13" x14ac:dyDescent="0.2">
      <c r="K887" s="37"/>
      <c r="L887" s="51"/>
      <c r="M887" s="51"/>
    </row>
    <row r="888" spans="11:13" x14ac:dyDescent="0.2">
      <c r="K888" s="37"/>
      <c r="L888" s="51"/>
      <c r="M888" s="51"/>
    </row>
    <row r="889" spans="11:13" x14ac:dyDescent="0.2">
      <c r="K889" s="37"/>
      <c r="L889" s="51"/>
      <c r="M889" s="51"/>
    </row>
    <row r="890" spans="11:13" x14ac:dyDescent="0.2">
      <c r="K890" s="37"/>
      <c r="L890" s="51"/>
      <c r="M890" s="51"/>
    </row>
    <row r="891" spans="11:13" x14ac:dyDescent="0.2">
      <c r="K891" s="37"/>
      <c r="L891" s="51"/>
      <c r="M891" s="51"/>
    </row>
    <row r="892" spans="11:13" x14ac:dyDescent="0.2">
      <c r="K892" s="37"/>
      <c r="L892" s="51"/>
      <c r="M892" s="51"/>
    </row>
    <row r="893" spans="11:13" x14ac:dyDescent="0.2">
      <c r="K893" s="37"/>
      <c r="L893" s="51"/>
      <c r="M893" s="51"/>
    </row>
    <row r="894" spans="11:13" x14ac:dyDescent="0.2">
      <c r="K894" s="37"/>
      <c r="L894" s="51"/>
      <c r="M894" s="51"/>
    </row>
    <row r="895" spans="11:13" x14ac:dyDescent="0.2">
      <c r="K895" s="37"/>
      <c r="L895" s="51"/>
      <c r="M895" s="51"/>
    </row>
    <row r="896" spans="11:13" x14ac:dyDescent="0.2">
      <c r="K896" s="37"/>
      <c r="L896" s="51"/>
      <c r="M896" s="51"/>
    </row>
    <row r="897" spans="11:13" x14ac:dyDescent="0.2">
      <c r="K897" s="37"/>
      <c r="L897" s="51"/>
      <c r="M897" s="51"/>
    </row>
    <row r="898" spans="11:13" x14ac:dyDescent="0.2">
      <c r="K898" s="37"/>
      <c r="L898" s="51"/>
      <c r="M898" s="51"/>
    </row>
    <row r="899" spans="11:13" x14ac:dyDescent="0.2">
      <c r="K899" s="37"/>
      <c r="L899" s="51"/>
      <c r="M899" s="51"/>
    </row>
    <row r="900" spans="11:13" x14ac:dyDescent="0.2">
      <c r="K900" s="37"/>
      <c r="L900" s="51"/>
      <c r="M900" s="51"/>
    </row>
    <row r="901" spans="11:13" x14ac:dyDescent="0.2">
      <c r="K901" s="37"/>
      <c r="L901" s="51"/>
      <c r="M901" s="51"/>
    </row>
    <row r="902" spans="11:13" x14ac:dyDescent="0.2">
      <c r="K902" s="37"/>
      <c r="L902" s="51"/>
      <c r="M902" s="51"/>
    </row>
    <row r="903" spans="11:13" x14ac:dyDescent="0.2">
      <c r="K903" s="37"/>
      <c r="L903" s="51"/>
      <c r="M903" s="51"/>
    </row>
    <row r="904" spans="11:13" x14ac:dyDescent="0.2">
      <c r="K904" s="37"/>
      <c r="L904" s="51"/>
      <c r="M904" s="51"/>
    </row>
    <row r="905" spans="11:13" x14ac:dyDescent="0.2">
      <c r="K905" s="37"/>
      <c r="L905" s="51"/>
      <c r="M905" s="51"/>
    </row>
    <row r="906" spans="11:13" x14ac:dyDescent="0.2">
      <c r="K906" s="37"/>
      <c r="L906" s="51"/>
      <c r="M906" s="51"/>
    </row>
    <row r="907" spans="11:13" x14ac:dyDescent="0.2">
      <c r="K907" s="37"/>
      <c r="L907" s="51"/>
      <c r="M907" s="51"/>
    </row>
    <row r="908" spans="11:13" x14ac:dyDescent="0.2">
      <c r="K908" s="37"/>
      <c r="L908" s="51"/>
      <c r="M908" s="51"/>
    </row>
    <row r="909" spans="11:13" x14ac:dyDescent="0.2">
      <c r="K909" s="37"/>
      <c r="L909" s="51"/>
      <c r="M909" s="51"/>
    </row>
    <row r="910" spans="11:13" x14ac:dyDescent="0.2">
      <c r="K910" s="37"/>
      <c r="L910" s="51"/>
      <c r="M910" s="51"/>
    </row>
    <row r="911" spans="11:13" x14ac:dyDescent="0.2">
      <c r="K911" s="37"/>
      <c r="L911" s="51"/>
      <c r="M911" s="51"/>
    </row>
    <row r="912" spans="11:13" x14ac:dyDescent="0.2">
      <c r="K912" s="37"/>
      <c r="L912" s="51"/>
      <c r="M912" s="51"/>
    </row>
    <row r="913" spans="11:13" x14ac:dyDescent="0.2">
      <c r="K913" s="37"/>
      <c r="L913" s="51"/>
      <c r="M913" s="51"/>
    </row>
    <row r="914" spans="11:13" x14ac:dyDescent="0.2">
      <c r="K914" s="37"/>
      <c r="L914" s="51"/>
      <c r="M914" s="51"/>
    </row>
    <row r="915" spans="11:13" x14ac:dyDescent="0.2">
      <c r="K915" s="37"/>
      <c r="L915" s="51"/>
      <c r="M915" s="51"/>
    </row>
    <row r="916" spans="11:13" x14ac:dyDescent="0.2">
      <c r="K916" s="37"/>
      <c r="L916" s="51"/>
      <c r="M916" s="51"/>
    </row>
    <row r="917" spans="11:13" x14ac:dyDescent="0.2">
      <c r="K917" s="37"/>
      <c r="L917" s="51"/>
      <c r="M917" s="51"/>
    </row>
    <row r="918" spans="11:13" x14ac:dyDescent="0.2">
      <c r="K918" s="37"/>
      <c r="L918" s="51"/>
      <c r="M918" s="51"/>
    </row>
    <row r="919" spans="11:13" x14ac:dyDescent="0.2">
      <c r="K919" s="37"/>
      <c r="L919" s="51"/>
      <c r="M919" s="51"/>
    </row>
    <row r="920" spans="11:13" x14ac:dyDescent="0.2">
      <c r="K920" s="37"/>
      <c r="L920" s="51"/>
      <c r="M920" s="51"/>
    </row>
    <row r="921" spans="11:13" x14ac:dyDescent="0.2">
      <c r="K921" s="37"/>
      <c r="L921" s="51"/>
      <c r="M921" s="51"/>
    </row>
    <row r="922" spans="11:13" x14ac:dyDescent="0.2">
      <c r="K922" s="37"/>
      <c r="L922" s="51"/>
      <c r="M922" s="51"/>
    </row>
    <row r="923" spans="11:13" x14ac:dyDescent="0.2">
      <c r="K923" s="37"/>
      <c r="L923" s="51"/>
      <c r="M923" s="51"/>
    </row>
    <row r="924" spans="11:13" x14ac:dyDescent="0.2">
      <c r="K924" s="37"/>
      <c r="L924" s="51"/>
      <c r="M924" s="51"/>
    </row>
    <row r="925" spans="11:13" x14ac:dyDescent="0.2">
      <c r="K925" s="37"/>
      <c r="L925" s="51"/>
      <c r="M925" s="51"/>
    </row>
    <row r="926" spans="11:13" x14ac:dyDescent="0.2">
      <c r="K926" s="37"/>
      <c r="L926" s="51"/>
      <c r="M926" s="51"/>
    </row>
    <row r="927" spans="11:13" x14ac:dyDescent="0.2">
      <c r="K927" s="37"/>
      <c r="L927" s="51"/>
      <c r="M927" s="51"/>
    </row>
    <row r="928" spans="11:13" x14ac:dyDescent="0.2">
      <c r="K928" s="37"/>
      <c r="L928" s="51"/>
      <c r="M928" s="51"/>
    </row>
    <row r="929" spans="11:13" x14ac:dyDescent="0.2">
      <c r="K929" s="37"/>
      <c r="L929" s="51"/>
      <c r="M929" s="51"/>
    </row>
    <row r="930" spans="11:13" x14ac:dyDescent="0.2">
      <c r="K930" s="37"/>
      <c r="L930" s="51"/>
      <c r="M930" s="51"/>
    </row>
    <row r="931" spans="11:13" x14ac:dyDescent="0.2">
      <c r="K931" s="37"/>
      <c r="L931" s="51"/>
      <c r="M931" s="51"/>
    </row>
    <row r="932" spans="11:13" x14ac:dyDescent="0.2">
      <c r="K932" s="37"/>
      <c r="L932" s="51"/>
      <c r="M932" s="51"/>
    </row>
    <row r="933" spans="11:13" x14ac:dyDescent="0.2">
      <c r="K933" s="37"/>
      <c r="L933" s="51"/>
      <c r="M933" s="51"/>
    </row>
    <row r="934" spans="11:13" x14ac:dyDescent="0.2">
      <c r="K934" s="37"/>
      <c r="L934" s="51"/>
      <c r="M934" s="51"/>
    </row>
    <row r="935" spans="11:13" x14ac:dyDescent="0.2">
      <c r="K935" s="37"/>
      <c r="L935" s="51"/>
      <c r="M935" s="51"/>
    </row>
    <row r="936" spans="11:13" x14ac:dyDescent="0.2">
      <c r="K936" s="37"/>
      <c r="L936" s="51"/>
      <c r="M936" s="51"/>
    </row>
    <row r="937" spans="11:13" x14ac:dyDescent="0.2">
      <c r="K937" s="37"/>
      <c r="L937" s="51"/>
      <c r="M937" s="51"/>
    </row>
    <row r="938" spans="11:13" x14ac:dyDescent="0.2">
      <c r="K938" s="37"/>
      <c r="L938" s="51"/>
      <c r="M938" s="51"/>
    </row>
    <row r="939" spans="11:13" x14ac:dyDescent="0.2">
      <c r="K939" s="37"/>
      <c r="L939" s="51"/>
      <c r="M939" s="51"/>
    </row>
    <row r="940" spans="11:13" x14ac:dyDescent="0.2">
      <c r="K940" s="37"/>
      <c r="L940" s="51"/>
      <c r="M940" s="51"/>
    </row>
    <row r="941" spans="11:13" x14ac:dyDescent="0.2">
      <c r="K941" s="37"/>
      <c r="L941" s="51"/>
      <c r="M941" s="51"/>
    </row>
    <row r="942" spans="11:13" x14ac:dyDescent="0.2">
      <c r="K942" s="37"/>
      <c r="L942" s="51"/>
      <c r="M942" s="51"/>
    </row>
    <row r="943" spans="11:13" x14ac:dyDescent="0.2">
      <c r="K943" s="37"/>
      <c r="L943" s="51"/>
      <c r="M943" s="51"/>
    </row>
    <row r="944" spans="11:13" x14ac:dyDescent="0.2">
      <c r="K944" s="37"/>
      <c r="L944" s="51"/>
      <c r="M944" s="51"/>
    </row>
    <row r="945" spans="11:13" x14ac:dyDescent="0.2">
      <c r="K945" s="37"/>
      <c r="L945" s="51"/>
      <c r="M945" s="51"/>
    </row>
    <row r="946" spans="11:13" x14ac:dyDescent="0.2">
      <c r="K946" s="37"/>
      <c r="L946" s="51"/>
      <c r="M946" s="51"/>
    </row>
    <row r="947" spans="11:13" x14ac:dyDescent="0.2">
      <c r="K947" s="37"/>
      <c r="L947" s="51"/>
      <c r="M947" s="51"/>
    </row>
    <row r="948" spans="11:13" x14ac:dyDescent="0.2">
      <c r="K948" s="37"/>
      <c r="L948" s="51"/>
      <c r="M948" s="51"/>
    </row>
    <row r="949" spans="11:13" x14ac:dyDescent="0.2">
      <c r="K949" s="37"/>
      <c r="L949" s="51"/>
      <c r="M949" s="51"/>
    </row>
    <row r="950" spans="11:13" x14ac:dyDescent="0.2">
      <c r="K950" s="37"/>
      <c r="L950" s="51"/>
      <c r="M950" s="51"/>
    </row>
    <row r="951" spans="11:13" x14ac:dyDescent="0.2">
      <c r="K951" s="37"/>
      <c r="L951" s="51"/>
      <c r="M951" s="51"/>
    </row>
    <row r="952" spans="11:13" x14ac:dyDescent="0.2">
      <c r="K952" s="37"/>
      <c r="L952" s="51"/>
      <c r="M952" s="51"/>
    </row>
    <row r="953" spans="11:13" x14ac:dyDescent="0.2">
      <c r="K953" s="37"/>
      <c r="L953" s="51"/>
      <c r="M953" s="51"/>
    </row>
    <row r="954" spans="11:13" x14ac:dyDescent="0.2">
      <c r="K954" s="37"/>
      <c r="L954" s="51"/>
      <c r="M954" s="51"/>
    </row>
    <row r="955" spans="11:13" x14ac:dyDescent="0.2">
      <c r="K955" s="37"/>
      <c r="L955" s="51"/>
      <c r="M955" s="51"/>
    </row>
    <row r="956" spans="11:13" x14ac:dyDescent="0.2">
      <c r="K956" s="37"/>
      <c r="L956" s="51"/>
      <c r="M956" s="51"/>
    </row>
    <row r="957" spans="11:13" x14ac:dyDescent="0.2">
      <c r="K957" s="37"/>
      <c r="L957" s="51"/>
      <c r="M957" s="51"/>
    </row>
    <row r="958" spans="11:13" x14ac:dyDescent="0.2">
      <c r="K958" s="37"/>
      <c r="L958" s="51"/>
      <c r="M958" s="51"/>
    </row>
    <row r="959" spans="11:13" x14ac:dyDescent="0.2">
      <c r="K959" s="37"/>
      <c r="L959" s="51"/>
      <c r="M959" s="51"/>
    </row>
    <row r="960" spans="11:13" x14ac:dyDescent="0.2">
      <c r="K960" s="37"/>
      <c r="L960" s="51"/>
      <c r="M960" s="51"/>
    </row>
    <row r="961" spans="11:13" x14ac:dyDescent="0.2">
      <c r="K961" s="37"/>
      <c r="L961" s="51"/>
      <c r="M961" s="51"/>
    </row>
    <row r="962" spans="11:13" x14ac:dyDescent="0.2">
      <c r="K962" s="37"/>
      <c r="L962" s="51"/>
      <c r="M962" s="51"/>
    </row>
    <row r="963" spans="11:13" x14ac:dyDescent="0.2">
      <c r="K963" s="37"/>
      <c r="L963" s="51"/>
      <c r="M963" s="51"/>
    </row>
    <row r="964" spans="11:13" x14ac:dyDescent="0.2">
      <c r="K964" s="37"/>
      <c r="L964" s="51"/>
      <c r="M964" s="51"/>
    </row>
    <row r="965" spans="11:13" x14ac:dyDescent="0.2">
      <c r="K965" s="37"/>
      <c r="L965" s="51"/>
      <c r="M965" s="51"/>
    </row>
    <row r="966" spans="11:13" x14ac:dyDescent="0.2">
      <c r="K966" s="37"/>
      <c r="L966" s="51"/>
      <c r="M966" s="51"/>
    </row>
    <row r="967" spans="11:13" x14ac:dyDescent="0.2">
      <c r="K967" s="37"/>
      <c r="L967" s="51"/>
      <c r="M967" s="51"/>
    </row>
    <row r="968" spans="11:13" x14ac:dyDescent="0.2">
      <c r="K968" s="37"/>
      <c r="L968" s="51"/>
      <c r="M968" s="51"/>
    </row>
    <row r="969" spans="11:13" x14ac:dyDescent="0.2">
      <c r="K969" s="37"/>
      <c r="L969" s="51"/>
      <c r="M969" s="51"/>
    </row>
    <row r="970" spans="11:13" x14ac:dyDescent="0.2">
      <c r="K970" s="37"/>
      <c r="L970" s="51"/>
      <c r="M970" s="51"/>
    </row>
    <row r="971" spans="11:13" x14ac:dyDescent="0.2">
      <c r="K971" s="37"/>
      <c r="L971" s="51"/>
      <c r="M971" s="51"/>
    </row>
    <row r="972" spans="11:13" x14ac:dyDescent="0.2">
      <c r="K972" s="37"/>
      <c r="L972" s="51"/>
      <c r="M972" s="51"/>
    </row>
    <row r="973" spans="11:13" x14ac:dyDescent="0.2">
      <c r="K973" s="37"/>
      <c r="L973" s="51"/>
      <c r="M973" s="51"/>
    </row>
    <row r="974" spans="11:13" x14ac:dyDescent="0.2">
      <c r="K974" s="37"/>
      <c r="L974" s="51"/>
      <c r="M974" s="51"/>
    </row>
    <row r="975" spans="11:13" x14ac:dyDescent="0.2">
      <c r="K975" s="37"/>
      <c r="L975" s="51"/>
      <c r="M975" s="51"/>
    </row>
    <row r="976" spans="11:13" x14ac:dyDescent="0.2">
      <c r="K976" s="37"/>
      <c r="L976" s="51"/>
      <c r="M976" s="51"/>
    </row>
    <row r="977" spans="11:13" x14ac:dyDescent="0.2">
      <c r="K977" s="37"/>
      <c r="L977" s="51"/>
      <c r="M977" s="51"/>
    </row>
    <row r="978" spans="11:13" x14ac:dyDescent="0.2">
      <c r="K978" s="37"/>
      <c r="L978" s="51"/>
      <c r="M978" s="51"/>
    </row>
    <row r="979" spans="11:13" x14ac:dyDescent="0.2">
      <c r="K979" s="37"/>
      <c r="L979" s="51"/>
      <c r="M979" s="51"/>
    </row>
    <row r="980" spans="11:13" x14ac:dyDescent="0.2">
      <c r="K980" s="37"/>
      <c r="L980" s="51"/>
      <c r="M980" s="51"/>
    </row>
    <row r="981" spans="11:13" x14ac:dyDescent="0.2">
      <c r="K981" s="37"/>
      <c r="L981" s="51"/>
      <c r="M981" s="51"/>
    </row>
    <row r="982" spans="11:13" x14ac:dyDescent="0.2">
      <c r="K982" s="37"/>
      <c r="L982" s="51"/>
      <c r="M982" s="51"/>
    </row>
    <row r="983" spans="11:13" x14ac:dyDescent="0.2">
      <c r="K983" s="37"/>
      <c r="L983" s="51"/>
      <c r="M983" s="51"/>
    </row>
    <row r="984" spans="11:13" x14ac:dyDescent="0.2">
      <c r="K984" s="37"/>
      <c r="L984" s="51"/>
      <c r="M984" s="51"/>
    </row>
    <row r="985" spans="11:13" x14ac:dyDescent="0.2">
      <c r="K985" s="37"/>
      <c r="L985" s="51"/>
      <c r="M985" s="51"/>
    </row>
    <row r="986" spans="11:13" x14ac:dyDescent="0.2">
      <c r="K986" s="37"/>
      <c r="L986" s="51"/>
      <c r="M986" s="51"/>
    </row>
    <row r="987" spans="11:13" x14ac:dyDescent="0.2">
      <c r="K987" s="37"/>
      <c r="L987" s="51"/>
      <c r="M987" s="51"/>
    </row>
    <row r="988" spans="11:13" x14ac:dyDescent="0.2">
      <c r="K988" s="37"/>
      <c r="L988" s="51"/>
      <c r="M988" s="51"/>
    </row>
    <row r="989" spans="11:13" x14ac:dyDescent="0.2">
      <c r="K989" s="37"/>
      <c r="L989" s="51"/>
      <c r="M989" s="51"/>
    </row>
    <row r="990" spans="11:13" x14ac:dyDescent="0.2">
      <c r="K990" s="37"/>
      <c r="L990" s="51"/>
      <c r="M990" s="51"/>
    </row>
    <row r="991" spans="11:13" x14ac:dyDescent="0.2">
      <c r="K991" s="37"/>
      <c r="L991" s="51"/>
      <c r="M991" s="51"/>
    </row>
    <row r="992" spans="11:13" x14ac:dyDescent="0.2">
      <c r="K992" s="37"/>
      <c r="L992" s="51"/>
      <c r="M992" s="51"/>
    </row>
    <row r="993" spans="11:13" x14ac:dyDescent="0.2">
      <c r="K993" s="37"/>
      <c r="L993" s="51"/>
      <c r="M993" s="51"/>
    </row>
    <row r="994" spans="11:13" x14ac:dyDescent="0.2">
      <c r="K994" s="37"/>
      <c r="L994" s="51"/>
      <c r="M994" s="51"/>
    </row>
    <row r="995" spans="11:13" x14ac:dyDescent="0.2">
      <c r="K995" s="37"/>
      <c r="L995" s="51"/>
      <c r="M995" s="51"/>
    </row>
    <row r="996" spans="11:13" x14ac:dyDescent="0.2">
      <c r="K996" s="37"/>
      <c r="L996" s="51"/>
      <c r="M996" s="51"/>
    </row>
    <row r="997" spans="11:13" x14ac:dyDescent="0.2">
      <c r="K997" s="37"/>
      <c r="L997" s="51"/>
      <c r="M997" s="51"/>
    </row>
    <row r="998" spans="11:13" x14ac:dyDescent="0.2">
      <c r="K998" s="37"/>
      <c r="L998" s="51"/>
      <c r="M998" s="51"/>
    </row>
    <row r="999" spans="11:13" x14ac:dyDescent="0.2">
      <c r="K999" s="37"/>
      <c r="L999" s="51"/>
      <c r="M999" s="51"/>
    </row>
    <row r="1000" spans="11:13" x14ac:dyDescent="0.2">
      <c r="K1000" s="37"/>
      <c r="L1000" s="51"/>
      <c r="M1000" s="51"/>
    </row>
    <row r="1001" spans="11:13" x14ac:dyDescent="0.2">
      <c r="K1001" s="37"/>
      <c r="L1001" s="51"/>
      <c r="M1001" s="51"/>
    </row>
    <row r="1002" spans="11:13" x14ac:dyDescent="0.2">
      <c r="K1002" s="37"/>
      <c r="L1002" s="51"/>
      <c r="M1002" s="51"/>
    </row>
    <row r="1003" spans="11:13" x14ac:dyDescent="0.2">
      <c r="K1003" s="37"/>
      <c r="L1003" s="51"/>
      <c r="M1003" s="51"/>
    </row>
    <row r="1004" spans="11:13" x14ac:dyDescent="0.2">
      <c r="K1004" s="37"/>
      <c r="L1004" s="51"/>
      <c r="M1004" s="51"/>
    </row>
    <row r="1005" spans="11:13" x14ac:dyDescent="0.2">
      <c r="K1005" s="37"/>
      <c r="L1005" s="51"/>
      <c r="M1005" s="51"/>
    </row>
    <row r="1006" spans="11:13" x14ac:dyDescent="0.2">
      <c r="K1006" s="37"/>
      <c r="L1006" s="51"/>
      <c r="M1006" s="51"/>
    </row>
    <row r="1007" spans="11:13" x14ac:dyDescent="0.2">
      <c r="K1007" s="37"/>
      <c r="L1007" s="51"/>
      <c r="M1007" s="51"/>
    </row>
    <row r="1008" spans="11:13" x14ac:dyDescent="0.2">
      <c r="K1008" s="37"/>
      <c r="L1008" s="51"/>
      <c r="M1008" s="51"/>
    </row>
    <row r="1009" spans="11:13" x14ac:dyDescent="0.2">
      <c r="K1009" s="37"/>
      <c r="L1009" s="51"/>
      <c r="M1009" s="51"/>
    </row>
    <row r="1010" spans="11:13" x14ac:dyDescent="0.2">
      <c r="K1010" s="37"/>
      <c r="L1010" s="51"/>
      <c r="M1010" s="51"/>
    </row>
    <row r="1011" spans="11:13" x14ac:dyDescent="0.2">
      <c r="K1011" s="37"/>
      <c r="L1011" s="51"/>
      <c r="M1011" s="51"/>
    </row>
    <row r="1012" spans="11:13" x14ac:dyDescent="0.2">
      <c r="K1012" s="37"/>
      <c r="L1012" s="51"/>
      <c r="M1012" s="51"/>
    </row>
    <row r="1013" spans="11:13" x14ac:dyDescent="0.2">
      <c r="K1013" s="37"/>
      <c r="L1013" s="51"/>
      <c r="M1013" s="51"/>
    </row>
    <row r="1014" spans="11:13" x14ac:dyDescent="0.2">
      <c r="K1014" s="37"/>
      <c r="L1014" s="51"/>
      <c r="M1014" s="51"/>
    </row>
    <row r="1015" spans="11:13" x14ac:dyDescent="0.2">
      <c r="K1015" s="37"/>
      <c r="L1015" s="51"/>
      <c r="M1015" s="51"/>
    </row>
    <row r="1016" spans="11:13" x14ac:dyDescent="0.2">
      <c r="K1016" s="37"/>
      <c r="L1016" s="51"/>
      <c r="M1016" s="51"/>
    </row>
    <row r="1017" spans="11:13" x14ac:dyDescent="0.2">
      <c r="K1017" s="37"/>
      <c r="L1017" s="51"/>
      <c r="M1017" s="51"/>
    </row>
    <row r="1018" spans="11:13" x14ac:dyDescent="0.2">
      <c r="K1018" s="37"/>
      <c r="L1018" s="51"/>
      <c r="M1018" s="51"/>
    </row>
    <row r="1019" spans="11:13" x14ac:dyDescent="0.2">
      <c r="K1019" s="37"/>
      <c r="L1019" s="51"/>
      <c r="M1019" s="51"/>
    </row>
    <row r="1020" spans="11:13" x14ac:dyDescent="0.2">
      <c r="K1020" s="37"/>
      <c r="L1020" s="51"/>
      <c r="M1020" s="51"/>
    </row>
    <row r="1021" spans="11:13" x14ac:dyDescent="0.2">
      <c r="K1021" s="37"/>
      <c r="L1021" s="51"/>
      <c r="M1021" s="51"/>
    </row>
    <row r="1022" spans="11:13" x14ac:dyDescent="0.2">
      <c r="K1022" s="37"/>
      <c r="L1022" s="51"/>
      <c r="M1022" s="51"/>
    </row>
    <row r="1023" spans="11:13" x14ac:dyDescent="0.2">
      <c r="K1023" s="37"/>
      <c r="L1023" s="51"/>
      <c r="M1023" s="51"/>
    </row>
    <row r="1024" spans="11:13" x14ac:dyDescent="0.2">
      <c r="K1024" s="37"/>
      <c r="L1024" s="51"/>
      <c r="M1024" s="51"/>
    </row>
    <row r="1025" spans="11:13" x14ac:dyDescent="0.2">
      <c r="K1025" s="37"/>
      <c r="L1025" s="51"/>
      <c r="M1025" s="51"/>
    </row>
    <row r="1026" spans="11:13" x14ac:dyDescent="0.2">
      <c r="K1026" s="37"/>
      <c r="L1026" s="51"/>
      <c r="M1026" s="51"/>
    </row>
    <row r="1027" spans="11:13" x14ac:dyDescent="0.2">
      <c r="K1027" s="37"/>
      <c r="L1027" s="51"/>
      <c r="M1027" s="51"/>
    </row>
    <row r="1028" spans="11:13" x14ac:dyDescent="0.2">
      <c r="K1028" s="37"/>
      <c r="L1028" s="51"/>
      <c r="M1028" s="51"/>
    </row>
    <row r="1029" spans="11:13" x14ac:dyDescent="0.2">
      <c r="K1029" s="37"/>
      <c r="L1029" s="51"/>
      <c r="M1029" s="51"/>
    </row>
    <row r="1030" spans="11:13" x14ac:dyDescent="0.2">
      <c r="K1030" s="37"/>
      <c r="L1030" s="51"/>
      <c r="M1030" s="51"/>
    </row>
    <row r="1031" spans="11:13" x14ac:dyDescent="0.2">
      <c r="K1031" s="37"/>
      <c r="L1031" s="51"/>
      <c r="M1031" s="51"/>
    </row>
    <row r="1032" spans="11:13" x14ac:dyDescent="0.2">
      <c r="K1032" s="37"/>
      <c r="L1032" s="51"/>
      <c r="M1032" s="51"/>
    </row>
    <row r="1033" spans="11:13" x14ac:dyDescent="0.2">
      <c r="K1033" s="37"/>
      <c r="L1033" s="51"/>
      <c r="M1033" s="51"/>
    </row>
    <row r="1034" spans="11:13" x14ac:dyDescent="0.2">
      <c r="K1034" s="37"/>
      <c r="L1034" s="51"/>
      <c r="M1034" s="51"/>
    </row>
    <row r="1035" spans="11:13" x14ac:dyDescent="0.2">
      <c r="K1035" s="37"/>
      <c r="L1035" s="51"/>
      <c r="M1035" s="51"/>
    </row>
    <row r="1036" spans="11:13" x14ac:dyDescent="0.2">
      <c r="K1036" s="37"/>
      <c r="L1036" s="51"/>
      <c r="M1036" s="51"/>
    </row>
    <row r="1037" spans="11:13" x14ac:dyDescent="0.2">
      <c r="K1037" s="37"/>
      <c r="L1037" s="51"/>
      <c r="M1037" s="51"/>
    </row>
    <row r="1038" spans="11:13" x14ac:dyDescent="0.2">
      <c r="K1038" s="37"/>
      <c r="L1038" s="51"/>
      <c r="M1038" s="51"/>
    </row>
    <row r="1039" spans="11:13" x14ac:dyDescent="0.2">
      <c r="K1039" s="37"/>
      <c r="L1039" s="51"/>
      <c r="M1039" s="51"/>
    </row>
    <row r="1040" spans="11:13" x14ac:dyDescent="0.2">
      <c r="K1040" s="37"/>
      <c r="L1040" s="51"/>
      <c r="M1040" s="51"/>
    </row>
    <row r="1041" spans="11:13" x14ac:dyDescent="0.2">
      <c r="K1041" s="37"/>
      <c r="L1041" s="51"/>
      <c r="M1041" s="51"/>
    </row>
    <row r="1042" spans="11:13" x14ac:dyDescent="0.2">
      <c r="K1042" s="37"/>
      <c r="L1042" s="51"/>
      <c r="M1042" s="51"/>
    </row>
    <row r="1043" spans="11:13" x14ac:dyDescent="0.2">
      <c r="K1043" s="37"/>
      <c r="L1043" s="51"/>
      <c r="M1043" s="51"/>
    </row>
    <row r="1044" spans="11:13" x14ac:dyDescent="0.2">
      <c r="K1044" s="37"/>
      <c r="L1044" s="51"/>
      <c r="M1044" s="51"/>
    </row>
    <row r="1045" spans="11:13" x14ac:dyDescent="0.2">
      <c r="K1045" s="37"/>
      <c r="L1045" s="51"/>
      <c r="M1045" s="51"/>
    </row>
    <row r="1046" spans="11:13" x14ac:dyDescent="0.2">
      <c r="K1046" s="37"/>
      <c r="L1046" s="51"/>
      <c r="M1046" s="51"/>
    </row>
    <row r="1047" spans="11:13" x14ac:dyDescent="0.2">
      <c r="K1047" s="37"/>
      <c r="L1047" s="51"/>
      <c r="M1047" s="51"/>
    </row>
    <row r="1048" spans="11:13" x14ac:dyDescent="0.2">
      <c r="K1048" s="37"/>
      <c r="L1048" s="51"/>
      <c r="M1048" s="51"/>
    </row>
    <row r="1049" spans="11:13" x14ac:dyDescent="0.2">
      <c r="K1049" s="37"/>
      <c r="L1049" s="51"/>
      <c r="M1049" s="51"/>
    </row>
    <row r="1050" spans="11:13" x14ac:dyDescent="0.2">
      <c r="K1050" s="37"/>
      <c r="L1050" s="51"/>
      <c r="M1050" s="51"/>
    </row>
    <row r="1051" spans="11:13" x14ac:dyDescent="0.2">
      <c r="K1051" s="37"/>
      <c r="L1051" s="51"/>
      <c r="M1051" s="51"/>
    </row>
    <row r="1052" spans="11:13" x14ac:dyDescent="0.2">
      <c r="K1052" s="37"/>
      <c r="L1052" s="51"/>
      <c r="M1052" s="51"/>
    </row>
    <row r="1053" spans="11:13" x14ac:dyDescent="0.2">
      <c r="K1053" s="37"/>
      <c r="L1053" s="51"/>
      <c r="M1053" s="51"/>
    </row>
    <row r="1054" spans="11:13" x14ac:dyDescent="0.2">
      <c r="K1054" s="37"/>
      <c r="L1054" s="51"/>
      <c r="M1054" s="51"/>
    </row>
    <row r="1055" spans="11:13" x14ac:dyDescent="0.2">
      <c r="K1055" s="37"/>
      <c r="L1055" s="51"/>
      <c r="M1055" s="51"/>
    </row>
    <row r="1056" spans="11:13" x14ac:dyDescent="0.2">
      <c r="K1056" s="37"/>
      <c r="L1056" s="51"/>
      <c r="M1056" s="51"/>
    </row>
    <row r="1057" spans="11:13" x14ac:dyDescent="0.2">
      <c r="K1057" s="37"/>
      <c r="L1057" s="51"/>
      <c r="M1057" s="51"/>
    </row>
    <row r="1058" spans="11:13" x14ac:dyDescent="0.2">
      <c r="K1058" s="37"/>
      <c r="L1058" s="51"/>
      <c r="M1058" s="51"/>
    </row>
    <row r="1059" spans="11:13" x14ac:dyDescent="0.2">
      <c r="K1059" s="37"/>
      <c r="L1059" s="51"/>
      <c r="M1059" s="51"/>
    </row>
    <row r="1060" spans="11:13" x14ac:dyDescent="0.2">
      <c r="K1060" s="37"/>
      <c r="L1060" s="51"/>
      <c r="M1060" s="51"/>
    </row>
    <row r="1061" spans="11:13" x14ac:dyDescent="0.2">
      <c r="K1061" s="37"/>
      <c r="L1061" s="51"/>
      <c r="M1061" s="51"/>
    </row>
    <row r="1062" spans="11:13" x14ac:dyDescent="0.2">
      <c r="K1062" s="37"/>
      <c r="L1062" s="51"/>
      <c r="M1062" s="51"/>
    </row>
    <row r="1063" spans="11:13" x14ac:dyDescent="0.2">
      <c r="K1063" s="37"/>
      <c r="L1063" s="51"/>
      <c r="M1063" s="51"/>
    </row>
    <row r="1064" spans="11:13" x14ac:dyDescent="0.2">
      <c r="K1064" s="37"/>
      <c r="L1064" s="51"/>
      <c r="M1064" s="51"/>
    </row>
    <row r="1065" spans="11:13" x14ac:dyDescent="0.2">
      <c r="K1065" s="37"/>
      <c r="L1065" s="51"/>
      <c r="M1065" s="51"/>
    </row>
    <row r="1066" spans="11:13" x14ac:dyDescent="0.2">
      <c r="K1066" s="37"/>
      <c r="L1066" s="51"/>
      <c r="M1066" s="51"/>
    </row>
    <row r="1067" spans="11:13" x14ac:dyDescent="0.2">
      <c r="K1067" s="37"/>
      <c r="L1067" s="51"/>
      <c r="M1067" s="51"/>
    </row>
    <row r="1068" spans="11:13" x14ac:dyDescent="0.2">
      <c r="K1068" s="37"/>
      <c r="L1068" s="51"/>
      <c r="M1068" s="51"/>
    </row>
    <row r="1069" spans="11:13" x14ac:dyDescent="0.2">
      <c r="K1069" s="37"/>
      <c r="L1069" s="51"/>
      <c r="M1069" s="51"/>
    </row>
    <row r="1070" spans="11:13" x14ac:dyDescent="0.2">
      <c r="K1070" s="37"/>
      <c r="L1070" s="51"/>
      <c r="M1070" s="51"/>
    </row>
    <row r="1071" spans="11:13" x14ac:dyDescent="0.2">
      <c r="K1071" s="37"/>
      <c r="L1071" s="51"/>
      <c r="M1071" s="51"/>
    </row>
    <row r="1072" spans="11:13" x14ac:dyDescent="0.2">
      <c r="K1072" s="37"/>
      <c r="L1072" s="51"/>
      <c r="M1072" s="51"/>
    </row>
    <row r="1073" spans="11:13" x14ac:dyDescent="0.2">
      <c r="K1073" s="37"/>
      <c r="L1073" s="51"/>
      <c r="M1073" s="51"/>
    </row>
    <row r="1074" spans="11:13" x14ac:dyDescent="0.2">
      <c r="K1074" s="37"/>
      <c r="L1074" s="51"/>
      <c r="M1074" s="51"/>
    </row>
    <row r="1075" spans="11:13" x14ac:dyDescent="0.2">
      <c r="K1075" s="37"/>
      <c r="L1075" s="51"/>
      <c r="M1075" s="51"/>
    </row>
    <row r="1076" spans="11:13" x14ac:dyDescent="0.2">
      <c r="K1076" s="37"/>
      <c r="L1076" s="51"/>
      <c r="M1076" s="51"/>
    </row>
    <row r="1077" spans="11:13" x14ac:dyDescent="0.2">
      <c r="K1077" s="37"/>
      <c r="L1077" s="51"/>
      <c r="M1077" s="51"/>
    </row>
    <row r="1078" spans="11:13" x14ac:dyDescent="0.2">
      <c r="K1078" s="37"/>
      <c r="L1078" s="51"/>
      <c r="M1078" s="51"/>
    </row>
    <row r="1079" spans="11:13" x14ac:dyDescent="0.2">
      <c r="K1079" s="37"/>
      <c r="L1079" s="51"/>
      <c r="M1079" s="51"/>
    </row>
    <row r="1080" spans="11:13" x14ac:dyDescent="0.2">
      <c r="K1080" s="37"/>
      <c r="L1080" s="51"/>
      <c r="M1080" s="51"/>
    </row>
    <row r="1081" spans="11:13" x14ac:dyDescent="0.2">
      <c r="K1081" s="37"/>
      <c r="L1081" s="51"/>
      <c r="M1081" s="51"/>
    </row>
    <row r="1082" spans="11:13" x14ac:dyDescent="0.2">
      <c r="K1082" s="37"/>
      <c r="L1082" s="51"/>
      <c r="M1082" s="51"/>
    </row>
    <row r="1083" spans="11:13" x14ac:dyDescent="0.2">
      <c r="K1083" s="37"/>
      <c r="L1083" s="51"/>
      <c r="M1083" s="51"/>
    </row>
    <row r="1084" spans="11:13" x14ac:dyDescent="0.2">
      <c r="K1084" s="37"/>
      <c r="L1084" s="51"/>
      <c r="M1084" s="51"/>
    </row>
    <row r="1085" spans="11:13" x14ac:dyDescent="0.2">
      <c r="K1085" s="37"/>
      <c r="L1085" s="51"/>
      <c r="M1085" s="51"/>
    </row>
    <row r="1086" spans="11:13" x14ac:dyDescent="0.2">
      <c r="K1086" s="37"/>
      <c r="L1086" s="51"/>
      <c r="M1086" s="51"/>
    </row>
    <row r="1087" spans="11:13" x14ac:dyDescent="0.2">
      <c r="K1087" s="37"/>
      <c r="L1087" s="51"/>
      <c r="M1087" s="51"/>
    </row>
    <row r="1088" spans="11:13" x14ac:dyDescent="0.2">
      <c r="K1088" s="37"/>
      <c r="L1088" s="51"/>
      <c r="M1088" s="51"/>
    </row>
    <row r="1089" spans="11:13" x14ac:dyDescent="0.2">
      <c r="K1089" s="37"/>
      <c r="L1089" s="51"/>
      <c r="M1089" s="51"/>
    </row>
    <row r="1090" spans="11:13" x14ac:dyDescent="0.2">
      <c r="K1090" s="37"/>
      <c r="L1090" s="51"/>
      <c r="M1090" s="51"/>
    </row>
    <row r="1091" spans="11:13" x14ac:dyDescent="0.2">
      <c r="K1091" s="37"/>
      <c r="L1091" s="51"/>
      <c r="M1091" s="51"/>
    </row>
    <row r="1092" spans="11:13" x14ac:dyDescent="0.2">
      <c r="K1092" s="37"/>
      <c r="L1092" s="51"/>
      <c r="M1092" s="51"/>
    </row>
    <row r="1093" spans="11:13" x14ac:dyDescent="0.2">
      <c r="K1093" s="37"/>
      <c r="L1093" s="51"/>
      <c r="M1093" s="51"/>
    </row>
    <row r="1094" spans="11:13" x14ac:dyDescent="0.2">
      <c r="K1094" s="37"/>
      <c r="L1094" s="51"/>
      <c r="M1094" s="51"/>
    </row>
    <row r="1095" spans="11:13" x14ac:dyDescent="0.2">
      <c r="K1095" s="37"/>
      <c r="L1095" s="51"/>
      <c r="M1095" s="51"/>
    </row>
    <row r="1096" spans="11:13" x14ac:dyDescent="0.2">
      <c r="K1096" s="37"/>
      <c r="L1096" s="51"/>
      <c r="M1096" s="51"/>
    </row>
    <row r="1097" spans="11:13" x14ac:dyDescent="0.2">
      <c r="K1097" s="37"/>
      <c r="L1097" s="51"/>
      <c r="M1097" s="51"/>
    </row>
    <row r="1098" spans="11:13" x14ac:dyDescent="0.2">
      <c r="K1098" s="37"/>
      <c r="L1098" s="51"/>
      <c r="M1098" s="51"/>
    </row>
    <row r="1099" spans="11:13" x14ac:dyDescent="0.2">
      <c r="K1099" s="37"/>
      <c r="L1099" s="51"/>
      <c r="M1099" s="51"/>
    </row>
    <row r="1100" spans="11:13" x14ac:dyDescent="0.2">
      <c r="K1100" s="37"/>
      <c r="L1100" s="51"/>
      <c r="M1100" s="51"/>
    </row>
    <row r="1101" spans="11:13" x14ac:dyDescent="0.2">
      <c r="K1101" s="37"/>
      <c r="L1101" s="51"/>
      <c r="M1101" s="51"/>
    </row>
    <row r="1102" spans="11:13" x14ac:dyDescent="0.2">
      <c r="K1102" s="37"/>
      <c r="L1102" s="51"/>
      <c r="M1102" s="51"/>
    </row>
    <row r="1103" spans="11:13" x14ac:dyDescent="0.2">
      <c r="K1103" s="37"/>
      <c r="L1103" s="51"/>
      <c r="M1103" s="51"/>
    </row>
    <row r="1104" spans="11:13" x14ac:dyDescent="0.2">
      <c r="K1104" s="37"/>
      <c r="L1104" s="51"/>
      <c r="M1104" s="51"/>
    </row>
    <row r="1105" spans="11:13" x14ac:dyDescent="0.2">
      <c r="K1105" s="37"/>
      <c r="L1105" s="51"/>
      <c r="M1105" s="51"/>
    </row>
    <row r="1106" spans="11:13" x14ac:dyDescent="0.2">
      <c r="K1106" s="37"/>
      <c r="L1106" s="51"/>
      <c r="M1106" s="51"/>
    </row>
    <row r="1107" spans="11:13" x14ac:dyDescent="0.2">
      <c r="K1107" s="37"/>
      <c r="L1107" s="51"/>
      <c r="M1107" s="51"/>
    </row>
    <row r="1108" spans="11:13" x14ac:dyDescent="0.2">
      <c r="K1108" s="37"/>
      <c r="L1108" s="51"/>
      <c r="M1108" s="51"/>
    </row>
    <row r="1109" spans="11:13" x14ac:dyDescent="0.2">
      <c r="K1109" s="37"/>
      <c r="L1109" s="51"/>
      <c r="M1109" s="51"/>
    </row>
    <row r="1110" spans="11:13" x14ac:dyDescent="0.2">
      <c r="K1110" s="37"/>
      <c r="L1110" s="51"/>
      <c r="M1110" s="51"/>
    </row>
    <row r="1111" spans="11:13" x14ac:dyDescent="0.2">
      <c r="K1111" s="37"/>
      <c r="L1111" s="51"/>
      <c r="M1111" s="51"/>
    </row>
    <row r="1112" spans="11:13" x14ac:dyDescent="0.2">
      <c r="K1112" s="37"/>
      <c r="L1112" s="51"/>
      <c r="M1112" s="51"/>
    </row>
    <row r="1113" spans="11:13" x14ac:dyDescent="0.2">
      <c r="K1113" s="37"/>
      <c r="L1113" s="51"/>
      <c r="M1113" s="51"/>
    </row>
    <row r="1114" spans="11:13" x14ac:dyDescent="0.2">
      <c r="K1114" s="37"/>
      <c r="L1114" s="51"/>
      <c r="M1114" s="51"/>
    </row>
    <row r="1115" spans="11:13" x14ac:dyDescent="0.2">
      <c r="K1115" s="37"/>
      <c r="L1115" s="51"/>
      <c r="M1115" s="51"/>
    </row>
    <row r="1116" spans="11:13" x14ac:dyDescent="0.2">
      <c r="K1116" s="37"/>
      <c r="L1116" s="51"/>
      <c r="M1116" s="51"/>
    </row>
    <row r="1117" spans="11:13" x14ac:dyDescent="0.2">
      <c r="K1117" s="37"/>
      <c r="L1117" s="51"/>
      <c r="M1117" s="51"/>
    </row>
    <row r="1118" spans="11:13" x14ac:dyDescent="0.2">
      <c r="K1118" s="37"/>
      <c r="L1118" s="51"/>
      <c r="M1118" s="51"/>
    </row>
    <row r="1119" spans="11:13" x14ac:dyDescent="0.2">
      <c r="K1119" s="37"/>
      <c r="L1119" s="51"/>
      <c r="M1119" s="51"/>
    </row>
    <row r="1120" spans="11:13" x14ac:dyDescent="0.2">
      <c r="K1120" s="37"/>
      <c r="L1120" s="51"/>
      <c r="M1120" s="51"/>
    </row>
    <row r="1121" spans="11:13" x14ac:dyDescent="0.2">
      <c r="K1121" s="37"/>
      <c r="L1121" s="51"/>
      <c r="M1121" s="51"/>
    </row>
    <row r="1122" spans="11:13" x14ac:dyDescent="0.2">
      <c r="K1122" s="37"/>
      <c r="L1122" s="51"/>
      <c r="M1122" s="51"/>
    </row>
    <row r="1123" spans="11:13" x14ac:dyDescent="0.2">
      <c r="K1123" s="37"/>
      <c r="L1123" s="51"/>
      <c r="M1123" s="51"/>
    </row>
    <row r="1124" spans="11:13" x14ac:dyDescent="0.2">
      <c r="K1124" s="37"/>
      <c r="L1124" s="51"/>
      <c r="M1124" s="51"/>
    </row>
    <row r="1125" spans="11:13" x14ac:dyDescent="0.2">
      <c r="K1125" s="37"/>
      <c r="L1125" s="51"/>
      <c r="M1125" s="51"/>
    </row>
    <row r="1126" spans="11:13" x14ac:dyDescent="0.2">
      <c r="K1126" s="37"/>
      <c r="L1126" s="51"/>
      <c r="M1126" s="51"/>
    </row>
    <row r="1127" spans="11:13" x14ac:dyDescent="0.2">
      <c r="K1127" s="37"/>
      <c r="L1127" s="51"/>
      <c r="M1127" s="51"/>
    </row>
    <row r="1128" spans="11:13" x14ac:dyDescent="0.2">
      <c r="K1128" s="37"/>
      <c r="L1128" s="51"/>
      <c r="M1128" s="51"/>
    </row>
    <row r="1129" spans="11:13" x14ac:dyDescent="0.2">
      <c r="K1129" s="37"/>
      <c r="L1129" s="51"/>
      <c r="M1129" s="51"/>
    </row>
    <row r="1130" spans="11:13" x14ac:dyDescent="0.2">
      <c r="K1130" s="37"/>
      <c r="L1130" s="51"/>
      <c r="M1130" s="51"/>
    </row>
    <row r="1131" spans="11:13" x14ac:dyDescent="0.2">
      <c r="K1131" s="37"/>
      <c r="L1131" s="51"/>
      <c r="M1131" s="51"/>
    </row>
    <row r="1132" spans="11:13" x14ac:dyDescent="0.2">
      <c r="K1132" s="37"/>
      <c r="L1132" s="51"/>
      <c r="M1132" s="51"/>
    </row>
    <row r="1133" spans="11:13" x14ac:dyDescent="0.2">
      <c r="K1133" s="37"/>
      <c r="L1133" s="51"/>
      <c r="M1133" s="51"/>
    </row>
    <row r="1134" spans="11:13" x14ac:dyDescent="0.2">
      <c r="K1134" s="37"/>
      <c r="L1134" s="51"/>
      <c r="M1134" s="51"/>
    </row>
    <row r="1135" spans="11:13" x14ac:dyDescent="0.2">
      <c r="K1135" s="37"/>
      <c r="L1135" s="51"/>
      <c r="M1135" s="51"/>
    </row>
    <row r="1136" spans="11:13" x14ac:dyDescent="0.2">
      <c r="K1136" s="37"/>
      <c r="L1136" s="51"/>
      <c r="M1136" s="51"/>
    </row>
    <row r="1137" spans="11:13" x14ac:dyDescent="0.2">
      <c r="K1137" s="37"/>
      <c r="L1137" s="51"/>
      <c r="M1137" s="51"/>
    </row>
    <row r="1138" spans="11:13" x14ac:dyDescent="0.2">
      <c r="K1138" s="37"/>
      <c r="L1138" s="51"/>
      <c r="M1138" s="51"/>
    </row>
    <row r="1139" spans="11:13" x14ac:dyDescent="0.2">
      <c r="K1139" s="37"/>
      <c r="L1139" s="51"/>
      <c r="M1139" s="51"/>
    </row>
    <row r="1140" spans="11:13" x14ac:dyDescent="0.2">
      <c r="K1140" s="37"/>
      <c r="L1140" s="51"/>
      <c r="M1140" s="51"/>
    </row>
    <row r="1141" spans="11:13" x14ac:dyDescent="0.2">
      <c r="K1141" s="37"/>
      <c r="L1141" s="51"/>
      <c r="M1141" s="51"/>
    </row>
    <row r="1142" spans="11:13" x14ac:dyDescent="0.2">
      <c r="K1142" s="37"/>
      <c r="L1142" s="51"/>
      <c r="M1142" s="51"/>
    </row>
    <row r="1143" spans="11:13" x14ac:dyDescent="0.2">
      <c r="K1143" s="37"/>
      <c r="L1143" s="51"/>
      <c r="M1143" s="51"/>
    </row>
    <row r="1144" spans="11:13" x14ac:dyDescent="0.2">
      <c r="K1144" s="37"/>
      <c r="L1144" s="51"/>
      <c r="M1144" s="51"/>
    </row>
    <row r="1145" spans="11:13" x14ac:dyDescent="0.2">
      <c r="K1145" s="37"/>
      <c r="L1145" s="51"/>
      <c r="M1145" s="51"/>
    </row>
    <row r="1146" spans="11:13" x14ac:dyDescent="0.2">
      <c r="K1146" s="37"/>
      <c r="L1146" s="51"/>
      <c r="M1146" s="51"/>
    </row>
    <row r="1147" spans="11:13" x14ac:dyDescent="0.2">
      <c r="K1147" s="37"/>
      <c r="L1147" s="51"/>
      <c r="M1147" s="51"/>
    </row>
    <row r="1148" spans="11:13" x14ac:dyDescent="0.2">
      <c r="K1148" s="37"/>
      <c r="L1148" s="51"/>
      <c r="M1148" s="51"/>
    </row>
    <row r="1149" spans="11:13" x14ac:dyDescent="0.2">
      <c r="K1149" s="37"/>
      <c r="L1149" s="51"/>
      <c r="M1149" s="51"/>
    </row>
    <row r="1150" spans="11:13" x14ac:dyDescent="0.2">
      <c r="K1150" s="37"/>
      <c r="L1150" s="51"/>
      <c r="M1150" s="51"/>
    </row>
    <row r="1151" spans="11:13" x14ac:dyDescent="0.2">
      <c r="K1151" s="37"/>
      <c r="L1151" s="51"/>
      <c r="M1151" s="51"/>
    </row>
    <row r="1152" spans="11:13" x14ac:dyDescent="0.2">
      <c r="K1152" s="37"/>
      <c r="L1152" s="51"/>
      <c r="M1152" s="51"/>
    </row>
    <row r="1153" spans="11:13" x14ac:dyDescent="0.2">
      <c r="K1153" s="37"/>
      <c r="L1153" s="51"/>
      <c r="M1153" s="51"/>
    </row>
    <row r="1154" spans="11:13" x14ac:dyDescent="0.2">
      <c r="K1154" s="37"/>
      <c r="L1154" s="51"/>
      <c r="M1154" s="51"/>
    </row>
    <row r="1155" spans="11:13" x14ac:dyDescent="0.2">
      <c r="K1155" s="37"/>
      <c r="L1155" s="51"/>
      <c r="M1155" s="51"/>
    </row>
    <row r="1156" spans="11:13" x14ac:dyDescent="0.2">
      <c r="K1156" s="37"/>
      <c r="L1156" s="51"/>
      <c r="M1156" s="51"/>
    </row>
    <row r="1157" spans="11:13" x14ac:dyDescent="0.2">
      <c r="K1157" s="37"/>
      <c r="L1157" s="51"/>
      <c r="M1157" s="51"/>
    </row>
    <row r="1158" spans="11:13" x14ac:dyDescent="0.2">
      <c r="K1158" s="37"/>
      <c r="L1158" s="51"/>
      <c r="M1158" s="51"/>
    </row>
    <row r="1159" spans="11:13" x14ac:dyDescent="0.2">
      <c r="K1159" s="37"/>
      <c r="L1159" s="51"/>
      <c r="M1159" s="51"/>
    </row>
    <row r="1160" spans="11:13" x14ac:dyDescent="0.2">
      <c r="K1160" s="37"/>
      <c r="L1160" s="51"/>
      <c r="M1160" s="51"/>
    </row>
    <row r="1161" spans="11:13" x14ac:dyDescent="0.2">
      <c r="K1161" s="37"/>
      <c r="L1161" s="51"/>
      <c r="M1161" s="51"/>
    </row>
    <row r="1162" spans="11:13" x14ac:dyDescent="0.2">
      <c r="K1162" s="37"/>
      <c r="L1162" s="51"/>
      <c r="M1162" s="51"/>
    </row>
    <row r="1163" spans="11:13" x14ac:dyDescent="0.2">
      <c r="K1163" s="37"/>
      <c r="L1163" s="51"/>
      <c r="M1163" s="51"/>
    </row>
    <row r="1164" spans="11:13" x14ac:dyDescent="0.2">
      <c r="K1164" s="37"/>
      <c r="L1164" s="51"/>
      <c r="M1164" s="51"/>
    </row>
    <row r="1165" spans="11:13" x14ac:dyDescent="0.2">
      <c r="K1165" s="37"/>
      <c r="L1165" s="51"/>
      <c r="M1165" s="51"/>
    </row>
    <row r="1166" spans="11:13" x14ac:dyDescent="0.2">
      <c r="K1166" s="37"/>
      <c r="L1166" s="51"/>
      <c r="M1166" s="51"/>
    </row>
    <row r="1167" spans="11:13" x14ac:dyDescent="0.2">
      <c r="K1167" s="37"/>
      <c r="L1167" s="51"/>
      <c r="M1167" s="51"/>
    </row>
    <row r="1168" spans="11:13" x14ac:dyDescent="0.2">
      <c r="K1168" s="37"/>
      <c r="L1168" s="51"/>
      <c r="M1168" s="51"/>
    </row>
    <row r="1169" spans="11:13" x14ac:dyDescent="0.2">
      <c r="K1169" s="37"/>
      <c r="L1169" s="51"/>
      <c r="M1169" s="51"/>
    </row>
    <row r="1170" spans="11:13" x14ac:dyDescent="0.2">
      <c r="K1170" s="37"/>
      <c r="L1170" s="51"/>
      <c r="M1170" s="51"/>
    </row>
    <row r="1171" spans="11:13" x14ac:dyDescent="0.2">
      <c r="K1171" s="37"/>
      <c r="L1171" s="51"/>
      <c r="M1171" s="51"/>
    </row>
    <row r="1172" spans="11:13" x14ac:dyDescent="0.2">
      <c r="K1172" s="37"/>
      <c r="L1172" s="51"/>
      <c r="M1172" s="51"/>
    </row>
    <row r="1173" spans="11:13" x14ac:dyDescent="0.2">
      <c r="K1173" s="37"/>
      <c r="L1173" s="51"/>
      <c r="M1173" s="51"/>
    </row>
    <row r="1174" spans="11:13" x14ac:dyDescent="0.2">
      <c r="K1174" s="37"/>
      <c r="L1174" s="51"/>
      <c r="M1174" s="51"/>
    </row>
    <row r="1175" spans="11:13" x14ac:dyDescent="0.2">
      <c r="K1175" s="37"/>
      <c r="L1175" s="51"/>
      <c r="M1175" s="51"/>
    </row>
    <row r="1176" spans="11:13" x14ac:dyDescent="0.2">
      <c r="K1176" s="37"/>
      <c r="L1176" s="51"/>
      <c r="M1176" s="51"/>
    </row>
    <row r="1177" spans="11:13" x14ac:dyDescent="0.2">
      <c r="K1177" s="37"/>
      <c r="L1177" s="51"/>
      <c r="M1177" s="51"/>
    </row>
    <row r="1178" spans="11:13" x14ac:dyDescent="0.2">
      <c r="K1178" s="37"/>
      <c r="L1178" s="51"/>
      <c r="M1178" s="51"/>
    </row>
    <row r="1179" spans="11:13" x14ac:dyDescent="0.2">
      <c r="K1179" s="37"/>
      <c r="L1179" s="51"/>
      <c r="M1179" s="51"/>
    </row>
    <row r="1180" spans="11:13" x14ac:dyDescent="0.2">
      <c r="K1180" s="37"/>
      <c r="L1180" s="51"/>
      <c r="M1180" s="51"/>
    </row>
    <row r="1181" spans="11:13" x14ac:dyDescent="0.2">
      <c r="K1181" s="37"/>
      <c r="L1181" s="51"/>
      <c r="M1181" s="51"/>
    </row>
    <row r="1182" spans="11:13" x14ac:dyDescent="0.2">
      <c r="K1182" s="37"/>
      <c r="L1182" s="51"/>
      <c r="M1182" s="51"/>
    </row>
    <row r="1183" spans="11:13" x14ac:dyDescent="0.2">
      <c r="K1183" s="37"/>
      <c r="L1183" s="51"/>
      <c r="M1183" s="51"/>
    </row>
    <row r="1184" spans="11:13" x14ac:dyDescent="0.2">
      <c r="K1184" s="37"/>
      <c r="L1184" s="51"/>
      <c r="M1184" s="51"/>
    </row>
    <row r="1185" spans="11:13" x14ac:dyDescent="0.2">
      <c r="K1185" s="37"/>
      <c r="L1185" s="51"/>
      <c r="M1185" s="51"/>
    </row>
    <row r="1186" spans="11:13" x14ac:dyDescent="0.2">
      <c r="K1186" s="37"/>
      <c r="L1186" s="51"/>
      <c r="M1186" s="51"/>
    </row>
    <row r="1187" spans="11:13" x14ac:dyDescent="0.2">
      <c r="K1187" s="37"/>
      <c r="L1187" s="51"/>
      <c r="M1187" s="51"/>
    </row>
    <row r="1188" spans="11:13" x14ac:dyDescent="0.2">
      <c r="K1188" s="37"/>
      <c r="L1188" s="51"/>
      <c r="M1188" s="51"/>
    </row>
    <row r="1189" spans="11:13" x14ac:dyDescent="0.2">
      <c r="K1189" s="37"/>
      <c r="L1189" s="51"/>
      <c r="M1189" s="51"/>
    </row>
    <row r="1190" spans="11:13" x14ac:dyDescent="0.2">
      <c r="K1190" s="37"/>
      <c r="L1190" s="51"/>
      <c r="M1190" s="51"/>
    </row>
    <row r="1191" spans="11:13" x14ac:dyDescent="0.2">
      <c r="K1191" s="37"/>
      <c r="L1191" s="51"/>
      <c r="M1191" s="51"/>
    </row>
    <row r="1192" spans="11:13" x14ac:dyDescent="0.2">
      <c r="K1192" s="37"/>
      <c r="L1192" s="51"/>
      <c r="M1192" s="51"/>
    </row>
    <row r="1193" spans="11:13" x14ac:dyDescent="0.2">
      <c r="K1193" s="37"/>
      <c r="L1193" s="51"/>
      <c r="M1193" s="51"/>
    </row>
    <row r="1194" spans="11:13" x14ac:dyDescent="0.2">
      <c r="K1194" s="37"/>
      <c r="L1194" s="51"/>
      <c r="M1194" s="51"/>
    </row>
    <row r="1195" spans="11:13" x14ac:dyDescent="0.2">
      <c r="K1195" s="37"/>
      <c r="L1195" s="51"/>
      <c r="M1195" s="51"/>
    </row>
    <row r="1196" spans="11:13" x14ac:dyDescent="0.2">
      <c r="K1196" s="37"/>
      <c r="L1196" s="51"/>
      <c r="M1196" s="51"/>
    </row>
    <row r="1197" spans="11:13" x14ac:dyDescent="0.2">
      <c r="K1197" s="37"/>
      <c r="L1197" s="51"/>
      <c r="M1197" s="51"/>
    </row>
    <row r="1198" spans="11:13" x14ac:dyDescent="0.2">
      <c r="K1198" s="37"/>
      <c r="L1198" s="51"/>
      <c r="M1198" s="51"/>
    </row>
    <row r="1199" spans="11:13" x14ac:dyDescent="0.2">
      <c r="K1199" s="37"/>
      <c r="L1199" s="51"/>
      <c r="M1199" s="51"/>
    </row>
    <row r="1200" spans="11:13" x14ac:dyDescent="0.2">
      <c r="K1200" s="37"/>
      <c r="L1200" s="51"/>
      <c r="M1200" s="51"/>
    </row>
    <row r="1201" spans="11:13" x14ac:dyDescent="0.2">
      <c r="K1201" s="37"/>
      <c r="L1201" s="51"/>
      <c r="M1201" s="51"/>
    </row>
    <row r="1202" spans="11:13" x14ac:dyDescent="0.2">
      <c r="K1202" s="37"/>
      <c r="L1202" s="51"/>
      <c r="M1202" s="51"/>
    </row>
    <row r="1203" spans="11:13" x14ac:dyDescent="0.2">
      <c r="K1203" s="37"/>
      <c r="L1203" s="51"/>
      <c r="M1203" s="51"/>
    </row>
    <row r="1204" spans="11:13" x14ac:dyDescent="0.2">
      <c r="K1204" s="37"/>
      <c r="L1204" s="51"/>
      <c r="M1204" s="51"/>
    </row>
    <row r="1205" spans="11:13" x14ac:dyDescent="0.2">
      <c r="K1205" s="37"/>
      <c r="L1205" s="51"/>
      <c r="M1205" s="51"/>
    </row>
    <row r="1206" spans="11:13" x14ac:dyDescent="0.2">
      <c r="K1206" s="37"/>
      <c r="L1206" s="51"/>
      <c r="M1206" s="51"/>
    </row>
    <row r="1207" spans="11:13" x14ac:dyDescent="0.2">
      <c r="K1207" s="37"/>
      <c r="L1207" s="51"/>
      <c r="M1207" s="51"/>
    </row>
    <row r="1208" spans="11:13" x14ac:dyDescent="0.2">
      <c r="K1208" s="37"/>
      <c r="L1208" s="51"/>
      <c r="M1208" s="51"/>
    </row>
    <row r="1209" spans="11:13" x14ac:dyDescent="0.2">
      <c r="K1209" s="37"/>
      <c r="L1209" s="51"/>
      <c r="M1209" s="51"/>
    </row>
    <row r="1210" spans="11:13" x14ac:dyDescent="0.2">
      <c r="K1210" s="37"/>
      <c r="L1210" s="51"/>
      <c r="M1210" s="51"/>
    </row>
    <row r="1211" spans="11:13" x14ac:dyDescent="0.2">
      <c r="K1211" s="37"/>
      <c r="L1211" s="51"/>
      <c r="M1211" s="51"/>
    </row>
    <row r="1212" spans="11:13" x14ac:dyDescent="0.2">
      <c r="K1212" s="37"/>
      <c r="L1212" s="51"/>
      <c r="M1212" s="51"/>
    </row>
    <row r="1213" spans="11:13" x14ac:dyDescent="0.2">
      <c r="K1213" s="37"/>
      <c r="L1213" s="51"/>
      <c r="M1213" s="51"/>
    </row>
    <row r="1214" spans="11:13" x14ac:dyDescent="0.2">
      <c r="K1214" s="37"/>
      <c r="L1214" s="51"/>
      <c r="M1214" s="51"/>
    </row>
    <row r="1215" spans="11:13" x14ac:dyDescent="0.2">
      <c r="K1215" s="37"/>
      <c r="L1215" s="51"/>
      <c r="M1215" s="51"/>
    </row>
    <row r="1216" spans="11:13" x14ac:dyDescent="0.2">
      <c r="K1216" s="37"/>
      <c r="L1216" s="51"/>
      <c r="M1216" s="51"/>
    </row>
    <row r="1217" spans="11:13" x14ac:dyDescent="0.2">
      <c r="K1217" s="37"/>
      <c r="L1217" s="51"/>
      <c r="M1217" s="51"/>
    </row>
    <row r="1218" spans="11:13" x14ac:dyDescent="0.2">
      <c r="K1218" s="37"/>
      <c r="L1218" s="51"/>
      <c r="M1218" s="51"/>
    </row>
    <row r="1219" spans="11:13" x14ac:dyDescent="0.2">
      <c r="K1219" s="37"/>
      <c r="L1219" s="51"/>
      <c r="M1219" s="51"/>
    </row>
    <row r="1220" spans="11:13" x14ac:dyDescent="0.2">
      <c r="K1220" s="37"/>
      <c r="L1220" s="51"/>
      <c r="M1220" s="51"/>
    </row>
    <row r="1221" spans="11:13" x14ac:dyDescent="0.2">
      <c r="K1221" s="37"/>
      <c r="L1221" s="51"/>
      <c r="M1221" s="51"/>
    </row>
    <row r="1222" spans="11:13" x14ac:dyDescent="0.2">
      <c r="K1222" s="37"/>
      <c r="L1222" s="51"/>
      <c r="M1222" s="51"/>
    </row>
    <row r="1223" spans="11:13" x14ac:dyDescent="0.2">
      <c r="K1223" s="37"/>
      <c r="L1223" s="51"/>
      <c r="M1223" s="51"/>
    </row>
    <row r="1224" spans="11:13" x14ac:dyDescent="0.2">
      <c r="K1224" s="37"/>
      <c r="L1224" s="51"/>
      <c r="M1224" s="51"/>
    </row>
    <row r="1225" spans="11:13" x14ac:dyDescent="0.2">
      <c r="K1225" s="37"/>
      <c r="L1225" s="51"/>
      <c r="M1225" s="51"/>
    </row>
    <row r="1226" spans="11:13" x14ac:dyDescent="0.2">
      <c r="K1226" s="37"/>
      <c r="L1226" s="51"/>
      <c r="M1226" s="51"/>
    </row>
    <row r="1227" spans="11:13" x14ac:dyDescent="0.2">
      <c r="K1227" s="37"/>
      <c r="L1227" s="51"/>
      <c r="M1227" s="51"/>
    </row>
    <row r="1228" spans="11:13" x14ac:dyDescent="0.2">
      <c r="K1228" s="37"/>
      <c r="L1228" s="51"/>
      <c r="M1228" s="51"/>
    </row>
    <row r="1229" spans="11:13" x14ac:dyDescent="0.2">
      <c r="K1229" s="37"/>
      <c r="L1229" s="51"/>
      <c r="M1229" s="51"/>
    </row>
    <row r="1230" spans="11:13" x14ac:dyDescent="0.2">
      <c r="K1230" s="37"/>
      <c r="L1230" s="51"/>
      <c r="M1230" s="51"/>
    </row>
    <row r="1231" spans="11:13" x14ac:dyDescent="0.2">
      <c r="K1231" s="37"/>
      <c r="L1231" s="51"/>
      <c r="M1231" s="51"/>
    </row>
    <row r="1232" spans="11:13" x14ac:dyDescent="0.2">
      <c r="K1232" s="37"/>
      <c r="L1232" s="51"/>
      <c r="M1232" s="51"/>
    </row>
    <row r="1233" spans="11:13" x14ac:dyDescent="0.2">
      <c r="K1233" s="37"/>
      <c r="L1233" s="51"/>
      <c r="M1233" s="51"/>
    </row>
    <row r="1234" spans="11:13" x14ac:dyDescent="0.2">
      <c r="K1234" s="37"/>
      <c r="L1234" s="51"/>
      <c r="M1234" s="51"/>
    </row>
    <row r="1235" spans="11:13" x14ac:dyDescent="0.2">
      <c r="K1235" s="37"/>
      <c r="L1235" s="51"/>
      <c r="M1235" s="51"/>
    </row>
    <row r="1236" spans="11:13" x14ac:dyDescent="0.2">
      <c r="K1236" s="37"/>
      <c r="L1236" s="51"/>
      <c r="M1236" s="51"/>
    </row>
    <row r="1237" spans="11:13" x14ac:dyDescent="0.2">
      <c r="K1237" s="37"/>
      <c r="L1237" s="51"/>
      <c r="M1237" s="51"/>
    </row>
    <row r="1238" spans="11:13" x14ac:dyDescent="0.2">
      <c r="K1238" s="37"/>
      <c r="L1238" s="51"/>
      <c r="M1238" s="51"/>
    </row>
    <row r="1239" spans="11:13" x14ac:dyDescent="0.2">
      <c r="K1239" s="37"/>
      <c r="L1239" s="51"/>
      <c r="M1239" s="51"/>
    </row>
    <row r="1240" spans="11:13" x14ac:dyDescent="0.2">
      <c r="K1240" s="37"/>
      <c r="L1240" s="51"/>
      <c r="M1240" s="51"/>
    </row>
    <row r="1241" spans="11:13" x14ac:dyDescent="0.2">
      <c r="K1241" s="37"/>
      <c r="L1241" s="51"/>
      <c r="M1241" s="51"/>
    </row>
    <row r="1242" spans="11:13" x14ac:dyDescent="0.2">
      <c r="K1242" s="37"/>
      <c r="L1242" s="51"/>
      <c r="M1242" s="51"/>
    </row>
    <row r="1243" spans="11:13" x14ac:dyDescent="0.2">
      <c r="K1243" s="37"/>
      <c r="L1243" s="51"/>
      <c r="M1243" s="51"/>
    </row>
    <row r="1244" spans="11:13" x14ac:dyDescent="0.2">
      <c r="K1244" s="37"/>
      <c r="L1244" s="51"/>
      <c r="M1244" s="51"/>
    </row>
    <row r="1245" spans="11:13" x14ac:dyDescent="0.2">
      <c r="K1245" s="37"/>
      <c r="L1245" s="51"/>
      <c r="M1245" s="51"/>
    </row>
    <row r="1246" spans="11:13" x14ac:dyDescent="0.2">
      <c r="K1246" s="37"/>
      <c r="L1246" s="51"/>
      <c r="M1246" s="51"/>
    </row>
    <row r="1247" spans="11:13" x14ac:dyDescent="0.2">
      <c r="K1247" s="37"/>
      <c r="L1247" s="51"/>
      <c r="M1247" s="51"/>
    </row>
    <row r="1248" spans="11:13" x14ac:dyDescent="0.2">
      <c r="K1248" s="37"/>
      <c r="L1248" s="51"/>
      <c r="M1248" s="51"/>
    </row>
    <row r="1249" spans="11:13" x14ac:dyDescent="0.2">
      <c r="K1249" s="37"/>
      <c r="L1249" s="51"/>
      <c r="M1249" s="51"/>
    </row>
    <row r="1250" spans="11:13" x14ac:dyDescent="0.2">
      <c r="K1250" s="37"/>
      <c r="L1250" s="51"/>
      <c r="M1250" s="51"/>
    </row>
    <row r="1251" spans="11:13" x14ac:dyDescent="0.2">
      <c r="K1251" s="37"/>
      <c r="L1251" s="51"/>
      <c r="M1251" s="51"/>
    </row>
    <row r="1252" spans="11:13" x14ac:dyDescent="0.2">
      <c r="K1252" s="37"/>
      <c r="L1252" s="51"/>
      <c r="M1252" s="51"/>
    </row>
    <row r="1253" spans="11:13" x14ac:dyDescent="0.2">
      <c r="K1253" s="37"/>
      <c r="L1253" s="51"/>
      <c r="M1253" s="51"/>
    </row>
    <row r="1254" spans="11:13" x14ac:dyDescent="0.2">
      <c r="K1254" s="37"/>
      <c r="L1254" s="51"/>
      <c r="M1254" s="51"/>
    </row>
    <row r="1255" spans="11:13" x14ac:dyDescent="0.2">
      <c r="K1255" s="37"/>
      <c r="L1255" s="51"/>
      <c r="M1255" s="51"/>
    </row>
    <row r="1256" spans="11:13" x14ac:dyDescent="0.2">
      <c r="K1256" s="37"/>
      <c r="L1256" s="51"/>
      <c r="M1256" s="51"/>
    </row>
    <row r="1257" spans="11:13" x14ac:dyDescent="0.2">
      <c r="K1257" s="37"/>
      <c r="L1257" s="51"/>
      <c r="M1257" s="51"/>
    </row>
    <row r="1258" spans="11:13" x14ac:dyDescent="0.2">
      <c r="K1258" s="37"/>
      <c r="L1258" s="51"/>
      <c r="M1258" s="51"/>
    </row>
    <row r="1259" spans="11:13" x14ac:dyDescent="0.2">
      <c r="K1259" s="37"/>
      <c r="L1259" s="51"/>
      <c r="M1259" s="51"/>
    </row>
    <row r="1260" spans="11:13" x14ac:dyDescent="0.2">
      <c r="K1260" s="37"/>
      <c r="L1260" s="51"/>
      <c r="M1260" s="51"/>
    </row>
    <row r="1261" spans="11:13" x14ac:dyDescent="0.2">
      <c r="K1261" s="37"/>
      <c r="L1261" s="51"/>
      <c r="M1261" s="51"/>
    </row>
    <row r="1262" spans="11:13" x14ac:dyDescent="0.2">
      <c r="K1262" s="37"/>
      <c r="L1262" s="51"/>
      <c r="M1262" s="51"/>
    </row>
    <row r="1263" spans="11:13" x14ac:dyDescent="0.2">
      <c r="K1263" s="37"/>
      <c r="L1263" s="51"/>
      <c r="M1263" s="51"/>
    </row>
    <row r="1264" spans="11:13" x14ac:dyDescent="0.2">
      <c r="K1264" s="37"/>
      <c r="L1264" s="51"/>
      <c r="M1264" s="51"/>
    </row>
    <row r="1265" spans="11:13" x14ac:dyDescent="0.2">
      <c r="K1265" s="37"/>
      <c r="L1265" s="51"/>
      <c r="M1265" s="51"/>
    </row>
    <row r="1266" spans="11:13" x14ac:dyDescent="0.2">
      <c r="K1266" s="37"/>
      <c r="L1266" s="51"/>
      <c r="M1266" s="51"/>
    </row>
    <row r="1267" spans="11:13" x14ac:dyDescent="0.2">
      <c r="K1267" s="37"/>
      <c r="L1267" s="51"/>
      <c r="M1267" s="51"/>
    </row>
    <row r="1268" spans="11:13" x14ac:dyDescent="0.2">
      <c r="K1268" s="37"/>
      <c r="L1268" s="51"/>
      <c r="M1268" s="51"/>
    </row>
    <row r="1269" spans="11:13" x14ac:dyDescent="0.2">
      <c r="K1269" s="37"/>
      <c r="L1269" s="51"/>
      <c r="M1269" s="51"/>
    </row>
    <row r="1270" spans="11:13" x14ac:dyDescent="0.2">
      <c r="K1270" s="37"/>
      <c r="L1270" s="51"/>
      <c r="M1270" s="51"/>
    </row>
    <row r="1271" spans="11:13" x14ac:dyDescent="0.2">
      <c r="K1271" s="37"/>
      <c r="L1271" s="51"/>
      <c r="M1271" s="51"/>
    </row>
    <row r="1272" spans="11:13" x14ac:dyDescent="0.2">
      <c r="K1272" s="37"/>
      <c r="L1272" s="51"/>
      <c r="M1272" s="51"/>
    </row>
    <row r="1273" spans="11:13" x14ac:dyDescent="0.2">
      <c r="K1273" s="37"/>
      <c r="L1273" s="51"/>
      <c r="M1273" s="51"/>
    </row>
    <row r="1274" spans="11:13" x14ac:dyDescent="0.2">
      <c r="K1274" s="37"/>
      <c r="L1274" s="51"/>
      <c r="M1274" s="51"/>
    </row>
    <row r="1275" spans="11:13" x14ac:dyDescent="0.2">
      <c r="K1275" s="37"/>
      <c r="L1275" s="51"/>
      <c r="M1275" s="51"/>
    </row>
    <row r="1276" spans="11:13" x14ac:dyDescent="0.2">
      <c r="K1276" s="37"/>
      <c r="L1276" s="51"/>
      <c r="M1276" s="51"/>
    </row>
    <row r="1277" spans="11:13" x14ac:dyDescent="0.2">
      <c r="K1277" s="37"/>
      <c r="L1277" s="51"/>
      <c r="M1277" s="51"/>
    </row>
    <row r="1278" spans="11:13" x14ac:dyDescent="0.2">
      <c r="K1278" s="37"/>
      <c r="L1278" s="51"/>
      <c r="M1278" s="51"/>
    </row>
    <row r="1279" spans="11:13" x14ac:dyDescent="0.2">
      <c r="K1279" s="37"/>
      <c r="L1279" s="51"/>
      <c r="M1279" s="51"/>
    </row>
    <row r="1280" spans="11:13" x14ac:dyDescent="0.2">
      <c r="K1280" s="37"/>
      <c r="L1280" s="51"/>
      <c r="M1280" s="51"/>
    </row>
    <row r="1281" spans="11:13" x14ac:dyDescent="0.2">
      <c r="K1281" s="37"/>
      <c r="L1281" s="51"/>
      <c r="M1281" s="51"/>
    </row>
    <row r="1282" spans="11:13" x14ac:dyDescent="0.2">
      <c r="K1282" s="37"/>
      <c r="L1282" s="51"/>
      <c r="M1282" s="51"/>
    </row>
    <row r="1283" spans="11:13" x14ac:dyDescent="0.2">
      <c r="K1283" s="37"/>
      <c r="L1283" s="51"/>
      <c r="M1283" s="51"/>
    </row>
    <row r="1284" spans="11:13" x14ac:dyDescent="0.2">
      <c r="K1284" s="37"/>
      <c r="L1284" s="51"/>
      <c r="M1284" s="51"/>
    </row>
    <row r="1285" spans="11:13" x14ac:dyDescent="0.2">
      <c r="K1285" s="37"/>
      <c r="L1285" s="51"/>
      <c r="M1285" s="51"/>
    </row>
    <row r="1286" spans="11:13" x14ac:dyDescent="0.2">
      <c r="K1286" s="37"/>
      <c r="L1286" s="51"/>
      <c r="M1286" s="51"/>
    </row>
    <row r="1287" spans="11:13" x14ac:dyDescent="0.2">
      <c r="K1287" s="37"/>
      <c r="L1287" s="51"/>
      <c r="M1287" s="51"/>
    </row>
    <row r="1288" spans="11:13" x14ac:dyDescent="0.2">
      <c r="K1288" s="37"/>
      <c r="L1288" s="51"/>
      <c r="M1288" s="51"/>
    </row>
    <row r="1289" spans="11:13" x14ac:dyDescent="0.2">
      <c r="K1289" s="37"/>
      <c r="L1289" s="51"/>
      <c r="M1289" s="51"/>
    </row>
    <row r="1290" spans="11:13" x14ac:dyDescent="0.2">
      <c r="K1290" s="37"/>
      <c r="L1290" s="51"/>
      <c r="M1290" s="51"/>
    </row>
    <row r="1291" spans="11:13" x14ac:dyDescent="0.2">
      <c r="K1291" s="37"/>
      <c r="L1291" s="51"/>
      <c r="M1291" s="51"/>
    </row>
    <row r="1292" spans="11:13" x14ac:dyDescent="0.2">
      <c r="K1292" s="37"/>
      <c r="L1292" s="51"/>
      <c r="M1292" s="51"/>
    </row>
    <row r="1293" spans="11:13" x14ac:dyDescent="0.2">
      <c r="K1293" s="37"/>
      <c r="L1293" s="51"/>
      <c r="M1293" s="51"/>
    </row>
    <row r="1294" spans="11:13" x14ac:dyDescent="0.2">
      <c r="K1294" s="37"/>
      <c r="L1294" s="51"/>
      <c r="M1294" s="51"/>
    </row>
    <row r="1295" spans="11:13" x14ac:dyDescent="0.2">
      <c r="K1295" s="37"/>
      <c r="L1295" s="51"/>
      <c r="M1295" s="51"/>
    </row>
    <row r="1296" spans="11:13" x14ac:dyDescent="0.2">
      <c r="K1296" s="37"/>
      <c r="L1296" s="51"/>
      <c r="M1296" s="51"/>
    </row>
    <row r="1297" spans="11:13" x14ac:dyDescent="0.2">
      <c r="K1297" s="37"/>
      <c r="L1297" s="51"/>
      <c r="M1297" s="51"/>
    </row>
    <row r="1298" spans="11:13" x14ac:dyDescent="0.2">
      <c r="K1298" s="37"/>
      <c r="L1298" s="51"/>
      <c r="M1298" s="51"/>
    </row>
    <row r="1299" spans="11:13" x14ac:dyDescent="0.2">
      <c r="K1299" s="37"/>
      <c r="L1299" s="51"/>
      <c r="M1299" s="51"/>
    </row>
    <row r="1300" spans="11:13" x14ac:dyDescent="0.2">
      <c r="K1300" s="37"/>
      <c r="L1300" s="51"/>
      <c r="M1300" s="51"/>
    </row>
    <row r="1301" spans="11:13" x14ac:dyDescent="0.2">
      <c r="K1301" s="37"/>
      <c r="L1301" s="51"/>
      <c r="M1301" s="51"/>
    </row>
    <row r="1302" spans="11:13" x14ac:dyDescent="0.2">
      <c r="K1302" s="37"/>
      <c r="L1302" s="51"/>
      <c r="M1302" s="51"/>
    </row>
    <row r="1303" spans="11:13" x14ac:dyDescent="0.2">
      <c r="K1303" s="37"/>
      <c r="L1303" s="51"/>
      <c r="M1303" s="51"/>
    </row>
    <row r="1304" spans="11:13" x14ac:dyDescent="0.2">
      <c r="K1304" s="37"/>
      <c r="L1304" s="51"/>
      <c r="M1304" s="51"/>
    </row>
    <row r="1305" spans="11:13" x14ac:dyDescent="0.2">
      <c r="K1305" s="37"/>
      <c r="L1305" s="51"/>
      <c r="M1305" s="51"/>
    </row>
    <row r="1306" spans="11:13" x14ac:dyDescent="0.2">
      <c r="K1306" s="37"/>
      <c r="L1306" s="51"/>
      <c r="M1306" s="51"/>
    </row>
    <row r="1307" spans="11:13" x14ac:dyDescent="0.2">
      <c r="K1307" s="37"/>
      <c r="L1307" s="51"/>
      <c r="M1307" s="51"/>
    </row>
    <row r="1308" spans="11:13" x14ac:dyDescent="0.2">
      <c r="K1308" s="37"/>
      <c r="L1308" s="51"/>
      <c r="M1308" s="51"/>
    </row>
    <row r="1309" spans="11:13" x14ac:dyDescent="0.2">
      <c r="K1309" s="37"/>
      <c r="L1309" s="51"/>
      <c r="M1309" s="51"/>
    </row>
    <row r="1310" spans="11:13" x14ac:dyDescent="0.2">
      <c r="K1310" s="37"/>
      <c r="L1310" s="51"/>
      <c r="M1310" s="51"/>
    </row>
    <row r="1311" spans="11:13" x14ac:dyDescent="0.2">
      <c r="K1311" s="37"/>
      <c r="L1311" s="51"/>
      <c r="M1311" s="51"/>
    </row>
    <row r="1312" spans="11:13" x14ac:dyDescent="0.2">
      <c r="K1312" s="37"/>
      <c r="L1312" s="51"/>
      <c r="M1312" s="51"/>
    </row>
    <row r="1313" spans="11:13" x14ac:dyDescent="0.2">
      <c r="K1313" s="37"/>
      <c r="L1313" s="51"/>
      <c r="M1313" s="51"/>
    </row>
    <row r="1314" spans="11:13" x14ac:dyDescent="0.2">
      <c r="K1314" s="37"/>
      <c r="L1314" s="51"/>
      <c r="M1314" s="51"/>
    </row>
    <row r="1315" spans="11:13" x14ac:dyDescent="0.2">
      <c r="K1315" s="37"/>
      <c r="L1315" s="51"/>
      <c r="M1315" s="51"/>
    </row>
    <row r="1316" spans="11:13" x14ac:dyDescent="0.2">
      <c r="K1316" s="37"/>
      <c r="L1316" s="51"/>
      <c r="M1316" s="51"/>
    </row>
    <row r="1317" spans="11:13" x14ac:dyDescent="0.2">
      <c r="K1317" s="37"/>
      <c r="L1317" s="51"/>
      <c r="M1317" s="51"/>
    </row>
    <row r="1318" spans="11:13" x14ac:dyDescent="0.2">
      <c r="K1318" s="37"/>
      <c r="L1318" s="51"/>
      <c r="M1318" s="51"/>
    </row>
    <row r="1319" spans="11:13" x14ac:dyDescent="0.2">
      <c r="K1319" s="37"/>
      <c r="L1319" s="51"/>
      <c r="M1319" s="51"/>
    </row>
    <row r="1320" spans="11:13" x14ac:dyDescent="0.2">
      <c r="K1320" s="37"/>
      <c r="L1320" s="51"/>
      <c r="M1320" s="51"/>
    </row>
    <row r="1321" spans="11:13" x14ac:dyDescent="0.2">
      <c r="K1321" s="37"/>
      <c r="L1321" s="51"/>
      <c r="M1321" s="51"/>
    </row>
    <row r="1322" spans="11:13" x14ac:dyDescent="0.2">
      <c r="K1322" s="37"/>
      <c r="L1322" s="51"/>
      <c r="M1322" s="51"/>
    </row>
    <row r="1323" spans="11:13" x14ac:dyDescent="0.2">
      <c r="K1323" s="37"/>
      <c r="L1323" s="51"/>
      <c r="M1323" s="51"/>
    </row>
    <row r="1324" spans="11:13" x14ac:dyDescent="0.2">
      <c r="K1324" s="37"/>
      <c r="L1324" s="51"/>
      <c r="M1324" s="51"/>
    </row>
    <row r="1325" spans="11:13" x14ac:dyDescent="0.2">
      <c r="K1325" s="37"/>
      <c r="L1325" s="51"/>
      <c r="M1325" s="51"/>
    </row>
    <row r="1326" spans="11:13" x14ac:dyDescent="0.2">
      <c r="K1326" s="37"/>
      <c r="L1326" s="51"/>
      <c r="M1326" s="51"/>
    </row>
    <row r="1327" spans="11:13" x14ac:dyDescent="0.2">
      <c r="K1327" s="37"/>
      <c r="L1327" s="51"/>
      <c r="M1327" s="51"/>
    </row>
    <row r="1328" spans="11:13" x14ac:dyDescent="0.2">
      <c r="K1328" s="37"/>
      <c r="L1328" s="51"/>
      <c r="M1328" s="51"/>
    </row>
    <row r="1329" spans="11:13" x14ac:dyDescent="0.2">
      <c r="K1329" s="37"/>
      <c r="L1329" s="51"/>
      <c r="M1329" s="51"/>
    </row>
    <row r="1330" spans="11:13" x14ac:dyDescent="0.2">
      <c r="K1330" s="37"/>
      <c r="L1330" s="51"/>
      <c r="M1330" s="51"/>
    </row>
    <row r="1331" spans="11:13" x14ac:dyDescent="0.2">
      <c r="K1331" s="37"/>
      <c r="L1331" s="51"/>
      <c r="M1331" s="51"/>
    </row>
    <row r="1332" spans="11:13" x14ac:dyDescent="0.2">
      <c r="K1332" s="37"/>
      <c r="L1332" s="51"/>
      <c r="M1332" s="51"/>
    </row>
    <row r="1333" spans="11:13" x14ac:dyDescent="0.2">
      <c r="K1333" s="37"/>
      <c r="L1333" s="51"/>
      <c r="M1333" s="51"/>
    </row>
    <row r="1334" spans="11:13" x14ac:dyDescent="0.2">
      <c r="K1334" s="37"/>
      <c r="L1334" s="51"/>
      <c r="M1334" s="51"/>
    </row>
    <row r="1335" spans="11:13" x14ac:dyDescent="0.2">
      <c r="K1335" s="37"/>
      <c r="L1335" s="51"/>
      <c r="M1335" s="51"/>
    </row>
    <row r="1336" spans="11:13" x14ac:dyDescent="0.2">
      <c r="K1336" s="37"/>
      <c r="L1336" s="51"/>
      <c r="M1336" s="51"/>
    </row>
    <row r="1337" spans="11:13" x14ac:dyDescent="0.2">
      <c r="K1337" s="37"/>
      <c r="L1337" s="51"/>
      <c r="M1337" s="51"/>
    </row>
    <row r="1338" spans="11:13" x14ac:dyDescent="0.2">
      <c r="K1338" s="37"/>
      <c r="L1338" s="51"/>
      <c r="M1338" s="51"/>
    </row>
    <row r="1339" spans="11:13" x14ac:dyDescent="0.2">
      <c r="K1339" s="37"/>
      <c r="L1339" s="51"/>
      <c r="M1339" s="51"/>
    </row>
    <row r="1340" spans="11:13" x14ac:dyDescent="0.2">
      <c r="K1340" s="37"/>
      <c r="L1340" s="51"/>
      <c r="M1340" s="51"/>
    </row>
    <row r="1341" spans="11:13" x14ac:dyDescent="0.2">
      <c r="K1341" s="37"/>
      <c r="L1341" s="51"/>
      <c r="M1341" s="51"/>
    </row>
    <row r="1342" spans="11:13" x14ac:dyDescent="0.2">
      <c r="K1342" s="37"/>
      <c r="L1342" s="51"/>
      <c r="M1342" s="51"/>
    </row>
    <row r="1343" spans="11:13" x14ac:dyDescent="0.2">
      <c r="K1343" s="37"/>
      <c r="L1343" s="51"/>
      <c r="M1343" s="51"/>
    </row>
    <row r="1344" spans="11:13" x14ac:dyDescent="0.2">
      <c r="K1344" s="37"/>
      <c r="L1344" s="51"/>
      <c r="M1344" s="51"/>
    </row>
    <row r="1345" spans="11:13" x14ac:dyDescent="0.2">
      <c r="K1345" s="37"/>
      <c r="L1345" s="51"/>
      <c r="M1345" s="51"/>
    </row>
    <row r="1346" spans="11:13" x14ac:dyDescent="0.2">
      <c r="K1346" s="37"/>
      <c r="L1346" s="51"/>
      <c r="M1346" s="51"/>
    </row>
    <row r="1347" spans="11:13" x14ac:dyDescent="0.2">
      <c r="K1347" s="37"/>
      <c r="L1347" s="51"/>
      <c r="M1347" s="51"/>
    </row>
    <row r="1348" spans="11:13" x14ac:dyDescent="0.2">
      <c r="K1348" s="37"/>
      <c r="L1348" s="51"/>
      <c r="M1348" s="51"/>
    </row>
    <row r="1349" spans="11:13" x14ac:dyDescent="0.2">
      <c r="K1349" s="37"/>
      <c r="L1349" s="51"/>
      <c r="M1349" s="51"/>
    </row>
    <row r="1350" spans="11:13" x14ac:dyDescent="0.2">
      <c r="K1350" s="37"/>
      <c r="L1350" s="51"/>
      <c r="M1350" s="51"/>
    </row>
    <row r="1351" spans="11:13" x14ac:dyDescent="0.2">
      <c r="K1351" s="37"/>
      <c r="L1351" s="51"/>
      <c r="M1351" s="51"/>
    </row>
    <row r="1352" spans="11:13" x14ac:dyDescent="0.2">
      <c r="K1352" s="37"/>
      <c r="L1352" s="51"/>
      <c r="M1352" s="51"/>
    </row>
    <row r="1353" spans="11:13" x14ac:dyDescent="0.2">
      <c r="K1353" s="37"/>
      <c r="L1353" s="51"/>
      <c r="M1353" s="51"/>
    </row>
    <row r="1354" spans="11:13" x14ac:dyDescent="0.2">
      <c r="K1354" s="37"/>
      <c r="L1354" s="51"/>
      <c r="M1354" s="51"/>
    </row>
    <row r="1355" spans="11:13" x14ac:dyDescent="0.2">
      <c r="K1355" s="37"/>
      <c r="L1355" s="51"/>
      <c r="M1355" s="51"/>
    </row>
    <row r="1356" spans="11:13" x14ac:dyDescent="0.2">
      <c r="K1356" s="37"/>
      <c r="L1356" s="51"/>
      <c r="M1356" s="51"/>
    </row>
    <row r="1357" spans="11:13" x14ac:dyDescent="0.2">
      <c r="K1357" s="37"/>
      <c r="L1357" s="51"/>
      <c r="M1357" s="51"/>
    </row>
    <row r="1358" spans="11:13" x14ac:dyDescent="0.2">
      <c r="K1358" s="37"/>
      <c r="L1358" s="51"/>
      <c r="M1358" s="51"/>
    </row>
    <row r="1359" spans="11:13" x14ac:dyDescent="0.2">
      <c r="K1359" s="37"/>
      <c r="L1359" s="51"/>
      <c r="M1359" s="51"/>
    </row>
    <row r="1360" spans="11:13" x14ac:dyDescent="0.2">
      <c r="K1360" s="37"/>
      <c r="L1360" s="51"/>
      <c r="M1360" s="51"/>
    </row>
    <row r="1361" spans="11:13" x14ac:dyDescent="0.2">
      <c r="K1361" s="37"/>
      <c r="L1361" s="51"/>
      <c r="M1361" s="51"/>
    </row>
    <row r="1362" spans="11:13" x14ac:dyDescent="0.2">
      <c r="K1362" s="37"/>
      <c r="L1362" s="51"/>
      <c r="M1362" s="51"/>
    </row>
    <row r="1363" spans="11:13" x14ac:dyDescent="0.2">
      <c r="K1363" s="37"/>
      <c r="L1363" s="51"/>
      <c r="M1363" s="51"/>
    </row>
    <row r="1364" spans="11:13" x14ac:dyDescent="0.2">
      <c r="K1364" s="37"/>
      <c r="L1364" s="51"/>
      <c r="M1364" s="51"/>
    </row>
    <row r="1365" spans="11:13" x14ac:dyDescent="0.2">
      <c r="K1365" s="37"/>
      <c r="L1365" s="51"/>
      <c r="M1365" s="51"/>
    </row>
    <row r="1366" spans="11:13" x14ac:dyDescent="0.2">
      <c r="K1366" s="37"/>
      <c r="L1366" s="51"/>
      <c r="M1366" s="51"/>
    </row>
    <row r="1367" spans="11:13" x14ac:dyDescent="0.2">
      <c r="K1367" s="37"/>
      <c r="L1367" s="51"/>
      <c r="M1367" s="51"/>
    </row>
    <row r="1368" spans="11:13" x14ac:dyDescent="0.2">
      <c r="K1368" s="37"/>
      <c r="L1368" s="51"/>
      <c r="M1368" s="51"/>
    </row>
    <row r="1369" spans="11:13" x14ac:dyDescent="0.2">
      <c r="K1369" s="37"/>
      <c r="L1369" s="51"/>
      <c r="M1369" s="51"/>
    </row>
    <row r="1370" spans="11:13" x14ac:dyDescent="0.2">
      <c r="K1370" s="37"/>
      <c r="L1370" s="51"/>
      <c r="M1370" s="51"/>
    </row>
    <row r="1371" spans="11:13" x14ac:dyDescent="0.2">
      <c r="K1371" s="37"/>
      <c r="L1371" s="51"/>
      <c r="M1371" s="51"/>
    </row>
    <row r="1372" spans="11:13" x14ac:dyDescent="0.2">
      <c r="K1372" s="37"/>
      <c r="L1372" s="51"/>
      <c r="M1372" s="51"/>
    </row>
    <row r="1373" spans="11:13" x14ac:dyDescent="0.2">
      <c r="K1373" s="37"/>
      <c r="L1373" s="51"/>
      <c r="M1373" s="51"/>
    </row>
    <row r="1374" spans="11:13" x14ac:dyDescent="0.2">
      <c r="K1374" s="37"/>
      <c r="L1374" s="51"/>
      <c r="M1374" s="51"/>
    </row>
    <row r="1375" spans="11:13" x14ac:dyDescent="0.2">
      <c r="K1375" s="37"/>
      <c r="L1375" s="51"/>
      <c r="M1375" s="51"/>
    </row>
    <row r="1376" spans="11:13" x14ac:dyDescent="0.2">
      <c r="K1376" s="37"/>
      <c r="L1376" s="51"/>
      <c r="M1376" s="51"/>
    </row>
    <row r="1377" spans="11:13" x14ac:dyDescent="0.2">
      <c r="K1377" s="37"/>
      <c r="L1377" s="51"/>
      <c r="M1377" s="51"/>
    </row>
    <row r="1378" spans="11:13" x14ac:dyDescent="0.2">
      <c r="K1378" s="37"/>
      <c r="L1378" s="51"/>
      <c r="M1378" s="51"/>
    </row>
    <row r="1379" spans="11:13" x14ac:dyDescent="0.2">
      <c r="K1379" s="37"/>
      <c r="L1379" s="51"/>
      <c r="M1379" s="51"/>
    </row>
    <row r="1380" spans="11:13" x14ac:dyDescent="0.2">
      <c r="K1380" s="37"/>
      <c r="L1380" s="51"/>
      <c r="M1380" s="51"/>
    </row>
    <row r="1381" spans="11:13" x14ac:dyDescent="0.2">
      <c r="K1381" s="37"/>
      <c r="L1381" s="51"/>
      <c r="M1381" s="51"/>
    </row>
    <row r="1382" spans="11:13" x14ac:dyDescent="0.2">
      <c r="K1382" s="37"/>
      <c r="L1382" s="51"/>
      <c r="M1382" s="51"/>
    </row>
    <row r="1383" spans="11:13" x14ac:dyDescent="0.2">
      <c r="K1383" s="37"/>
      <c r="L1383" s="51"/>
      <c r="M1383" s="51"/>
    </row>
    <row r="1384" spans="11:13" x14ac:dyDescent="0.2">
      <c r="K1384" s="37"/>
      <c r="L1384" s="51"/>
      <c r="M1384" s="51"/>
    </row>
    <row r="1385" spans="11:13" x14ac:dyDescent="0.2">
      <c r="K1385" s="37"/>
      <c r="L1385" s="51"/>
      <c r="M1385" s="51"/>
    </row>
    <row r="1386" spans="11:13" x14ac:dyDescent="0.2">
      <c r="K1386" s="37"/>
      <c r="L1386" s="51"/>
      <c r="M1386" s="51"/>
    </row>
    <row r="1387" spans="11:13" x14ac:dyDescent="0.2">
      <c r="K1387" s="37"/>
      <c r="L1387" s="51"/>
      <c r="M1387" s="51"/>
    </row>
    <row r="1388" spans="11:13" x14ac:dyDescent="0.2">
      <c r="K1388" s="37"/>
      <c r="L1388" s="51"/>
      <c r="M1388" s="51"/>
    </row>
    <row r="1389" spans="11:13" x14ac:dyDescent="0.2">
      <c r="K1389" s="37"/>
      <c r="L1389" s="51"/>
      <c r="M1389" s="51"/>
    </row>
    <row r="1390" spans="11:13" x14ac:dyDescent="0.2">
      <c r="K1390" s="37"/>
      <c r="L1390" s="51"/>
      <c r="M1390" s="51"/>
    </row>
    <row r="1391" spans="11:13" x14ac:dyDescent="0.2">
      <c r="K1391" s="37"/>
      <c r="L1391" s="51"/>
      <c r="M1391" s="51"/>
    </row>
    <row r="1392" spans="11:13" x14ac:dyDescent="0.2">
      <c r="K1392" s="37"/>
      <c r="L1392" s="51"/>
      <c r="M1392" s="51"/>
    </row>
    <row r="1393" spans="11:13" x14ac:dyDescent="0.2">
      <c r="K1393" s="37"/>
      <c r="L1393" s="51"/>
      <c r="M1393" s="51"/>
    </row>
    <row r="1394" spans="11:13" x14ac:dyDescent="0.2">
      <c r="K1394" s="37"/>
      <c r="L1394" s="51"/>
      <c r="M1394" s="51"/>
    </row>
    <row r="1395" spans="11:13" x14ac:dyDescent="0.2">
      <c r="K1395" s="37"/>
      <c r="L1395" s="51"/>
      <c r="M1395" s="51"/>
    </row>
    <row r="1396" spans="11:13" x14ac:dyDescent="0.2">
      <c r="K1396" s="37"/>
      <c r="L1396" s="51"/>
      <c r="M1396" s="51"/>
    </row>
    <row r="1397" spans="11:13" x14ac:dyDescent="0.2">
      <c r="K1397" s="37"/>
      <c r="L1397" s="51"/>
      <c r="M1397" s="51"/>
    </row>
    <row r="1398" spans="11:13" x14ac:dyDescent="0.2">
      <c r="K1398" s="37"/>
      <c r="L1398" s="51"/>
      <c r="M1398" s="51"/>
    </row>
    <row r="1399" spans="11:13" x14ac:dyDescent="0.2">
      <c r="K1399" s="37"/>
      <c r="L1399" s="51"/>
      <c r="M1399" s="51"/>
    </row>
    <row r="1400" spans="11:13" x14ac:dyDescent="0.2">
      <c r="K1400" s="37"/>
      <c r="L1400" s="51"/>
      <c r="M1400" s="51"/>
    </row>
    <row r="1401" spans="11:13" x14ac:dyDescent="0.2">
      <c r="K1401" s="37"/>
      <c r="L1401" s="51"/>
      <c r="M1401" s="51"/>
    </row>
    <row r="1402" spans="11:13" x14ac:dyDescent="0.2">
      <c r="K1402" s="37"/>
      <c r="L1402" s="51"/>
      <c r="M1402" s="51"/>
    </row>
    <row r="1403" spans="11:13" x14ac:dyDescent="0.2">
      <c r="K1403" s="37"/>
      <c r="L1403" s="51"/>
      <c r="M1403" s="51"/>
    </row>
    <row r="1404" spans="11:13" x14ac:dyDescent="0.2">
      <c r="K1404" s="37"/>
      <c r="L1404" s="51"/>
      <c r="M1404" s="51"/>
    </row>
    <row r="1405" spans="11:13" x14ac:dyDescent="0.2">
      <c r="K1405" s="37"/>
      <c r="L1405" s="51"/>
      <c r="M1405" s="51"/>
    </row>
    <row r="1406" spans="11:13" x14ac:dyDescent="0.2">
      <c r="K1406" s="37"/>
      <c r="L1406" s="51"/>
      <c r="M1406" s="51"/>
    </row>
    <row r="1407" spans="11:13" x14ac:dyDescent="0.2">
      <c r="K1407" s="37"/>
      <c r="L1407" s="51"/>
      <c r="M1407" s="51"/>
    </row>
    <row r="1408" spans="11:13" x14ac:dyDescent="0.2">
      <c r="K1408" s="37"/>
      <c r="L1408" s="51"/>
      <c r="M1408" s="51"/>
    </row>
    <row r="1409" spans="11:13" x14ac:dyDescent="0.2">
      <c r="K1409" s="37"/>
      <c r="L1409" s="51"/>
      <c r="M1409" s="51"/>
    </row>
    <row r="1410" spans="11:13" x14ac:dyDescent="0.2">
      <c r="K1410" s="37"/>
      <c r="L1410" s="51"/>
      <c r="M1410" s="51"/>
    </row>
    <row r="1411" spans="11:13" x14ac:dyDescent="0.2">
      <c r="K1411" s="37"/>
      <c r="L1411" s="51"/>
      <c r="M1411" s="51"/>
    </row>
    <row r="1412" spans="11:13" x14ac:dyDescent="0.2">
      <c r="K1412" s="37"/>
      <c r="L1412" s="51"/>
      <c r="M1412" s="51"/>
    </row>
    <row r="1413" spans="11:13" x14ac:dyDescent="0.2">
      <c r="K1413" s="37"/>
      <c r="L1413" s="51"/>
      <c r="M1413" s="51"/>
    </row>
    <row r="1414" spans="11:13" x14ac:dyDescent="0.2">
      <c r="K1414" s="37"/>
      <c r="L1414" s="51"/>
      <c r="M1414" s="51"/>
    </row>
    <row r="1415" spans="11:13" x14ac:dyDescent="0.2">
      <c r="K1415" s="37"/>
      <c r="L1415" s="51"/>
      <c r="M1415" s="51"/>
    </row>
    <row r="1416" spans="11:13" x14ac:dyDescent="0.2">
      <c r="K1416" s="37"/>
      <c r="L1416" s="51"/>
      <c r="M1416" s="51"/>
    </row>
    <row r="1417" spans="11:13" x14ac:dyDescent="0.2">
      <c r="K1417" s="37"/>
      <c r="L1417" s="51"/>
      <c r="M1417" s="51"/>
    </row>
    <row r="1418" spans="11:13" x14ac:dyDescent="0.2">
      <c r="K1418" s="37"/>
      <c r="L1418" s="51"/>
      <c r="M1418" s="51"/>
    </row>
    <row r="1419" spans="11:13" x14ac:dyDescent="0.2">
      <c r="K1419" s="37"/>
      <c r="L1419" s="51"/>
      <c r="M1419" s="51"/>
    </row>
    <row r="1420" spans="11:13" x14ac:dyDescent="0.2">
      <c r="K1420" s="37"/>
      <c r="L1420" s="51"/>
      <c r="M1420" s="51"/>
    </row>
    <row r="1421" spans="11:13" x14ac:dyDescent="0.2">
      <c r="K1421" s="37"/>
      <c r="L1421" s="51"/>
      <c r="M1421" s="51"/>
    </row>
    <row r="1422" spans="11:13" x14ac:dyDescent="0.2">
      <c r="K1422" s="37"/>
      <c r="L1422" s="51"/>
      <c r="M1422" s="51"/>
    </row>
    <row r="1423" spans="11:13" x14ac:dyDescent="0.2">
      <c r="K1423" s="37"/>
      <c r="L1423" s="51"/>
      <c r="M1423" s="51"/>
    </row>
    <row r="1424" spans="11:13" x14ac:dyDescent="0.2">
      <c r="K1424" s="37"/>
      <c r="L1424" s="51"/>
      <c r="M1424" s="51"/>
    </row>
    <row r="1425" spans="11:13" x14ac:dyDescent="0.2">
      <c r="K1425" s="37"/>
      <c r="L1425" s="51"/>
      <c r="M1425" s="51"/>
    </row>
    <row r="1426" spans="11:13" x14ac:dyDescent="0.2">
      <c r="K1426" s="37"/>
      <c r="L1426" s="51"/>
      <c r="M1426" s="51"/>
    </row>
    <row r="1427" spans="11:13" x14ac:dyDescent="0.2">
      <c r="K1427" s="37"/>
      <c r="L1427" s="51"/>
      <c r="M1427" s="51"/>
    </row>
    <row r="1428" spans="11:13" x14ac:dyDescent="0.2">
      <c r="K1428" s="37"/>
      <c r="L1428" s="51"/>
      <c r="M1428" s="51"/>
    </row>
    <row r="1429" spans="11:13" x14ac:dyDescent="0.2">
      <c r="K1429" s="37"/>
      <c r="L1429" s="51"/>
      <c r="M1429" s="51"/>
    </row>
    <row r="1430" spans="11:13" x14ac:dyDescent="0.2">
      <c r="K1430" s="37"/>
      <c r="L1430" s="51"/>
      <c r="M1430" s="51"/>
    </row>
    <row r="1431" spans="11:13" x14ac:dyDescent="0.2">
      <c r="K1431" s="37"/>
      <c r="L1431" s="51"/>
      <c r="M1431" s="51"/>
    </row>
    <row r="1432" spans="11:13" x14ac:dyDescent="0.2">
      <c r="K1432" s="37"/>
      <c r="L1432" s="51"/>
      <c r="M1432" s="51"/>
    </row>
    <row r="1433" spans="11:13" x14ac:dyDescent="0.2">
      <c r="K1433" s="37"/>
      <c r="L1433" s="51"/>
      <c r="M1433" s="51"/>
    </row>
    <row r="1434" spans="11:13" x14ac:dyDescent="0.2">
      <c r="K1434" s="37"/>
      <c r="L1434" s="51"/>
      <c r="M1434" s="51"/>
    </row>
    <row r="1435" spans="11:13" x14ac:dyDescent="0.2">
      <c r="K1435" s="37"/>
      <c r="L1435" s="51"/>
      <c r="M1435" s="51"/>
    </row>
    <row r="1436" spans="11:13" x14ac:dyDescent="0.2">
      <c r="K1436" s="37"/>
      <c r="L1436" s="51"/>
      <c r="M1436" s="51"/>
    </row>
    <row r="1437" spans="11:13" x14ac:dyDescent="0.2">
      <c r="K1437" s="37"/>
      <c r="L1437" s="51"/>
      <c r="M1437" s="51"/>
    </row>
    <row r="1438" spans="11:13" x14ac:dyDescent="0.2">
      <c r="K1438" s="37"/>
      <c r="L1438" s="51"/>
      <c r="M1438" s="51"/>
    </row>
    <row r="1439" spans="11:13" x14ac:dyDescent="0.2">
      <c r="K1439" s="37"/>
      <c r="L1439" s="51"/>
      <c r="M1439" s="51"/>
    </row>
    <row r="1440" spans="11:13" x14ac:dyDescent="0.2">
      <c r="K1440" s="37"/>
      <c r="L1440" s="51"/>
      <c r="M1440" s="51"/>
    </row>
    <row r="1441" spans="11:13" x14ac:dyDescent="0.2">
      <c r="K1441" s="37"/>
      <c r="L1441" s="51"/>
      <c r="M1441" s="51"/>
    </row>
    <row r="1442" spans="11:13" x14ac:dyDescent="0.2">
      <c r="K1442" s="37"/>
      <c r="L1442" s="51"/>
      <c r="M1442" s="51"/>
    </row>
    <row r="1443" spans="11:13" x14ac:dyDescent="0.2">
      <c r="K1443" s="37"/>
      <c r="L1443" s="51"/>
      <c r="M1443" s="51"/>
    </row>
    <row r="1444" spans="11:13" x14ac:dyDescent="0.2">
      <c r="K1444" s="37"/>
      <c r="L1444" s="51"/>
      <c r="M1444" s="51"/>
    </row>
    <row r="1445" spans="11:13" x14ac:dyDescent="0.2">
      <c r="K1445" s="37"/>
      <c r="L1445" s="51"/>
      <c r="M1445" s="51"/>
    </row>
    <row r="1446" spans="11:13" x14ac:dyDescent="0.2">
      <c r="K1446" s="37"/>
      <c r="L1446" s="51"/>
      <c r="M1446" s="51"/>
    </row>
    <row r="1447" spans="11:13" x14ac:dyDescent="0.2">
      <c r="K1447" s="37"/>
      <c r="L1447" s="51"/>
      <c r="M1447" s="51"/>
    </row>
    <row r="1448" spans="11:13" x14ac:dyDescent="0.2">
      <c r="K1448" s="37"/>
      <c r="L1448" s="51"/>
      <c r="M1448" s="51"/>
    </row>
    <row r="1449" spans="11:13" x14ac:dyDescent="0.2">
      <c r="K1449" s="37"/>
      <c r="L1449" s="51"/>
      <c r="M1449" s="51"/>
    </row>
    <row r="1450" spans="11:13" x14ac:dyDescent="0.2">
      <c r="K1450" s="37"/>
      <c r="L1450" s="51"/>
      <c r="M1450" s="51"/>
    </row>
    <row r="1451" spans="11:13" x14ac:dyDescent="0.2">
      <c r="K1451" s="37"/>
      <c r="L1451" s="51"/>
      <c r="M1451" s="51"/>
    </row>
    <row r="1452" spans="11:13" x14ac:dyDescent="0.2">
      <c r="K1452" s="37"/>
      <c r="L1452" s="51"/>
      <c r="M1452" s="51"/>
    </row>
    <row r="1453" spans="11:13" x14ac:dyDescent="0.2">
      <c r="K1453" s="37"/>
      <c r="L1453" s="51"/>
      <c r="M1453" s="51"/>
    </row>
    <row r="1454" spans="11:13" x14ac:dyDescent="0.2">
      <c r="K1454" s="37"/>
      <c r="L1454" s="51"/>
      <c r="M1454" s="51"/>
    </row>
    <row r="1455" spans="11:13" x14ac:dyDescent="0.2">
      <c r="K1455" s="37"/>
      <c r="L1455" s="51"/>
      <c r="M1455" s="51"/>
    </row>
    <row r="1456" spans="11:13" x14ac:dyDescent="0.2">
      <c r="K1456" s="37"/>
      <c r="L1456" s="51"/>
      <c r="M1456" s="51"/>
    </row>
    <row r="1457" spans="11:13" x14ac:dyDescent="0.2">
      <c r="K1457" s="37"/>
      <c r="L1457" s="51"/>
      <c r="M1457" s="51"/>
    </row>
    <row r="1458" spans="11:13" x14ac:dyDescent="0.2">
      <c r="K1458" s="37"/>
      <c r="L1458" s="51"/>
      <c r="M1458" s="51"/>
    </row>
    <row r="1459" spans="11:13" x14ac:dyDescent="0.2">
      <c r="K1459" s="37"/>
      <c r="L1459" s="51"/>
      <c r="M1459" s="51"/>
    </row>
    <row r="1460" spans="11:13" x14ac:dyDescent="0.2">
      <c r="K1460" s="37"/>
      <c r="L1460" s="51"/>
      <c r="M1460" s="51"/>
    </row>
    <row r="1461" spans="11:13" x14ac:dyDescent="0.2">
      <c r="K1461" s="37"/>
      <c r="L1461" s="51"/>
      <c r="M1461" s="51"/>
    </row>
    <row r="1462" spans="11:13" x14ac:dyDescent="0.2">
      <c r="K1462" s="37"/>
      <c r="L1462" s="51"/>
      <c r="M1462" s="51"/>
    </row>
    <row r="1463" spans="11:13" x14ac:dyDescent="0.2">
      <c r="K1463" s="37"/>
      <c r="L1463" s="51"/>
      <c r="M1463" s="51"/>
    </row>
    <row r="1464" spans="11:13" x14ac:dyDescent="0.2">
      <c r="K1464" s="37"/>
      <c r="L1464" s="51"/>
      <c r="M1464" s="51"/>
    </row>
    <row r="1465" spans="11:13" x14ac:dyDescent="0.2">
      <c r="K1465" s="37"/>
      <c r="L1465" s="51"/>
      <c r="M1465" s="51"/>
    </row>
    <row r="1466" spans="11:13" x14ac:dyDescent="0.2">
      <c r="K1466" s="37"/>
      <c r="L1466" s="51"/>
      <c r="M1466" s="51"/>
    </row>
    <row r="1467" spans="11:13" x14ac:dyDescent="0.2">
      <c r="K1467" s="37"/>
      <c r="L1467" s="51"/>
      <c r="M1467" s="51"/>
    </row>
    <row r="1468" spans="11:13" x14ac:dyDescent="0.2">
      <c r="K1468" s="37"/>
      <c r="L1468" s="51"/>
      <c r="M1468" s="51"/>
    </row>
    <row r="1469" spans="11:13" x14ac:dyDescent="0.2">
      <c r="K1469" s="37"/>
      <c r="L1469" s="51"/>
      <c r="M1469" s="51"/>
    </row>
    <row r="1470" spans="11:13" x14ac:dyDescent="0.2">
      <c r="K1470" s="37"/>
      <c r="L1470" s="51"/>
      <c r="M1470" s="51"/>
    </row>
    <row r="1471" spans="11:13" x14ac:dyDescent="0.2">
      <c r="K1471" s="37"/>
      <c r="L1471" s="51"/>
      <c r="M1471" s="51"/>
    </row>
    <row r="1472" spans="11:13" x14ac:dyDescent="0.2">
      <c r="K1472" s="37"/>
      <c r="L1472" s="51"/>
      <c r="M1472" s="51"/>
    </row>
    <row r="1473" spans="11:13" x14ac:dyDescent="0.2">
      <c r="K1473" s="37"/>
      <c r="L1473" s="51"/>
      <c r="M1473" s="51"/>
    </row>
    <row r="1474" spans="11:13" x14ac:dyDescent="0.2">
      <c r="K1474" s="37"/>
      <c r="L1474" s="51"/>
      <c r="M1474" s="51"/>
    </row>
    <row r="1475" spans="11:13" x14ac:dyDescent="0.2">
      <c r="K1475" s="37"/>
      <c r="L1475" s="51"/>
      <c r="M1475" s="51"/>
    </row>
    <row r="1476" spans="11:13" x14ac:dyDescent="0.2">
      <c r="K1476" s="37"/>
      <c r="L1476" s="51"/>
      <c r="M1476" s="51"/>
    </row>
    <row r="1477" spans="11:13" x14ac:dyDescent="0.2">
      <c r="K1477" s="37"/>
      <c r="L1477" s="51"/>
      <c r="M1477" s="51"/>
    </row>
    <row r="1478" spans="11:13" x14ac:dyDescent="0.2">
      <c r="K1478" s="37"/>
      <c r="L1478" s="51"/>
      <c r="M1478" s="51"/>
    </row>
    <row r="1479" spans="11:13" x14ac:dyDescent="0.2">
      <c r="K1479" s="37"/>
      <c r="L1479" s="51"/>
      <c r="M1479" s="51"/>
    </row>
    <row r="1480" spans="11:13" x14ac:dyDescent="0.2">
      <c r="K1480" s="37"/>
      <c r="L1480" s="51"/>
      <c r="M1480" s="51"/>
    </row>
    <row r="1481" spans="11:13" x14ac:dyDescent="0.2">
      <c r="K1481" s="37"/>
      <c r="L1481" s="51"/>
      <c r="M1481" s="51"/>
    </row>
    <row r="1482" spans="11:13" x14ac:dyDescent="0.2">
      <c r="K1482" s="37"/>
      <c r="L1482" s="51"/>
      <c r="M1482" s="51"/>
    </row>
    <row r="1483" spans="11:13" x14ac:dyDescent="0.2">
      <c r="K1483" s="37"/>
      <c r="L1483" s="51"/>
      <c r="M1483" s="51"/>
    </row>
    <row r="1484" spans="11:13" x14ac:dyDescent="0.2">
      <c r="K1484" s="37"/>
      <c r="L1484" s="51"/>
      <c r="M1484" s="51"/>
    </row>
    <row r="1485" spans="11:13" x14ac:dyDescent="0.2">
      <c r="K1485" s="37"/>
      <c r="L1485" s="51"/>
      <c r="M1485" s="51"/>
    </row>
    <row r="1486" spans="11:13" x14ac:dyDescent="0.2">
      <c r="K1486" s="37"/>
      <c r="L1486" s="51"/>
      <c r="M1486" s="51"/>
    </row>
    <row r="1487" spans="11:13" x14ac:dyDescent="0.2">
      <c r="K1487" s="37"/>
      <c r="L1487" s="51"/>
      <c r="M1487" s="51"/>
    </row>
    <row r="1488" spans="11:13" x14ac:dyDescent="0.2">
      <c r="K1488" s="37"/>
      <c r="L1488" s="51"/>
      <c r="M1488" s="51"/>
    </row>
    <row r="1489" spans="11:13" x14ac:dyDescent="0.2">
      <c r="K1489" s="37"/>
      <c r="L1489" s="51"/>
      <c r="M1489" s="51"/>
    </row>
    <row r="1490" spans="11:13" x14ac:dyDescent="0.2">
      <c r="K1490" s="37"/>
      <c r="L1490" s="51"/>
      <c r="M1490" s="51"/>
    </row>
    <row r="1491" spans="11:13" x14ac:dyDescent="0.2">
      <c r="K1491" s="37"/>
      <c r="L1491" s="51"/>
      <c r="M1491" s="51"/>
    </row>
    <row r="1492" spans="11:13" x14ac:dyDescent="0.2">
      <c r="K1492" s="37"/>
      <c r="L1492" s="51"/>
      <c r="M1492" s="51"/>
    </row>
    <row r="1493" spans="11:13" x14ac:dyDescent="0.2">
      <c r="K1493" s="37"/>
      <c r="L1493" s="51"/>
      <c r="M1493" s="51"/>
    </row>
    <row r="1494" spans="11:13" x14ac:dyDescent="0.2">
      <c r="K1494" s="37"/>
      <c r="L1494" s="51"/>
      <c r="M1494" s="51"/>
    </row>
    <row r="1495" spans="11:13" x14ac:dyDescent="0.2">
      <c r="K1495" s="37"/>
      <c r="L1495" s="51"/>
      <c r="M1495" s="51"/>
    </row>
    <row r="1496" spans="11:13" x14ac:dyDescent="0.2">
      <c r="K1496" s="37"/>
      <c r="L1496" s="51"/>
      <c r="M1496" s="51"/>
    </row>
    <row r="1497" spans="11:13" x14ac:dyDescent="0.2">
      <c r="K1497" s="37"/>
      <c r="L1497" s="51"/>
      <c r="M1497" s="51"/>
    </row>
    <row r="1498" spans="11:13" x14ac:dyDescent="0.2">
      <c r="K1498" s="37"/>
      <c r="L1498" s="51"/>
      <c r="M1498" s="51"/>
    </row>
    <row r="1499" spans="11:13" x14ac:dyDescent="0.2">
      <c r="K1499" s="37"/>
      <c r="L1499" s="51"/>
      <c r="M1499" s="51"/>
    </row>
    <row r="1500" spans="11:13" x14ac:dyDescent="0.2">
      <c r="K1500" s="37"/>
      <c r="L1500" s="51"/>
      <c r="M1500" s="51"/>
    </row>
    <row r="1501" spans="11:13" x14ac:dyDescent="0.2">
      <c r="K1501" s="37"/>
      <c r="L1501" s="51"/>
      <c r="M1501" s="51"/>
    </row>
    <row r="1502" spans="11:13" x14ac:dyDescent="0.2">
      <c r="K1502" s="37"/>
      <c r="L1502" s="51"/>
      <c r="M1502" s="51"/>
    </row>
    <row r="1503" spans="11:13" x14ac:dyDescent="0.2">
      <c r="K1503" s="37"/>
      <c r="L1503" s="51"/>
      <c r="M1503" s="51"/>
    </row>
    <row r="1504" spans="11:13" x14ac:dyDescent="0.2">
      <c r="K1504" s="37"/>
      <c r="L1504" s="51"/>
      <c r="M1504" s="51"/>
    </row>
    <row r="1505" spans="11:13" x14ac:dyDescent="0.2">
      <c r="K1505" s="37"/>
      <c r="L1505" s="51"/>
      <c r="M1505" s="51"/>
    </row>
    <row r="1506" spans="11:13" x14ac:dyDescent="0.2">
      <c r="K1506" s="37"/>
      <c r="L1506" s="51"/>
      <c r="M1506" s="51"/>
    </row>
    <row r="1507" spans="11:13" x14ac:dyDescent="0.2">
      <c r="K1507" s="37"/>
      <c r="L1507" s="51"/>
      <c r="M1507" s="51"/>
    </row>
    <row r="1508" spans="11:13" x14ac:dyDescent="0.2">
      <c r="K1508" s="37"/>
      <c r="L1508" s="51"/>
      <c r="M1508" s="51"/>
    </row>
    <row r="1509" spans="11:13" x14ac:dyDescent="0.2">
      <c r="K1509" s="37"/>
      <c r="L1509" s="51"/>
      <c r="M1509" s="51"/>
    </row>
    <row r="1510" spans="11:13" x14ac:dyDescent="0.2">
      <c r="K1510" s="37"/>
      <c r="L1510" s="51"/>
      <c r="M1510" s="51"/>
    </row>
    <row r="1511" spans="11:13" x14ac:dyDescent="0.2">
      <c r="K1511" s="37"/>
      <c r="L1511" s="51"/>
      <c r="M1511" s="51"/>
    </row>
  </sheetData>
  <conditionalFormatting sqref="F4">
    <cfRule type="cellIs" dxfId="5" priority="1" operator="notEqual">
      <formula>0</formula>
    </cfRule>
  </conditionalFormatting>
  <hyperlinks>
    <hyperlink ref="F4" location="Overall_Error_Check" tooltip="Go to Overall Error Check" display="Overall_Error_Check" xr:uid="{4F4D8DC2-9EA6-4228-96FA-C6EABA78C3F0}"/>
    <hyperlink ref="A3:E3" location="HL_Navigator" tooltip="Go to Navigator (Table of Contents)" display="Navigator" xr:uid="{2FBB12CC-9758-431C-95AD-0EA53C935311}"/>
    <hyperlink ref="A3" location="HL_Navigator" display="Navigator" xr:uid="{D8A9838F-CB78-4A4A-94A5-8C5EB08624AF}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BC5D-5964-4709-8926-FDE87ED6C168}">
  <sheetPr codeName="Sheet9">
    <outlinePr summaryBelow="0" summaryRight="0"/>
  </sheetPr>
  <dimension ref="A1:W1510"/>
  <sheetViews>
    <sheetView showGridLines="0" topLeftCell="I1" workbookViewId="0">
      <pane ySplit="4" topLeftCell="A6" activePane="bottomLeft" state="frozen"/>
      <selection pane="bottomLeft" activeCell="R18" sqref="R18"/>
    </sheetView>
  </sheetViews>
  <sheetFormatPr defaultRowHeight="11.4" x14ac:dyDescent="0.2"/>
  <cols>
    <col min="1" max="3" width="3.75" customWidth="1"/>
    <col min="4" max="4" width="9.625" bestFit="1" customWidth="1"/>
    <col min="5" max="5" width="27.25" bestFit="1" customWidth="1"/>
    <col min="6" max="6" width="12.25" bestFit="1" customWidth="1"/>
    <col min="7" max="7" width="7.875" bestFit="1" customWidth="1"/>
    <col min="8" max="8" width="9.75" bestFit="1" customWidth="1"/>
    <col min="9" max="9" width="14.875" bestFit="1" customWidth="1"/>
    <col min="10" max="10" width="14.25" bestFit="1" customWidth="1"/>
    <col min="11" max="11" width="15" bestFit="1" customWidth="1"/>
    <col min="12" max="12" width="12.75" bestFit="1" customWidth="1"/>
    <col min="13" max="13" width="12.25" bestFit="1" customWidth="1"/>
    <col min="14" max="14" width="11.75" bestFit="1" customWidth="1"/>
    <col min="15" max="15" width="10.125" bestFit="1" customWidth="1"/>
    <col min="17" max="17" width="20.625" bestFit="1" customWidth="1"/>
    <col min="20" max="20" width="12.125" bestFit="1" customWidth="1"/>
  </cols>
  <sheetData>
    <row r="1" spans="1:23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Transactions</v>
      </c>
    </row>
    <row r="2" spans="1:23" ht="17.399999999999999" x14ac:dyDescent="0.3">
      <c r="A2" s="41" t="str">
        <f>Model_Name</f>
        <v>SP Python in Excel Example Starter File Chapter 5</v>
      </c>
    </row>
    <row r="3" spans="1:23" ht="12" x14ac:dyDescent="0.25">
      <c r="A3" s="11" t="s">
        <v>0</v>
      </c>
      <c r="B3" s="11"/>
      <c r="C3" s="11"/>
      <c r="D3" s="11"/>
      <c r="E3" s="11"/>
    </row>
    <row r="4" spans="1:23" ht="13.8" x14ac:dyDescent="0.25">
      <c r="B4" t="s">
        <v>5</v>
      </c>
      <c r="F4" s="1">
        <f>Overall_Error_Check</f>
        <v>0</v>
      </c>
    </row>
    <row r="6" spans="1:23" ht="16.2" thickBot="1" x14ac:dyDescent="0.35">
      <c r="B6" s="42">
        <f>MAX($B$5:$B5)+1</f>
        <v>1</v>
      </c>
      <c r="C6" s="2" t="str">
        <f ca="1">A1</f>
        <v>Transactions</v>
      </c>
      <c r="D6" s="2"/>
      <c r="E6" s="2"/>
      <c r="F6" s="2"/>
      <c r="G6" s="2"/>
      <c r="H6" s="2"/>
      <c r="I6" s="2"/>
      <c r="J6" s="2"/>
      <c r="K6" s="2"/>
      <c r="L6" s="2"/>
    </row>
    <row r="7" spans="1:23" ht="12" thickTop="1" x14ac:dyDescent="0.2"/>
    <row r="8" spans="1:23" ht="16.8" x14ac:dyDescent="0.3">
      <c r="C8" s="3" t="s">
        <v>73</v>
      </c>
      <c r="F8" s="3"/>
    </row>
    <row r="9" spans="1:23" ht="16.8" x14ac:dyDescent="0.3">
      <c r="C9" s="3"/>
    </row>
    <row r="10" spans="1:23" ht="12" x14ac:dyDescent="0.25">
      <c r="D10" s="13" t="s">
        <v>79</v>
      </c>
      <c r="E10" s="13" t="s">
        <v>80</v>
      </c>
      <c r="F10" s="13" t="s">
        <v>81</v>
      </c>
      <c r="G10" s="13" t="s">
        <v>1601</v>
      </c>
      <c r="H10" s="13" t="s">
        <v>1602</v>
      </c>
      <c r="I10" s="13" t="s">
        <v>1603</v>
      </c>
      <c r="J10" s="13" t="s">
        <v>1604</v>
      </c>
      <c r="K10" s="13" t="s">
        <v>82</v>
      </c>
      <c r="L10" s="13" t="s">
        <v>83</v>
      </c>
      <c r="M10" s="13" t="s">
        <v>84</v>
      </c>
      <c r="N10" s="13" t="s">
        <v>85</v>
      </c>
      <c r="O10" s="13" t="s">
        <v>8753</v>
      </c>
      <c r="P10" s="13" t="s">
        <v>8690</v>
      </c>
      <c r="Q10" s="13" t="s">
        <v>8823</v>
      </c>
    </row>
    <row r="11" spans="1:23" x14ac:dyDescent="0.2">
      <c r="D11" t="s">
        <v>86</v>
      </c>
      <c r="E11" t="s">
        <v>87</v>
      </c>
      <c r="F11" t="s">
        <v>88</v>
      </c>
      <c r="G11">
        <v>122</v>
      </c>
      <c r="H11">
        <v>9</v>
      </c>
      <c r="I11">
        <v>49.29</v>
      </c>
      <c r="J11">
        <v>3</v>
      </c>
      <c r="K11" s="37">
        <v>44683</v>
      </c>
      <c r="L11" t="s">
        <v>89</v>
      </c>
      <c r="M11">
        <v>378.27</v>
      </c>
      <c r="N11">
        <v>1</v>
      </c>
      <c r="O11" t="str">
        <f>"Q"&amp;ROUNDUP(MONTH(Transactions[[#This Row],[Transaction Date]])/3,0)</f>
        <v>Q2</v>
      </c>
      <c r="P11">
        <f>YEAR(Transactions[[#This Row],[Transaction Date]])</f>
        <v>2022</v>
      </c>
      <c r="Q11" t="str">
        <f>IF(Transactions[[#This Row],[Sales Amount]]&lt;AVERAGE(Transactions[Sales Amount]),"Below Average","At/Above Average")</f>
        <v>At/Above Average</v>
      </c>
    </row>
    <row r="12" spans="1:23" ht="16.8" x14ac:dyDescent="0.3">
      <c r="C12" s="3"/>
      <c r="D12" t="s">
        <v>90</v>
      </c>
      <c r="E12" t="s">
        <v>74</v>
      </c>
      <c r="F12" t="s">
        <v>91</v>
      </c>
      <c r="G12">
        <v>223</v>
      </c>
      <c r="H12">
        <v>1</v>
      </c>
      <c r="I12">
        <v>46.37</v>
      </c>
      <c r="J12">
        <v>8</v>
      </c>
      <c r="K12" s="37">
        <v>45588</v>
      </c>
      <c r="L12" t="s">
        <v>92</v>
      </c>
      <c r="M12">
        <v>165.92</v>
      </c>
      <c r="N12">
        <v>6</v>
      </c>
      <c r="O12" t="str">
        <f>"Q"&amp;ROUNDUP(MONTH(Transactions[[#This Row],[Transaction Date]])/3,0)</f>
        <v>Q4</v>
      </c>
      <c r="P12">
        <f>YEAR(Transactions[[#This Row],[Transaction Date]])</f>
        <v>2024</v>
      </c>
      <c r="Q12" t="str">
        <f>IF(Transactions[[#This Row],[Sales Amount]]&lt;AVERAGE(Transactions[Sales Amount]),"Below Average","At/Above Average")</f>
        <v>Below Average</v>
      </c>
      <c r="R12" s="3"/>
      <c r="S12" s="3"/>
      <c r="W12" s="3"/>
    </row>
    <row r="13" spans="1:23" x14ac:dyDescent="0.2">
      <c r="D13" t="s">
        <v>93</v>
      </c>
      <c r="E13" t="s">
        <v>77</v>
      </c>
      <c r="F13" t="s">
        <v>94</v>
      </c>
      <c r="G13">
        <v>207</v>
      </c>
      <c r="H13">
        <v>1</v>
      </c>
      <c r="I13">
        <v>48.44</v>
      </c>
      <c r="J13">
        <v>5</v>
      </c>
      <c r="K13" s="37">
        <v>45280</v>
      </c>
      <c r="L13" t="s">
        <v>89</v>
      </c>
      <c r="M13">
        <v>452.13</v>
      </c>
      <c r="N13">
        <v>33</v>
      </c>
      <c r="O13" t="str">
        <f>"Q"&amp;ROUNDUP(MONTH(Transactions[[#This Row],[Transaction Date]])/3,0)</f>
        <v>Q4</v>
      </c>
      <c r="P13">
        <f>YEAR(Transactions[[#This Row],[Transaction Date]])</f>
        <v>2023</v>
      </c>
      <c r="Q13" t="str">
        <f>IF(Transactions[[#This Row],[Sales Amount]]&lt;AVERAGE(Transactions[Sales Amount]),"Below Average","At/Above Average")</f>
        <v>At/Above Average</v>
      </c>
    </row>
    <row r="14" spans="1:23" x14ac:dyDescent="0.2">
      <c r="D14" t="s">
        <v>95</v>
      </c>
      <c r="E14" t="s">
        <v>74</v>
      </c>
      <c r="F14" t="s">
        <v>96</v>
      </c>
      <c r="G14">
        <v>152</v>
      </c>
      <c r="H14">
        <v>6</v>
      </c>
      <c r="I14">
        <v>59.31</v>
      </c>
      <c r="J14">
        <v>2</v>
      </c>
      <c r="K14" s="37">
        <v>45492</v>
      </c>
      <c r="L14" t="s">
        <v>97</v>
      </c>
      <c r="M14">
        <v>450.58</v>
      </c>
      <c r="N14">
        <v>50</v>
      </c>
      <c r="O14" t="str">
        <f>"Q"&amp;ROUNDUP(MONTH(Transactions[[#This Row],[Transaction Date]])/3,0)</f>
        <v>Q3</v>
      </c>
      <c r="P14">
        <f>YEAR(Transactions[[#This Row],[Transaction Date]])</f>
        <v>2024</v>
      </c>
      <c r="Q14" t="str">
        <f>IF(Transactions[[#This Row],[Sales Amount]]&lt;AVERAGE(Transactions[Sales Amount]),"Below Average","At/Above Average")</f>
        <v>At/Above Average</v>
      </c>
    </row>
    <row r="15" spans="1:23" x14ac:dyDescent="0.2">
      <c r="D15" t="s">
        <v>98</v>
      </c>
      <c r="E15" t="s">
        <v>77</v>
      </c>
      <c r="F15" t="s">
        <v>99</v>
      </c>
      <c r="G15">
        <v>191</v>
      </c>
      <c r="H15">
        <v>2</v>
      </c>
      <c r="I15">
        <v>46.68</v>
      </c>
      <c r="J15">
        <v>10</v>
      </c>
      <c r="K15" s="37">
        <v>44735</v>
      </c>
      <c r="L15" t="s">
        <v>97</v>
      </c>
      <c r="M15">
        <v>405.13</v>
      </c>
      <c r="N15">
        <v>26</v>
      </c>
      <c r="O15" t="str">
        <f>"Q"&amp;ROUNDUP(MONTH(Transactions[[#This Row],[Transaction Date]])/3,0)</f>
        <v>Q2</v>
      </c>
      <c r="P15">
        <f>YEAR(Transactions[[#This Row],[Transaction Date]])</f>
        <v>2022</v>
      </c>
      <c r="Q15" t="str">
        <f>IF(Transactions[[#This Row],[Sales Amount]]&lt;AVERAGE(Transactions[Sales Amount]),"Below Average","At/Above Average")</f>
        <v>At/Above Average</v>
      </c>
    </row>
    <row r="16" spans="1:23" x14ac:dyDescent="0.2">
      <c r="D16" t="s">
        <v>100</v>
      </c>
      <c r="E16" t="s">
        <v>87</v>
      </c>
      <c r="F16" t="s">
        <v>88</v>
      </c>
      <c r="G16">
        <v>253</v>
      </c>
      <c r="H16">
        <v>10</v>
      </c>
      <c r="I16">
        <v>55.18</v>
      </c>
      <c r="J16">
        <v>2</v>
      </c>
      <c r="K16" s="37">
        <v>44668</v>
      </c>
      <c r="L16" t="s">
        <v>97</v>
      </c>
      <c r="M16">
        <v>459.31</v>
      </c>
      <c r="N16">
        <v>19</v>
      </c>
      <c r="O16" t="str">
        <f>"Q"&amp;ROUNDUP(MONTH(Transactions[[#This Row],[Transaction Date]])/3,0)</f>
        <v>Q2</v>
      </c>
      <c r="P16">
        <f>YEAR(Transactions[[#This Row],[Transaction Date]])</f>
        <v>2022</v>
      </c>
      <c r="Q16" t="str">
        <f>IF(Transactions[[#This Row],[Sales Amount]]&lt;AVERAGE(Transactions[Sales Amount]),"Below Average","At/Above Average")</f>
        <v>At/Above Average</v>
      </c>
    </row>
    <row r="17" spans="3:17" x14ac:dyDescent="0.2">
      <c r="D17" t="s">
        <v>101</v>
      </c>
      <c r="E17" t="s">
        <v>78</v>
      </c>
      <c r="F17" t="s">
        <v>88</v>
      </c>
      <c r="G17">
        <v>249</v>
      </c>
      <c r="H17">
        <v>1</v>
      </c>
      <c r="I17">
        <v>55.38</v>
      </c>
      <c r="J17">
        <v>2</v>
      </c>
      <c r="K17" s="37">
        <v>44983</v>
      </c>
      <c r="L17" t="s">
        <v>102</v>
      </c>
      <c r="M17">
        <v>394.87</v>
      </c>
      <c r="N17">
        <v>42</v>
      </c>
      <c r="O17" t="str">
        <f>"Q"&amp;ROUNDUP(MONTH(Transactions[[#This Row],[Transaction Date]])/3,0)</f>
        <v>Q1</v>
      </c>
      <c r="P17">
        <f>YEAR(Transactions[[#This Row],[Transaction Date]])</f>
        <v>2023</v>
      </c>
      <c r="Q17" t="str">
        <f>IF(Transactions[[#This Row],[Sales Amount]]&lt;AVERAGE(Transactions[Sales Amount]),"Below Average","At/Above Average")</f>
        <v>At/Above Average</v>
      </c>
    </row>
    <row r="18" spans="3:17" x14ac:dyDescent="0.2">
      <c r="D18" t="s">
        <v>103</v>
      </c>
      <c r="E18" t="s">
        <v>78</v>
      </c>
      <c r="F18" t="s">
        <v>91</v>
      </c>
      <c r="G18">
        <v>208</v>
      </c>
      <c r="H18">
        <v>7</v>
      </c>
      <c r="I18">
        <v>55.91</v>
      </c>
      <c r="J18">
        <v>3</v>
      </c>
      <c r="K18" s="37">
        <v>45282</v>
      </c>
      <c r="L18" t="s">
        <v>102</v>
      </c>
      <c r="M18">
        <v>93.67</v>
      </c>
      <c r="N18">
        <v>16</v>
      </c>
      <c r="O18" t="str">
        <f>"Q"&amp;ROUNDUP(MONTH(Transactions[[#This Row],[Transaction Date]])/3,0)</f>
        <v>Q4</v>
      </c>
      <c r="P18">
        <f>YEAR(Transactions[[#This Row],[Transaction Date]])</f>
        <v>2023</v>
      </c>
      <c r="Q18" t="str">
        <f>IF(Transactions[[#This Row],[Sales Amount]]&lt;AVERAGE(Transactions[Sales Amount]),"Below Average","At/Above Average")</f>
        <v>Below Average</v>
      </c>
    </row>
    <row r="19" spans="3:17" x14ac:dyDescent="0.2">
      <c r="D19" t="s">
        <v>104</v>
      </c>
      <c r="E19" t="s">
        <v>75</v>
      </c>
      <c r="F19" t="s">
        <v>105</v>
      </c>
      <c r="G19">
        <v>242</v>
      </c>
      <c r="H19">
        <v>1</v>
      </c>
      <c r="I19">
        <v>55.28</v>
      </c>
      <c r="J19">
        <v>4</v>
      </c>
      <c r="K19" s="37">
        <v>45495</v>
      </c>
      <c r="L19" t="s">
        <v>89</v>
      </c>
      <c r="M19">
        <v>494.82</v>
      </c>
      <c r="N19">
        <v>9</v>
      </c>
      <c r="O19" t="str">
        <f>"Q"&amp;ROUNDUP(MONTH(Transactions[[#This Row],[Transaction Date]])/3,0)</f>
        <v>Q3</v>
      </c>
      <c r="P19">
        <f>YEAR(Transactions[[#This Row],[Transaction Date]])</f>
        <v>2024</v>
      </c>
      <c r="Q19" t="str">
        <f>IF(Transactions[[#This Row],[Sales Amount]]&lt;AVERAGE(Transactions[Sales Amount]),"Below Average","At/Above Average")</f>
        <v>At/Above Average</v>
      </c>
    </row>
    <row r="20" spans="3:17" x14ac:dyDescent="0.2">
      <c r="D20" t="s">
        <v>106</v>
      </c>
      <c r="E20" t="s">
        <v>77</v>
      </c>
      <c r="F20" t="s">
        <v>99</v>
      </c>
      <c r="G20">
        <v>147</v>
      </c>
      <c r="H20">
        <v>10</v>
      </c>
      <c r="I20">
        <v>45.73</v>
      </c>
      <c r="J20">
        <v>4</v>
      </c>
      <c r="K20" s="37">
        <v>45565</v>
      </c>
      <c r="L20" t="s">
        <v>102</v>
      </c>
      <c r="M20">
        <v>246.05</v>
      </c>
      <c r="N20">
        <v>32</v>
      </c>
      <c r="O20" t="str">
        <f>"Q"&amp;ROUNDUP(MONTH(Transactions[[#This Row],[Transaction Date]])/3,0)</f>
        <v>Q3</v>
      </c>
      <c r="P20">
        <f>YEAR(Transactions[[#This Row],[Transaction Date]])</f>
        <v>2024</v>
      </c>
      <c r="Q20" t="str">
        <f>IF(Transactions[[#This Row],[Sales Amount]]&lt;AVERAGE(Transactions[Sales Amount]),"Below Average","At/Above Average")</f>
        <v>Below Average</v>
      </c>
    </row>
    <row r="21" spans="3:17" ht="16.8" x14ac:dyDescent="0.3">
      <c r="C21" s="3"/>
      <c r="D21" t="s">
        <v>107</v>
      </c>
      <c r="E21" t="s">
        <v>75</v>
      </c>
      <c r="F21" t="s">
        <v>108</v>
      </c>
      <c r="G21">
        <v>196</v>
      </c>
      <c r="H21">
        <v>10</v>
      </c>
      <c r="I21">
        <v>45.1</v>
      </c>
      <c r="J21">
        <v>7</v>
      </c>
      <c r="K21" s="37">
        <v>45292</v>
      </c>
      <c r="L21" t="s">
        <v>109</v>
      </c>
      <c r="M21">
        <v>435.13</v>
      </c>
      <c r="N21">
        <v>36</v>
      </c>
      <c r="O21" t="str">
        <f>"Q"&amp;ROUNDUP(MONTH(Transactions[[#This Row],[Transaction Date]])/3,0)</f>
        <v>Q1</v>
      </c>
      <c r="P21">
        <f>YEAR(Transactions[[#This Row],[Transaction Date]])</f>
        <v>2024</v>
      </c>
      <c r="Q21" t="str">
        <f>IF(Transactions[[#This Row],[Sales Amount]]&lt;AVERAGE(Transactions[Sales Amount]),"Below Average","At/Above Average")</f>
        <v>At/Above Average</v>
      </c>
    </row>
    <row r="22" spans="3:17" x14ac:dyDescent="0.2">
      <c r="D22" t="s">
        <v>110</v>
      </c>
      <c r="E22" t="s">
        <v>77</v>
      </c>
      <c r="F22" t="s">
        <v>105</v>
      </c>
      <c r="G22">
        <v>255</v>
      </c>
      <c r="H22">
        <v>5</v>
      </c>
      <c r="I22">
        <v>57.8</v>
      </c>
      <c r="J22">
        <v>9</v>
      </c>
      <c r="K22" s="37">
        <v>44754</v>
      </c>
      <c r="L22" t="s">
        <v>102</v>
      </c>
      <c r="M22">
        <v>326.13</v>
      </c>
      <c r="N22">
        <v>6</v>
      </c>
      <c r="O22" t="str">
        <f>"Q"&amp;ROUNDUP(MONTH(Transactions[[#This Row],[Transaction Date]])/3,0)</f>
        <v>Q3</v>
      </c>
      <c r="P22">
        <f>YEAR(Transactions[[#This Row],[Transaction Date]])</f>
        <v>2022</v>
      </c>
      <c r="Q22" t="str">
        <f>IF(Transactions[[#This Row],[Sales Amount]]&lt;AVERAGE(Transactions[Sales Amount]),"Below Average","At/Above Average")</f>
        <v>At/Above Average</v>
      </c>
    </row>
    <row r="23" spans="3:17" x14ac:dyDescent="0.2">
      <c r="D23" t="s">
        <v>111</v>
      </c>
      <c r="E23" t="s">
        <v>74</v>
      </c>
      <c r="F23" t="s">
        <v>88</v>
      </c>
      <c r="G23">
        <v>156</v>
      </c>
      <c r="H23">
        <v>4</v>
      </c>
      <c r="I23">
        <v>49.11</v>
      </c>
      <c r="J23">
        <v>2</v>
      </c>
      <c r="K23" s="37">
        <v>44953</v>
      </c>
      <c r="L23" t="s">
        <v>92</v>
      </c>
      <c r="M23">
        <v>498.83</v>
      </c>
      <c r="N23">
        <v>23</v>
      </c>
      <c r="O23" t="str">
        <f>"Q"&amp;ROUNDUP(MONTH(Transactions[[#This Row],[Transaction Date]])/3,0)</f>
        <v>Q1</v>
      </c>
      <c r="P23">
        <f>YEAR(Transactions[[#This Row],[Transaction Date]])</f>
        <v>2023</v>
      </c>
      <c r="Q23" t="str">
        <f>IF(Transactions[[#This Row],[Sales Amount]]&lt;AVERAGE(Transactions[Sales Amount]),"Below Average","At/Above Average")</f>
        <v>At/Above Average</v>
      </c>
    </row>
    <row r="24" spans="3:17" x14ac:dyDescent="0.2">
      <c r="D24" t="s">
        <v>112</v>
      </c>
      <c r="E24" t="s">
        <v>75</v>
      </c>
      <c r="F24" t="s">
        <v>108</v>
      </c>
      <c r="G24">
        <v>105</v>
      </c>
      <c r="H24">
        <v>1</v>
      </c>
      <c r="I24">
        <v>53.11</v>
      </c>
      <c r="J24">
        <v>4</v>
      </c>
      <c r="K24" s="37">
        <v>44592</v>
      </c>
      <c r="L24" t="s">
        <v>102</v>
      </c>
      <c r="M24">
        <v>377.85</v>
      </c>
      <c r="N24">
        <v>18</v>
      </c>
      <c r="O24" t="str">
        <f>"Q"&amp;ROUNDUP(MONTH(Transactions[[#This Row],[Transaction Date]])/3,0)</f>
        <v>Q1</v>
      </c>
      <c r="P24">
        <f>YEAR(Transactions[[#This Row],[Transaction Date]])</f>
        <v>2022</v>
      </c>
      <c r="Q24" t="str">
        <f>IF(Transactions[[#This Row],[Sales Amount]]&lt;AVERAGE(Transactions[Sales Amount]),"Below Average","At/Above Average")</f>
        <v>At/Above Average</v>
      </c>
    </row>
    <row r="25" spans="3:17" x14ac:dyDescent="0.2">
      <c r="D25" t="s">
        <v>113</v>
      </c>
      <c r="E25" t="s">
        <v>87</v>
      </c>
      <c r="F25" t="s">
        <v>105</v>
      </c>
      <c r="G25">
        <v>256</v>
      </c>
      <c r="H25">
        <v>8</v>
      </c>
      <c r="I25">
        <v>47.96</v>
      </c>
      <c r="J25">
        <v>6</v>
      </c>
      <c r="K25" s="37">
        <v>45592</v>
      </c>
      <c r="L25" t="s">
        <v>92</v>
      </c>
      <c r="M25">
        <v>440.16</v>
      </c>
      <c r="N25">
        <v>12</v>
      </c>
      <c r="O25" t="str">
        <f>"Q"&amp;ROUNDUP(MONTH(Transactions[[#This Row],[Transaction Date]])/3,0)</f>
        <v>Q4</v>
      </c>
      <c r="P25">
        <f>YEAR(Transactions[[#This Row],[Transaction Date]])</f>
        <v>2024</v>
      </c>
      <c r="Q25" t="str">
        <f>IF(Transactions[[#This Row],[Sales Amount]]&lt;AVERAGE(Transactions[Sales Amount]),"Below Average","At/Above Average")</f>
        <v>At/Above Average</v>
      </c>
    </row>
    <row r="26" spans="3:17" x14ac:dyDescent="0.2">
      <c r="D26" t="s">
        <v>114</v>
      </c>
      <c r="E26" t="s">
        <v>74</v>
      </c>
      <c r="F26" t="s">
        <v>105</v>
      </c>
      <c r="G26">
        <v>118</v>
      </c>
      <c r="H26">
        <v>2</v>
      </c>
      <c r="I26">
        <v>47.65</v>
      </c>
      <c r="J26">
        <v>8</v>
      </c>
      <c r="K26" s="37">
        <v>45298</v>
      </c>
      <c r="L26" t="s">
        <v>102</v>
      </c>
      <c r="M26">
        <v>188.3</v>
      </c>
      <c r="N26">
        <v>20</v>
      </c>
      <c r="O26" t="str">
        <f>"Q"&amp;ROUNDUP(MONTH(Transactions[[#This Row],[Transaction Date]])/3,0)</f>
        <v>Q1</v>
      </c>
      <c r="P26">
        <f>YEAR(Transactions[[#This Row],[Transaction Date]])</f>
        <v>2024</v>
      </c>
      <c r="Q26" t="str">
        <f>IF(Transactions[[#This Row],[Sales Amount]]&lt;AVERAGE(Transactions[Sales Amount]),"Below Average","At/Above Average")</f>
        <v>Below Average</v>
      </c>
    </row>
    <row r="27" spans="3:17" x14ac:dyDescent="0.2">
      <c r="D27" t="s">
        <v>115</v>
      </c>
      <c r="E27" t="s">
        <v>74</v>
      </c>
      <c r="F27" t="s">
        <v>88</v>
      </c>
      <c r="G27">
        <v>127</v>
      </c>
      <c r="H27">
        <v>7</v>
      </c>
      <c r="I27">
        <v>59.97</v>
      </c>
      <c r="J27">
        <v>7</v>
      </c>
      <c r="K27" s="37">
        <v>44772</v>
      </c>
      <c r="L27" t="s">
        <v>102</v>
      </c>
      <c r="M27">
        <v>73.3</v>
      </c>
      <c r="N27">
        <v>26</v>
      </c>
      <c r="O27" t="str">
        <f>"Q"&amp;ROUNDUP(MONTH(Transactions[[#This Row],[Transaction Date]])/3,0)</f>
        <v>Q3</v>
      </c>
      <c r="P27">
        <f>YEAR(Transactions[[#This Row],[Transaction Date]])</f>
        <v>2022</v>
      </c>
      <c r="Q27" t="str">
        <f>IF(Transactions[[#This Row],[Sales Amount]]&lt;AVERAGE(Transactions[Sales Amount]),"Below Average","At/Above Average")</f>
        <v>Below Average</v>
      </c>
    </row>
    <row r="28" spans="3:17" x14ac:dyDescent="0.2">
      <c r="D28" t="s">
        <v>116</v>
      </c>
      <c r="E28" t="s">
        <v>76</v>
      </c>
      <c r="F28" t="s">
        <v>91</v>
      </c>
      <c r="G28">
        <v>241</v>
      </c>
      <c r="H28">
        <v>8</v>
      </c>
      <c r="I28">
        <v>54.44</v>
      </c>
      <c r="J28">
        <v>7</v>
      </c>
      <c r="K28" s="37">
        <v>45099</v>
      </c>
      <c r="L28" t="s">
        <v>109</v>
      </c>
      <c r="M28">
        <v>217.46</v>
      </c>
      <c r="N28">
        <v>28</v>
      </c>
      <c r="O28" t="str">
        <f>"Q"&amp;ROUNDUP(MONTH(Transactions[[#This Row],[Transaction Date]])/3,0)</f>
        <v>Q2</v>
      </c>
      <c r="P28">
        <f>YEAR(Transactions[[#This Row],[Transaction Date]])</f>
        <v>2023</v>
      </c>
      <c r="Q28" t="str">
        <f>IF(Transactions[[#This Row],[Sales Amount]]&lt;AVERAGE(Transactions[Sales Amount]),"Below Average","At/Above Average")</f>
        <v>Below Average</v>
      </c>
    </row>
    <row r="29" spans="3:17" x14ac:dyDescent="0.2">
      <c r="D29" t="s">
        <v>117</v>
      </c>
      <c r="E29" t="s">
        <v>76</v>
      </c>
      <c r="F29" t="s">
        <v>105</v>
      </c>
      <c r="G29">
        <v>276</v>
      </c>
      <c r="H29">
        <v>9</v>
      </c>
      <c r="I29">
        <v>51.42</v>
      </c>
      <c r="J29">
        <v>3</v>
      </c>
      <c r="K29" s="37">
        <v>45106</v>
      </c>
      <c r="L29" t="s">
        <v>102</v>
      </c>
      <c r="M29">
        <v>469.95</v>
      </c>
      <c r="N29">
        <v>41</v>
      </c>
      <c r="O29" t="str">
        <f>"Q"&amp;ROUNDUP(MONTH(Transactions[[#This Row],[Transaction Date]])/3,0)</f>
        <v>Q2</v>
      </c>
      <c r="P29">
        <f>YEAR(Transactions[[#This Row],[Transaction Date]])</f>
        <v>2023</v>
      </c>
      <c r="Q29" t="str">
        <f>IF(Transactions[[#This Row],[Sales Amount]]&lt;AVERAGE(Transactions[Sales Amount]),"Below Average","At/Above Average")</f>
        <v>At/Above Average</v>
      </c>
    </row>
    <row r="30" spans="3:17" x14ac:dyDescent="0.2">
      <c r="D30" t="s">
        <v>118</v>
      </c>
      <c r="E30" t="s">
        <v>77</v>
      </c>
      <c r="F30" t="s">
        <v>108</v>
      </c>
      <c r="G30">
        <v>136</v>
      </c>
      <c r="H30">
        <v>3</v>
      </c>
      <c r="I30">
        <v>53.18</v>
      </c>
      <c r="J30">
        <v>7</v>
      </c>
      <c r="K30" s="37">
        <v>44738</v>
      </c>
      <c r="L30" t="s">
        <v>89</v>
      </c>
      <c r="M30">
        <v>108.56</v>
      </c>
      <c r="N30">
        <v>5</v>
      </c>
      <c r="O30" t="str">
        <f>"Q"&amp;ROUNDUP(MONTH(Transactions[[#This Row],[Transaction Date]])/3,0)</f>
        <v>Q2</v>
      </c>
      <c r="P30">
        <f>YEAR(Transactions[[#This Row],[Transaction Date]])</f>
        <v>2022</v>
      </c>
      <c r="Q30" t="str">
        <f>IF(Transactions[[#This Row],[Sales Amount]]&lt;AVERAGE(Transactions[Sales Amount]),"Below Average","At/Above Average")</f>
        <v>Below Average</v>
      </c>
    </row>
    <row r="31" spans="3:17" x14ac:dyDescent="0.2">
      <c r="D31" t="s">
        <v>119</v>
      </c>
      <c r="E31" t="s">
        <v>76</v>
      </c>
      <c r="F31" t="s">
        <v>96</v>
      </c>
      <c r="G31">
        <v>257</v>
      </c>
      <c r="H31">
        <v>5</v>
      </c>
      <c r="I31">
        <v>54.89</v>
      </c>
      <c r="J31">
        <v>7</v>
      </c>
      <c r="K31" s="37">
        <v>45540</v>
      </c>
      <c r="L31" t="s">
        <v>102</v>
      </c>
      <c r="M31">
        <v>329.41</v>
      </c>
      <c r="N31">
        <v>26</v>
      </c>
      <c r="O31" t="str">
        <f>"Q"&amp;ROUNDUP(MONTH(Transactions[[#This Row],[Transaction Date]])/3,0)</f>
        <v>Q3</v>
      </c>
      <c r="P31">
        <f>YEAR(Transactions[[#This Row],[Transaction Date]])</f>
        <v>2024</v>
      </c>
      <c r="Q31" t="str">
        <f>IF(Transactions[[#This Row],[Sales Amount]]&lt;AVERAGE(Transactions[Sales Amount]),"Below Average","At/Above Average")</f>
        <v>At/Above Average</v>
      </c>
    </row>
    <row r="32" spans="3:17" x14ac:dyDescent="0.2">
      <c r="D32" t="s">
        <v>120</v>
      </c>
      <c r="E32" t="s">
        <v>76</v>
      </c>
      <c r="F32" t="s">
        <v>108</v>
      </c>
      <c r="G32">
        <v>113</v>
      </c>
      <c r="H32">
        <v>9</v>
      </c>
      <c r="I32">
        <v>58.58</v>
      </c>
      <c r="J32">
        <v>3</v>
      </c>
      <c r="K32" s="37">
        <v>44763</v>
      </c>
      <c r="L32" t="s">
        <v>97</v>
      </c>
      <c r="M32">
        <v>26.77</v>
      </c>
      <c r="N32">
        <v>39</v>
      </c>
      <c r="O32" t="str">
        <f>"Q"&amp;ROUNDUP(MONTH(Transactions[[#This Row],[Transaction Date]])/3,0)</f>
        <v>Q3</v>
      </c>
      <c r="P32">
        <f>YEAR(Transactions[[#This Row],[Transaction Date]])</f>
        <v>2022</v>
      </c>
      <c r="Q32" t="str">
        <f>IF(Transactions[[#This Row],[Sales Amount]]&lt;AVERAGE(Transactions[Sales Amount]),"Below Average","At/Above Average")</f>
        <v>Below Average</v>
      </c>
    </row>
    <row r="33" spans="4:17" x14ac:dyDescent="0.2">
      <c r="D33" t="s">
        <v>121</v>
      </c>
      <c r="E33" t="s">
        <v>75</v>
      </c>
      <c r="F33" t="s">
        <v>108</v>
      </c>
      <c r="G33">
        <v>289</v>
      </c>
      <c r="H33">
        <v>9</v>
      </c>
      <c r="I33">
        <v>45.34</v>
      </c>
      <c r="J33">
        <v>1</v>
      </c>
      <c r="K33" s="37">
        <v>44894</v>
      </c>
      <c r="L33" t="s">
        <v>89</v>
      </c>
      <c r="M33">
        <v>338.32</v>
      </c>
      <c r="N33">
        <v>24</v>
      </c>
      <c r="O33" t="str">
        <f>"Q"&amp;ROUNDUP(MONTH(Transactions[[#This Row],[Transaction Date]])/3,0)</f>
        <v>Q4</v>
      </c>
      <c r="P33">
        <f>YEAR(Transactions[[#This Row],[Transaction Date]])</f>
        <v>2022</v>
      </c>
      <c r="Q33" t="str">
        <f>IF(Transactions[[#This Row],[Sales Amount]]&lt;AVERAGE(Transactions[Sales Amount]),"Below Average","At/Above Average")</f>
        <v>At/Above Average</v>
      </c>
    </row>
    <row r="34" spans="4:17" x14ac:dyDescent="0.2">
      <c r="D34" t="s">
        <v>122</v>
      </c>
      <c r="E34" t="s">
        <v>74</v>
      </c>
      <c r="F34" t="s">
        <v>105</v>
      </c>
      <c r="G34">
        <v>213</v>
      </c>
      <c r="H34">
        <v>8</v>
      </c>
      <c r="I34">
        <v>50.45</v>
      </c>
      <c r="J34">
        <v>3</v>
      </c>
      <c r="K34" s="37">
        <v>44717</v>
      </c>
      <c r="L34" t="s">
        <v>109</v>
      </c>
      <c r="M34">
        <v>42.39</v>
      </c>
      <c r="N34">
        <v>48</v>
      </c>
      <c r="O34" t="str">
        <f>"Q"&amp;ROUNDUP(MONTH(Transactions[[#This Row],[Transaction Date]])/3,0)</f>
        <v>Q2</v>
      </c>
      <c r="P34">
        <f>YEAR(Transactions[[#This Row],[Transaction Date]])</f>
        <v>2022</v>
      </c>
      <c r="Q34" t="str">
        <f>IF(Transactions[[#This Row],[Sales Amount]]&lt;AVERAGE(Transactions[Sales Amount]),"Below Average","At/Above Average")</f>
        <v>Below Average</v>
      </c>
    </row>
    <row r="35" spans="4:17" x14ac:dyDescent="0.2">
      <c r="D35" t="s">
        <v>123</v>
      </c>
      <c r="E35" t="s">
        <v>76</v>
      </c>
      <c r="F35" t="s">
        <v>105</v>
      </c>
      <c r="G35">
        <v>177</v>
      </c>
      <c r="H35">
        <v>2</v>
      </c>
      <c r="I35">
        <v>47.06</v>
      </c>
      <c r="J35">
        <v>7</v>
      </c>
      <c r="K35" s="37">
        <v>45337</v>
      </c>
      <c r="L35" t="s">
        <v>124</v>
      </c>
      <c r="M35">
        <v>498.93</v>
      </c>
      <c r="N35">
        <v>25</v>
      </c>
      <c r="O35" t="str">
        <f>"Q"&amp;ROUNDUP(MONTH(Transactions[[#This Row],[Transaction Date]])/3,0)</f>
        <v>Q1</v>
      </c>
      <c r="P35">
        <f>YEAR(Transactions[[#This Row],[Transaction Date]])</f>
        <v>2024</v>
      </c>
      <c r="Q35" t="str">
        <f>IF(Transactions[[#This Row],[Sales Amount]]&lt;AVERAGE(Transactions[Sales Amount]),"Below Average","At/Above Average")</f>
        <v>At/Above Average</v>
      </c>
    </row>
    <row r="36" spans="4:17" x14ac:dyDescent="0.2">
      <c r="D36" t="s">
        <v>125</v>
      </c>
      <c r="E36" t="s">
        <v>74</v>
      </c>
      <c r="F36" t="s">
        <v>105</v>
      </c>
      <c r="G36">
        <v>163</v>
      </c>
      <c r="H36">
        <v>6</v>
      </c>
      <c r="I36">
        <v>54.68</v>
      </c>
      <c r="J36">
        <v>3</v>
      </c>
      <c r="K36" s="37">
        <v>44929</v>
      </c>
      <c r="L36" t="s">
        <v>97</v>
      </c>
      <c r="M36">
        <v>311.72000000000003</v>
      </c>
      <c r="N36">
        <v>7</v>
      </c>
      <c r="O36" t="str">
        <f>"Q"&amp;ROUNDUP(MONTH(Transactions[[#This Row],[Transaction Date]])/3,0)</f>
        <v>Q1</v>
      </c>
      <c r="P36">
        <f>YEAR(Transactions[[#This Row],[Transaction Date]])</f>
        <v>2023</v>
      </c>
      <c r="Q36" t="str">
        <f>IF(Transactions[[#This Row],[Sales Amount]]&lt;AVERAGE(Transactions[Sales Amount]),"Below Average","At/Above Average")</f>
        <v>At/Above Average</v>
      </c>
    </row>
    <row r="37" spans="4:17" x14ac:dyDescent="0.2">
      <c r="D37" t="s">
        <v>126</v>
      </c>
      <c r="E37" t="s">
        <v>78</v>
      </c>
      <c r="F37" t="s">
        <v>105</v>
      </c>
      <c r="G37">
        <v>296</v>
      </c>
      <c r="H37">
        <v>2</v>
      </c>
      <c r="I37">
        <v>46.9</v>
      </c>
      <c r="J37">
        <v>6</v>
      </c>
      <c r="K37" s="37">
        <v>45134</v>
      </c>
      <c r="L37" t="s">
        <v>102</v>
      </c>
      <c r="M37">
        <v>432.5</v>
      </c>
      <c r="N37">
        <v>19</v>
      </c>
      <c r="O37" t="str">
        <f>"Q"&amp;ROUNDUP(MONTH(Transactions[[#This Row],[Transaction Date]])/3,0)</f>
        <v>Q3</v>
      </c>
      <c r="P37">
        <f>YEAR(Transactions[[#This Row],[Transaction Date]])</f>
        <v>2023</v>
      </c>
      <c r="Q37" t="str">
        <f>IF(Transactions[[#This Row],[Sales Amount]]&lt;AVERAGE(Transactions[Sales Amount]),"Below Average","At/Above Average")</f>
        <v>At/Above Average</v>
      </c>
    </row>
    <row r="38" spans="4:17" x14ac:dyDescent="0.2">
      <c r="D38" t="s">
        <v>127</v>
      </c>
      <c r="E38" t="s">
        <v>75</v>
      </c>
      <c r="F38" t="s">
        <v>108</v>
      </c>
      <c r="G38">
        <v>215</v>
      </c>
      <c r="H38">
        <v>5</v>
      </c>
      <c r="I38">
        <v>48.67</v>
      </c>
      <c r="J38">
        <v>1</v>
      </c>
      <c r="K38" s="37">
        <v>44746</v>
      </c>
      <c r="L38" t="s">
        <v>89</v>
      </c>
      <c r="M38">
        <v>205.12</v>
      </c>
      <c r="N38">
        <v>4</v>
      </c>
      <c r="O38" t="str">
        <f>"Q"&amp;ROUNDUP(MONTH(Transactions[[#This Row],[Transaction Date]])/3,0)</f>
        <v>Q3</v>
      </c>
      <c r="P38">
        <f>YEAR(Transactions[[#This Row],[Transaction Date]])</f>
        <v>2022</v>
      </c>
      <c r="Q38" t="str">
        <f>IF(Transactions[[#This Row],[Sales Amount]]&lt;AVERAGE(Transactions[Sales Amount]),"Below Average","At/Above Average")</f>
        <v>Below Average</v>
      </c>
    </row>
    <row r="39" spans="4:17" x14ac:dyDescent="0.2">
      <c r="D39" t="s">
        <v>128</v>
      </c>
      <c r="E39" t="s">
        <v>87</v>
      </c>
      <c r="F39" t="s">
        <v>129</v>
      </c>
      <c r="G39">
        <v>283</v>
      </c>
      <c r="H39">
        <v>6</v>
      </c>
      <c r="I39">
        <v>45.74</v>
      </c>
      <c r="J39">
        <v>10</v>
      </c>
      <c r="K39" s="37">
        <v>44750</v>
      </c>
      <c r="L39" t="s">
        <v>92</v>
      </c>
      <c r="M39">
        <v>411.45</v>
      </c>
      <c r="N39">
        <v>30</v>
      </c>
      <c r="O39" t="str">
        <f>"Q"&amp;ROUNDUP(MONTH(Transactions[[#This Row],[Transaction Date]])/3,0)</f>
        <v>Q3</v>
      </c>
      <c r="P39">
        <f>YEAR(Transactions[[#This Row],[Transaction Date]])</f>
        <v>2022</v>
      </c>
      <c r="Q39" t="str">
        <f>IF(Transactions[[#This Row],[Sales Amount]]&lt;AVERAGE(Transactions[Sales Amount]),"Below Average","At/Above Average")</f>
        <v>At/Above Average</v>
      </c>
    </row>
    <row r="40" spans="4:17" x14ac:dyDescent="0.2">
      <c r="D40" t="s">
        <v>130</v>
      </c>
      <c r="E40" t="s">
        <v>75</v>
      </c>
      <c r="F40" t="s">
        <v>99</v>
      </c>
      <c r="G40">
        <v>286</v>
      </c>
      <c r="H40">
        <v>1</v>
      </c>
      <c r="I40">
        <v>50.35</v>
      </c>
      <c r="J40">
        <v>10</v>
      </c>
      <c r="K40" s="37">
        <v>44620</v>
      </c>
      <c r="L40" t="s">
        <v>97</v>
      </c>
      <c r="M40">
        <v>354.75</v>
      </c>
      <c r="N40">
        <v>38</v>
      </c>
      <c r="O40" t="str">
        <f>"Q"&amp;ROUNDUP(MONTH(Transactions[[#This Row],[Transaction Date]])/3,0)</f>
        <v>Q1</v>
      </c>
      <c r="P40">
        <f>YEAR(Transactions[[#This Row],[Transaction Date]])</f>
        <v>2022</v>
      </c>
      <c r="Q40" t="str">
        <f>IF(Transactions[[#This Row],[Sales Amount]]&lt;AVERAGE(Transactions[Sales Amount]),"Below Average","At/Above Average")</f>
        <v>At/Above Average</v>
      </c>
    </row>
    <row r="41" spans="4:17" x14ac:dyDescent="0.2">
      <c r="D41" t="s">
        <v>131</v>
      </c>
      <c r="E41" t="s">
        <v>76</v>
      </c>
      <c r="F41" t="s">
        <v>129</v>
      </c>
      <c r="G41">
        <v>283</v>
      </c>
      <c r="H41">
        <v>3</v>
      </c>
      <c r="I41">
        <v>46.25</v>
      </c>
      <c r="J41">
        <v>8</v>
      </c>
      <c r="K41" s="37">
        <v>44734</v>
      </c>
      <c r="L41" t="s">
        <v>124</v>
      </c>
      <c r="M41">
        <v>268.52</v>
      </c>
      <c r="N41">
        <v>14</v>
      </c>
      <c r="O41" t="str">
        <f>"Q"&amp;ROUNDUP(MONTH(Transactions[[#This Row],[Transaction Date]])/3,0)</f>
        <v>Q2</v>
      </c>
      <c r="P41">
        <f>YEAR(Transactions[[#This Row],[Transaction Date]])</f>
        <v>2022</v>
      </c>
      <c r="Q41" t="str">
        <f>IF(Transactions[[#This Row],[Sales Amount]]&lt;AVERAGE(Transactions[Sales Amount]),"Below Average","At/Above Average")</f>
        <v>At/Above Average</v>
      </c>
    </row>
    <row r="42" spans="4:17" x14ac:dyDescent="0.2">
      <c r="D42" t="s">
        <v>132</v>
      </c>
      <c r="E42" t="s">
        <v>74</v>
      </c>
      <c r="F42" t="s">
        <v>91</v>
      </c>
      <c r="G42">
        <v>174</v>
      </c>
      <c r="H42">
        <v>9</v>
      </c>
      <c r="I42">
        <v>57.72</v>
      </c>
      <c r="J42">
        <v>7</v>
      </c>
      <c r="K42" s="37">
        <v>45321</v>
      </c>
      <c r="L42" t="s">
        <v>102</v>
      </c>
      <c r="M42">
        <v>465.55</v>
      </c>
      <c r="N42">
        <v>30</v>
      </c>
      <c r="O42" t="str">
        <f>"Q"&amp;ROUNDUP(MONTH(Transactions[[#This Row],[Transaction Date]])/3,0)</f>
        <v>Q1</v>
      </c>
      <c r="P42">
        <f>YEAR(Transactions[[#This Row],[Transaction Date]])</f>
        <v>2024</v>
      </c>
      <c r="Q42" t="str">
        <f>IF(Transactions[[#This Row],[Sales Amount]]&lt;AVERAGE(Transactions[Sales Amount]),"Below Average","At/Above Average")</f>
        <v>At/Above Average</v>
      </c>
    </row>
    <row r="43" spans="4:17" x14ac:dyDescent="0.2">
      <c r="D43" t="s">
        <v>133</v>
      </c>
      <c r="E43" t="s">
        <v>77</v>
      </c>
      <c r="F43" t="s">
        <v>94</v>
      </c>
      <c r="G43">
        <v>158</v>
      </c>
      <c r="H43">
        <v>2</v>
      </c>
      <c r="I43">
        <v>57.88</v>
      </c>
      <c r="J43">
        <v>7</v>
      </c>
      <c r="K43" s="37">
        <v>45362</v>
      </c>
      <c r="L43" t="s">
        <v>92</v>
      </c>
      <c r="M43">
        <v>372.48</v>
      </c>
      <c r="N43">
        <v>49</v>
      </c>
      <c r="O43" t="str">
        <f>"Q"&amp;ROUNDUP(MONTH(Transactions[[#This Row],[Transaction Date]])/3,0)</f>
        <v>Q1</v>
      </c>
      <c r="P43">
        <f>YEAR(Transactions[[#This Row],[Transaction Date]])</f>
        <v>2024</v>
      </c>
      <c r="Q43" t="str">
        <f>IF(Transactions[[#This Row],[Sales Amount]]&lt;AVERAGE(Transactions[Sales Amount]),"Below Average","At/Above Average")</f>
        <v>At/Above Average</v>
      </c>
    </row>
    <row r="44" spans="4:17" x14ac:dyDescent="0.2">
      <c r="D44" t="s">
        <v>134</v>
      </c>
      <c r="E44" t="s">
        <v>75</v>
      </c>
      <c r="F44" t="s">
        <v>99</v>
      </c>
      <c r="G44">
        <v>125</v>
      </c>
      <c r="H44">
        <v>7</v>
      </c>
      <c r="I44">
        <v>50.57</v>
      </c>
      <c r="J44">
        <v>5</v>
      </c>
      <c r="K44" s="37">
        <v>44743</v>
      </c>
      <c r="L44" t="s">
        <v>124</v>
      </c>
      <c r="M44">
        <v>183.59</v>
      </c>
      <c r="N44">
        <v>31</v>
      </c>
      <c r="O44" t="str">
        <f>"Q"&amp;ROUNDUP(MONTH(Transactions[[#This Row],[Transaction Date]])/3,0)</f>
        <v>Q3</v>
      </c>
      <c r="P44">
        <f>YEAR(Transactions[[#This Row],[Transaction Date]])</f>
        <v>2022</v>
      </c>
      <c r="Q44" t="str">
        <f>IF(Transactions[[#This Row],[Sales Amount]]&lt;AVERAGE(Transactions[Sales Amount]),"Below Average","At/Above Average")</f>
        <v>Below Average</v>
      </c>
    </row>
    <row r="45" spans="4:17" x14ac:dyDescent="0.2">
      <c r="D45" t="s">
        <v>135</v>
      </c>
      <c r="E45" t="s">
        <v>78</v>
      </c>
      <c r="F45" t="s">
        <v>99</v>
      </c>
      <c r="G45">
        <v>249</v>
      </c>
      <c r="H45">
        <v>5</v>
      </c>
      <c r="I45">
        <v>59.02</v>
      </c>
      <c r="J45">
        <v>2</v>
      </c>
      <c r="K45" s="37">
        <v>45433</v>
      </c>
      <c r="L45" t="s">
        <v>109</v>
      </c>
      <c r="M45">
        <v>264.25</v>
      </c>
      <c r="N45">
        <v>33</v>
      </c>
      <c r="O45" t="str">
        <f>"Q"&amp;ROUNDUP(MONTH(Transactions[[#This Row],[Transaction Date]])/3,0)</f>
        <v>Q2</v>
      </c>
      <c r="P45">
        <f>YEAR(Transactions[[#This Row],[Transaction Date]])</f>
        <v>2024</v>
      </c>
      <c r="Q45" t="str">
        <f>IF(Transactions[[#This Row],[Sales Amount]]&lt;AVERAGE(Transactions[Sales Amount]),"Below Average","At/Above Average")</f>
        <v>At/Above Average</v>
      </c>
    </row>
    <row r="46" spans="4:17" x14ac:dyDescent="0.2">
      <c r="D46" t="s">
        <v>136</v>
      </c>
      <c r="E46" t="s">
        <v>76</v>
      </c>
      <c r="F46" t="s">
        <v>96</v>
      </c>
      <c r="G46">
        <v>232</v>
      </c>
      <c r="H46">
        <v>10</v>
      </c>
      <c r="I46">
        <v>47.52</v>
      </c>
      <c r="J46">
        <v>10</v>
      </c>
      <c r="K46" s="37">
        <v>44677</v>
      </c>
      <c r="L46" t="s">
        <v>92</v>
      </c>
      <c r="M46">
        <v>23.06</v>
      </c>
      <c r="N46">
        <v>35</v>
      </c>
      <c r="O46" t="str">
        <f>"Q"&amp;ROUNDUP(MONTH(Transactions[[#This Row],[Transaction Date]])/3,0)</f>
        <v>Q2</v>
      </c>
      <c r="P46">
        <f>YEAR(Transactions[[#This Row],[Transaction Date]])</f>
        <v>2022</v>
      </c>
      <c r="Q46" t="str">
        <f>IF(Transactions[[#This Row],[Sales Amount]]&lt;AVERAGE(Transactions[Sales Amount]),"Below Average","At/Above Average")</f>
        <v>Below Average</v>
      </c>
    </row>
    <row r="47" spans="4:17" x14ac:dyDescent="0.2">
      <c r="D47" t="s">
        <v>137</v>
      </c>
      <c r="E47" t="s">
        <v>78</v>
      </c>
      <c r="F47" t="s">
        <v>105</v>
      </c>
      <c r="G47">
        <v>280</v>
      </c>
      <c r="H47">
        <v>4</v>
      </c>
      <c r="I47">
        <v>59.3</v>
      </c>
      <c r="J47">
        <v>1</v>
      </c>
      <c r="K47" s="37">
        <v>44722</v>
      </c>
      <c r="L47" t="s">
        <v>97</v>
      </c>
      <c r="M47">
        <v>343.06</v>
      </c>
      <c r="N47">
        <v>5</v>
      </c>
      <c r="O47" t="str">
        <f>"Q"&amp;ROUNDUP(MONTH(Transactions[[#This Row],[Transaction Date]])/3,0)</f>
        <v>Q2</v>
      </c>
      <c r="P47">
        <f>YEAR(Transactions[[#This Row],[Transaction Date]])</f>
        <v>2022</v>
      </c>
      <c r="Q47" t="str">
        <f>IF(Transactions[[#This Row],[Sales Amount]]&lt;AVERAGE(Transactions[Sales Amount]),"Below Average","At/Above Average")</f>
        <v>At/Above Average</v>
      </c>
    </row>
    <row r="48" spans="4:17" x14ac:dyDescent="0.2">
      <c r="D48" t="s">
        <v>138</v>
      </c>
      <c r="E48" t="s">
        <v>74</v>
      </c>
      <c r="F48" t="s">
        <v>88</v>
      </c>
      <c r="G48">
        <v>155</v>
      </c>
      <c r="H48">
        <v>4</v>
      </c>
      <c r="I48">
        <v>51.64</v>
      </c>
      <c r="J48">
        <v>4</v>
      </c>
      <c r="K48" s="37">
        <v>44785</v>
      </c>
      <c r="L48" t="s">
        <v>102</v>
      </c>
      <c r="M48">
        <v>455.87</v>
      </c>
      <c r="N48">
        <v>4</v>
      </c>
      <c r="O48" t="str">
        <f>"Q"&amp;ROUNDUP(MONTH(Transactions[[#This Row],[Transaction Date]])/3,0)</f>
        <v>Q3</v>
      </c>
      <c r="P48">
        <f>YEAR(Transactions[[#This Row],[Transaction Date]])</f>
        <v>2022</v>
      </c>
      <c r="Q48" t="str">
        <f>IF(Transactions[[#This Row],[Sales Amount]]&lt;AVERAGE(Transactions[Sales Amount]),"Below Average","At/Above Average")</f>
        <v>At/Above Average</v>
      </c>
    </row>
    <row r="49" spans="4:17" x14ac:dyDescent="0.2">
      <c r="D49" t="s">
        <v>139</v>
      </c>
      <c r="E49" t="s">
        <v>87</v>
      </c>
      <c r="F49" t="s">
        <v>88</v>
      </c>
      <c r="G49">
        <v>180</v>
      </c>
      <c r="H49">
        <v>1</v>
      </c>
      <c r="I49">
        <v>50.97</v>
      </c>
      <c r="J49">
        <v>2</v>
      </c>
      <c r="K49" s="37">
        <v>44972</v>
      </c>
      <c r="L49" t="s">
        <v>92</v>
      </c>
      <c r="M49">
        <v>208.92</v>
      </c>
      <c r="N49">
        <v>39</v>
      </c>
      <c r="O49" t="str">
        <f>"Q"&amp;ROUNDUP(MONTH(Transactions[[#This Row],[Transaction Date]])/3,0)</f>
        <v>Q1</v>
      </c>
      <c r="P49">
        <f>YEAR(Transactions[[#This Row],[Transaction Date]])</f>
        <v>2023</v>
      </c>
      <c r="Q49" t="str">
        <f>IF(Transactions[[#This Row],[Sales Amount]]&lt;AVERAGE(Transactions[Sales Amount]),"Below Average","At/Above Average")</f>
        <v>Below Average</v>
      </c>
    </row>
    <row r="50" spans="4:17" x14ac:dyDescent="0.2">
      <c r="D50" t="s">
        <v>140</v>
      </c>
      <c r="E50" t="s">
        <v>77</v>
      </c>
      <c r="F50" t="s">
        <v>94</v>
      </c>
      <c r="G50">
        <v>114</v>
      </c>
      <c r="H50">
        <v>3</v>
      </c>
      <c r="I50">
        <v>45.18</v>
      </c>
      <c r="J50">
        <v>9</v>
      </c>
      <c r="K50" s="37">
        <v>44990</v>
      </c>
      <c r="L50" t="s">
        <v>109</v>
      </c>
      <c r="M50">
        <v>388.87</v>
      </c>
      <c r="N50">
        <v>28</v>
      </c>
      <c r="O50" t="str">
        <f>"Q"&amp;ROUNDUP(MONTH(Transactions[[#This Row],[Transaction Date]])/3,0)</f>
        <v>Q1</v>
      </c>
      <c r="P50">
        <f>YEAR(Transactions[[#This Row],[Transaction Date]])</f>
        <v>2023</v>
      </c>
      <c r="Q50" t="str">
        <f>IF(Transactions[[#This Row],[Sales Amount]]&lt;AVERAGE(Transactions[Sales Amount]),"Below Average","At/Above Average")</f>
        <v>At/Above Average</v>
      </c>
    </row>
    <row r="51" spans="4:17" x14ac:dyDescent="0.2">
      <c r="D51" t="s">
        <v>141</v>
      </c>
      <c r="E51" t="s">
        <v>74</v>
      </c>
      <c r="F51" t="s">
        <v>108</v>
      </c>
      <c r="G51">
        <v>285</v>
      </c>
      <c r="H51">
        <v>6</v>
      </c>
      <c r="I51">
        <v>51.63</v>
      </c>
      <c r="J51">
        <v>10</v>
      </c>
      <c r="K51" s="37">
        <v>44726</v>
      </c>
      <c r="L51" t="s">
        <v>102</v>
      </c>
      <c r="M51">
        <v>29.16</v>
      </c>
      <c r="N51">
        <v>3</v>
      </c>
      <c r="O51" t="str">
        <f>"Q"&amp;ROUNDUP(MONTH(Transactions[[#This Row],[Transaction Date]])/3,0)</f>
        <v>Q2</v>
      </c>
      <c r="P51">
        <f>YEAR(Transactions[[#This Row],[Transaction Date]])</f>
        <v>2022</v>
      </c>
      <c r="Q51" t="str">
        <f>IF(Transactions[[#This Row],[Sales Amount]]&lt;AVERAGE(Transactions[Sales Amount]),"Below Average","At/Above Average")</f>
        <v>Below Average</v>
      </c>
    </row>
    <row r="52" spans="4:17" x14ac:dyDescent="0.2">
      <c r="D52" t="s">
        <v>142</v>
      </c>
      <c r="E52" t="s">
        <v>74</v>
      </c>
      <c r="F52" t="s">
        <v>99</v>
      </c>
      <c r="G52">
        <v>167</v>
      </c>
      <c r="H52">
        <v>8</v>
      </c>
      <c r="I52">
        <v>52.31</v>
      </c>
      <c r="J52">
        <v>7</v>
      </c>
      <c r="K52" s="37">
        <v>44583</v>
      </c>
      <c r="L52" t="s">
        <v>89</v>
      </c>
      <c r="M52">
        <v>142.21</v>
      </c>
      <c r="N52">
        <v>43</v>
      </c>
      <c r="O52" t="str">
        <f>"Q"&amp;ROUNDUP(MONTH(Transactions[[#This Row],[Transaction Date]])/3,0)</f>
        <v>Q1</v>
      </c>
      <c r="P52">
        <f>YEAR(Transactions[[#This Row],[Transaction Date]])</f>
        <v>2022</v>
      </c>
      <c r="Q52" t="str">
        <f>IF(Transactions[[#This Row],[Sales Amount]]&lt;AVERAGE(Transactions[Sales Amount]),"Below Average","At/Above Average")</f>
        <v>Below Average</v>
      </c>
    </row>
    <row r="53" spans="4:17" x14ac:dyDescent="0.2">
      <c r="D53" t="s">
        <v>143</v>
      </c>
      <c r="E53" t="s">
        <v>76</v>
      </c>
      <c r="F53" t="s">
        <v>94</v>
      </c>
      <c r="G53">
        <v>215</v>
      </c>
      <c r="H53">
        <v>8</v>
      </c>
      <c r="I53">
        <v>56.59</v>
      </c>
      <c r="J53">
        <v>10</v>
      </c>
      <c r="K53" s="37">
        <v>45180</v>
      </c>
      <c r="L53" t="s">
        <v>109</v>
      </c>
      <c r="M53">
        <v>497.19</v>
      </c>
      <c r="N53">
        <v>30</v>
      </c>
      <c r="O53" t="str">
        <f>"Q"&amp;ROUNDUP(MONTH(Transactions[[#This Row],[Transaction Date]])/3,0)</f>
        <v>Q3</v>
      </c>
      <c r="P53">
        <f>YEAR(Transactions[[#This Row],[Transaction Date]])</f>
        <v>2023</v>
      </c>
      <c r="Q53" t="str">
        <f>IF(Transactions[[#This Row],[Sales Amount]]&lt;AVERAGE(Transactions[Sales Amount]),"Below Average","At/Above Average")</f>
        <v>At/Above Average</v>
      </c>
    </row>
    <row r="54" spans="4:17" x14ac:dyDescent="0.2">
      <c r="D54" t="s">
        <v>144</v>
      </c>
      <c r="E54" t="s">
        <v>78</v>
      </c>
      <c r="F54" t="s">
        <v>91</v>
      </c>
      <c r="G54">
        <v>171</v>
      </c>
      <c r="H54">
        <v>8</v>
      </c>
      <c r="I54">
        <v>53.24</v>
      </c>
      <c r="J54">
        <v>5</v>
      </c>
      <c r="K54" s="37">
        <v>44676</v>
      </c>
      <c r="L54" t="s">
        <v>109</v>
      </c>
      <c r="M54">
        <v>495.93</v>
      </c>
      <c r="N54">
        <v>42</v>
      </c>
      <c r="O54" t="str">
        <f>"Q"&amp;ROUNDUP(MONTH(Transactions[[#This Row],[Transaction Date]])/3,0)</f>
        <v>Q2</v>
      </c>
      <c r="P54">
        <f>YEAR(Transactions[[#This Row],[Transaction Date]])</f>
        <v>2022</v>
      </c>
      <c r="Q54" t="str">
        <f>IF(Transactions[[#This Row],[Sales Amount]]&lt;AVERAGE(Transactions[Sales Amount]),"Below Average","At/Above Average")</f>
        <v>At/Above Average</v>
      </c>
    </row>
    <row r="55" spans="4:17" x14ac:dyDescent="0.2">
      <c r="D55" t="s">
        <v>145</v>
      </c>
      <c r="E55" t="s">
        <v>75</v>
      </c>
      <c r="F55" t="s">
        <v>99</v>
      </c>
      <c r="G55">
        <v>190</v>
      </c>
      <c r="H55">
        <v>9</v>
      </c>
      <c r="I55">
        <v>59.7</v>
      </c>
      <c r="J55">
        <v>6</v>
      </c>
      <c r="K55" s="37">
        <v>44597</v>
      </c>
      <c r="L55" t="s">
        <v>92</v>
      </c>
      <c r="M55">
        <v>42.15</v>
      </c>
      <c r="N55">
        <v>2</v>
      </c>
      <c r="O55" t="str">
        <f>"Q"&amp;ROUNDUP(MONTH(Transactions[[#This Row],[Transaction Date]])/3,0)</f>
        <v>Q1</v>
      </c>
      <c r="P55">
        <f>YEAR(Transactions[[#This Row],[Transaction Date]])</f>
        <v>2022</v>
      </c>
      <c r="Q55" t="str">
        <f>IF(Transactions[[#This Row],[Sales Amount]]&lt;AVERAGE(Transactions[Sales Amount]),"Below Average","At/Above Average")</f>
        <v>Below Average</v>
      </c>
    </row>
    <row r="56" spans="4:17" x14ac:dyDescent="0.2">
      <c r="D56" t="s">
        <v>146</v>
      </c>
      <c r="E56" t="s">
        <v>78</v>
      </c>
      <c r="F56" t="s">
        <v>105</v>
      </c>
      <c r="G56">
        <v>283</v>
      </c>
      <c r="H56">
        <v>10</v>
      </c>
      <c r="I56">
        <v>51.1</v>
      </c>
      <c r="J56">
        <v>4</v>
      </c>
      <c r="K56" s="37">
        <v>44669</v>
      </c>
      <c r="L56" t="s">
        <v>89</v>
      </c>
      <c r="M56">
        <v>37.340000000000003</v>
      </c>
      <c r="N56">
        <v>2</v>
      </c>
      <c r="O56" t="str">
        <f>"Q"&amp;ROUNDUP(MONTH(Transactions[[#This Row],[Transaction Date]])/3,0)</f>
        <v>Q2</v>
      </c>
      <c r="P56">
        <f>YEAR(Transactions[[#This Row],[Transaction Date]])</f>
        <v>2022</v>
      </c>
      <c r="Q56" t="str">
        <f>IF(Transactions[[#This Row],[Sales Amount]]&lt;AVERAGE(Transactions[Sales Amount]),"Below Average","At/Above Average")</f>
        <v>Below Average</v>
      </c>
    </row>
    <row r="57" spans="4:17" x14ac:dyDescent="0.2">
      <c r="D57" t="s">
        <v>147</v>
      </c>
      <c r="E57" t="s">
        <v>75</v>
      </c>
      <c r="F57" t="s">
        <v>108</v>
      </c>
      <c r="G57">
        <v>277</v>
      </c>
      <c r="H57">
        <v>5</v>
      </c>
      <c r="I57">
        <v>57.19</v>
      </c>
      <c r="J57">
        <v>4</v>
      </c>
      <c r="K57" s="37">
        <v>45574</v>
      </c>
      <c r="L57" t="s">
        <v>97</v>
      </c>
      <c r="M57">
        <v>270.77999999999997</v>
      </c>
      <c r="N57">
        <v>38</v>
      </c>
      <c r="O57" t="str">
        <f>"Q"&amp;ROUNDUP(MONTH(Transactions[[#This Row],[Transaction Date]])/3,0)</f>
        <v>Q4</v>
      </c>
      <c r="P57">
        <f>YEAR(Transactions[[#This Row],[Transaction Date]])</f>
        <v>2024</v>
      </c>
      <c r="Q57" t="str">
        <f>IF(Transactions[[#This Row],[Sales Amount]]&lt;AVERAGE(Transactions[Sales Amount]),"Below Average","At/Above Average")</f>
        <v>At/Above Average</v>
      </c>
    </row>
    <row r="58" spans="4:17" x14ac:dyDescent="0.2">
      <c r="D58" t="s">
        <v>148</v>
      </c>
      <c r="E58" t="s">
        <v>78</v>
      </c>
      <c r="F58" t="s">
        <v>99</v>
      </c>
      <c r="G58">
        <v>240</v>
      </c>
      <c r="H58">
        <v>9</v>
      </c>
      <c r="I58">
        <v>48.32</v>
      </c>
      <c r="J58">
        <v>3</v>
      </c>
      <c r="K58" s="37">
        <v>45567</v>
      </c>
      <c r="L58" t="s">
        <v>124</v>
      </c>
      <c r="M58">
        <v>412.58</v>
      </c>
      <c r="N58">
        <v>5</v>
      </c>
      <c r="O58" t="str">
        <f>"Q"&amp;ROUNDUP(MONTH(Transactions[[#This Row],[Transaction Date]])/3,0)</f>
        <v>Q4</v>
      </c>
      <c r="P58">
        <f>YEAR(Transactions[[#This Row],[Transaction Date]])</f>
        <v>2024</v>
      </c>
      <c r="Q58" t="str">
        <f>IF(Transactions[[#This Row],[Sales Amount]]&lt;AVERAGE(Transactions[Sales Amount]),"Below Average","At/Above Average")</f>
        <v>At/Above Average</v>
      </c>
    </row>
    <row r="59" spans="4:17" x14ac:dyDescent="0.2">
      <c r="D59" t="s">
        <v>149</v>
      </c>
      <c r="E59" t="s">
        <v>87</v>
      </c>
      <c r="F59" t="s">
        <v>105</v>
      </c>
      <c r="G59">
        <v>145</v>
      </c>
      <c r="H59">
        <v>8</v>
      </c>
      <c r="I59">
        <v>57.04</v>
      </c>
      <c r="J59">
        <v>6</v>
      </c>
      <c r="K59" s="37">
        <v>45073</v>
      </c>
      <c r="L59" t="s">
        <v>109</v>
      </c>
      <c r="M59">
        <v>220.51</v>
      </c>
      <c r="N59">
        <v>42</v>
      </c>
      <c r="O59" t="str">
        <f>"Q"&amp;ROUNDUP(MONTH(Transactions[[#This Row],[Transaction Date]])/3,0)</f>
        <v>Q2</v>
      </c>
      <c r="P59">
        <f>YEAR(Transactions[[#This Row],[Transaction Date]])</f>
        <v>2023</v>
      </c>
      <c r="Q59" t="str">
        <f>IF(Transactions[[#This Row],[Sales Amount]]&lt;AVERAGE(Transactions[Sales Amount]),"Below Average","At/Above Average")</f>
        <v>Below Average</v>
      </c>
    </row>
    <row r="60" spans="4:17" x14ac:dyDescent="0.2">
      <c r="D60" t="s">
        <v>150</v>
      </c>
      <c r="E60" t="s">
        <v>77</v>
      </c>
      <c r="F60" t="s">
        <v>94</v>
      </c>
      <c r="G60">
        <v>202</v>
      </c>
      <c r="H60">
        <v>9</v>
      </c>
      <c r="I60">
        <v>50.14</v>
      </c>
      <c r="J60">
        <v>4</v>
      </c>
      <c r="K60" s="37">
        <v>44955</v>
      </c>
      <c r="L60" t="s">
        <v>102</v>
      </c>
      <c r="M60">
        <v>343.07</v>
      </c>
      <c r="N60">
        <v>9</v>
      </c>
      <c r="O60" t="str">
        <f>"Q"&amp;ROUNDUP(MONTH(Transactions[[#This Row],[Transaction Date]])/3,0)</f>
        <v>Q1</v>
      </c>
      <c r="P60">
        <f>YEAR(Transactions[[#This Row],[Transaction Date]])</f>
        <v>2023</v>
      </c>
      <c r="Q60" t="str">
        <f>IF(Transactions[[#This Row],[Sales Amount]]&lt;AVERAGE(Transactions[Sales Amount]),"Below Average","At/Above Average")</f>
        <v>At/Above Average</v>
      </c>
    </row>
    <row r="61" spans="4:17" x14ac:dyDescent="0.2">
      <c r="D61" t="s">
        <v>151</v>
      </c>
      <c r="E61" t="s">
        <v>77</v>
      </c>
      <c r="F61" t="s">
        <v>129</v>
      </c>
      <c r="G61">
        <v>278</v>
      </c>
      <c r="H61">
        <v>5</v>
      </c>
      <c r="I61">
        <v>49.93</v>
      </c>
      <c r="J61">
        <v>9</v>
      </c>
      <c r="K61" s="37">
        <v>44632</v>
      </c>
      <c r="L61" t="s">
        <v>109</v>
      </c>
      <c r="M61">
        <v>70.27</v>
      </c>
      <c r="N61">
        <v>12</v>
      </c>
      <c r="O61" t="str">
        <f>"Q"&amp;ROUNDUP(MONTH(Transactions[[#This Row],[Transaction Date]])/3,0)</f>
        <v>Q1</v>
      </c>
      <c r="P61">
        <f>YEAR(Transactions[[#This Row],[Transaction Date]])</f>
        <v>2022</v>
      </c>
      <c r="Q61" t="str">
        <f>IF(Transactions[[#This Row],[Sales Amount]]&lt;AVERAGE(Transactions[Sales Amount]),"Below Average","At/Above Average")</f>
        <v>Below Average</v>
      </c>
    </row>
    <row r="62" spans="4:17" x14ac:dyDescent="0.2">
      <c r="D62" t="s">
        <v>152</v>
      </c>
      <c r="E62" t="s">
        <v>78</v>
      </c>
      <c r="F62" t="s">
        <v>108</v>
      </c>
      <c r="G62">
        <v>234</v>
      </c>
      <c r="H62">
        <v>2</v>
      </c>
      <c r="I62">
        <v>46.51</v>
      </c>
      <c r="J62">
        <v>2</v>
      </c>
      <c r="K62" s="37">
        <v>45207</v>
      </c>
      <c r="L62" t="s">
        <v>92</v>
      </c>
      <c r="M62">
        <v>411.15</v>
      </c>
      <c r="N62">
        <v>44</v>
      </c>
      <c r="O62" t="str">
        <f>"Q"&amp;ROUNDUP(MONTH(Transactions[[#This Row],[Transaction Date]])/3,0)</f>
        <v>Q4</v>
      </c>
      <c r="P62">
        <f>YEAR(Transactions[[#This Row],[Transaction Date]])</f>
        <v>2023</v>
      </c>
      <c r="Q62" t="str">
        <f>IF(Transactions[[#This Row],[Sales Amount]]&lt;AVERAGE(Transactions[Sales Amount]),"Below Average","At/Above Average")</f>
        <v>At/Above Average</v>
      </c>
    </row>
    <row r="63" spans="4:17" x14ac:dyDescent="0.2">
      <c r="D63" t="s">
        <v>153</v>
      </c>
      <c r="E63" t="s">
        <v>77</v>
      </c>
      <c r="F63" t="s">
        <v>105</v>
      </c>
      <c r="G63">
        <v>264</v>
      </c>
      <c r="H63">
        <v>3</v>
      </c>
      <c r="I63">
        <v>58.76</v>
      </c>
      <c r="J63">
        <v>3</v>
      </c>
      <c r="K63" s="37">
        <v>44815</v>
      </c>
      <c r="L63" t="s">
        <v>97</v>
      </c>
      <c r="M63">
        <v>204.78</v>
      </c>
      <c r="N63">
        <v>50</v>
      </c>
      <c r="O63" t="str">
        <f>"Q"&amp;ROUNDUP(MONTH(Transactions[[#This Row],[Transaction Date]])/3,0)</f>
        <v>Q3</v>
      </c>
      <c r="P63">
        <f>YEAR(Transactions[[#This Row],[Transaction Date]])</f>
        <v>2022</v>
      </c>
      <c r="Q63" t="str">
        <f>IF(Transactions[[#This Row],[Sales Amount]]&lt;AVERAGE(Transactions[Sales Amount]),"Below Average","At/Above Average")</f>
        <v>Below Average</v>
      </c>
    </row>
    <row r="64" spans="4:17" x14ac:dyDescent="0.2">
      <c r="D64" t="s">
        <v>154</v>
      </c>
      <c r="E64" t="s">
        <v>87</v>
      </c>
      <c r="F64" t="s">
        <v>96</v>
      </c>
      <c r="G64">
        <v>130</v>
      </c>
      <c r="H64">
        <v>10</v>
      </c>
      <c r="I64">
        <v>50.35</v>
      </c>
      <c r="J64">
        <v>4</v>
      </c>
      <c r="K64" s="37">
        <v>45244</v>
      </c>
      <c r="L64" t="s">
        <v>102</v>
      </c>
      <c r="M64">
        <v>231.07</v>
      </c>
      <c r="N64">
        <v>23</v>
      </c>
      <c r="O64" t="str">
        <f>"Q"&amp;ROUNDUP(MONTH(Transactions[[#This Row],[Transaction Date]])/3,0)</f>
        <v>Q4</v>
      </c>
      <c r="P64">
        <f>YEAR(Transactions[[#This Row],[Transaction Date]])</f>
        <v>2023</v>
      </c>
      <c r="Q64" t="str">
        <f>IF(Transactions[[#This Row],[Sales Amount]]&lt;AVERAGE(Transactions[Sales Amount]),"Below Average","At/Above Average")</f>
        <v>Below Average</v>
      </c>
    </row>
    <row r="65" spans="4:17" x14ac:dyDescent="0.2">
      <c r="D65" t="s">
        <v>155</v>
      </c>
      <c r="E65" t="s">
        <v>74</v>
      </c>
      <c r="F65" t="s">
        <v>91</v>
      </c>
      <c r="G65">
        <v>173</v>
      </c>
      <c r="H65">
        <v>7</v>
      </c>
      <c r="I65">
        <v>51.64</v>
      </c>
      <c r="J65">
        <v>3</v>
      </c>
      <c r="K65" s="37">
        <v>45149</v>
      </c>
      <c r="L65" t="s">
        <v>92</v>
      </c>
      <c r="M65">
        <v>113.66</v>
      </c>
      <c r="N65">
        <v>37</v>
      </c>
      <c r="O65" t="str">
        <f>"Q"&amp;ROUNDUP(MONTH(Transactions[[#This Row],[Transaction Date]])/3,0)</f>
        <v>Q3</v>
      </c>
      <c r="P65">
        <f>YEAR(Transactions[[#This Row],[Transaction Date]])</f>
        <v>2023</v>
      </c>
      <c r="Q65" t="str">
        <f>IF(Transactions[[#This Row],[Sales Amount]]&lt;AVERAGE(Transactions[Sales Amount]),"Below Average","At/Above Average")</f>
        <v>Below Average</v>
      </c>
    </row>
    <row r="66" spans="4:17" x14ac:dyDescent="0.2">
      <c r="D66" t="s">
        <v>156</v>
      </c>
      <c r="E66" t="s">
        <v>75</v>
      </c>
      <c r="F66" t="s">
        <v>129</v>
      </c>
      <c r="G66">
        <v>227</v>
      </c>
      <c r="H66">
        <v>4</v>
      </c>
      <c r="I66">
        <v>54.01</v>
      </c>
      <c r="J66">
        <v>4</v>
      </c>
      <c r="K66" s="37">
        <v>44869</v>
      </c>
      <c r="L66" t="s">
        <v>89</v>
      </c>
      <c r="M66">
        <v>370.8</v>
      </c>
      <c r="N66">
        <v>22</v>
      </c>
      <c r="O66" t="str">
        <f>"Q"&amp;ROUNDUP(MONTH(Transactions[[#This Row],[Transaction Date]])/3,0)</f>
        <v>Q4</v>
      </c>
      <c r="P66">
        <f>YEAR(Transactions[[#This Row],[Transaction Date]])</f>
        <v>2022</v>
      </c>
      <c r="Q66" t="str">
        <f>IF(Transactions[[#This Row],[Sales Amount]]&lt;AVERAGE(Transactions[Sales Amount]),"Below Average","At/Above Average")</f>
        <v>At/Above Average</v>
      </c>
    </row>
    <row r="67" spans="4:17" x14ac:dyDescent="0.2">
      <c r="D67" t="s">
        <v>157</v>
      </c>
      <c r="E67" t="s">
        <v>77</v>
      </c>
      <c r="F67" t="s">
        <v>88</v>
      </c>
      <c r="G67">
        <v>145</v>
      </c>
      <c r="H67">
        <v>7</v>
      </c>
      <c r="I67">
        <v>53.54</v>
      </c>
      <c r="J67">
        <v>4</v>
      </c>
      <c r="K67" s="37">
        <v>44769</v>
      </c>
      <c r="L67" t="s">
        <v>102</v>
      </c>
      <c r="M67">
        <v>15.39</v>
      </c>
      <c r="N67">
        <v>33</v>
      </c>
      <c r="O67" t="str">
        <f>"Q"&amp;ROUNDUP(MONTH(Transactions[[#This Row],[Transaction Date]])/3,0)</f>
        <v>Q3</v>
      </c>
      <c r="P67">
        <f>YEAR(Transactions[[#This Row],[Transaction Date]])</f>
        <v>2022</v>
      </c>
      <c r="Q67" t="str">
        <f>IF(Transactions[[#This Row],[Sales Amount]]&lt;AVERAGE(Transactions[Sales Amount]),"Below Average","At/Above Average")</f>
        <v>Below Average</v>
      </c>
    </row>
    <row r="68" spans="4:17" x14ac:dyDescent="0.2">
      <c r="D68" t="s">
        <v>158</v>
      </c>
      <c r="E68" t="s">
        <v>76</v>
      </c>
      <c r="F68" t="s">
        <v>99</v>
      </c>
      <c r="G68">
        <v>188</v>
      </c>
      <c r="H68">
        <v>7</v>
      </c>
      <c r="I68">
        <v>48.94</v>
      </c>
      <c r="J68">
        <v>10</v>
      </c>
      <c r="K68" s="37">
        <v>45052</v>
      </c>
      <c r="L68" t="s">
        <v>124</v>
      </c>
      <c r="M68">
        <v>94.21</v>
      </c>
      <c r="N68">
        <v>42</v>
      </c>
      <c r="O68" t="str">
        <f>"Q"&amp;ROUNDUP(MONTH(Transactions[[#This Row],[Transaction Date]])/3,0)</f>
        <v>Q2</v>
      </c>
      <c r="P68">
        <f>YEAR(Transactions[[#This Row],[Transaction Date]])</f>
        <v>2023</v>
      </c>
      <c r="Q68" t="str">
        <f>IF(Transactions[[#This Row],[Sales Amount]]&lt;AVERAGE(Transactions[Sales Amount]),"Below Average","At/Above Average")</f>
        <v>Below Average</v>
      </c>
    </row>
    <row r="69" spans="4:17" x14ac:dyDescent="0.2">
      <c r="D69" t="s">
        <v>159</v>
      </c>
      <c r="E69" t="s">
        <v>76</v>
      </c>
      <c r="F69" t="s">
        <v>108</v>
      </c>
      <c r="G69">
        <v>210</v>
      </c>
      <c r="H69">
        <v>4</v>
      </c>
      <c r="I69">
        <v>51.67</v>
      </c>
      <c r="J69">
        <v>7</v>
      </c>
      <c r="K69" s="37">
        <v>45316</v>
      </c>
      <c r="L69" t="s">
        <v>92</v>
      </c>
      <c r="M69">
        <v>438.46</v>
      </c>
      <c r="N69">
        <v>5</v>
      </c>
      <c r="O69" t="str">
        <f>"Q"&amp;ROUNDUP(MONTH(Transactions[[#This Row],[Transaction Date]])/3,0)</f>
        <v>Q1</v>
      </c>
      <c r="P69">
        <f>YEAR(Transactions[[#This Row],[Transaction Date]])</f>
        <v>2024</v>
      </c>
      <c r="Q69" t="str">
        <f>IF(Transactions[[#This Row],[Sales Amount]]&lt;AVERAGE(Transactions[Sales Amount]),"Below Average","At/Above Average")</f>
        <v>At/Above Average</v>
      </c>
    </row>
    <row r="70" spans="4:17" x14ac:dyDescent="0.2">
      <c r="D70" t="s">
        <v>160</v>
      </c>
      <c r="E70" t="s">
        <v>87</v>
      </c>
      <c r="F70" t="s">
        <v>99</v>
      </c>
      <c r="G70">
        <v>207</v>
      </c>
      <c r="H70">
        <v>8</v>
      </c>
      <c r="I70">
        <v>51.24</v>
      </c>
      <c r="J70">
        <v>4</v>
      </c>
      <c r="K70" s="37">
        <v>44865</v>
      </c>
      <c r="L70" t="s">
        <v>102</v>
      </c>
      <c r="M70">
        <v>221.52</v>
      </c>
      <c r="N70">
        <v>9</v>
      </c>
      <c r="O70" t="str">
        <f>"Q"&amp;ROUNDUP(MONTH(Transactions[[#This Row],[Transaction Date]])/3,0)</f>
        <v>Q4</v>
      </c>
      <c r="P70">
        <f>YEAR(Transactions[[#This Row],[Transaction Date]])</f>
        <v>2022</v>
      </c>
      <c r="Q70" t="str">
        <f>IF(Transactions[[#This Row],[Sales Amount]]&lt;AVERAGE(Transactions[Sales Amount]),"Below Average","At/Above Average")</f>
        <v>Below Average</v>
      </c>
    </row>
    <row r="71" spans="4:17" x14ac:dyDescent="0.2">
      <c r="D71" t="s">
        <v>161</v>
      </c>
      <c r="E71" t="s">
        <v>78</v>
      </c>
      <c r="F71" t="s">
        <v>94</v>
      </c>
      <c r="G71">
        <v>122</v>
      </c>
      <c r="H71">
        <v>2</v>
      </c>
      <c r="I71">
        <v>49.27</v>
      </c>
      <c r="J71">
        <v>7</v>
      </c>
      <c r="K71" s="37">
        <v>45527</v>
      </c>
      <c r="L71" t="s">
        <v>109</v>
      </c>
      <c r="M71">
        <v>341.82</v>
      </c>
      <c r="N71">
        <v>8</v>
      </c>
      <c r="O71" t="str">
        <f>"Q"&amp;ROUNDUP(MONTH(Transactions[[#This Row],[Transaction Date]])/3,0)</f>
        <v>Q3</v>
      </c>
      <c r="P71">
        <f>YEAR(Transactions[[#This Row],[Transaction Date]])</f>
        <v>2024</v>
      </c>
      <c r="Q71" t="str">
        <f>IF(Transactions[[#This Row],[Sales Amount]]&lt;AVERAGE(Transactions[Sales Amount]),"Below Average","At/Above Average")</f>
        <v>At/Above Average</v>
      </c>
    </row>
    <row r="72" spans="4:17" x14ac:dyDescent="0.2">
      <c r="D72" t="s">
        <v>162</v>
      </c>
      <c r="E72" t="s">
        <v>75</v>
      </c>
      <c r="F72" t="s">
        <v>91</v>
      </c>
      <c r="G72">
        <v>149</v>
      </c>
      <c r="H72">
        <v>9</v>
      </c>
      <c r="I72">
        <v>58.65</v>
      </c>
      <c r="J72">
        <v>8</v>
      </c>
      <c r="K72" s="37">
        <v>45372</v>
      </c>
      <c r="L72" t="s">
        <v>102</v>
      </c>
      <c r="M72">
        <v>378.15</v>
      </c>
      <c r="N72">
        <v>2</v>
      </c>
      <c r="O72" t="str">
        <f>"Q"&amp;ROUNDUP(MONTH(Transactions[[#This Row],[Transaction Date]])/3,0)</f>
        <v>Q1</v>
      </c>
      <c r="P72">
        <f>YEAR(Transactions[[#This Row],[Transaction Date]])</f>
        <v>2024</v>
      </c>
      <c r="Q72" t="str">
        <f>IF(Transactions[[#This Row],[Sales Amount]]&lt;AVERAGE(Transactions[Sales Amount]),"Below Average","At/Above Average")</f>
        <v>At/Above Average</v>
      </c>
    </row>
    <row r="73" spans="4:17" x14ac:dyDescent="0.2">
      <c r="D73" t="s">
        <v>163</v>
      </c>
      <c r="E73" t="s">
        <v>74</v>
      </c>
      <c r="F73" t="s">
        <v>99</v>
      </c>
      <c r="G73">
        <v>202</v>
      </c>
      <c r="H73">
        <v>1</v>
      </c>
      <c r="I73">
        <v>57.9</v>
      </c>
      <c r="J73">
        <v>10</v>
      </c>
      <c r="K73" s="37">
        <v>45519</v>
      </c>
      <c r="L73" t="s">
        <v>89</v>
      </c>
      <c r="M73">
        <v>162.4</v>
      </c>
      <c r="N73">
        <v>45</v>
      </c>
      <c r="O73" t="str">
        <f>"Q"&amp;ROUNDUP(MONTH(Transactions[[#This Row],[Transaction Date]])/3,0)</f>
        <v>Q3</v>
      </c>
      <c r="P73">
        <f>YEAR(Transactions[[#This Row],[Transaction Date]])</f>
        <v>2024</v>
      </c>
      <c r="Q73" t="str">
        <f>IF(Transactions[[#This Row],[Sales Amount]]&lt;AVERAGE(Transactions[Sales Amount]),"Below Average","At/Above Average")</f>
        <v>Below Average</v>
      </c>
    </row>
    <row r="74" spans="4:17" x14ac:dyDescent="0.2">
      <c r="D74" t="s">
        <v>164</v>
      </c>
      <c r="E74" t="s">
        <v>78</v>
      </c>
      <c r="F74" t="s">
        <v>108</v>
      </c>
      <c r="G74">
        <v>244</v>
      </c>
      <c r="H74">
        <v>2</v>
      </c>
      <c r="I74">
        <v>55.75</v>
      </c>
      <c r="J74">
        <v>1</v>
      </c>
      <c r="K74" s="37">
        <v>44661</v>
      </c>
      <c r="L74" t="s">
        <v>109</v>
      </c>
      <c r="M74">
        <v>410.67</v>
      </c>
      <c r="N74">
        <v>4</v>
      </c>
      <c r="O74" t="str">
        <f>"Q"&amp;ROUNDUP(MONTH(Transactions[[#This Row],[Transaction Date]])/3,0)</f>
        <v>Q2</v>
      </c>
      <c r="P74">
        <f>YEAR(Transactions[[#This Row],[Transaction Date]])</f>
        <v>2022</v>
      </c>
      <c r="Q74" t="str">
        <f>IF(Transactions[[#This Row],[Sales Amount]]&lt;AVERAGE(Transactions[Sales Amount]),"Below Average","At/Above Average")</f>
        <v>At/Above Average</v>
      </c>
    </row>
    <row r="75" spans="4:17" x14ac:dyDescent="0.2">
      <c r="D75" t="s">
        <v>165</v>
      </c>
      <c r="E75" t="s">
        <v>77</v>
      </c>
      <c r="F75" t="s">
        <v>96</v>
      </c>
      <c r="G75">
        <v>199</v>
      </c>
      <c r="H75">
        <v>3</v>
      </c>
      <c r="I75">
        <v>47.89</v>
      </c>
      <c r="J75">
        <v>9</v>
      </c>
      <c r="K75" s="37">
        <v>45233</v>
      </c>
      <c r="L75" t="s">
        <v>102</v>
      </c>
      <c r="M75">
        <v>91.08</v>
      </c>
      <c r="N75">
        <v>28</v>
      </c>
      <c r="O75" t="str">
        <f>"Q"&amp;ROUNDUP(MONTH(Transactions[[#This Row],[Transaction Date]])/3,0)</f>
        <v>Q4</v>
      </c>
      <c r="P75">
        <f>YEAR(Transactions[[#This Row],[Transaction Date]])</f>
        <v>2023</v>
      </c>
      <c r="Q75" t="str">
        <f>IF(Transactions[[#This Row],[Sales Amount]]&lt;AVERAGE(Transactions[Sales Amount]),"Below Average","At/Above Average")</f>
        <v>Below Average</v>
      </c>
    </row>
    <row r="76" spans="4:17" x14ac:dyDescent="0.2">
      <c r="D76" t="s">
        <v>166</v>
      </c>
      <c r="E76" t="s">
        <v>78</v>
      </c>
      <c r="F76" t="s">
        <v>99</v>
      </c>
      <c r="G76">
        <v>220</v>
      </c>
      <c r="H76">
        <v>8</v>
      </c>
      <c r="I76">
        <v>55.65</v>
      </c>
      <c r="J76">
        <v>5</v>
      </c>
      <c r="K76" s="37">
        <v>45520</v>
      </c>
      <c r="L76" t="s">
        <v>124</v>
      </c>
      <c r="M76">
        <v>45.08</v>
      </c>
      <c r="N76">
        <v>45</v>
      </c>
      <c r="O76" t="str">
        <f>"Q"&amp;ROUNDUP(MONTH(Transactions[[#This Row],[Transaction Date]])/3,0)</f>
        <v>Q3</v>
      </c>
      <c r="P76">
        <f>YEAR(Transactions[[#This Row],[Transaction Date]])</f>
        <v>2024</v>
      </c>
      <c r="Q76" t="str">
        <f>IF(Transactions[[#This Row],[Sales Amount]]&lt;AVERAGE(Transactions[Sales Amount]),"Below Average","At/Above Average")</f>
        <v>Below Average</v>
      </c>
    </row>
    <row r="77" spans="4:17" x14ac:dyDescent="0.2">
      <c r="D77" t="s">
        <v>167</v>
      </c>
      <c r="E77" t="s">
        <v>74</v>
      </c>
      <c r="F77" t="s">
        <v>88</v>
      </c>
      <c r="G77">
        <v>242</v>
      </c>
      <c r="H77">
        <v>4</v>
      </c>
      <c r="I77">
        <v>49.55</v>
      </c>
      <c r="J77">
        <v>10</v>
      </c>
      <c r="K77" s="37">
        <v>45607</v>
      </c>
      <c r="L77" t="s">
        <v>124</v>
      </c>
      <c r="M77">
        <v>199.77</v>
      </c>
      <c r="N77">
        <v>35</v>
      </c>
      <c r="O77" t="str">
        <f>"Q"&amp;ROUNDUP(MONTH(Transactions[[#This Row],[Transaction Date]])/3,0)</f>
        <v>Q4</v>
      </c>
      <c r="P77">
        <f>YEAR(Transactions[[#This Row],[Transaction Date]])</f>
        <v>2024</v>
      </c>
      <c r="Q77" t="str">
        <f>IF(Transactions[[#This Row],[Sales Amount]]&lt;AVERAGE(Transactions[Sales Amount]),"Below Average","At/Above Average")</f>
        <v>Below Average</v>
      </c>
    </row>
    <row r="78" spans="4:17" x14ac:dyDescent="0.2">
      <c r="D78" t="s">
        <v>168</v>
      </c>
      <c r="E78" t="s">
        <v>75</v>
      </c>
      <c r="F78" t="s">
        <v>108</v>
      </c>
      <c r="G78">
        <v>143</v>
      </c>
      <c r="H78">
        <v>4</v>
      </c>
      <c r="I78">
        <v>49.71</v>
      </c>
      <c r="J78">
        <v>4</v>
      </c>
      <c r="K78" s="37">
        <v>45229</v>
      </c>
      <c r="L78" t="s">
        <v>92</v>
      </c>
      <c r="M78">
        <v>300.57</v>
      </c>
      <c r="N78">
        <v>27</v>
      </c>
      <c r="O78" t="str">
        <f>"Q"&amp;ROUNDUP(MONTH(Transactions[[#This Row],[Transaction Date]])/3,0)</f>
        <v>Q4</v>
      </c>
      <c r="P78">
        <f>YEAR(Transactions[[#This Row],[Transaction Date]])</f>
        <v>2023</v>
      </c>
      <c r="Q78" t="str">
        <f>IF(Transactions[[#This Row],[Sales Amount]]&lt;AVERAGE(Transactions[Sales Amount]),"Below Average","At/Above Average")</f>
        <v>At/Above Average</v>
      </c>
    </row>
    <row r="79" spans="4:17" x14ac:dyDescent="0.2">
      <c r="D79" t="s">
        <v>169</v>
      </c>
      <c r="E79" t="s">
        <v>76</v>
      </c>
      <c r="F79" t="s">
        <v>108</v>
      </c>
      <c r="G79">
        <v>168</v>
      </c>
      <c r="H79">
        <v>5</v>
      </c>
      <c r="I79">
        <v>57.77</v>
      </c>
      <c r="J79">
        <v>10</v>
      </c>
      <c r="K79" s="37">
        <v>45379</v>
      </c>
      <c r="L79" t="s">
        <v>124</v>
      </c>
      <c r="M79">
        <v>98.58</v>
      </c>
      <c r="N79">
        <v>2</v>
      </c>
      <c r="O79" t="str">
        <f>"Q"&amp;ROUNDUP(MONTH(Transactions[[#This Row],[Transaction Date]])/3,0)</f>
        <v>Q1</v>
      </c>
      <c r="P79">
        <f>YEAR(Transactions[[#This Row],[Transaction Date]])</f>
        <v>2024</v>
      </c>
      <c r="Q79" t="str">
        <f>IF(Transactions[[#This Row],[Sales Amount]]&lt;AVERAGE(Transactions[Sales Amount]),"Below Average","At/Above Average")</f>
        <v>Below Average</v>
      </c>
    </row>
    <row r="80" spans="4:17" x14ac:dyDescent="0.2">
      <c r="D80" t="s">
        <v>170</v>
      </c>
      <c r="E80" t="s">
        <v>74</v>
      </c>
      <c r="F80" t="s">
        <v>88</v>
      </c>
      <c r="G80">
        <v>261</v>
      </c>
      <c r="H80">
        <v>8</v>
      </c>
      <c r="I80">
        <v>47.43</v>
      </c>
      <c r="J80">
        <v>10</v>
      </c>
      <c r="K80" s="37">
        <v>45610</v>
      </c>
      <c r="L80" t="s">
        <v>102</v>
      </c>
      <c r="M80">
        <v>37.4</v>
      </c>
      <c r="N80">
        <v>14</v>
      </c>
      <c r="O80" t="str">
        <f>"Q"&amp;ROUNDUP(MONTH(Transactions[[#This Row],[Transaction Date]])/3,0)</f>
        <v>Q4</v>
      </c>
      <c r="P80">
        <f>YEAR(Transactions[[#This Row],[Transaction Date]])</f>
        <v>2024</v>
      </c>
      <c r="Q80" t="str">
        <f>IF(Transactions[[#This Row],[Sales Amount]]&lt;AVERAGE(Transactions[Sales Amount]),"Below Average","At/Above Average")</f>
        <v>Below Average</v>
      </c>
    </row>
    <row r="81" spans="4:17" x14ac:dyDescent="0.2">
      <c r="D81" t="s">
        <v>171</v>
      </c>
      <c r="E81" t="s">
        <v>76</v>
      </c>
      <c r="F81" t="s">
        <v>105</v>
      </c>
      <c r="G81">
        <v>188</v>
      </c>
      <c r="H81">
        <v>7</v>
      </c>
      <c r="I81">
        <v>49.75</v>
      </c>
      <c r="J81">
        <v>7</v>
      </c>
      <c r="K81" s="37">
        <v>45154</v>
      </c>
      <c r="L81" t="s">
        <v>92</v>
      </c>
      <c r="M81">
        <v>84.66</v>
      </c>
      <c r="N81">
        <v>18</v>
      </c>
      <c r="O81" t="str">
        <f>"Q"&amp;ROUNDUP(MONTH(Transactions[[#This Row],[Transaction Date]])/3,0)</f>
        <v>Q3</v>
      </c>
      <c r="P81">
        <f>YEAR(Transactions[[#This Row],[Transaction Date]])</f>
        <v>2023</v>
      </c>
      <c r="Q81" t="str">
        <f>IF(Transactions[[#This Row],[Sales Amount]]&lt;AVERAGE(Transactions[Sales Amount]),"Below Average","At/Above Average")</f>
        <v>Below Average</v>
      </c>
    </row>
    <row r="82" spans="4:17" x14ac:dyDescent="0.2">
      <c r="D82" t="s">
        <v>172</v>
      </c>
      <c r="E82" t="s">
        <v>78</v>
      </c>
      <c r="F82" t="s">
        <v>91</v>
      </c>
      <c r="G82">
        <v>236</v>
      </c>
      <c r="H82">
        <v>10</v>
      </c>
      <c r="I82">
        <v>45.88</v>
      </c>
      <c r="J82">
        <v>6</v>
      </c>
      <c r="K82" s="37">
        <v>45154</v>
      </c>
      <c r="L82" t="s">
        <v>124</v>
      </c>
      <c r="M82">
        <v>32.5</v>
      </c>
      <c r="N82">
        <v>45</v>
      </c>
      <c r="O82" t="str">
        <f>"Q"&amp;ROUNDUP(MONTH(Transactions[[#This Row],[Transaction Date]])/3,0)</f>
        <v>Q3</v>
      </c>
      <c r="P82">
        <f>YEAR(Transactions[[#This Row],[Transaction Date]])</f>
        <v>2023</v>
      </c>
      <c r="Q82" t="str">
        <f>IF(Transactions[[#This Row],[Sales Amount]]&lt;AVERAGE(Transactions[Sales Amount]),"Below Average","At/Above Average")</f>
        <v>Below Average</v>
      </c>
    </row>
    <row r="83" spans="4:17" x14ac:dyDescent="0.2">
      <c r="D83" t="s">
        <v>173</v>
      </c>
      <c r="E83" t="s">
        <v>77</v>
      </c>
      <c r="F83" t="s">
        <v>94</v>
      </c>
      <c r="G83">
        <v>121</v>
      </c>
      <c r="H83">
        <v>9</v>
      </c>
      <c r="I83">
        <v>48.01</v>
      </c>
      <c r="J83">
        <v>9</v>
      </c>
      <c r="K83" s="37">
        <v>44760</v>
      </c>
      <c r="L83" t="s">
        <v>97</v>
      </c>
      <c r="M83">
        <v>358.3</v>
      </c>
      <c r="N83">
        <v>49</v>
      </c>
      <c r="O83" t="str">
        <f>"Q"&amp;ROUNDUP(MONTH(Transactions[[#This Row],[Transaction Date]])/3,0)</f>
        <v>Q3</v>
      </c>
      <c r="P83">
        <f>YEAR(Transactions[[#This Row],[Transaction Date]])</f>
        <v>2022</v>
      </c>
      <c r="Q83" t="str">
        <f>IF(Transactions[[#This Row],[Sales Amount]]&lt;AVERAGE(Transactions[Sales Amount]),"Below Average","At/Above Average")</f>
        <v>At/Above Average</v>
      </c>
    </row>
    <row r="84" spans="4:17" x14ac:dyDescent="0.2">
      <c r="D84" t="s">
        <v>174</v>
      </c>
      <c r="E84" t="s">
        <v>75</v>
      </c>
      <c r="F84" t="s">
        <v>108</v>
      </c>
      <c r="G84">
        <v>236</v>
      </c>
      <c r="H84">
        <v>5</v>
      </c>
      <c r="I84">
        <v>48.14</v>
      </c>
      <c r="J84">
        <v>3</v>
      </c>
      <c r="K84" s="37">
        <v>44999</v>
      </c>
      <c r="L84" t="s">
        <v>89</v>
      </c>
      <c r="M84">
        <v>71.48</v>
      </c>
      <c r="N84">
        <v>20</v>
      </c>
      <c r="O84" t="str">
        <f>"Q"&amp;ROUNDUP(MONTH(Transactions[[#This Row],[Transaction Date]])/3,0)</f>
        <v>Q1</v>
      </c>
      <c r="P84">
        <f>YEAR(Transactions[[#This Row],[Transaction Date]])</f>
        <v>2023</v>
      </c>
      <c r="Q84" t="str">
        <f>IF(Transactions[[#This Row],[Sales Amount]]&lt;AVERAGE(Transactions[Sales Amount]),"Below Average","At/Above Average")</f>
        <v>Below Average</v>
      </c>
    </row>
    <row r="85" spans="4:17" x14ac:dyDescent="0.2">
      <c r="D85" t="s">
        <v>175</v>
      </c>
      <c r="E85" t="s">
        <v>87</v>
      </c>
      <c r="F85" t="s">
        <v>94</v>
      </c>
      <c r="G85">
        <v>219</v>
      </c>
      <c r="H85">
        <v>3</v>
      </c>
      <c r="I85">
        <v>45.57</v>
      </c>
      <c r="J85">
        <v>3</v>
      </c>
      <c r="K85" s="37">
        <v>45475</v>
      </c>
      <c r="L85" t="s">
        <v>109</v>
      </c>
      <c r="M85">
        <v>426.44</v>
      </c>
      <c r="N85">
        <v>34</v>
      </c>
      <c r="O85" t="str">
        <f>"Q"&amp;ROUNDUP(MONTH(Transactions[[#This Row],[Transaction Date]])/3,0)</f>
        <v>Q3</v>
      </c>
      <c r="P85">
        <f>YEAR(Transactions[[#This Row],[Transaction Date]])</f>
        <v>2024</v>
      </c>
      <c r="Q85" t="str">
        <f>IF(Transactions[[#This Row],[Sales Amount]]&lt;AVERAGE(Transactions[Sales Amount]),"Below Average","At/Above Average")</f>
        <v>At/Above Average</v>
      </c>
    </row>
    <row r="86" spans="4:17" x14ac:dyDescent="0.2">
      <c r="D86" t="s">
        <v>176</v>
      </c>
      <c r="E86" t="s">
        <v>77</v>
      </c>
      <c r="F86" t="s">
        <v>88</v>
      </c>
      <c r="G86">
        <v>262</v>
      </c>
      <c r="H86">
        <v>6</v>
      </c>
      <c r="I86">
        <v>52.52</v>
      </c>
      <c r="J86">
        <v>4</v>
      </c>
      <c r="K86" s="37">
        <v>44724</v>
      </c>
      <c r="L86" t="s">
        <v>97</v>
      </c>
      <c r="M86">
        <v>235.42</v>
      </c>
      <c r="N86">
        <v>19</v>
      </c>
      <c r="O86" t="str">
        <f>"Q"&amp;ROUNDUP(MONTH(Transactions[[#This Row],[Transaction Date]])/3,0)</f>
        <v>Q2</v>
      </c>
      <c r="P86">
        <f>YEAR(Transactions[[#This Row],[Transaction Date]])</f>
        <v>2022</v>
      </c>
      <c r="Q86" t="str">
        <f>IF(Transactions[[#This Row],[Sales Amount]]&lt;AVERAGE(Transactions[Sales Amount]),"Below Average","At/Above Average")</f>
        <v>Below Average</v>
      </c>
    </row>
    <row r="87" spans="4:17" x14ac:dyDescent="0.2">
      <c r="D87" t="s">
        <v>177</v>
      </c>
      <c r="E87" t="s">
        <v>74</v>
      </c>
      <c r="F87" t="s">
        <v>129</v>
      </c>
      <c r="G87">
        <v>180</v>
      </c>
      <c r="H87">
        <v>7</v>
      </c>
      <c r="I87">
        <v>50.49</v>
      </c>
      <c r="J87">
        <v>1</v>
      </c>
      <c r="K87" s="37">
        <v>44929</v>
      </c>
      <c r="L87" t="s">
        <v>102</v>
      </c>
      <c r="M87">
        <v>461.8</v>
      </c>
      <c r="N87">
        <v>8</v>
      </c>
      <c r="O87" t="str">
        <f>"Q"&amp;ROUNDUP(MONTH(Transactions[[#This Row],[Transaction Date]])/3,0)</f>
        <v>Q1</v>
      </c>
      <c r="P87">
        <f>YEAR(Transactions[[#This Row],[Transaction Date]])</f>
        <v>2023</v>
      </c>
      <c r="Q87" t="str">
        <f>IF(Transactions[[#This Row],[Sales Amount]]&lt;AVERAGE(Transactions[Sales Amount]),"Below Average","At/Above Average")</f>
        <v>At/Above Average</v>
      </c>
    </row>
    <row r="88" spans="4:17" x14ac:dyDescent="0.2">
      <c r="D88" t="s">
        <v>178</v>
      </c>
      <c r="E88" t="s">
        <v>74</v>
      </c>
      <c r="F88" t="s">
        <v>96</v>
      </c>
      <c r="G88">
        <v>247</v>
      </c>
      <c r="H88">
        <v>5</v>
      </c>
      <c r="I88">
        <v>58.67</v>
      </c>
      <c r="J88">
        <v>7</v>
      </c>
      <c r="K88" s="37">
        <v>45400</v>
      </c>
      <c r="L88" t="s">
        <v>89</v>
      </c>
      <c r="M88">
        <v>292.26</v>
      </c>
      <c r="N88">
        <v>44</v>
      </c>
      <c r="O88" t="str">
        <f>"Q"&amp;ROUNDUP(MONTH(Transactions[[#This Row],[Transaction Date]])/3,0)</f>
        <v>Q2</v>
      </c>
      <c r="P88">
        <f>YEAR(Transactions[[#This Row],[Transaction Date]])</f>
        <v>2024</v>
      </c>
      <c r="Q88" t="str">
        <f>IF(Transactions[[#This Row],[Sales Amount]]&lt;AVERAGE(Transactions[Sales Amount]),"Below Average","At/Above Average")</f>
        <v>At/Above Average</v>
      </c>
    </row>
    <row r="89" spans="4:17" x14ac:dyDescent="0.2">
      <c r="D89" t="s">
        <v>179</v>
      </c>
      <c r="E89" t="s">
        <v>77</v>
      </c>
      <c r="F89" t="s">
        <v>94</v>
      </c>
      <c r="G89">
        <v>203</v>
      </c>
      <c r="H89">
        <v>8</v>
      </c>
      <c r="I89">
        <v>58.14</v>
      </c>
      <c r="J89">
        <v>6</v>
      </c>
      <c r="K89" s="37">
        <v>44622</v>
      </c>
      <c r="L89" t="s">
        <v>102</v>
      </c>
      <c r="M89">
        <v>382.04</v>
      </c>
      <c r="N89">
        <v>37</v>
      </c>
      <c r="O89" t="str">
        <f>"Q"&amp;ROUNDUP(MONTH(Transactions[[#This Row],[Transaction Date]])/3,0)</f>
        <v>Q1</v>
      </c>
      <c r="P89">
        <f>YEAR(Transactions[[#This Row],[Transaction Date]])</f>
        <v>2022</v>
      </c>
      <c r="Q89" t="str">
        <f>IF(Transactions[[#This Row],[Sales Amount]]&lt;AVERAGE(Transactions[Sales Amount]),"Below Average","At/Above Average")</f>
        <v>At/Above Average</v>
      </c>
    </row>
    <row r="90" spans="4:17" x14ac:dyDescent="0.2">
      <c r="D90" t="s">
        <v>180</v>
      </c>
      <c r="E90" t="s">
        <v>76</v>
      </c>
      <c r="F90" t="s">
        <v>96</v>
      </c>
      <c r="G90">
        <v>196</v>
      </c>
      <c r="H90">
        <v>7</v>
      </c>
      <c r="I90">
        <v>52.86</v>
      </c>
      <c r="J90">
        <v>3</v>
      </c>
      <c r="K90" s="37">
        <v>44598</v>
      </c>
      <c r="L90" t="s">
        <v>109</v>
      </c>
      <c r="M90">
        <v>86.88</v>
      </c>
      <c r="N90">
        <v>31</v>
      </c>
      <c r="O90" t="str">
        <f>"Q"&amp;ROUNDUP(MONTH(Transactions[[#This Row],[Transaction Date]])/3,0)</f>
        <v>Q1</v>
      </c>
      <c r="P90">
        <f>YEAR(Transactions[[#This Row],[Transaction Date]])</f>
        <v>2022</v>
      </c>
      <c r="Q90" t="str">
        <f>IF(Transactions[[#This Row],[Sales Amount]]&lt;AVERAGE(Transactions[Sales Amount]),"Below Average","At/Above Average")</f>
        <v>Below Average</v>
      </c>
    </row>
    <row r="91" spans="4:17" x14ac:dyDescent="0.2">
      <c r="D91" t="s">
        <v>181</v>
      </c>
      <c r="E91" t="s">
        <v>76</v>
      </c>
      <c r="F91" t="s">
        <v>108</v>
      </c>
      <c r="G91">
        <v>101</v>
      </c>
      <c r="H91">
        <v>8</v>
      </c>
      <c r="I91">
        <v>58.31</v>
      </c>
      <c r="J91">
        <v>8</v>
      </c>
      <c r="K91" s="37">
        <v>45045</v>
      </c>
      <c r="L91" t="s">
        <v>92</v>
      </c>
      <c r="M91">
        <v>382.59</v>
      </c>
      <c r="N91">
        <v>39</v>
      </c>
      <c r="O91" t="str">
        <f>"Q"&amp;ROUNDUP(MONTH(Transactions[[#This Row],[Transaction Date]])/3,0)</f>
        <v>Q2</v>
      </c>
      <c r="P91">
        <f>YEAR(Transactions[[#This Row],[Transaction Date]])</f>
        <v>2023</v>
      </c>
      <c r="Q91" t="str">
        <f>IF(Transactions[[#This Row],[Sales Amount]]&lt;AVERAGE(Transactions[Sales Amount]),"Below Average","At/Above Average")</f>
        <v>At/Above Average</v>
      </c>
    </row>
    <row r="92" spans="4:17" x14ac:dyDescent="0.2">
      <c r="D92" t="s">
        <v>182</v>
      </c>
      <c r="E92" t="s">
        <v>76</v>
      </c>
      <c r="F92" t="s">
        <v>129</v>
      </c>
      <c r="G92">
        <v>229</v>
      </c>
      <c r="H92">
        <v>5</v>
      </c>
      <c r="I92">
        <v>51.44</v>
      </c>
      <c r="J92">
        <v>10</v>
      </c>
      <c r="K92" s="37">
        <v>44581</v>
      </c>
      <c r="L92" t="s">
        <v>97</v>
      </c>
      <c r="M92">
        <v>406.44</v>
      </c>
      <c r="N92">
        <v>35</v>
      </c>
      <c r="O92" t="str">
        <f>"Q"&amp;ROUNDUP(MONTH(Transactions[[#This Row],[Transaction Date]])/3,0)</f>
        <v>Q1</v>
      </c>
      <c r="P92">
        <f>YEAR(Transactions[[#This Row],[Transaction Date]])</f>
        <v>2022</v>
      </c>
      <c r="Q92" t="str">
        <f>IF(Transactions[[#This Row],[Sales Amount]]&lt;AVERAGE(Transactions[Sales Amount]),"Below Average","At/Above Average")</f>
        <v>At/Above Average</v>
      </c>
    </row>
    <row r="93" spans="4:17" x14ac:dyDescent="0.2">
      <c r="D93" t="s">
        <v>183</v>
      </c>
      <c r="E93" t="s">
        <v>74</v>
      </c>
      <c r="F93" t="s">
        <v>99</v>
      </c>
      <c r="G93">
        <v>146</v>
      </c>
      <c r="H93">
        <v>10</v>
      </c>
      <c r="I93">
        <v>54.42</v>
      </c>
      <c r="J93">
        <v>5</v>
      </c>
      <c r="K93" s="37">
        <v>45538</v>
      </c>
      <c r="L93" t="s">
        <v>124</v>
      </c>
      <c r="M93">
        <v>495.63</v>
      </c>
      <c r="N93">
        <v>22</v>
      </c>
      <c r="O93" t="str">
        <f>"Q"&amp;ROUNDUP(MONTH(Transactions[[#This Row],[Transaction Date]])/3,0)</f>
        <v>Q3</v>
      </c>
      <c r="P93">
        <f>YEAR(Transactions[[#This Row],[Transaction Date]])</f>
        <v>2024</v>
      </c>
      <c r="Q93" t="str">
        <f>IF(Transactions[[#This Row],[Sales Amount]]&lt;AVERAGE(Transactions[Sales Amount]),"Below Average","At/Above Average")</f>
        <v>At/Above Average</v>
      </c>
    </row>
    <row r="94" spans="4:17" x14ac:dyDescent="0.2">
      <c r="D94" t="s">
        <v>184</v>
      </c>
      <c r="E94" t="s">
        <v>87</v>
      </c>
      <c r="F94" t="s">
        <v>99</v>
      </c>
      <c r="G94">
        <v>263</v>
      </c>
      <c r="H94">
        <v>7</v>
      </c>
      <c r="I94">
        <v>58.49</v>
      </c>
      <c r="J94">
        <v>1</v>
      </c>
      <c r="K94" s="37">
        <v>44587</v>
      </c>
      <c r="L94" t="s">
        <v>124</v>
      </c>
      <c r="M94">
        <v>261.02999999999997</v>
      </c>
      <c r="N94">
        <v>5</v>
      </c>
      <c r="O94" t="str">
        <f>"Q"&amp;ROUNDUP(MONTH(Transactions[[#This Row],[Transaction Date]])/3,0)</f>
        <v>Q1</v>
      </c>
      <c r="P94">
        <f>YEAR(Transactions[[#This Row],[Transaction Date]])</f>
        <v>2022</v>
      </c>
      <c r="Q94" t="str">
        <f>IF(Transactions[[#This Row],[Sales Amount]]&lt;AVERAGE(Transactions[Sales Amount]),"Below Average","At/Above Average")</f>
        <v>At/Above Average</v>
      </c>
    </row>
    <row r="95" spans="4:17" x14ac:dyDescent="0.2">
      <c r="D95" t="s">
        <v>185</v>
      </c>
      <c r="E95" t="s">
        <v>74</v>
      </c>
      <c r="F95" t="s">
        <v>105</v>
      </c>
      <c r="G95">
        <v>288</v>
      </c>
      <c r="H95">
        <v>3</v>
      </c>
      <c r="I95">
        <v>55.48</v>
      </c>
      <c r="J95">
        <v>2</v>
      </c>
      <c r="K95" s="37">
        <v>44628</v>
      </c>
      <c r="L95" t="s">
        <v>92</v>
      </c>
      <c r="M95">
        <v>210.96</v>
      </c>
      <c r="N95">
        <v>19</v>
      </c>
      <c r="O95" t="str">
        <f>"Q"&amp;ROUNDUP(MONTH(Transactions[[#This Row],[Transaction Date]])/3,0)</f>
        <v>Q1</v>
      </c>
      <c r="P95">
        <f>YEAR(Transactions[[#This Row],[Transaction Date]])</f>
        <v>2022</v>
      </c>
      <c r="Q95" t="str">
        <f>IF(Transactions[[#This Row],[Sales Amount]]&lt;AVERAGE(Transactions[Sales Amount]),"Below Average","At/Above Average")</f>
        <v>Below Average</v>
      </c>
    </row>
    <row r="96" spans="4:17" x14ac:dyDescent="0.2">
      <c r="D96" t="s">
        <v>186</v>
      </c>
      <c r="E96" t="s">
        <v>75</v>
      </c>
      <c r="F96" t="s">
        <v>129</v>
      </c>
      <c r="G96">
        <v>214</v>
      </c>
      <c r="H96">
        <v>10</v>
      </c>
      <c r="I96">
        <v>51.67</v>
      </c>
      <c r="J96">
        <v>5</v>
      </c>
      <c r="K96" s="37">
        <v>45037</v>
      </c>
      <c r="L96" t="s">
        <v>92</v>
      </c>
      <c r="M96">
        <v>435.18</v>
      </c>
      <c r="N96">
        <v>17</v>
      </c>
      <c r="O96" t="str">
        <f>"Q"&amp;ROUNDUP(MONTH(Transactions[[#This Row],[Transaction Date]])/3,0)</f>
        <v>Q2</v>
      </c>
      <c r="P96">
        <f>YEAR(Transactions[[#This Row],[Transaction Date]])</f>
        <v>2023</v>
      </c>
      <c r="Q96" t="str">
        <f>IF(Transactions[[#This Row],[Sales Amount]]&lt;AVERAGE(Transactions[Sales Amount]),"Below Average","At/Above Average")</f>
        <v>At/Above Average</v>
      </c>
    </row>
    <row r="97" spans="4:17" x14ac:dyDescent="0.2">
      <c r="D97" t="s">
        <v>187</v>
      </c>
      <c r="E97" t="s">
        <v>78</v>
      </c>
      <c r="F97" t="s">
        <v>88</v>
      </c>
      <c r="G97">
        <v>248</v>
      </c>
      <c r="H97">
        <v>5</v>
      </c>
      <c r="I97">
        <v>52.13</v>
      </c>
      <c r="J97">
        <v>1</v>
      </c>
      <c r="K97" s="37">
        <v>45432</v>
      </c>
      <c r="L97" t="s">
        <v>97</v>
      </c>
      <c r="M97">
        <v>296.58999999999997</v>
      </c>
      <c r="N97">
        <v>25</v>
      </c>
      <c r="O97" t="str">
        <f>"Q"&amp;ROUNDUP(MONTH(Transactions[[#This Row],[Transaction Date]])/3,0)</f>
        <v>Q2</v>
      </c>
      <c r="P97">
        <f>YEAR(Transactions[[#This Row],[Transaction Date]])</f>
        <v>2024</v>
      </c>
      <c r="Q97" t="str">
        <f>IF(Transactions[[#This Row],[Sales Amount]]&lt;AVERAGE(Transactions[Sales Amount]),"Below Average","At/Above Average")</f>
        <v>At/Above Average</v>
      </c>
    </row>
    <row r="98" spans="4:17" x14ac:dyDescent="0.2">
      <c r="D98" t="s">
        <v>188</v>
      </c>
      <c r="E98" t="s">
        <v>75</v>
      </c>
      <c r="F98" t="s">
        <v>91</v>
      </c>
      <c r="G98">
        <v>132</v>
      </c>
      <c r="H98">
        <v>7</v>
      </c>
      <c r="I98">
        <v>58.8</v>
      </c>
      <c r="J98">
        <v>5</v>
      </c>
      <c r="K98" s="37">
        <v>45326</v>
      </c>
      <c r="L98" t="s">
        <v>89</v>
      </c>
      <c r="M98">
        <v>375.68</v>
      </c>
      <c r="N98">
        <v>29</v>
      </c>
      <c r="O98" t="str">
        <f>"Q"&amp;ROUNDUP(MONTH(Transactions[[#This Row],[Transaction Date]])/3,0)</f>
        <v>Q1</v>
      </c>
      <c r="P98">
        <f>YEAR(Transactions[[#This Row],[Transaction Date]])</f>
        <v>2024</v>
      </c>
      <c r="Q98" t="str">
        <f>IF(Transactions[[#This Row],[Sales Amount]]&lt;AVERAGE(Transactions[Sales Amount]),"Below Average","At/Above Average")</f>
        <v>At/Above Average</v>
      </c>
    </row>
    <row r="99" spans="4:17" x14ac:dyDescent="0.2">
      <c r="D99" t="s">
        <v>189</v>
      </c>
      <c r="E99" t="s">
        <v>77</v>
      </c>
      <c r="F99" t="s">
        <v>94</v>
      </c>
      <c r="G99">
        <v>119</v>
      </c>
      <c r="H99">
        <v>5</v>
      </c>
      <c r="I99">
        <v>50.77</v>
      </c>
      <c r="J99">
        <v>8</v>
      </c>
      <c r="K99" s="37">
        <v>45464</v>
      </c>
      <c r="L99" t="s">
        <v>124</v>
      </c>
      <c r="M99">
        <v>144.84</v>
      </c>
      <c r="N99">
        <v>15</v>
      </c>
      <c r="O99" t="str">
        <f>"Q"&amp;ROUNDUP(MONTH(Transactions[[#This Row],[Transaction Date]])/3,0)</f>
        <v>Q2</v>
      </c>
      <c r="P99">
        <f>YEAR(Transactions[[#This Row],[Transaction Date]])</f>
        <v>2024</v>
      </c>
      <c r="Q99" t="str">
        <f>IF(Transactions[[#This Row],[Sales Amount]]&lt;AVERAGE(Transactions[Sales Amount]),"Below Average","At/Above Average")</f>
        <v>Below Average</v>
      </c>
    </row>
    <row r="100" spans="4:17" x14ac:dyDescent="0.2">
      <c r="D100" t="s">
        <v>190</v>
      </c>
      <c r="E100" t="s">
        <v>74</v>
      </c>
      <c r="F100" t="s">
        <v>99</v>
      </c>
      <c r="G100">
        <v>158</v>
      </c>
      <c r="H100">
        <v>10</v>
      </c>
      <c r="I100">
        <v>58.45</v>
      </c>
      <c r="J100">
        <v>1</v>
      </c>
      <c r="K100" s="37">
        <v>44797</v>
      </c>
      <c r="L100" t="s">
        <v>92</v>
      </c>
      <c r="M100">
        <v>360.99</v>
      </c>
      <c r="N100">
        <v>28</v>
      </c>
      <c r="O100" t="str">
        <f>"Q"&amp;ROUNDUP(MONTH(Transactions[[#This Row],[Transaction Date]])/3,0)</f>
        <v>Q3</v>
      </c>
      <c r="P100">
        <f>YEAR(Transactions[[#This Row],[Transaction Date]])</f>
        <v>2022</v>
      </c>
      <c r="Q100" t="str">
        <f>IF(Transactions[[#This Row],[Sales Amount]]&lt;AVERAGE(Transactions[Sales Amount]),"Below Average","At/Above Average")</f>
        <v>At/Above Average</v>
      </c>
    </row>
    <row r="101" spans="4:17" x14ac:dyDescent="0.2">
      <c r="D101" t="s">
        <v>191</v>
      </c>
      <c r="E101" t="s">
        <v>75</v>
      </c>
      <c r="F101" t="s">
        <v>94</v>
      </c>
      <c r="G101">
        <v>118</v>
      </c>
      <c r="H101">
        <v>4</v>
      </c>
      <c r="I101">
        <v>59.06</v>
      </c>
      <c r="J101">
        <v>1</v>
      </c>
      <c r="K101" s="37">
        <v>45429</v>
      </c>
      <c r="L101" t="s">
        <v>102</v>
      </c>
      <c r="M101">
        <v>470.27</v>
      </c>
      <c r="N101">
        <v>45</v>
      </c>
      <c r="O101" t="str">
        <f>"Q"&amp;ROUNDUP(MONTH(Transactions[[#This Row],[Transaction Date]])/3,0)</f>
        <v>Q2</v>
      </c>
      <c r="P101">
        <f>YEAR(Transactions[[#This Row],[Transaction Date]])</f>
        <v>2024</v>
      </c>
      <c r="Q101" t="str">
        <f>IF(Transactions[[#This Row],[Sales Amount]]&lt;AVERAGE(Transactions[Sales Amount]),"Below Average","At/Above Average")</f>
        <v>At/Above Average</v>
      </c>
    </row>
    <row r="102" spans="4:17" x14ac:dyDescent="0.2">
      <c r="D102" t="s">
        <v>192</v>
      </c>
      <c r="E102" t="s">
        <v>77</v>
      </c>
      <c r="F102" t="s">
        <v>108</v>
      </c>
      <c r="G102">
        <v>129</v>
      </c>
      <c r="H102">
        <v>2</v>
      </c>
      <c r="I102">
        <v>59.28</v>
      </c>
      <c r="J102">
        <v>6</v>
      </c>
      <c r="K102" s="37">
        <v>45174</v>
      </c>
      <c r="L102" t="s">
        <v>109</v>
      </c>
      <c r="M102">
        <v>316.20999999999998</v>
      </c>
      <c r="N102">
        <v>23</v>
      </c>
      <c r="O102" t="str">
        <f>"Q"&amp;ROUNDUP(MONTH(Transactions[[#This Row],[Transaction Date]])/3,0)</f>
        <v>Q3</v>
      </c>
      <c r="P102">
        <f>YEAR(Transactions[[#This Row],[Transaction Date]])</f>
        <v>2023</v>
      </c>
      <c r="Q102" t="str">
        <f>IF(Transactions[[#This Row],[Sales Amount]]&lt;AVERAGE(Transactions[Sales Amount]),"Below Average","At/Above Average")</f>
        <v>At/Above Average</v>
      </c>
    </row>
    <row r="103" spans="4:17" x14ac:dyDescent="0.2">
      <c r="D103" t="s">
        <v>193</v>
      </c>
      <c r="E103" t="s">
        <v>74</v>
      </c>
      <c r="F103" t="s">
        <v>96</v>
      </c>
      <c r="G103">
        <v>252</v>
      </c>
      <c r="H103">
        <v>4</v>
      </c>
      <c r="I103">
        <v>55.32</v>
      </c>
      <c r="J103">
        <v>5</v>
      </c>
      <c r="K103" s="37">
        <v>45546</v>
      </c>
      <c r="L103" t="s">
        <v>92</v>
      </c>
      <c r="M103">
        <v>108.55</v>
      </c>
      <c r="N103">
        <v>29</v>
      </c>
      <c r="O103" t="str">
        <f>"Q"&amp;ROUNDUP(MONTH(Transactions[[#This Row],[Transaction Date]])/3,0)</f>
        <v>Q3</v>
      </c>
      <c r="P103">
        <f>YEAR(Transactions[[#This Row],[Transaction Date]])</f>
        <v>2024</v>
      </c>
      <c r="Q103" t="str">
        <f>IF(Transactions[[#This Row],[Sales Amount]]&lt;AVERAGE(Transactions[Sales Amount]),"Below Average","At/Above Average")</f>
        <v>Below Average</v>
      </c>
    </row>
    <row r="104" spans="4:17" x14ac:dyDescent="0.2">
      <c r="D104" t="s">
        <v>194</v>
      </c>
      <c r="E104" t="s">
        <v>75</v>
      </c>
      <c r="F104" t="s">
        <v>99</v>
      </c>
      <c r="G104">
        <v>112</v>
      </c>
      <c r="H104">
        <v>2</v>
      </c>
      <c r="I104">
        <v>54.4</v>
      </c>
      <c r="J104">
        <v>3</v>
      </c>
      <c r="K104" s="37">
        <v>45247</v>
      </c>
      <c r="L104" t="s">
        <v>109</v>
      </c>
      <c r="M104">
        <v>380.72</v>
      </c>
      <c r="N104">
        <v>3</v>
      </c>
      <c r="O104" t="str">
        <f>"Q"&amp;ROUNDUP(MONTH(Transactions[[#This Row],[Transaction Date]])/3,0)</f>
        <v>Q4</v>
      </c>
      <c r="P104">
        <f>YEAR(Transactions[[#This Row],[Transaction Date]])</f>
        <v>2023</v>
      </c>
      <c r="Q104" t="str">
        <f>IF(Transactions[[#This Row],[Sales Amount]]&lt;AVERAGE(Transactions[Sales Amount]),"Below Average","At/Above Average")</f>
        <v>At/Above Average</v>
      </c>
    </row>
    <row r="105" spans="4:17" x14ac:dyDescent="0.2">
      <c r="D105" t="s">
        <v>195</v>
      </c>
      <c r="E105" t="s">
        <v>76</v>
      </c>
      <c r="F105" t="s">
        <v>129</v>
      </c>
      <c r="G105">
        <v>231</v>
      </c>
      <c r="H105">
        <v>10</v>
      </c>
      <c r="I105">
        <v>50.9</v>
      </c>
      <c r="J105">
        <v>9</v>
      </c>
      <c r="K105" s="37">
        <v>44905</v>
      </c>
      <c r="L105" t="s">
        <v>92</v>
      </c>
      <c r="M105">
        <v>123.8</v>
      </c>
      <c r="N105">
        <v>13</v>
      </c>
      <c r="O105" t="str">
        <f>"Q"&amp;ROUNDUP(MONTH(Transactions[[#This Row],[Transaction Date]])/3,0)</f>
        <v>Q4</v>
      </c>
      <c r="P105">
        <f>YEAR(Transactions[[#This Row],[Transaction Date]])</f>
        <v>2022</v>
      </c>
      <c r="Q105" t="str">
        <f>IF(Transactions[[#This Row],[Sales Amount]]&lt;AVERAGE(Transactions[Sales Amount]),"Below Average","At/Above Average")</f>
        <v>Below Average</v>
      </c>
    </row>
    <row r="106" spans="4:17" x14ac:dyDescent="0.2">
      <c r="D106" t="s">
        <v>196</v>
      </c>
      <c r="E106" t="s">
        <v>76</v>
      </c>
      <c r="F106" t="s">
        <v>91</v>
      </c>
      <c r="G106">
        <v>288</v>
      </c>
      <c r="H106">
        <v>7</v>
      </c>
      <c r="I106">
        <v>55.23</v>
      </c>
      <c r="J106">
        <v>10</v>
      </c>
      <c r="K106" s="37">
        <v>45421</v>
      </c>
      <c r="L106" t="s">
        <v>97</v>
      </c>
      <c r="M106">
        <v>111.1</v>
      </c>
      <c r="N106">
        <v>34</v>
      </c>
      <c r="O106" t="str">
        <f>"Q"&amp;ROUNDUP(MONTH(Transactions[[#This Row],[Transaction Date]])/3,0)</f>
        <v>Q2</v>
      </c>
      <c r="P106">
        <f>YEAR(Transactions[[#This Row],[Transaction Date]])</f>
        <v>2024</v>
      </c>
      <c r="Q106" t="str">
        <f>IF(Transactions[[#This Row],[Sales Amount]]&lt;AVERAGE(Transactions[Sales Amount]),"Below Average","At/Above Average")</f>
        <v>Below Average</v>
      </c>
    </row>
    <row r="107" spans="4:17" x14ac:dyDescent="0.2">
      <c r="D107" t="s">
        <v>197</v>
      </c>
      <c r="E107" t="s">
        <v>78</v>
      </c>
      <c r="F107" t="s">
        <v>99</v>
      </c>
      <c r="G107">
        <v>152</v>
      </c>
      <c r="H107">
        <v>4</v>
      </c>
      <c r="I107">
        <v>51.12</v>
      </c>
      <c r="J107">
        <v>4</v>
      </c>
      <c r="K107" s="37">
        <v>44920</v>
      </c>
      <c r="L107" t="s">
        <v>97</v>
      </c>
      <c r="M107">
        <v>103.41</v>
      </c>
      <c r="N107">
        <v>36</v>
      </c>
      <c r="O107" t="str">
        <f>"Q"&amp;ROUNDUP(MONTH(Transactions[[#This Row],[Transaction Date]])/3,0)</f>
        <v>Q4</v>
      </c>
      <c r="P107">
        <f>YEAR(Transactions[[#This Row],[Transaction Date]])</f>
        <v>2022</v>
      </c>
      <c r="Q107" t="str">
        <f>IF(Transactions[[#This Row],[Sales Amount]]&lt;AVERAGE(Transactions[Sales Amount]),"Below Average","At/Above Average")</f>
        <v>Below Average</v>
      </c>
    </row>
    <row r="108" spans="4:17" x14ac:dyDescent="0.2">
      <c r="D108" t="s">
        <v>198</v>
      </c>
      <c r="E108" t="s">
        <v>77</v>
      </c>
      <c r="F108" t="s">
        <v>88</v>
      </c>
      <c r="G108">
        <v>126</v>
      </c>
      <c r="H108">
        <v>7</v>
      </c>
      <c r="I108">
        <v>57.02</v>
      </c>
      <c r="J108">
        <v>4</v>
      </c>
      <c r="K108" s="37">
        <v>45538</v>
      </c>
      <c r="L108" t="s">
        <v>109</v>
      </c>
      <c r="M108">
        <v>30.5</v>
      </c>
      <c r="N108">
        <v>36</v>
      </c>
      <c r="O108" t="str">
        <f>"Q"&amp;ROUNDUP(MONTH(Transactions[[#This Row],[Transaction Date]])/3,0)</f>
        <v>Q3</v>
      </c>
      <c r="P108">
        <f>YEAR(Transactions[[#This Row],[Transaction Date]])</f>
        <v>2024</v>
      </c>
      <c r="Q108" t="str">
        <f>IF(Transactions[[#This Row],[Sales Amount]]&lt;AVERAGE(Transactions[Sales Amount]),"Below Average","At/Above Average")</f>
        <v>Below Average</v>
      </c>
    </row>
    <row r="109" spans="4:17" x14ac:dyDescent="0.2">
      <c r="D109" t="s">
        <v>199</v>
      </c>
      <c r="E109" t="s">
        <v>75</v>
      </c>
      <c r="F109" t="s">
        <v>99</v>
      </c>
      <c r="G109">
        <v>240</v>
      </c>
      <c r="H109">
        <v>9</v>
      </c>
      <c r="I109">
        <v>48</v>
      </c>
      <c r="J109">
        <v>3</v>
      </c>
      <c r="K109" s="37">
        <v>45041</v>
      </c>
      <c r="L109" t="s">
        <v>92</v>
      </c>
      <c r="M109">
        <v>457.89</v>
      </c>
      <c r="N109">
        <v>49</v>
      </c>
      <c r="O109" t="str">
        <f>"Q"&amp;ROUNDUP(MONTH(Transactions[[#This Row],[Transaction Date]])/3,0)</f>
        <v>Q2</v>
      </c>
      <c r="P109">
        <f>YEAR(Transactions[[#This Row],[Transaction Date]])</f>
        <v>2023</v>
      </c>
      <c r="Q109" t="str">
        <f>IF(Transactions[[#This Row],[Sales Amount]]&lt;AVERAGE(Transactions[Sales Amount]),"Below Average","At/Above Average")</f>
        <v>At/Above Average</v>
      </c>
    </row>
    <row r="110" spans="4:17" x14ac:dyDescent="0.2">
      <c r="D110" t="s">
        <v>200</v>
      </c>
      <c r="E110" t="s">
        <v>75</v>
      </c>
      <c r="F110" t="s">
        <v>99</v>
      </c>
      <c r="G110">
        <v>262</v>
      </c>
      <c r="H110">
        <v>10</v>
      </c>
      <c r="I110">
        <v>49.97</v>
      </c>
      <c r="J110">
        <v>3</v>
      </c>
      <c r="K110" s="37">
        <v>44833</v>
      </c>
      <c r="L110" t="s">
        <v>109</v>
      </c>
      <c r="M110">
        <v>263.52999999999997</v>
      </c>
      <c r="N110">
        <v>14</v>
      </c>
      <c r="O110" t="str">
        <f>"Q"&amp;ROUNDUP(MONTH(Transactions[[#This Row],[Transaction Date]])/3,0)</f>
        <v>Q3</v>
      </c>
      <c r="P110">
        <f>YEAR(Transactions[[#This Row],[Transaction Date]])</f>
        <v>2022</v>
      </c>
      <c r="Q110" t="str">
        <f>IF(Transactions[[#This Row],[Sales Amount]]&lt;AVERAGE(Transactions[Sales Amount]),"Below Average","At/Above Average")</f>
        <v>At/Above Average</v>
      </c>
    </row>
    <row r="111" spans="4:17" x14ac:dyDescent="0.2">
      <c r="D111" t="s">
        <v>201</v>
      </c>
      <c r="E111" t="s">
        <v>75</v>
      </c>
      <c r="F111" t="s">
        <v>108</v>
      </c>
      <c r="G111">
        <v>257</v>
      </c>
      <c r="H111">
        <v>6</v>
      </c>
      <c r="I111">
        <v>47.84</v>
      </c>
      <c r="J111">
        <v>8</v>
      </c>
      <c r="K111" s="37">
        <v>45498</v>
      </c>
      <c r="L111" t="s">
        <v>97</v>
      </c>
      <c r="M111">
        <v>412.29</v>
      </c>
      <c r="N111">
        <v>8</v>
      </c>
      <c r="O111" t="str">
        <f>"Q"&amp;ROUNDUP(MONTH(Transactions[[#This Row],[Transaction Date]])/3,0)</f>
        <v>Q3</v>
      </c>
      <c r="P111">
        <f>YEAR(Transactions[[#This Row],[Transaction Date]])</f>
        <v>2024</v>
      </c>
      <c r="Q111" t="str">
        <f>IF(Transactions[[#This Row],[Sales Amount]]&lt;AVERAGE(Transactions[Sales Amount]),"Below Average","At/Above Average")</f>
        <v>At/Above Average</v>
      </c>
    </row>
    <row r="112" spans="4:17" x14ac:dyDescent="0.2">
      <c r="D112" t="s">
        <v>202</v>
      </c>
      <c r="E112" t="s">
        <v>87</v>
      </c>
      <c r="F112" t="s">
        <v>108</v>
      </c>
      <c r="G112">
        <v>161</v>
      </c>
      <c r="H112">
        <v>9</v>
      </c>
      <c r="I112">
        <v>52.28</v>
      </c>
      <c r="J112">
        <v>10</v>
      </c>
      <c r="K112" s="37">
        <v>44829</v>
      </c>
      <c r="L112" t="s">
        <v>124</v>
      </c>
      <c r="M112">
        <v>446.82</v>
      </c>
      <c r="N112">
        <v>30</v>
      </c>
      <c r="O112" t="str">
        <f>"Q"&amp;ROUNDUP(MONTH(Transactions[[#This Row],[Transaction Date]])/3,0)</f>
        <v>Q3</v>
      </c>
      <c r="P112">
        <f>YEAR(Transactions[[#This Row],[Transaction Date]])</f>
        <v>2022</v>
      </c>
      <c r="Q112" t="str">
        <f>IF(Transactions[[#This Row],[Sales Amount]]&lt;AVERAGE(Transactions[Sales Amount]),"Below Average","At/Above Average")</f>
        <v>At/Above Average</v>
      </c>
    </row>
    <row r="113" spans="4:17" x14ac:dyDescent="0.2">
      <c r="D113" t="s">
        <v>203</v>
      </c>
      <c r="E113" t="s">
        <v>77</v>
      </c>
      <c r="F113" t="s">
        <v>105</v>
      </c>
      <c r="G113">
        <v>144</v>
      </c>
      <c r="H113">
        <v>4</v>
      </c>
      <c r="I113">
        <v>47.27</v>
      </c>
      <c r="J113">
        <v>8</v>
      </c>
      <c r="K113" s="37">
        <v>45094</v>
      </c>
      <c r="L113" t="s">
        <v>102</v>
      </c>
      <c r="M113">
        <v>204.46</v>
      </c>
      <c r="N113">
        <v>11</v>
      </c>
      <c r="O113" t="str">
        <f>"Q"&amp;ROUNDUP(MONTH(Transactions[[#This Row],[Transaction Date]])/3,0)</f>
        <v>Q2</v>
      </c>
      <c r="P113">
        <f>YEAR(Transactions[[#This Row],[Transaction Date]])</f>
        <v>2023</v>
      </c>
      <c r="Q113" t="str">
        <f>IF(Transactions[[#This Row],[Sales Amount]]&lt;AVERAGE(Transactions[Sales Amount]),"Below Average","At/Above Average")</f>
        <v>Below Average</v>
      </c>
    </row>
    <row r="114" spans="4:17" x14ac:dyDescent="0.2">
      <c r="D114" t="s">
        <v>204</v>
      </c>
      <c r="E114" t="s">
        <v>87</v>
      </c>
      <c r="F114" t="s">
        <v>99</v>
      </c>
      <c r="G114">
        <v>236</v>
      </c>
      <c r="H114">
        <v>6</v>
      </c>
      <c r="I114">
        <v>50.23</v>
      </c>
      <c r="J114">
        <v>7</v>
      </c>
      <c r="K114" s="37">
        <v>44914</v>
      </c>
      <c r="L114" t="s">
        <v>97</v>
      </c>
      <c r="M114">
        <v>337.33</v>
      </c>
      <c r="N114">
        <v>27</v>
      </c>
      <c r="O114" t="str">
        <f>"Q"&amp;ROUNDUP(MONTH(Transactions[[#This Row],[Transaction Date]])/3,0)</f>
        <v>Q4</v>
      </c>
      <c r="P114">
        <f>YEAR(Transactions[[#This Row],[Transaction Date]])</f>
        <v>2022</v>
      </c>
      <c r="Q114" t="str">
        <f>IF(Transactions[[#This Row],[Sales Amount]]&lt;AVERAGE(Transactions[Sales Amount]),"Below Average","At/Above Average")</f>
        <v>At/Above Average</v>
      </c>
    </row>
    <row r="115" spans="4:17" x14ac:dyDescent="0.2">
      <c r="D115" t="s">
        <v>205</v>
      </c>
      <c r="E115" t="s">
        <v>87</v>
      </c>
      <c r="F115" t="s">
        <v>105</v>
      </c>
      <c r="G115">
        <v>155</v>
      </c>
      <c r="H115">
        <v>1</v>
      </c>
      <c r="I115">
        <v>49.36</v>
      </c>
      <c r="J115">
        <v>1</v>
      </c>
      <c r="K115" s="37">
        <v>44888</v>
      </c>
      <c r="L115" t="s">
        <v>92</v>
      </c>
      <c r="M115">
        <v>43.81</v>
      </c>
      <c r="N115">
        <v>13</v>
      </c>
      <c r="O115" t="str">
        <f>"Q"&amp;ROUNDUP(MONTH(Transactions[[#This Row],[Transaction Date]])/3,0)</f>
        <v>Q4</v>
      </c>
      <c r="P115">
        <f>YEAR(Transactions[[#This Row],[Transaction Date]])</f>
        <v>2022</v>
      </c>
      <c r="Q115" t="str">
        <f>IF(Transactions[[#This Row],[Sales Amount]]&lt;AVERAGE(Transactions[Sales Amount]),"Below Average","At/Above Average")</f>
        <v>Below Average</v>
      </c>
    </row>
    <row r="116" spans="4:17" x14ac:dyDescent="0.2">
      <c r="D116" t="s">
        <v>206</v>
      </c>
      <c r="E116" t="s">
        <v>87</v>
      </c>
      <c r="F116" t="s">
        <v>129</v>
      </c>
      <c r="G116">
        <v>110</v>
      </c>
      <c r="H116">
        <v>5</v>
      </c>
      <c r="I116">
        <v>48.91</v>
      </c>
      <c r="J116">
        <v>2</v>
      </c>
      <c r="K116" s="37">
        <v>44596</v>
      </c>
      <c r="L116" t="s">
        <v>89</v>
      </c>
      <c r="M116">
        <v>483.5</v>
      </c>
      <c r="N116">
        <v>33</v>
      </c>
      <c r="O116" t="str">
        <f>"Q"&amp;ROUNDUP(MONTH(Transactions[[#This Row],[Transaction Date]])/3,0)</f>
        <v>Q1</v>
      </c>
      <c r="P116">
        <f>YEAR(Transactions[[#This Row],[Transaction Date]])</f>
        <v>2022</v>
      </c>
      <c r="Q116" t="str">
        <f>IF(Transactions[[#This Row],[Sales Amount]]&lt;AVERAGE(Transactions[Sales Amount]),"Below Average","At/Above Average")</f>
        <v>At/Above Average</v>
      </c>
    </row>
    <row r="117" spans="4:17" x14ac:dyDescent="0.2">
      <c r="D117" t="s">
        <v>207</v>
      </c>
      <c r="E117" t="s">
        <v>78</v>
      </c>
      <c r="F117" t="s">
        <v>91</v>
      </c>
      <c r="G117">
        <v>173</v>
      </c>
      <c r="H117">
        <v>7</v>
      </c>
      <c r="I117">
        <v>54.08</v>
      </c>
      <c r="J117">
        <v>8</v>
      </c>
      <c r="K117" s="37">
        <v>44988</v>
      </c>
      <c r="L117" t="s">
        <v>97</v>
      </c>
      <c r="M117">
        <v>228.69</v>
      </c>
      <c r="N117">
        <v>13</v>
      </c>
      <c r="O117" t="str">
        <f>"Q"&amp;ROUNDUP(MONTH(Transactions[[#This Row],[Transaction Date]])/3,0)</f>
        <v>Q1</v>
      </c>
      <c r="P117">
        <f>YEAR(Transactions[[#This Row],[Transaction Date]])</f>
        <v>2023</v>
      </c>
      <c r="Q117" t="str">
        <f>IF(Transactions[[#This Row],[Sales Amount]]&lt;AVERAGE(Transactions[Sales Amount]),"Below Average","At/Above Average")</f>
        <v>Below Average</v>
      </c>
    </row>
    <row r="118" spans="4:17" x14ac:dyDescent="0.2">
      <c r="D118" t="s">
        <v>208</v>
      </c>
      <c r="E118" t="s">
        <v>87</v>
      </c>
      <c r="F118" t="s">
        <v>96</v>
      </c>
      <c r="G118">
        <v>257</v>
      </c>
      <c r="H118">
        <v>7</v>
      </c>
      <c r="I118">
        <v>56.41</v>
      </c>
      <c r="J118">
        <v>8</v>
      </c>
      <c r="K118" s="37">
        <v>45504</v>
      </c>
      <c r="L118" t="s">
        <v>109</v>
      </c>
      <c r="M118">
        <v>392.6</v>
      </c>
      <c r="N118">
        <v>24</v>
      </c>
      <c r="O118" t="str">
        <f>"Q"&amp;ROUNDUP(MONTH(Transactions[[#This Row],[Transaction Date]])/3,0)</f>
        <v>Q3</v>
      </c>
      <c r="P118">
        <f>YEAR(Transactions[[#This Row],[Transaction Date]])</f>
        <v>2024</v>
      </c>
      <c r="Q118" t="str">
        <f>IF(Transactions[[#This Row],[Sales Amount]]&lt;AVERAGE(Transactions[Sales Amount]),"Below Average","At/Above Average")</f>
        <v>At/Above Average</v>
      </c>
    </row>
    <row r="119" spans="4:17" x14ac:dyDescent="0.2">
      <c r="D119" t="s">
        <v>209</v>
      </c>
      <c r="E119" t="s">
        <v>78</v>
      </c>
      <c r="F119" t="s">
        <v>105</v>
      </c>
      <c r="G119">
        <v>118</v>
      </c>
      <c r="H119">
        <v>3</v>
      </c>
      <c r="I119">
        <v>52.44</v>
      </c>
      <c r="J119">
        <v>8</v>
      </c>
      <c r="K119" s="37">
        <v>45105</v>
      </c>
      <c r="L119" t="s">
        <v>97</v>
      </c>
      <c r="M119">
        <v>73.290000000000006</v>
      </c>
      <c r="N119">
        <v>4</v>
      </c>
      <c r="O119" t="str">
        <f>"Q"&amp;ROUNDUP(MONTH(Transactions[[#This Row],[Transaction Date]])/3,0)</f>
        <v>Q2</v>
      </c>
      <c r="P119">
        <f>YEAR(Transactions[[#This Row],[Transaction Date]])</f>
        <v>2023</v>
      </c>
      <c r="Q119" t="str">
        <f>IF(Transactions[[#This Row],[Sales Amount]]&lt;AVERAGE(Transactions[Sales Amount]),"Below Average","At/Above Average")</f>
        <v>Below Average</v>
      </c>
    </row>
    <row r="120" spans="4:17" x14ac:dyDescent="0.2">
      <c r="D120" t="s">
        <v>210</v>
      </c>
      <c r="E120" t="s">
        <v>87</v>
      </c>
      <c r="F120" t="s">
        <v>108</v>
      </c>
      <c r="G120">
        <v>295</v>
      </c>
      <c r="H120">
        <v>9</v>
      </c>
      <c r="I120">
        <v>55.43</v>
      </c>
      <c r="J120">
        <v>7</v>
      </c>
      <c r="K120" s="37">
        <v>45370</v>
      </c>
      <c r="L120" t="s">
        <v>124</v>
      </c>
      <c r="M120">
        <v>457.66</v>
      </c>
      <c r="N120">
        <v>22</v>
      </c>
      <c r="O120" t="str">
        <f>"Q"&amp;ROUNDUP(MONTH(Transactions[[#This Row],[Transaction Date]])/3,0)</f>
        <v>Q1</v>
      </c>
      <c r="P120">
        <f>YEAR(Transactions[[#This Row],[Transaction Date]])</f>
        <v>2024</v>
      </c>
      <c r="Q120" t="str">
        <f>IF(Transactions[[#This Row],[Sales Amount]]&lt;AVERAGE(Transactions[Sales Amount]),"Below Average","At/Above Average")</f>
        <v>At/Above Average</v>
      </c>
    </row>
    <row r="121" spans="4:17" x14ac:dyDescent="0.2">
      <c r="D121" t="s">
        <v>211</v>
      </c>
      <c r="E121" t="s">
        <v>77</v>
      </c>
      <c r="F121" t="s">
        <v>96</v>
      </c>
      <c r="G121">
        <v>172</v>
      </c>
      <c r="H121">
        <v>1</v>
      </c>
      <c r="I121">
        <v>56.76</v>
      </c>
      <c r="J121">
        <v>7</v>
      </c>
      <c r="K121" s="37">
        <v>45480</v>
      </c>
      <c r="L121" t="s">
        <v>97</v>
      </c>
      <c r="M121">
        <v>131.61000000000001</v>
      </c>
      <c r="N121">
        <v>30</v>
      </c>
      <c r="O121" t="str">
        <f>"Q"&amp;ROUNDUP(MONTH(Transactions[[#This Row],[Transaction Date]])/3,0)</f>
        <v>Q3</v>
      </c>
      <c r="P121">
        <f>YEAR(Transactions[[#This Row],[Transaction Date]])</f>
        <v>2024</v>
      </c>
      <c r="Q121" t="str">
        <f>IF(Transactions[[#This Row],[Sales Amount]]&lt;AVERAGE(Transactions[Sales Amount]),"Below Average","At/Above Average")</f>
        <v>Below Average</v>
      </c>
    </row>
    <row r="122" spans="4:17" x14ac:dyDescent="0.2">
      <c r="D122" t="s">
        <v>212</v>
      </c>
      <c r="E122" t="s">
        <v>76</v>
      </c>
      <c r="F122" t="s">
        <v>91</v>
      </c>
      <c r="G122">
        <v>245</v>
      </c>
      <c r="H122">
        <v>5</v>
      </c>
      <c r="I122">
        <v>45.37</v>
      </c>
      <c r="J122">
        <v>2</v>
      </c>
      <c r="K122" s="37">
        <v>44637</v>
      </c>
      <c r="L122" t="s">
        <v>97</v>
      </c>
      <c r="M122">
        <v>13.35</v>
      </c>
      <c r="N122">
        <v>49</v>
      </c>
      <c r="O122" t="str">
        <f>"Q"&amp;ROUNDUP(MONTH(Transactions[[#This Row],[Transaction Date]])/3,0)</f>
        <v>Q1</v>
      </c>
      <c r="P122">
        <f>YEAR(Transactions[[#This Row],[Transaction Date]])</f>
        <v>2022</v>
      </c>
      <c r="Q122" t="str">
        <f>IF(Transactions[[#This Row],[Sales Amount]]&lt;AVERAGE(Transactions[Sales Amount]),"Below Average","At/Above Average")</f>
        <v>Below Average</v>
      </c>
    </row>
    <row r="123" spans="4:17" x14ac:dyDescent="0.2">
      <c r="D123" t="s">
        <v>213</v>
      </c>
      <c r="E123" t="s">
        <v>87</v>
      </c>
      <c r="F123" t="s">
        <v>99</v>
      </c>
      <c r="G123">
        <v>132</v>
      </c>
      <c r="H123">
        <v>6</v>
      </c>
      <c r="I123">
        <v>59.79</v>
      </c>
      <c r="J123">
        <v>1</v>
      </c>
      <c r="K123" s="37">
        <v>45290</v>
      </c>
      <c r="L123" t="s">
        <v>89</v>
      </c>
      <c r="M123">
        <v>323.63</v>
      </c>
      <c r="N123">
        <v>7</v>
      </c>
      <c r="O123" t="str">
        <f>"Q"&amp;ROUNDUP(MONTH(Transactions[[#This Row],[Transaction Date]])/3,0)</f>
        <v>Q4</v>
      </c>
      <c r="P123">
        <f>YEAR(Transactions[[#This Row],[Transaction Date]])</f>
        <v>2023</v>
      </c>
      <c r="Q123" t="str">
        <f>IF(Transactions[[#This Row],[Sales Amount]]&lt;AVERAGE(Transactions[Sales Amount]),"Below Average","At/Above Average")</f>
        <v>At/Above Average</v>
      </c>
    </row>
    <row r="124" spans="4:17" x14ac:dyDescent="0.2">
      <c r="D124" t="s">
        <v>214</v>
      </c>
      <c r="E124" t="s">
        <v>87</v>
      </c>
      <c r="F124" t="s">
        <v>91</v>
      </c>
      <c r="G124">
        <v>189</v>
      </c>
      <c r="H124">
        <v>10</v>
      </c>
      <c r="I124">
        <v>57.67</v>
      </c>
      <c r="J124">
        <v>5</v>
      </c>
      <c r="K124" s="37">
        <v>45147</v>
      </c>
      <c r="L124" t="s">
        <v>92</v>
      </c>
      <c r="M124">
        <v>483.42</v>
      </c>
      <c r="N124">
        <v>48</v>
      </c>
      <c r="O124" t="str">
        <f>"Q"&amp;ROUNDUP(MONTH(Transactions[[#This Row],[Transaction Date]])/3,0)</f>
        <v>Q3</v>
      </c>
      <c r="P124">
        <f>YEAR(Transactions[[#This Row],[Transaction Date]])</f>
        <v>2023</v>
      </c>
      <c r="Q124" t="str">
        <f>IF(Transactions[[#This Row],[Sales Amount]]&lt;AVERAGE(Transactions[Sales Amount]),"Below Average","At/Above Average")</f>
        <v>At/Above Average</v>
      </c>
    </row>
    <row r="125" spans="4:17" x14ac:dyDescent="0.2">
      <c r="D125" t="s">
        <v>215</v>
      </c>
      <c r="E125" t="s">
        <v>76</v>
      </c>
      <c r="F125" t="s">
        <v>91</v>
      </c>
      <c r="G125">
        <v>219</v>
      </c>
      <c r="H125">
        <v>5</v>
      </c>
      <c r="I125">
        <v>49.61</v>
      </c>
      <c r="J125">
        <v>6</v>
      </c>
      <c r="K125" s="37">
        <v>44764</v>
      </c>
      <c r="L125" t="s">
        <v>102</v>
      </c>
      <c r="M125">
        <v>99.19</v>
      </c>
      <c r="N125">
        <v>25</v>
      </c>
      <c r="O125" t="str">
        <f>"Q"&amp;ROUNDUP(MONTH(Transactions[[#This Row],[Transaction Date]])/3,0)</f>
        <v>Q3</v>
      </c>
      <c r="P125">
        <f>YEAR(Transactions[[#This Row],[Transaction Date]])</f>
        <v>2022</v>
      </c>
      <c r="Q125" t="str">
        <f>IF(Transactions[[#This Row],[Sales Amount]]&lt;AVERAGE(Transactions[Sales Amount]),"Below Average","At/Above Average")</f>
        <v>Below Average</v>
      </c>
    </row>
    <row r="126" spans="4:17" x14ac:dyDescent="0.2">
      <c r="D126" t="s">
        <v>216</v>
      </c>
      <c r="E126" t="s">
        <v>78</v>
      </c>
      <c r="F126" t="s">
        <v>96</v>
      </c>
      <c r="G126">
        <v>198</v>
      </c>
      <c r="H126">
        <v>1</v>
      </c>
      <c r="I126">
        <v>56.35</v>
      </c>
      <c r="J126">
        <v>5</v>
      </c>
      <c r="K126" s="37">
        <v>45559</v>
      </c>
      <c r="L126" t="s">
        <v>97</v>
      </c>
      <c r="M126">
        <v>93.67</v>
      </c>
      <c r="N126">
        <v>5</v>
      </c>
      <c r="O126" t="str">
        <f>"Q"&amp;ROUNDUP(MONTH(Transactions[[#This Row],[Transaction Date]])/3,0)</f>
        <v>Q3</v>
      </c>
      <c r="P126">
        <f>YEAR(Transactions[[#This Row],[Transaction Date]])</f>
        <v>2024</v>
      </c>
      <c r="Q126" t="str">
        <f>IF(Transactions[[#This Row],[Sales Amount]]&lt;AVERAGE(Transactions[Sales Amount]),"Below Average","At/Above Average")</f>
        <v>Below Average</v>
      </c>
    </row>
    <row r="127" spans="4:17" x14ac:dyDescent="0.2">
      <c r="D127" t="s">
        <v>217</v>
      </c>
      <c r="E127" t="s">
        <v>77</v>
      </c>
      <c r="F127" t="s">
        <v>108</v>
      </c>
      <c r="G127">
        <v>276</v>
      </c>
      <c r="H127">
        <v>4</v>
      </c>
      <c r="I127">
        <v>45.11</v>
      </c>
      <c r="J127">
        <v>10</v>
      </c>
      <c r="K127" s="37">
        <v>44955</v>
      </c>
      <c r="L127" t="s">
        <v>102</v>
      </c>
      <c r="M127">
        <v>483.07</v>
      </c>
      <c r="N127">
        <v>42</v>
      </c>
      <c r="O127" t="str">
        <f>"Q"&amp;ROUNDUP(MONTH(Transactions[[#This Row],[Transaction Date]])/3,0)</f>
        <v>Q1</v>
      </c>
      <c r="P127">
        <f>YEAR(Transactions[[#This Row],[Transaction Date]])</f>
        <v>2023</v>
      </c>
      <c r="Q127" t="str">
        <f>IF(Transactions[[#This Row],[Sales Amount]]&lt;AVERAGE(Transactions[Sales Amount]),"Below Average","At/Above Average")</f>
        <v>At/Above Average</v>
      </c>
    </row>
    <row r="128" spans="4:17" x14ac:dyDescent="0.2">
      <c r="D128" t="s">
        <v>218</v>
      </c>
      <c r="E128" t="s">
        <v>76</v>
      </c>
      <c r="F128" t="s">
        <v>88</v>
      </c>
      <c r="G128">
        <v>163</v>
      </c>
      <c r="H128">
        <v>4</v>
      </c>
      <c r="I128">
        <v>45.8</v>
      </c>
      <c r="J128">
        <v>9</v>
      </c>
      <c r="K128" s="37">
        <v>44600</v>
      </c>
      <c r="L128" t="s">
        <v>89</v>
      </c>
      <c r="M128">
        <v>32.89</v>
      </c>
      <c r="N128">
        <v>28</v>
      </c>
      <c r="O128" t="str">
        <f>"Q"&amp;ROUNDUP(MONTH(Transactions[[#This Row],[Transaction Date]])/3,0)</f>
        <v>Q1</v>
      </c>
      <c r="P128">
        <f>YEAR(Transactions[[#This Row],[Transaction Date]])</f>
        <v>2022</v>
      </c>
      <c r="Q128" t="str">
        <f>IF(Transactions[[#This Row],[Sales Amount]]&lt;AVERAGE(Transactions[Sales Amount]),"Below Average","At/Above Average")</f>
        <v>Below Average</v>
      </c>
    </row>
    <row r="129" spans="4:17" x14ac:dyDescent="0.2">
      <c r="D129" t="s">
        <v>219</v>
      </c>
      <c r="E129" t="s">
        <v>74</v>
      </c>
      <c r="F129" t="s">
        <v>88</v>
      </c>
      <c r="G129">
        <v>143</v>
      </c>
      <c r="H129">
        <v>1</v>
      </c>
      <c r="I129">
        <v>58.46</v>
      </c>
      <c r="J129">
        <v>8</v>
      </c>
      <c r="K129" s="37">
        <v>45499</v>
      </c>
      <c r="L129" t="s">
        <v>89</v>
      </c>
      <c r="M129">
        <v>478.27</v>
      </c>
      <c r="N129">
        <v>9</v>
      </c>
      <c r="O129" t="str">
        <f>"Q"&amp;ROUNDUP(MONTH(Transactions[[#This Row],[Transaction Date]])/3,0)</f>
        <v>Q3</v>
      </c>
      <c r="P129">
        <f>YEAR(Transactions[[#This Row],[Transaction Date]])</f>
        <v>2024</v>
      </c>
      <c r="Q129" t="str">
        <f>IF(Transactions[[#This Row],[Sales Amount]]&lt;AVERAGE(Transactions[Sales Amount]),"Below Average","At/Above Average")</f>
        <v>At/Above Average</v>
      </c>
    </row>
    <row r="130" spans="4:17" x14ac:dyDescent="0.2">
      <c r="D130" t="s">
        <v>220</v>
      </c>
      <c r="E130" t="s">
        <v>77</v>
      </c>
      <c r="F130" t="s">
        <v>91</v>
      </c>
      <c r="G130">
        <v>267</v>
      </c>
      <c r="H130">
        <v>10</v>
      </c>
      <c r="I130">
        <v>59.51</v>
      </c>
      <c r="J130">
        <v>2</v>
      </c>
      <c r="K130" s="37">
        <v>45382</v>
      </c>
      <c r="L130" t="s">
        <v>109</v>
      </c>
      <c r="M130">
        <v>34.15</v>
      </c>
      <c r="N130">
        <v>38</v>
      </c>
      <c r="O130" t="str">
        <f>"Q"&amp;ROUNDUP(MONTH(Transactions[[#This Row],[Transaction Date]])/3,0)</f>
        <v>Q1</v>
      </c>
      <c r="P130">
        <f>YEAR(Transactions[[#This Row],[Transaction Date]])</f>
        <v>2024</v>
      </c>
      <c r="Q130" t="str">
        <f>IF(Transactions[[#This Row],[Sales Amount]]&lt;AVERAGE(Transactions[Sales Amount]),"Below Average","At/Above Average")</f>
        <v>Below Average</v>
      </c>
    </row>
    <row r="131" spans="4:17" x14ac:dyDescent="0.2">
      <c r="D131" t="s">
        <v>221</v>
      </c>
      <c r="E131" t="s">
        <v>76</v>
      </c>
      <c r="F131" t="s">
        <v>129</v>
      </c>
      <c r="G131">
        <v>110</v>
      </c>
      <c r="H131">
        <v>4</v>
      </c>
      <c r="I131">
        <v>56.94</v>
      </c>
      <c r="J131">
        <v>6</v>
      </c>
      <c r="K131" s="37">
        <v>44803</v>
      </c>
      <c r="L131" t="s">
        <v>89</v>
      </c>
      <c r="M131">
        <v>229.48</v>
      </c>
      <c r="N131">
        <v>6</v>
      </c>
      <c r="O131" t="str">
        <f>"Q"&amp;ROUNDUP(MONTH(Transactions[[#This Row],[Transaction Date]])/3,0)</f>
        <v>Q3</v>
      </c>
      <c r="P131">
        <f>YEAR(Transactions[[#This Row],[Transaction Date]])</f>
        <v>2022</v>
      </c>
      <c r="Q131" t="str">
        <f>IF(Transactions[[#This Row],[Sales Amount]]&lt;AVERAGE(Transactions[Sales Amount]),"Below Average","At/Above Average")</f>
        <v>Below Average</v>
      </c>
    </row>
    <row r="132" spans="4:17" x14ac:dyDescent="0.2">
      <c r="D132" t="s">
        <v>222</v>
      </c>
      <c r="E132" t="s">
        <v>87</v>
      </c>
      <c r="F132" t="s">
        <v>96</v>
      </c>
      <c r="G132">
        <v>261</v>
      </c>
      <c r="H132">
        <v>3</v>
      </c>
      <c r="I132">
        <v>55.82</v>
      </c>
      <c r="J132">
        <v>2</v>
      </c>
      <c r="K132" s="37">
        <v>45205</v>
      </c>
      <c r="L132" t="s">
        <v>109</v>
      </c>
      <c r="M132">
        <v>97.31</v>
      </c>
      <c r="N132">
        <v>41</v>
      </c>
      <c r="O132" t="str">
        <f>"Q"&amp;ROUNDUP(MONTH(Transactions[[#This Row],[Transaction Date]])/3,0)</f>
        <v>Q4</v>
      </c>
      <c r="P132">
        <f>YEAR(Transactions[[#This Row],[Transaction Date]])</f>
        <v>2023</v>
      </c>
      <c r="Q132" t="str">
        <f>IF(Transactions[[#This Row],[Sales Amount]]&lt;AVERAGE(Transactions[Sales Amount]),"Below Average","At/Above Average")</f>
        <v>Below Average</v>
      </c>
    </row>
    <row r="133" spans="4:17" x14ac:dyDescent="0.2">
      <c r="D133" t="s">
        <v>223</v>
      </c>
      <c r="E133" t="s">
        <v>76</v>
      </c>
      <c r="F133" t="s">
        <v>94</v>
      </c>
      <c r="G133">
        <v>209</v>
      </c>
      <c r="H133">
        <v>9</v>
      </c>
      <c r="I133">
        <v>57.28</v>
      </c>
      <c r="J133">
        <v>10</v>
      </c>
      <c r="K133" s="37">
        <v>45465</v>
      </c>
      <c r="L133" t="s">
        <v>97</v>
      </c>
      <c r="M133">
        <v>470.61</v>
      </c>
      <c r="N133">
        <v>38</v>
      </c>
      <c r="O133" t="str">
        <f>"Q"&amp;ROUNDUP(MONTH(Transactions[[#This Row],[Transaction Date]])/3,0)</f>
        <v>Q2</v>
      </c>
      <c r="P133">
        <f>YEAR(Transactions[[#This Row],[Transaction Date]])</f>
        <v>2024</v>
      </c>
      <c r="Q133" t="str">
        <f>IF(Transactions[[#This Row],[Sales Amount]]&lt;AVERAGE(Transactions[Sales Amount]),"Below Average","At/Above Average")</f>
        <v>At/Above Average</v>
      </c>
    </row>
    <row r="134" spans="4:17" x14ac:dyDescent="0.2">
      <c r="D134" t="s">
        <v>224</v>
      </c>
      <c r="E134" t="s">
        <v>78</v>
      </c>
      <c r="F134" t="s">
        <v>105</v>
      </c>
      <c r="G134">
        <v>254</v>
      </c>
      <c r="H134">
        <v>5</v>
      </c>
      <c r="I134">
        <v>59.34</v>
      </c>
      <c r="J134">
        <v>4</v>
      </c>
      <c r="K134" s="37">
        <v>44723</v>
      </c>
      <c r="L134" t="s">
        <v>102</v>
      </c>
      <c r="M134">
        <v>288.02</v>
      </c>
      <c r="N134">
        <v>18</v>
      </c>
      <c r="O134" t="str">
        <f>"Q"&amp;ROUNDUP(MONTH(Transactions[[#This Row],[Transaction Date]])/3,0)</f>
        <v>Q2</v>
      </c>
      <c r="P134">
        <f>YEAR(Transactions[[#This Row],[Transaction Date]])</f>
        <v>2022</v>
      </c>
      <c r="Q134" t="str">
        <f>IF(Transactions[[#This Row],[Sales Amount]]&lt;AVERAGE(Transactions[Sales Amount]),"Below Average","At/Above Average")</f>
        <v>At/Above Average</v>
      </c>
    </row>
    <row r="135" spans="4:17" x14ac:dyDescent="0.2">
      <c r="D135" t="s">
        <v>225</v>
      </c>
      <c r="E135" t="s">
        <v>76</v>
      </c>
      <c r="F135" t="s">
        <v>99</v>
      </c>
      <c r="G135">
        <v>261</v>
      </c>
      <c r="H135">
        <v>4</v>
      </c>
      <c r="I135">
        <v>53.51</v>
      </c>
      <c r="J135">
        <v>6</v>
      </c>
      <c r="K135" s="37">
        <v>44731</v>
      </c>
      <c r="L135" t="s">
        <v>124</v>
      </c>
      <c r="M135">
        <v>125.89</v>
      </c>
      <c r="N135">
        <v>27</v>
      </c>
      <c r="O135" t="str">
        <f>"Q"&amp;ROUNDUP(MONTH(Transactions[[#This Row],[Transaction Date]])/3,0)</f>
        <v>Q2</v>
      </c>
      <c r="P135">
        <f>YEAR(Transactions[[#This Row],[Transaction Date]])</f>
        <v>2022</v>
      </c>
      <c r="Q135" t="str">
        <f>IF(Transactions[[#This Row],[Sales Amount]]&lt;AVERAGE(Transactions[Sales Amount]),"Below Average","At/Above Average")</f>
        <v>Below Average</v>
      </c>
    </row>
    <row r="136" spans="4:17" x14ac:dyDescent="0.2">
      <c r="D136" t="s">
        <v>226</v>
      </c>
      <c r="E136" t="s">
        <v>87</v>
      </c>
      <c r="F136" t="s">
        <v>96</v>
      </c>
      <c r="G136">
        <v>252</v>
      </c>
      <c r="H136">
        <v>3</v>
      </c>
      <c r="I136">
        <v>56.76</v>
      </c>
      <c r="J136">
        <v>10</v>
      </c>
      <c r="K136" s="37">
        <v>45343</v>
      </c>
      <c r="L136" t="s">
        <v>109</v>
      </c>
      <c r="M136">
        <v>135.36000000000001</v>
      </c>
      <c r="N136">
        <v>15</v>
      </c>
      <c r="O136" t="str">
        <f>"Q"&amp;ROUNDUP(MONTH(Transactions[[#This Row],[Transaction Date]])/3,0)</f>
        <v>Q1</v>
      </c>
      <c r="P136">
        <f>YEAR(Transactions[[#This Row],[Transaction Date]])</f>
        <v>2024</v>
      </c>
      <c r="Q136" t="str">
        <f>IF(Transactions[[#This Row],[Sales Amount]]&lt;AVERAGE(Transactions[Sales Amount]),"Below Average","At/Above Average")</f>
        <v>Below Average</v>
      </c>
    </row>
    <row r="137" spans="4:17" x14ac:dyDescent="0.2">
      <c r="D137" t="s">
        <v>227</v>
      </c>
      <c r="E137" t="s">
        <v>78</v>
      </c>
      <c r="F137" t="s">
        <v>96</v>
      </c>
      <c r="G137">
        <v>289</v>
      </c>
      <c r="H137">
        <v>2</v>
      </c>
      <c r="I137">
        <v>45.53</v>
      </c>
      <c r="J137">
        <v>8</v>
      </c>
      <c r="K137" s="37">
        <v>44967</v>
      </c>
      <c r="L137" t="s">
        <v>97</v>
      </c>
      <c r="M137">
        <v>128.19999999999999</v>
      </c>
      <c r="N137">
        <v>4</v>
      </c>
      <c r="O137" t="str">
        <f>"Q"&amp;ROUNDUP(MONTH(Transactions[[#This Row],[Transaction Date]])/3,0)</f>
        <v>Q1</v>
      </c>
      <c r="P137">
        <f>YEAR(Transactions[[#This Row],[Transaction Date]])</f>
        <v>2023</v>
      </c>
      <c r="Q137" t="str">
        <f>IF(Transactions[[#This Row],[Sales Amount]]&lt;AVERAGE(Transactions[Sales Amount]),"Below Average","At/Above Average")</f>
        <v>Below Average</v>
      </c>
    </row>
    <row r="138" spans="4:17" x14ac:dyDescent="0.2">
      <c r="D138" t="s">
        <v>228</v>
      </c>
      <c r="E138" t="s">
        <v>77</v>
      </c>
      <c r="F138" t="s">
        <v>108</v>
      </c>
      <c r="G138">
        <v>240</v>
      </c>
      <c r="H138">
        <v>7</v>
      </c>
      <c r="I138">
        <v>47.06</v>
      </c>
      <c r="J138">
        <v>2</v>
      </c>
      <c r="K138" s="37">
        <v>44833</v>
      </c>
      <c r="L138" t="s">
        <v>97</v>
      </c>
      <c r="M138">
        <v>58.68</v>
      </c>
      <c r="N138">
        <v>8</v>
      </c>
      <c r="O138" t="str">
        <f>"Q"&amp;ROUNDUP(MONTH(Transactions[[#This Row],[Transaction Date]])/3,0)</f>
        <v>Q3</v>
      </c>
      <c r="P138">
        <f>YEAR(Transactions[[#This Row],[Transaction Date]])</f>
        <v>2022</v>
      </c>
      <c r="Q138" t="str">
        <f>IF(Transactions[[#This Row],[Sales Amount]]&lt;AVERAGE(Transactions[Sales Amount]),"Below Average","At/Above Average")</f>
        <v>Below Average</v>
      </c>
    </row>
    <row r="139" spans="4:17" x14ac:dyDescent="0.2">
      <c r="D139" t="s">
        <v>229</v>
      </c>
      <c r="E139" t="s">
        <v>74</v>
      </c>
      <c r="F139" t="s">
        <v>108</v>
      </c>
      <c r="G139">
        <v>198</v>
      </c>
      <c r="H139">
        <v>2</v>
      </c>
      <c r="I139">
        <v>59.36</v>
      </c>
      <c r="J139">
        <v>8</v>
      </c>
      <c r="K139" s="37">
        <v>45113</v>
      </c>
      <c r="L139" t="s">
        <v>124</v>
      </c>
      <c r="M139">
        <v>148.03</v>
      </c>
      <c r="N139">
        <v>30</v>
      </c>
      <c r="O139" t="str">
        <f>"Q"&amp;ROUNDUP(MONTH(Transactions[[#This Row],[Transaction Date]])/3,0)</f>
        <v>Q3</v>
      </c>
      <c r="P139">
        <f>YEAR(Transactions[[#This Row],[Transaction Date]])</f>
        <v>2023</v>
      </c>
      <c r="Q139" t="str">
        <f>IF(Transactions[[#This Row],[Sales Amount]]&lt;AVERAGE(Transactions[Sales Amount]),"Below Average","At/Above Average")</f>
        <v>Below Average</v>
      </c>
    </row>
    <row r="140" spans="4:17" x14ac:dyDescent="0.2">
      <c r="D140" t="s">
        <v>230</v>
      </c>
      <c r="E140" t="s">
        <v>76</v>
      </c>
      <c r="F140" t="s">
        <v>108</v>
      </c>
      <c r="G140">
        <v>300</v>
      </c>
      <c r="H140">
        <v>1</v>
      </c>
      <c r="I140">
        <v>55.1</v>
      </c>
      <c r="J140">
        <v>10</v>
      </c>
      <c r="K140" s="37">
        <v>45464</v>
      </c>
      <c r="L140" t="s">
        <v>92</v>
      </c>
      <c r="M140">
        <v>108.23</v>
      </c>
      <c r="N140">
        <v>24</v>
      </c>
      <c r="O140" t="str">
        <f>"Q"&amp;ROUNDUP(MONTH(Transactions[[#This Row],[Transaction Date]])/3,0)</f>
        <v>Q2</v>
      </c>
      <c r="P140">
        <f>YEAR(Transactions[[#This Row],[Transaction Date]])</f>
        <v>2024</v>
      </c>
      <c r="Q140" t="str">
        <f>IF(Transactions[[#This Row],[Sales Amount]]&lt;AVERAGE(Transactions[Sales Amount]),"Below Average","At/Above Average")</f>
        <v>Below Average</v>
      </c>
    </row>
    <row r="141" spans="4:17" x14ac:dyDescent="0.2">
      <c r="D141" t="s">
        <v>231</v>
      </c>
      <c r="E141" t="s">
        <v>76</v>
      </c>
      <c r="F141" t="s">
        <v>96</v>
      </c>
      <c r="G141">
        <v>251</v>
      </c>
      <c r="H141">
        <v>9</v>
      </c>
      <c r="I141">
        <v>47.5</v>
      </c>
      <c r="J141">
        <v>8</v>
      </c>
      <c r="K141" s="37">
        <v>45370</v>
      </c>
      <c r="L141" t="s">
        <v>124</v>
      </c>
      <c r="M141">
        <v>81.069999999999993</v>
      </c>
      <c r="N141">
        <v>23</v>
      </c>
      <c r="O141" t="str">
        <f>"Q"&amp;ROUNDUP(MONTH(Transactions[[#This Row],[Transaction Date]])/3,0)</f>
        <v>Q1</v>
      </c>
      <c r="P141">
        <f>YEAR(Transactions[[#This Row],[Transaction Date]])</f>
        <v>2024</v>
      </c>
      <c r="Q141" t="str">
        <f>IF(Transactions[[#This Row],[Sales Amount]]&lt;AVERAGE(Transactions[Sales Amount]),"Below Average","At/Above Average")</f>
        <v>Below Average</v>
      </c>
    </row>
    <row r="142" spans="4:17" x14ac:dyDescent="0.2">
      <c r="D142" t="s">
        <v>232</v>
      </c>
      <c r="E142" t="s">
        <v>75</v>
      </c>
      <c r="F142" t="s">
        <v>99</v>
      </c>
      <c r="G142">
        <v>172</v>
      </c>
      <c r="H142">
        <v>10</v>
      </c>
      <c r="I142">
        <v>52.62</v>
      </c>
      <c r="J142">
        <v>1</v>
      </c>
      <c r="K142" s="37">
        <v>45577</v>
      </c>
      <c r="L142" t="s">
        <v>102</v>
      </c>
      <c r="M142">
        <v>196.59</v>
      </c>
      <c r="N142">
        <v>37</v>
      </c>
      <c r="O142" t="str">
        <f>"Q"&amp;ROUNDUP(MONTH(Transactions[[#This Row],[Transaction Date]])/3,0)</f>
        <v>Q4</v>
      </c>
      <c r="P142">
        <f>YEAR(Transactions[[#This Row],[Transaction Date]])</f>
        <v>2024</v>
      </c>
      <c r="Q142" t="str">
        <f>IF(Transactions[[#This Row],[Sales Amount]]&lt;AVERAGE(Transactions[Sales Amount]),"Below Average","At/Above Average")</f>
        <v>Below Average</v>
      </c>
    </row>
    <row r="143" spans="4:17" x14ac:dyDescent="0.2">
      <c r="D143" t="s">
        <v>233</v>
      </c>
      <c r="E143" t="s">
        <v>87</v>
      </c>
      <c r="F143" t="s">
        <v>88</v>
      </c>
      <c r="G143">
        <v>169</v>
      </c>
      <c r="H143">
        <v>1</v>
      </c>
      <c r="I143">
        <v>56.05</v>
      </c>
      <c r="J143">
        <v>2</v>
      </c>
      <c r="K143" s="37">
        <v>45413</v>
      </c>
      <c r="L143" t="s">
        <v>92</v>
      </c>
      <c r="M143">
        <v>104.23</v>
      </c>
      <c r="N143">
        <v>35</v>
      </c>
      <c r="O143" t="str">
        <f>"Q"&amp;ROUNDUP(MONTH(Transactions[[#This Row],[Transaction Date]])/3,0)</f>
        <v>Q2</v>
      </c>
      <c r="P143">
        <f>YEAR(Transactions[[#This Row],[Transaction Date]])</f>
        <v>2024</v>
      </c>
      <c r="Q143" t="str">
        <f>IF(Transactions[[#This Row],[Sales Amount]]&lt;AVERAGE(Transactions[Sales Amount]),"Below Average","At/Above Average")</f>
        <v>Below Average</v>
      </c>
    </row>
    <row r="144" spans="4:17" x14ac:dyDescent="0.2">
      <c r="D144" t="s">
        <v>234</v>
      </c>
      <c r="E144" t="s">
        <v>77</v>
      </c>
      <c r="F144" t="s">
        <v>96</v>
      </c>
      <c r="G144">
        <v>289</v>
      </c>
      <c r="H144">
        <v>1</v>
      </c>
      <c r="I144">
        <v>48.22</v>
      </c>
      <c r="J144">
        <v>1</v>
      </c>
      <c r="K144" s="37">
        <v>45541</v>
      </c>
      <c r="L144" t="s">
        <v>109</v>
      </c>
      <c r="M144">
        <v>371.75</v>
      </c>
      <c r="N144">
        <v>29</v>
      </c>
      <c r="O144" t="str">
        <f>"Q"&amp;ROUNDUP(MONTH(Transactions[[#This Row],[Transaction Date]])/3,0)</f>
        <v>Q3</v>
      </c>
      <c r="P144">
        <f>YEAR(Transactions[[#This Row],[Transaction Date]])</f>
        <v>2024</v>
      </c>
      <c r="Q144" t="str">
        <f>IF(Transactions[[#This Row],[Sales Amount]]&lt;AVERAGE(Transactions[Sales Amount]),"Below Average","At/Above Average")</f>
        <v>At/Above Average</v>
      </c>
    </row>
    <row r="145" spans="4:17" x14ac:dyDescent="0.2">
      <c r="D145" t="s">
        <v>235</v>
      </c>
      <c r="E145" t="s">
        <v>76</v>
      </c>
      <c r="F145" t="s">
        <v>94</v>
      </c>
      <c r="G145">
        <v>114</v>
      </c>
      <c r="H145">
        <v>10</v>
      </c>
      <c r="I145">
        <v>52.69</v>
      </c>
      <c r="J145">
        <v>9</v>
      </c>
      <c r="K145" s="37">
        <v>44651</v>
      </c>
      <c r="L145" t="s">
        <v>109</v>
      </c>
      <c r="M145">
        <v>121.49</v>
      </c>
      <c r="N145">
        <v>23</v>
      </c>
      <c r="O145" t="str">
        <f>"Q"&amp;ROUNDUP(MONTH(Transactions[[#This Row],[Transaction Date]])/3,0)</f>
        <v>Q1</v>
      </c>
      <c r="P145">
        <f>YEAR(Transactions[[#This Row],[Transaction Date]])</f>
        <v>2022</v>
      </c>
      <c r="Q145" t="str">
        <f>IF(Transactions[[#This Row],[Sales Amount]]&lt;AVERAGE(Transactions[Sales Amount]),"Below Average","At/Above Average")</f>
        <v>Below Average</v>
      </c>
    </row>
    <row r="146" spans="4:17" x14ac:dyDescent="0.2">
      <c r="D146" t="s">
        <v>236</v>
      </c>
      <c r="E146" t="s">
        <v>76</v>
      </c>
      <c r="F146" t="s">
        <v>99</v>
      </c>
      <c r="G146">
        <v>194</v>
      </c>
      <c r="H146">
        <v>2</v>
      </c>
      <c r="I146">
        <v>53.42</v>
      </c>
      <c r="J146">
        <v>5</v>
      </c>
      <c r="K146" s="37">
        <v>45436</v>
      </c>
      <c r="L146" t="s">
        <v>97</v>
      </c>
      <c r="M146">
        <v>33.36</v>
      </c>
      <c r="N146">
        <v>38</v>
      </c>
      <c r="O146" t="str">
        <f>"Q"&amp;ROUNDUP(MONTH(Transactions[[#This Row],[Transaction Date]])/3,0)</f>
        <v>Q2</v>
      </c>
      <c r="P146">
        <f>YEAR(Transactions[[#This Row],[Transaction Date]])</f>
        <v>2024</v>
      </c>
      <c r="Q146" t="str">
        <f>IF(Transactions[[#This Row],[Sales Amount]]&lt;AVERAGE(Transactions[Sales Amount]),"Below Average","At/Above Average")</f>
        <v>Below Average</v>
      </c>
    </row>
    <row r="147" spans="4:17" x14ac:dyDescent="0.2">
      <c r="D147" t="s">
        <v>237</v>
      </c>
      <c r="E147" t="s">
        <v>78</v>
      </c>
      <c r="F147" t="s">
        <v>94</v>
      </c>
      <c r="G147">
        <v>229</v>
      </c>
      <c r="H147">
        <v>3</v>
      </c>
      <c r="I147">
        <v>48.29</v>
      </c>
      <c r="J147">
        <v>9</v>
      </c>
      <c r="K147" s="37">
        <v>45014</v>
      </c>
      <c r="L147" t="s">
        <v>124</v>
      </c>
      <c r="M147">
        <v>148.54</v>
      </c>
      <c r="N147">
        <v>14</v>
      </c>
      <c r="O147" t="str">
        <f>"Q"&amp;ROUNDUP(MONTH(Transactions[[#This Row],[Transaction Date]])/3,0)</f>
        <v>Q1</v>
      </c>
      <c r="P147">
        <f>YEAR(Transactions[[#This Row],[Transaction Date]])</f>
        <v>2023</v>
      </c>
      <c r="Q147" t="str">
        <f>IF(Transactions[[#This Row],[Sales Amount]]&lt;AVERAGE(Transactions[Sales Amount]),"Below Average","At/Above Average")</f>
        <v>Below Average</v>
      </c>
    </row>
    <row r="148" spans="4:17" x14ac:dyDescent="0.2">
      <c r="D148" t="s">
        <v>238</v>
      </c>
      <c r="E148" t="s">
        <v>77</v>
      </c>
      <c r="F148" t="s">
        <v>88</v>
      </c>
      <c r="G148">
        <v>294</v>
      </c>
      <c r="H148">
        <v>2</v>
      </c>
      <c r="I148">
        <v>53.09</v>
      </c>
      <c r="J148">
        <v>3</v>
      </c>
      <c r="K148" s="37">
        <v>45301</v>
      </c>
      <c r="L148" t="s">
        <v>109</v>
      </c>
      <c r="M148">
        <v>345.63</v>
      </c>
      <c r="N148">
        <v>20</v>
      </c>
      <c r="O148" t="str">
        <f>"Q"&amp;ROUNDUP(MONTH(Transactions[[#This Row],[Transaction Date]])/3,0)</f>
        <v>Q1</v>
      </c>
      <c r="P148">
        <f>YEAR(Transactions[[#This Row],[Transaction Date]])</f>
        <v>2024</v>
      </c>
      <c r="Q148" t="str">
        <f>IF(Transactions[[#This Row],[Sales Amount]]&lt;AVERAGE(Transactions[Sales Amount]),"Below Average","At/Above Average")</f>
        <v>At/Above Average</v>
      </c>
    </row>
    <row r="149" spans="4:17" x14ac:dyDescent="0.2">
      <c r="D149" t="s">
        <v>239</v>
      </c>
      <c r="E149" t="s">
        <v>75</v>
      </c>
      <c r="F149" t="s">
        <v>129</v>
      </c>
      <c r="G149">
        <v>251</v>
      </c>
      <c r="H149">
        <v>4</v>
      </c>
      <c r="I149">
        <v>45.82</v>
      </c>
      <c r="J149">
        <v>5</v>
      </c>
      <c r="K149" s="37">
        <v>45475</v>
      </c>
      <c r="L149" t="s">
        <v>124</v>
      </c>
      <c r="M149">
        <v>317.77999999999997</v>
      </c>
      <c r="N149">
        <v>31</v>
      </c>
      <c r="O149" t="str">
        <f>"Q"&amp;ROUNDUP(MONTH(Transactions[[#This Row],[Transaction Date]])/3,0)</f>
        <v>Q3</v>
      </c>
      <c r="P149">
        <f>YEAR(Transactions[[#This Row],[Transaction Date]])</f>
        <v>2024</v>
      </c>
      <c r="Q149" t="str">
        <f>IF(Transactions[[#This Row],[Sales Amount]]&lt;AVERAGE(Transactions[Sales Amount]),"Below Average","At/Above Average")</f>
        <v>At/Above Average</v>
      </c>
    </row>
    <row r="150" spans="4:17" x14ac:dyDescent="0.2">
      <c r="D150" t="s">
        <v>240</v>
      </c>
      <c r="E150" t="s">
        <v>76</v>
      </c>
      <c r="F150" t="s">
        <v>88</v>
      </c>
      <c r="G150">
        <v>115</v>
      </c>
      <c r="H150">
        <v>8</v>
      </c>
      <c r="I150">
        <v>55.46</v>
      </c>
      <c r="J150">
        <v>5</v>
      </c>
      <c r="K150" s="37">
        <v>45150</v>
      </c>
      <c r="L150" t="s">
        <v>92</v>
      </c>
      <c r="M150">
        <v>141.38</v>
      </c>
      <c r="N150">
        <v>10</v>
      </c>
      <c r="O150" t="str">
        <f>"Q"&amp;ROUNDUP(MONTH(Transactions[[#This Row],[Transaction Date]])/3,0)</f>
        <v>Q3</v>
      </c>
      <c r="P150">
        <f>YEAR(Transactions[[#This Row],[Transaction Date]])</f>
        <v>2023</v>
      </c>
      <c r="Q150" t="str">
        <f>IF(Transactions[[#This Row],[Sales Amount]]&lt;AVERAGE(Transactions[Sales Amount]),"Below Average","At/Above Average")</f>
        <v>Below Average</v>
      </c>
    </row>
    <row r="151" spans="4:17" x14ac:dyDescent="0.2">
      <c r="D151" t="s">
        <v>241</v>
      </c>
      <c r="E151" t="s">
        <v>87</v>
      </c>
      <c r="F151" t="s">
        <v>99</v>
      </c>
      <c r="G151">
        <v>202</v>
      </c>
      <c r="H151">
        <v>7</v>
      </c>
      <c r="I151">
        <v>55.94</v>
      </c>
      <c r="J151">
        <v>4</v>
      </c>
      <c r="K151" s="37">
        <v>45609</v>
      </c>
      <c r="L151" t="s">
        <v>124</v>
      </c>
      <c r="M151">
        <v>477.89</v>
      </c>
      <c r="N151">
        <v>6</v>
      </c>
      <c r="O151" t="str">
        <f>"Q"&amp;ROUNDUP(MONTH(Transactions[[#This Row],[Transaction Date]])/3,0)</f>
        <v>Q4</v>
      </c>
      <c r="P151">
        <f>YEAR(Transactions[[#This Row],[Transaction Date]])</f>
        <v>2024</v>
      </c>
      <c r="Q151" t="str">
        <f>IF(Transactions[[#This Row],[Sales Amount]]&lt;AVERAGE(Transactions[Sales Amount]),"Below Average","At/Above Average")</f>
        <v>At/Above Average</v>
      </c>
    </row>
    <row r="152" spans="4:17" x14ac:dyDescent="0.2">
      <c r="D152" t="s">
        <v>242</v>
      </c>
      <c r="E152" t="s">
        <v>87</v>
      </c>
      <c r="F152" t="s">
        <v>94</v>
      </c>
      <c r="G152">
        <v>209</v>
      </c>
      <c r="H152">
        <v>10</v>
      </c>
      <c r="I152">
        <v>58.62</v>
      </c>
      <c r="J152">
        <v>1</v>
      </c>
      <c r="K152" s="37">
        <v>45410</v>
      </c>
      <c r="L152" t="s">
        <v>109</v>
      </c>
      <c r="M152">
        <v>178.59</v>
      </c>
      <c r="N152">
        <v>37</v>
      </c>
      <c r="O152" t="str">
        <f>"Q"&amp;ROUNDUP(MONTH(Transactions[[#This Row],[Transaction Date]])/3,0)</f>
        <v>Q2</v>
      </c>
      <c r="P152">
        <f>YEAR(Transactions[[#This Row],[Transaction Date]])</f>
        <v>2024</v>
      </c>
      <c r="Q152" t="str">
        <f>IF(Transactions[[#This Row],[Sales Amount]]&lt;AVERAGE(Transactions[Sales Amount]),"Below Average","At/Above Average")</f>
        <v>Below Average</v>
      </c>
    </row>
    <row r="153" spans="4:17" x14ac:dyDescent="0.2">
      <c r="D153" t="s">
        <v>243</v>
      </c>
      <c r="E153" t="s">
        <v>75</v>
      </c>
      <c r="F153" t="s">
        <v>94</v>
      </c>
      <c r="G153">
        <v>190</v>
      </c>
      <c r="H153">
        <v>6</v>
      </c>
      <c r="I153">
        <v>56.77</v>
      </c>
      <c r="J153">
        <v>4</v>
      </c>
      <c r="K153" s="37">
        <v>45495</v>
      </c>
      <c r="L153" t="s">
        <v>92</v>
      </c>
      <c r="M153">
        <v>247</v>
      </c>
      <c r="N153">
        <v>38</v>
      </c>
      <c r="O153" t="str">
        <f>"Q"&amp;ROUNDUP(MONTH(Transactions[[#This Row],[Transaction Date]])/3,0)</f>
        <v>Q3</v>
      </c>
      <c r="P153">
        <f>YEAR(Transactions[[#This Row],[Transaction Date]])</f>
        <v>2024</v>
      </c>
      <c r="Q153" t="str">
        <f>IF(Transactions[[#This Row],[Sales Amount]]&lt;AVERAGE(Transactions[Sales Amount]),"Below Average","At/Above Average")</f>
        <v>Below Average</v>
      </c>
    </row>
    <row r="154" spans="4:17" x14ac:dyDescent="0.2">
      <c r="D154" t="s">
        <v>244</v>
      </c>
      <c r="E154" t="s">
        <v>75</v>
      </c>
      <c r="F154" t="s">
        <v>96</v>
      </c>
      <c r="G154">
        <v>279</v>
      </c>
      <c r="H154">
        <v>9</v>
      </c>
      <c r="I154">
        <v>58.92</v>
      </c>
      <c r="J154">
        <v>3</v>
      </c>
      <c r="K154" s="37">
        <v>45041</v>
      </c>
      <c r="L154" t="s">
        <v>102</v>
      </c>
      <c r="M154">
        <v>456.64</v>
      </c>
      <c r="N154">
        <v>26</v>
      </c>
      <c r="O154" t="str">
        <f>"Q"&amp;ROUNDUP(MONTH(Transactions[[#This Row],[Transaction Date]])/3,0)</f>
        <v>Q2</v>
      </c>
      <c r="P154">
        <f>YEAR(Transactions[[#This Row],[Transaction Date]])</f>
        <v>2023</v>
      </c>
      <c r="Q154" t="str">
        <f>IF(Transactions[[#This Row],[Sales Amount]]&lt;AVERAGE(Transactions[Sales Amount]),"Below Average","At/Above Average")</f>
        <v>At/Above Average</v>
      </c>
    </row>
    <row r="155" spans="4:17" x14ac:dyDescent="0.2">
      <c r="D155" t="s">
        <v>245</v>
      </c>
      <c r="E155" t="s">
        <v>74</v>
      </c>
      <c r="F155" t="s">
        <v>129</v>
      </c>
      <c r="G155">
        <v>123</v>
      </c>
      <c r="H155">
        <v>1</v>
      </c>
      <c r="I155">
        <v>56.65</v>
      </c>
      <c r="J155">
        <v>6</v>
      </c>
      <c r="K155" s="37">
        <v>44784</v>
      </c>
      <c r="L155" t="s">
        <v>89</v>
      </c>
      <c r="M155">
        <v>66.099999999999994</v>
      </c>
      <c r="N155">
        <v>9</v>
      </c>
      <c r="O155" t="str">
        <f>"Q"&amp;ROUNDUP(MONTH(Transactions[[#This Row],[Transaction Date]])/3,0)</f>
        <v>Q3</v>
      </c>
      <c r="P155">
        <f>YEAR(Transactions[[#This Row],[Transaction Date]])</f>
        <v>2022</v>
      </c>
      <c r="Q155" t="str">
        <f>IF(Transactions[[#This Row],[Sales Amount]]&lt;AVERAGE(Transactions[Sales Amount]),"Below Average","At/Above Average")</f>
        <v>Below Average</v>
      </c>
    </row>
    <row r="156" spans="4:17" x14ac:dyDescent="0.2">
      <c r="D156" t="s">
        <v>246</v>
      </c>
      <c r="E156" t="s">
        <v>77</v>
      </c>
      <c r="F156" t="s">
        <v>105</v>
      </c>
      <c r="G156">
        <v>116</v>
      </c>
      <c r="H156">
        <v>8</v>
      </c>
      <c r="I156">
        <v>47.31</v>
      </c>
      <c r="J156">
        <v>2</v>
      </c>
      <c r="K156" s="37">
        <v>44835</v>
      </c>
      <c r="L156" t="s">
        <v>97</v>
      </c>
      <c r="M156">
        <v>133.05000000000001</v>
      </c>
      <c r="N156">
        <v>22</v>
      </c>
      <c r="O156" t="str">
        <f>"Q"&amp;ROUNDUP(MONTH(Transactions[[#This Row],[Transaction Date]])/3,0)</f>
        <v>Q4</v>
      </c>
      <c r="P156">
        <f>YEAR(Transactions[[#This Row],[Transaction Date]])</f>
        <v>2022</v>
      </c>
      <c r="Q156" t="str">
        <f>IF(Transactions[[#This Row],[Sales Amount]]&lt;AVERAGE(Transactions[Sales Amount]),"Below Average","At/Above Average")</f>
        <v>Below Average</v>
      </c>
    </row>
    <row r="157" spans="4:17" x14ac:dyDescent="0.2">
      <c r="D157" t="s">
        <v>247</v>
      </c>
      <c r="E157" t="s">
        <v>77</v>
      </c>
      <c r="F157" t="s">
        <v>108</v>
      </c>
      <c r="G157">
        <v>258</v>
      </c>
      <c r="H157">
        <v>7</v>
      </c>
      <c r="I157">
        <v>58.78</v>
      </c>
      <c r="J157">
        <v>4</v>
      </c>
      <c r="K157" s="37">
        <v>45290</v>
      </c>
      <c r="L157" t="s">
        <v>124</v>
      </c>
      <c r="M157">
        <v>218.62</v>
      </c>
      <c r="N157">
        <v>36</v>
      </c>
      <c r="O157" t="str">
        <f>"Q"&amp;ROUNDUP(MONTH(Transactions[[#This Row],[Transaction Date]])/3,0)</f>
        <v>Q4</v>
      </c>
      <c r="P157">
        <f>YEAR(Transactions[[#This Row],[Transaction Date]])</f>
        <v>2023</v>
      </c>
      <c r="Q157" t="str">
        <f>IF(Transactions[[#This Row],[Sales Amount]]&lt;AVERAGE(Transactions[Sales Amount]),"Below Average","At/Above Average")</f>
        <v>Below Average</v>
      </c>
    </row>
    <row r="158" spans="4:17" x14ac:dyDescent="0.2">
      <c r="D158" t="s">
        <v>248</v>
      </c>
      <c r="E158" t="s">
        <v>75</v>
      </c>
      <c r="F158" t="s">
        <v>96</v>
      </c>
      <c r="G158">
        <v>193</v>
      </c>
      <c r="H158">
        <v>5</v>
      </c>
      <c r="I158">
        <v>47.95</v>
      </c>
      <c r="J158">
        <v>5</v>
      </c>
      <c r="K158" s="37">
        <v>45465</v>
      </c>
      <c r="L158" t="s">
        <v>97</v>
      </c>
      <c r="M158">
        <v>158.82</v>
      </c>
      <c r="N158">
        <v>7</v>
      </c>
      <c r="O158" t="str">
        <f>"Q"&amp;ROUNDUP(MONTH(Transactions[[#This Row],[Transaction Date]])/3,0)</f>
        <v>Q2</v>
      </c>
      <c r="P158">
        <f>YEAR(Transactions[[#This Row],[Transaction Date]])</f>
        <v>2024</v>
      </c>
      <c r="Q158" t="str">
        <f>IF(Transactions[[#This Row],[Sales Amount]]&lt;AVERAGE(Transactions[Sales Amount]),"Below Average","At/Above Average")</f>
        <v>Below Average</v>
      </c>
    </row>
    <row r="159" spans="4:17" x14ac:dyDescent="0.2">
      <c r="D159" t="s">
        <v>249</v>
      </c>
      <c r="E159" t="s">
        <v>75</v>
      </c>
      <c r="F159" t="s">
        <v>105</v>
      </c>
      <c r="G159">
        <v>189</v>
      </c>
      <c r="H159">
        <v>9</v>
      </c>
      <c r="I159">
        <v>55.64</v>
      </c>
      <c r="J159">
        <v>7</v>
      </c>
      <c r="K159" s="37">
        <v>44864</v>
      </c>
      <c r="L159" t="s">
        <v>109</v>
      </c>
      <c r="M159">
        <v>117.87</v>
      </c>
      <c r="N159">
        <v>6</v>
      </c>
      <c r="O159" t="str">
        <f>"Q"&amp;ROUNDUP(MONTH(Transactions[[#This Row],[Transaction Date]])/3,0)</f>
        <v>Q4</v>
      </c>
      <c r="P159">
        <f>YEAR(Transactions[[#This Row],[Transaction Date]])</f>
        <v>2022</v>
      </c>
      <c r="Q159" t="str">
        <f>IF(Transactions[[#This Row],[Sales Amount]]&lt;AVERAGE(Transactions[Sales Amount]),"Below Average","At/Above Average")</f>
        <v>Below Average</v>
      </c>
    </row>
    <row r="160" spans="4:17" x14ac:dyDescent="0.2">
      <c r="D160" t="s">
        <v>250</v>
      </c>
      <c r="E160" t="s">
        <v>75</v>
      </c>
      <c r="F160" t="s">
        <v>99</v>
      </c>
      <c r="G160">
        <v>158</v>
      </c>
      <c r="H160">
        <v>3</v>
      </c>
      <c r="I160">
        <v>53.45</v>
      </c>
      <c r="J160">
        <v>4</v>
      </c>
      <c r="K160" s="37">
        <v>45478</v>
      </c>
      <c r="L160" t="s">
        <v>89</v>
      </c>
      <c r="M160">
        <v>89.8</v>
      </c>
      <c r="N160">
        <v>18</v>
      </c>
      <c r="O160" t="str">
        <f>"Q"&amp;ROUNDUP(MONTH(Transactions[[#This Row],[Transaction Date]])/3,0)</f>
        <v>Q3</v>
      </c>
      <c r="P160">
        <f>YEAR(Transactions[[#This Row],[Transaction Date]])</f>
        <v>2024</v>
      </c>
      <c r="Q160" t="str">
        <f>IF(Transactions[[#This Row],[Sales Amount]]&lt;AVERAGE(Transactions[Sales Amount]),"Below Average","At/Above Average")</f>
        <v>Below Average</v>
      </c>
    </row>
    <row r="161" spans="4:17" x14ac:dyDescent="0.2">
      <c r="D161" t="s">
        <v>251</v>
      </c>
      <c r="E161" t="s">
        <v>77</v>
      </c>
      <c r="F161" t="s">
        <v>105</v>
      </c>
      <c r="G161">
        <v>186</v>
      </c>
      <c r="H161">
        <v>3</v>
      </c>
      <c r="I161">
        <v>56.91</v>
      </c>
      <c r="J161">
        <v>10</v>
      </c>
      <c r="K161" s="37">
        <v>45561</v>
      </c>
      <c r="L161" t="s">
        <v>109</v>
      </c>
      <c r="M161">
        <v>284.83999999999997</v>
      </c>
      <c r="N161">
        <v>35</v>
      </c>
      <c r="O161" t="str">
        <f>"Q"&amp;ROUNDUP(MONTH(Transactions[[#This Row],[Transaction Date]])/3,0)</f>
        <v>Q3</v>
      </c>
      <c r="P161">
        <f>YEAR(Transactions[[#This Row],[Transaction Date]])</f>
        <v>2024</v>
      </c>
      <c r="Q161" t="str">
        <f>IF(Transactions[[#This Row],[Sales Amount]]&lt;AVERAGE(Transactions[Sales Amount]),"Below Average","At/Above Average")</f>
        <v>At/Above Average</v>
      </c>
    </row>
    <row r="162" spans="4:17" x14ac:dyDescent="0.2">
      <c r="D162" t="s">
        <v>252</v>
      </c>
      <c r="E162" t="s">
        <v>74</v>
      </c>
      <c r="F162" t="s">
        <v>94</v>
      </c>
      <c r="G162">
        <v>218</v>
      </c>
      <c r="H162">
        <v>9</v>
      </c>
      <c r="I162">
        <v>47.07</v>
      </c>
      <c r="J162">
        <v>7</v>
      </c>
      <c r="K162" s="37">
        <v>45618</v>
      </c>
      <c r="L162" t="s">
        <v>97</v>
      </c>
      <c r="M162">
        <v>102.13</v>
      </c>
      <c r="N162">
        <v>37</v>
      </c>
      <c r="O162" t="str">
        <f>"Q"&amp;ROUNDUP(MONTH(Transactions[[#This Row],[Transaction Date]])/3,0)</f>
        <v>Q4</v>
      </c>
      <c r="P162">
        <f>YEAR(Transactions[[#This Row],[Transaction Date]])</f>
        <v>2024</v>
      </c>
      <c r="Q162" t="str">
        <f>IF(Transactions[[#This Row],[Sales Amount]]&lt;AVERAGE(Transactions[Sales Amount]),"Below Average","At/Above Average")</f>
        <v>Below Average</v>
      </c>
    </row>
    <row r="163" spans="4:17" x14ac:dyDescent="0.2">
      <c r="D163" t="s">
        <v>253</v>
      </c>
      <c r="E163" t="s">
        <v>78</v>
      </c>
      <c r="F163" t="s">
        <v>129</v>
      </c>
      <c r="G163">
        <v>240</v>
      </c>
      <c r="H163">
        <v>5</v>
      </c>
      <c r="I163">
        <v>54.25</v>
      </c>
      <c r="J163">
        <v>9</v>
      </c>
      <c r="K163" s="37">
        <v>44791</v>
      </c>
      <c r="L163" t="s">
        <v>92</v>
      </c>
      <c r="M163">
        <v>216.38</v>
      </c>
      <c r="N163">
        <v>40</v>
      </c>
      <c r="O163" t="str">
        <f>"Q"&amp;ROUNDUP(MONTH(Transactions[[#This Row],[Transaction Date]])/3,0)</f>
        <v>Q3</v>
      </c>
      <c r="P163">
        <f>YEAR(Transactions[[#This Row],[Transaction Date]])</f>
        <v>2022</v>
      </c>
      <c r="Q163" t="str">
        <f>IF(Transactions[[#This Row],[Sales Amount]]&lt;AVERAGE(Transactions[Sales Amount]),"Below Average","At/Above Average")</f>
        <v>Below Average</v>
      </c>
    </row>
    <row r="164" spans="4:17" x14ac:dyDescent="0.2">
      <c r="D164" t="s">
        <v>254</v>
      </c>
      <c r="E164" t="s">
        <v>78</v>
      </c>
      <c r="F164" t="s">
        <v>105</v>
      </c>
      <c r="G164">
        <v>181</v>
      </c>
      <c r="H164">
        <v>6</v>
      </c>
      <c r="I164">
        <v>59.21</v>
      </c>
      <c r="J164">
        <v>3</v>
      </c>
      <c r="K164" s="37">
        <v>44600</v>
      </c>
      <c r="L164" t="s">
        <v>102</v>
      </c>
      <c r="M164">
        <v>133.63</v>
      </c>
      <c r="N164">
        <v>22</v>
      </c>
      <c r="O164" t="str">
        <f>"Q"&amp;ROUNDUP(MONTH(Transactions[[#This Row],[Transaction Date]])/3,0)</f>
        <v>Q1</v>
      </c>
      <c r="P164">
        <f>YEAR(Transactions[[#This Row],[Transaction Date]])</f>
        <v>2022</v>
      </c>
      <c r="Q164" t="str">
        <f>IF(Transactions[[#This Row],[Sales Amount]]&lt;AVERAGE(Transactions[Sales Amount]),"Below Average","At/Above Average")</f>
        <v>Below Average</v>
      </c>
    </row>
    <row r="165" spans="4:17" x14ac:dyDescent="0.2">
      <c r="D165" t="s">
        <v>255</v>
      </c>
      <c r="E165" t="s">
        <v>77</v>
      </c>
      <c r="F165" t="s">
        <v>88</v>
      </c>
      <c r="G165">
        <v>137</v>
      </c>
      <c r="H165">
        <v>3</v>
      </c>
      <c r="I165">
        <v>53.25</v>
      </c>
      <c r="J165">
        <v>8</v>
      </c>
      <c r="K165" s="37">
        <v>45587</v>
      </c>
      <c r="L165" t="s">
        <v>102</v>
      </c>
      <c r="M165">
        <v>356.64</v>
      </c>
      <c r="N165">
        <v>31</v>
      </c>
      <c r="O165" t="str">
        <f>"Q"&amp;ROUNDUP(MONTH(Transactions[[#This Row],[Transaction Date]])/3,0)</f>
        <v>Q4</v>
      </c>
      <c r="P165">
        <f>YEAR(Transactions[[#This Row],[Transaction Date]])</f>
        <v>2024</v>
      </c>
      <c r="Q165" t="str">
        <f>IF(Transactions[[#This Row],[Sales Amount]]&lt;AVERAGE(Transactions[Sales Amount]),"Below Average","At/Above Average")</f>
        <v>At/Above Average</v>
      </c>
    </row>
    <row r="166" spans="4:17" x14ac:dyDescent="0.2">
      <c r="D166" t="s">
        <v>256</v>
      </c>
      <c r="E166" t="s">
        <v>76</v>
      </c>
      <c r="F166" t="s">
        <v>91</v>
      </c>
      <c r="G166">
        <v>175</v>
      </c>
      <c r="H166">
        <v>1</v>
      </c>
      <c r="I166">
        <v>52.37</v>
      </c>
      <c r="J166">
        <v>8</v>
      </c>
      <c r="K166" s="37">
        <v>44662</v>
      </c>
      <c r="L166" t="s">
        <v>109</v>
      </c>
      <c r="M166">
        <v>52.63</v>
      </c>
      <c r="N166">
        <v>6</v>
      </c>
      <c r="O166" t="str">
        <f>"Q"&amp;ROUNDUP(MONTH(Transactions[[#This Row],[Transaction Date]])/3,0)</f>
        <v>Q2</v>
      </c>
      <c r="P166">
        <f>YEAR(Transactions[[#This Row],[Transaction Date]])</f>
        <v>2022</v>
      </c>
      <c r="Q166" t="str">
        <f>IF(Transactions[[#This Row],[Sales Amount]]&lt;AVERAGE(Transactions[Sales Amount]),"Below Average","At/Above Average")</f>
        <v>Below Average</v>
      </c>
    </row>
    <row r="167" spans="4:17" x14ac:dyDescent="0.2">
      <c r="D167" t="s">
        <v>257</v>
      </c>
      <c r="E167" t="s">
        <v>87</v>
      </c>
      <c r="F167" t="s">
        <v>129</v>
      </c>
      <c r="G167">
        <v>157</v>
      </c>
      <c r="H167">
        <v>2</v>
      </c>
      <c r="I167">
        <v>57</v>
      </c>
      <c r="J167">
        <v>9</v>
      </c>
      <c r="K167" s="37">
        <v>45646</v>
      </c>
      <c r="L167" t="s">
        <v>124</v>
      </c>
      <c r="M167">
        <v>229.71</v>
      </c>
      <c r="N167">
        <v>29</v>
      </c>
      <c r="O167" t="str">
        <f>"Q"&amp;ROUNDUP(MONTH(Transactions[[#This Row],[Transaction Date]])/3,0)</f>
        <v>Q4</v>
      </c>
      <c r="P167">
        <f>YEAR(Transactions[[#This Row],[Transaction Date]])</f>
        <v>2024</v>
      </c>
      <c r="Q167" t="str">
        <f>IF(Transactions[[#This Row],[Sales Amount]]&lt;AVERAGE(Transactions[Sales Amount]),"Below Average","At/Above Average")</f>
        <v>Below Average</v>
      </c>
    </row>
    <row r="168" spans="4:17" x14ac:dyDescent="0.2">
      <c r="D168" t="s">
        <v>258</v>
      </c>
      <c r="E168" t="s">
        <v>78</v>
      </c>
      <c r="F168" t="s">
        <v>108</v>
      </c>
      <c r="G168">
        <v>189</v>
      </c>
      <c r="H168">
        <v>2</v>
      </c>
      <c r="I168">
        <v>56.58</v>
      </c>
      <c r="J168">
        <v>4</v>
      </c>
      <c r="K168" s="37">
        <v>45487</v>
      </c>
      <c r="L168" t="s">
        <v>97</v>
      </c>
      <c r="M168">
        <v>150.06</v>
      </c>
      <c r="N168">
        <v>21</v>
      </c>
      <c r="O168" t="str">
        <f>"Q"&amp;ROUNDUP(MONTH(Transactions[[#This Row],[Transaction Date]])/3,0)</f>
        <v>Q3</v>
      </c>
      <c r="P168">
        <f>YEAR(Transactions[[#This Row],[Transaction Date]])</f>
        <v>2024</v>
      </c>
      <c r="Q168" t="str">
        <f>IF(Transactions[[#This Row],[Sales Amount]]&lt;AVERAGE(Transactions[Sales Amount]),"Below Average","At/Above Average")</f>
        <v>Below Average</v>
      </c>
    </row>
    <row r="169" spans="4:17" x14ac:dyDescent="0.2">
      <c r="D169" t="s">
        <v>259</v>
      </c>
      <c r="E169" t="s">
        <v>74</v>
      </c>
      <c r="F169" t="s">
        <v>99</v>
      </c>
      <c r="G169">
        <v>174</v>
      </c>
      <c r="H169">
        <v>5</v>
      </c>
      <c r="I169">
        <v>50.38</v>
      </c>
      <c r="J169">
        <v>6</v>
      </c>
      <c r="K169" s="37">
        <v>44585</v>
      </c>
      <c r="L169" t="s">
        <v>89</v>
      </c>
      <c r="M169">
        <v>279.85000000000002</v>
      </c>
      <c r="N169">
        <v>49</v>
      </c>
      <c r="O169" t="str">
        <f>"Q"&amp;ROUNDUP(MONTH(Transactions[[#This Row],[Transaction Date]])/3,0)</f>
        <v>Q1</v>
      </c>
      <c r="P169">
        <f>YEAR(Transactions[[#This Row],[Transaction Date]])</f>
        <v>2022</v>
      </c>
      <c r="Q169" t="str">
        <f>IF(Transactions[[#This Row],[Sales Amount]]&lt;AVERAGE(Transactions[Sales Amount]),"Below Average","At/Above Average")</f>
        <v>At/Above Average</v>
      </c>
    </row>
    <row r="170" spans="4:17" x14ac:dyDescent="0.2">
      <c r="D170" t="s">
        <v>260</v>
      </c>
      <c r="E170" t="s">
        <v>77</v>
      </c>
      <c r="F170" t="s">
        <v>108</v>
      </c>
      <c r="G170">
        <v>126</v>
      </c>
      <c r="H170">
        <v>1</v>
      </c>
      <c r="I170">
        <v>59.3</v>
      </c>
      <c r="J170">
        <v>8</v>
      </c>
      <c r="K170" s="37">
        <v>45029</v>
      </c>
      <c r="L170" t="s">
        <v>109</v>
      </c>
      <c r="M170">
        <v>85.25</v>
      </c>
      <c r="N170">
        <v>36</v>
      </c>
      <c r="O170" t="str">
        <f>"Q"&amp;ROUNDUP(MONTH(Transactions[[#This Row],[Transaction Date]])/3,0)</f>
        <v>Q2</v>
      </c>
      <c r="P170">
        <f>YEAR(Transactions[[#This Row],[Transaction Date]])</f>
        <v>2023</v>
      </c>
      <c r="Q170" t="str">
        <f>IF(Transactions[[#This Row],[Sales Amount]]&lt;AVERAGE(Transactions[Sales Amount]),"Below Average","At/Above Average")</f>
        <v>Below Average</v>
      </c>
    </row>
    <row r="171" spans="4:17" x14ac:dyDescent="0.2">
      <c r="D171" t="s">
        <v>261</v>
      </c>
      <c r="E171" t="s">
        <v>74</v>
      </c>
      <c r="F171" t="s">
        <v>96</v>
      </c>
      <c r="G171">
        <v>223</v>
      </c>
      <c r="H171">
        <v>4</v>
      </c>
      <c r="I171">
        <v>50.51</v>
      </c>
      <c r="J171">
        <v>3</v>
      </c>
      <c r="K171" s="37">
        <v>44700</v>
      </c>
      <c r="L171" t="s">
        <v>97</v>
      </c>
      <c r="M171">
        <v>452.79</v>
      </c>
      <c r="N171">
        <v>38</v>
      </c>
      <c r="O171" t="str">
        <f>"Q"&amp;ROUNDUP(MONTH(Transactions[[#This Row],[Transaction Date]])/3,0)</f>
        <v>Q2</v>
      </c>
      <c r="P171">
        <f>YEAR(Transactions[[#This Row],[Transaction Date]])</f>
        <v>2022</v>
      </c>
      <c r="Q171" t="str">
        <f>IF(Transactions[[#This Row],[Sales Amount]]&lt;AVERAGE(Transactions[Sales Amount]),"Below Average","At/Above Average")</f>
        <v>At/Above Average</v>
      </c>
    </row>
    <row r="172" spans="4:17" x14ac:dyDescent="0.2">
      <c r="D172" t="s">
        <v>262</v>
      </c>
      <c r="E172" t="s">
        <v>78</v>
      </c>
      <c r="F172" t="s">
        <v>91</v>
      </c>
      <c r="G172">
        <v>160</v>
      </c>
      <c r="H172">
        <v>1</v>
      </c>
      <c r="I172">
        <v>51.05</v>
      </c>
      <c r="J172">
        <v>2</v>
      </c>
      <c r="K172" s="37">
        <v>44991</v>
      </c>
      <c r="L172" t="s">
        <v>109</v>
      </c>
      <c r="M172">
        <v>444.86</v>
      </c>
      <c r="N172">
        <v>39</v>
      </c>
      <c r="O172" t="str">
        <f>"Q"&amp;ROUNDUP(MONTH(Transactions[[#This Row],[Transaction Date]])/3,0)</f>
        <v>Q1</v>
      </c>
      <c r="P172">
        <f>YEAR(Transactions[[#This Row],[Transaction Date]])</f>
        <v>2023</v>
      </c>
      <c r="Q172" t="str">
        <f>IF(Transactions[[#This Row],[Sales Amount]]&lt;AVERAGE(Transactions[Sales Amount]),"Below Average","At/Above Average")</f>
        <v>At/Above Average</v>
      </c>
    </row>
    <row r="173" spans="4:17" x14ac:dyDescent="0.2">
      <c r="D173" t="s">
        <v>263</v>
      </c>
      <c r="E173" t="s">
        <v>74</v>
      </c>
      <c r="F173" t="s">
        <v>99</v>
      </c>
      <c r="G173">
        <v>108</v>
      </c>
      <c r="H173">
        <v>3</v>
      </c>
      <c r="I173">
        <v>45.93</v>
      </c>
      <c r="J173">
        <v>10</v>
      </c>
      <c r="K173" s="37">
        <v>45649</v>
      </c>
      <c r="L173" t="s">
        <v>102</v>
      </c>
      <c r="M173">
        <v>432.34</v>
      </c>
      <c r="N173">
        <v>14</v>
      </c>
      <c r="O173" t="str">
        <f>"Q"&amp;ROUNDUP(MONTH(Transactions[[#This Row],[Transaction Date]])/3,0)</f>
        <v>Q4</v>
      </c>
      <c r="P173">
        <f>YEAR(Transactions[[#This Row],[Transaction Date]])</f>
        <v>2024</v>
      </c>
      <c r="Q173" t="str">
        <f>IF(Transactions[[#This Row],[Sales Amount]]&lt;AVERAGE(Transactions[Sales Amount]),"Below Average","At/Above Average")</f>
        <v>At/Above Average</v>
      </c>
    </row>
    <row r="174" spans="4:17" x14ac:dyDescent="0.2">
      <c r="D174" t="s">
        <v>264</v>
      </c>
      <c r="E174" t="s">
        <v>76</v>
      </c>
      <c r="F174" t="s">
        <v>129</v>
      </c>
      <c r="G174">
        <v>122</v>
      </c>
      <c r="H174">
        <v>9</v>
      </c>
      <c r="I174">
        <v>59.28</v>
      </c>
      <c r="J174">
        <v>8</v>
      </c>
      <c r="K174" s="37">
        <v>45462</v>
      </c>
      <c r="L174" t="s">
        <v>89</v>
      </c>
      <c r="M174">
        <v>322.52</v>
      </c>
      <c r="N174">
        <v>13</v>
      </c>
      <c r="O174" t="str">
        <f>"Q"&amp;ROUNDUP(MONTH(Transactions[[#This Row],[Transaction Date]])/3,0)</f>
        <v>Q2</v>
      </c>
      <c r="P174">
        <f>YEAR(Transactions[[#This Row],[Transaction Date]])</f>
        <v>2024</v>
      </c>
      <c r="Q174" t="str">
        <f>IF(Transactions[[#This Row],[Sales Amount]]&lt;AVERAGE(Transactions[Sales Amount]),"Below Average","At/Above Average")</f>
        <v>At/Above Average</v>
      </c>
    </row>
    <row r="175" spans="4:17" x14ac:dyDescent="0.2">
      <c r="D175" t="s">
        <v>265</v>
      </c>
      <c r="E175" t="s">
        <v>75</v>
      </c>
      <c r="F175" t="s">
        <v>99</v>
      </c>
      <c r="G175">
        <v>124</v>
      </c>
      <c r="H175">
        <v>4</v>
      </c>
      <c r="I175">
        <v>51.62</v>
      </c>
      <c r="J175">
        <v>4</v>
      </c>
      <c r="K175" s="37">
        <v>44926</v>
      </c>
      <c r="L175" t="s">
        <v>92</v>
      </c>
      <c r="M175">
        <v>212.69</v>
      </c>
      <c r="N175">
        <v>9</v>
      </c>
      <c r="O175" t="str">
        <f>"Q"&amp;ROUNDUP(MONTH(Transactions[[#This Row],[Transaction Date]])/3,0)</f>
        <v>Q4</v>
      </c>
      <c r="P175">
        <f>YEAR(Transactions[[#This Row],[Transaction Date]])</f>
        <v>2022</v>
      </c>
      <c r="Q175" t="str">
        <f>IF(Transactions[[#This Row],[Sales Amount]]&lt;AVERAGE(Transactions[Sales Amount]),"Below Average","At/Above Average")</f>
        <v>Below Average</v>
      </c>
    </row>
    <row r="176" spans="4:17" x14ac:dyDescent="0.2">
      <c r="D176" t="s">
        <v>266</v>
      </c>
      <c r="E176" t="s">
        <v>87</v>
      </c>
      <c r="F176" t="s">
        <v>99</v>
      </c>
      <c r="G176">
        <v>180</v>
      </c>
      <c r="H176">
        <v>3</v>
      </c>
      <c r="I176">
        <v>51.17</v>
      </c>
      <c r="J176">
        <v>8</v>
      </c>
      <c r="K176" s="37">
        <v>44961</v>
      </c>
      <c r="L176" t="s">
        <v>89</v>
      </c>
      <c r="M176">
        <v>429.83</v>
      </c>
      <c r="N176">
        <v>50</v>
      </c>
      <c r="O176" t="str">
        <f>"Q"&amp;ROUNDUP(MONTH(Transactions[[#This Row],[Transaction Date]])/3,0)</f>
        <v>Q1</v>
      </c>
      <c r="P176">
        <f>YEAR(Transactions[[#This Row],[Transaction Date]])</f>
        <v>2023</v>
      </c>
      <c r="Q176" t="str">
        <f>IF(Transactions[[#This Row],[Sales Amount]]&lt;AVERAGE(Transactions[Sales Amount]),"Below Average","At/Above Average")</f>
        <v>At/Above Average</v>
      </c>
    </row>
    <row r="177" spans="4:17" x14ac:dyDescent="0.2">
      <c r="D177" t="s">
        <v>267</v>
      </c>
      <c r="E177" t="s">
        <v>75</v>
      </c>
      <c r="F177" t="s">
        <v>96</v>
      </c>
      <c r="G177">
        <v>203</v>
      </c>
      <c r="H177">
        <v>3</v>
      </c>
      <c r="I177">
        <v>55.65</v>
      </c>
      <c r="J177">
        <v>10</v>
      </c>
      <c r="K177" s="37">
        <v>44821</v>
      </c>
      <c r="L177" t="s">
        <v>109</v>
      </c>
      <c r="M177">
        <v>335.1</v>
      </c>
      <c r="N177">
        <v>31</v>
      </c>
      <c r="O177" t="str">
        <f>"Q"&amp;ROUNDUP(MONTH(Transactions[[#This Row],[Transaction Date]])/3,0)</f>
        <v>Q3</v>
      </c>
      <c r="P177">
        <f>YEAR(Transactions[[#This Row],[Transaction Date]])</f>
        <v>2022</v>
      </c>
      <c r="Q177" t="str">
        <f>IF(Transactions[[#This Row],[Sales Amount]]&lt;AVERAGE(Transactions[Sales Amount]),"Below Average","At/Above Average")</f>
        <v>At/Above Average</v>
      </c>
    </row>
    <row r="178" spans="4:17" x14ac:dyDescent="0.2">
      <c r="D178" t="s">
        <v>268</v>
      </c>
      <c r="E178" t="s">
        <v>76</v>
      </c>
      <c r="F178" t="s">
        <v>99</v>
      </c>
      <c r="G178">
        <v>129</v>
      </c>
      <c r="H178">
        <v>4</v>
      </c>
      <c r="I178">
        <v>52.58</v>
      </c>
      <c r="J178">
        <v>6</v>
      </c>
      <c r="K178" s="37">
        <v>45461</v>
      </c>
      <c r="L178" t="s">
        <v>89</v>
      </c>
      <c r="M178">
        <v>158.44999999999999</v>
      </c>
      <c r="N178">
        <v>30</v>
      </c>
      <c r="O178" t="str">
        <f>"Q"&amp;ROUNDUP(MONTH(Transactions[[#This Row],[Transaction Date]])/3,0)</f>
        <v>Q2</v>
      </c>
      <c r="P178">
        <f>YEAR(Transactions[[#This Row],[Transaction Date]])</f>
        <v>2024</v>
      </c>
      <c r="Q178" t="str">
        <f>IF(Transactions[[#This Row],[Sales Amount]]&lt;AVERAGE(Transactions[Sales Amount]),"Below Average","At/Above Average")</f>
        <v>Below Average</v>
      </c>
    </row>
    <row r="179" spans="4:17" x14ac:dyDescent="0.2">
      <c r="D179" t="s">
        <v>269</v>
      </c>
      <c r="E179" t="s">
        <v>74</v>
      </c>
      <c r="F179" t="s">
        <v>88</v>
      </c>
      <c r="G179">
        <v>185</v>
      </c>
      <c r="H179">
        <v>9</v>
      </c>
      <c r="I179">
        <v>56.94</v>
      </c>
      <c r="J179">
        <v>1</v>
      </c>
      <c r="K179" s="37">
        <v>45295</v>
      </c>
      <c r="L179" t="s">
        <v>124</v>
      </c>
      <c r="M179">
        <v>253.02</v>
      </c>
      <c r="N179">
        <v>35</v>
      </c>
      <c r="O179" t="str">
        <f>"Q"&amp;ROUNDUP(MONTH(Transactions[[#This Row],[Transaction Date]])/3,0)</f>
        <v>Q1</v>
      </c>
      <c r="P179">
        <f>YEAR(Transactions[[#This Row],[Transaction Date]])</f>
        <v>2024</v>
      </c>
      <c r="Q179" t="str">
        <f>IF(Transactions[[#This Row],[Sales Amount]]&lt;AVERAGE(Transactions[Sales Amount]),"Below Average","At/Above Average")</f>
        <v>Below Average</v>
      </c>
    </row>
    <row r="180" spans="4:17" x14ac:dyDescent="0.2">
      <c r="D180" t="s">
        <v>270</v>
      </c>
      <c r="E180" t="s">
        <v>75</v>
      </c>
      <c r="F180" t="s">
        <v>94</v>
      </c>
      <c r="G180">
        <v>280</v>
      </c>
      <c r="H180">
        <v>4</v>
      </c>
      <c r="I180">
        <v>54.66</v>
      </c>
      <c r="J180">
        <v>10</v>
      </c>
      <c r="K180" s="37">
        <v>45211</v>
      </c>
      <c r="L180" t="s">
        <v>109</v>
      </c>
      <c r="M180">
        <v>481.27</v>
      </c>
      <c r="N180">
        <v>16</v>
      </c>
      <c r="O180" t="str">
        <f>"Q"&amp;ROUNDUP(MONTH(Transactions[[#This Row],[Transaction Date]])/3,0)</f>
        <v>Q4</v>
      </c>
      <c r="P180">
        <f>YEAR(Transactions[[#This Row],[Transaction Date]])</f>
        <v>2023</v>
      </c>
      <c r="Q180" t="str">
        <f>IF(Transactions[[#This Row],[Sales Amount]]&lt;AVERAGE(Transactions[Sales Amount]),"Below Average","At/Above Average")</f>
        <v>At/Above Average</v>
      </c>
    </row>
    <row r="181" spans="4:17" x14ac:dyDescent="0.2">
      <c r="D181" t="s">
        <v>271</v>
      </c>
      <c r="E181" t="s">
        <v>87</v>
      </c>
      <c r="F181" t="s">
        <v>108</v>
      </c>
      <c r="G181">
        <v>199</v>
      </c>
      <c r="H181">
        <v>1</v>
      </c>
      <c r="I181">
        <v>54.05</v>
      </c>
      <c r="J181">
        <v>9</v>
      </c>
      <c r="K181" s="37">
        <v>44800</v>
      </c>
      <c r="L181" t="s">
        <v>89</v>
      </c>
      <c r="M181">
        <v>178.57</v>
      </c>
      <c r="N181">
        <v>39</v>
      </c>
      <c r="O181" t="str">
        <f>"Q"&amp;ROUNDUP(MONTH(Transactions[[#This Row],[Transaction Date]])/3,0)</f>
        <v>Q3</v>
      </c>
      <c r="P181">
        <f>YEAR(Transactions[[#This Row],[Transaction Date]])</f>
        <v>2022</v>
      </c>
      <c r="Q181" t="str">
        <f>IF(Transactions[[#This Row],[Sales Amount]]&lt;AVERAGE(Transactions[Sales Amount]),"Below Average","At/Above Average")</f>
        <v>Below Average</v>
      </c>
    </row>
    <row r="182" spans="4:17" x14ac:dyDescent="0.2">
      <c r="D182" t="s">
        <v>272</v>
      </c>
      <c r="E182" t="s">
        <v>75</v>
      </c>
      <c r="F182" t="s">
        <v>91</v>
      </c>
      <c r="G182">
        <v>262</v>
      </c>
      <c r="H182">
        <v>4</v>
      </c>
      <c r="I182">
        <v>52.47</v>
      </c>
      <c r="J182">
        <v>6</v>
      </c>
      <c r="K182" s="37">
        <v>45645</v>
      </c>
      <c r="L182" t="s">
        <v>109</v>
      </c>
      <c r="M182">
        <v>389.83</v>
      </c>
      <c r="N182">
        <v>21</v>
      </c>
      <c r="O182" t="str">
        <f>"Q"&amp;ROUNDUP(MONTH(Transactions[[#This Row],[Transaction Date]])/3,0)</f>
        <v>Q4</v>
      </c>
      <c r="P182">
        <f>YEAR(Transactions[[#This Row],[Transaction Date]])</f>
        <v>2024</v>
      </c>
      <c r="Q182" t="str">
        <f>IF(Transactions[[#This Row],[Sales Amount]]&lt;AVERAGE(Transactions[Sales Amount]),"Below Average","At/Above Average")</f>
        <v>At/Above Average</v>
      </c>
    </row>
    <row r="183" spans="4:17" x14ac:dyDescent="0.2">
      <c r="D183" t="s">
        <v>273</v>
      </c>
      <c r="E183" t="s">
        <v>78</v>
      </c>
      <c r="F183" t="s">
        <v>108</v>
      </c>
      <c r="G183">
        <v>191</v>
      </c>
      <c r="H183">
        <v>1</v>
      </c>
      <c r="I183">
        <v>57.83</v>
      </c>
      <c r="J183">
        <v>1</v>
      </c>
      <c r="K183" s="37">
        <v>44726</v>
      </c>
      <c r="L183" t="s">
        <v>97</v>
      </c>
      <c r="M183">
        <v>75.319999999999993</v>
      </c>
      <c r="N183">
        <v>24</v>
      </c>
      <c r="O183" t="str">
        <f>"Q"&amp;ROUNDUP(MONTH(Transactions[[#This Row],[Transaction Date]])/3,0)</f>
        <v>Q2</v>
      </c>
      <c r="P183">
        <f>YEAR(Transactions[[#This Row],[Transaction Date]])</f>
        <v>2022</v>
      </c>
      <c r="Q183" t="str">
        <f>IF(Transactions[[#This Row],[Sales Amount]]&lt;AVERAGE(Transactions[Sales Amount]),"Below Average","At/Above Average")</f>
        <v>Below Average</v>
      </c>
    </row>
    <row r="184" spans="4:17" x14ac:dyDescent="0.2">
      <c r="D184" t="s">
        <v>274</v>
      </c>
      <c r="E184" t="s">
        <v>75</v>
      </c>
      <c r="F184" t="s">
        <v>91</v>
      </c>
      <c r="G184">
        <v>286</v>
      </c>
      <c r="H184">
        <v>5</v>
      </c>
      <c r="I184">
        <v>59.1</v>
      </c>
      <c r="J184">
        <v>6</v>
      </c>
      <c r="K184" s="37">
        <v>44677</v>
      </c>
      <c r="L184" t="s">
        <v>97</v>
      </c>
      <c r="M184">
        <v>202.03</v>
      </c>
      <c r="N184">
        <v>26</v>
      </c>
      <c r="O184" t="str">
        <f>"Q"&amp;ROUNDUP(MONTH(Transactions[[#This Row],[Transaction Date]])/3,0)</f>
        <v>Q2</v>
      </c>
      <c r="P184">
        <f>YEAR(Transactions[[#This Row],[Transaction Date]])</f>
        <v>2022</v>
      </c>
      <c r="Q184" t="str">
        <f>IF(Transactions[[#This Row],[Sales Amount]]&lt;AVERAGE(Transactions[Sales Amount]),"Below Average","At/Above Average")</f>
        <v>Below Average</v>
      </c>
    </row>
    <row r="185" spans="4:17" x14ac:dyDescent="0.2">
      <c r="D185" t="s">
        <v>275</v>
      </c>
      <c r="E185" t="s">
        <v>87</v>
      </c>
      <c r="F185" t="s">
        <v>129</v>
      </c>
      <c r="G185">
        <v>178</v>
      </c>
      <c r="H185">
        <v>3</v>
      </c>
      <c r="I185">
        <v>54.3</v>
      </c>
      <c r="J185">
        <v>5</v>
      </c>
      <c r="K185" s="37">
        <v>45376</v>
      </c>
      <c r="L185" t="s">
        <v>109</v>
      </c>
      <c r="M185">
        <v>410.09</v>
      </c>
      <c r="N185">
        <v>17</v>
      </c>
      <c r="O185" t="str">
        <f>"Q"&amp;ROUNDUP(MONTH(Transactions[[#This Row],[Transaction Date]])/3,0)</f>
        <v>Q1</v>
      </c>
      <c r="P185">
        <f>YEAR(Transactions[[#This Row],[Transaction Date]])</f>
        <v>2024</v>
      </c>
      <c r="Q185" t="str">
        <f>IF(Transactions[[#This Row],[Sales Amount]]&lt;AVERAGE(Transactions[Sales Amount]),"Below Average","At/Above Average")</f>
        <v>At/Above Average</v>
      </c>
    </row>
    <row r="186" spans="4:17" x14ac:dyDescent="0.2">
      <c r="D186" t="s">
        <v>276</v>
      </c>
      <c r="E186" t="s">
        <v>75</v>
      </c>
      <c r="F186" t="s">
        <v>91</v>
      </c>
      <c r="G186">
        <v>139</v>
      </c>
      <c r="H186">
        <v>9</v>
      </c>
      <c r="I186">
        <v>54.14</v>
      </c>
      <c r="J186">
        <v>8</v>
      </c>
      <c r="K186" s="37">
        <v>44636</v>
      </c>
      <c r="L186" t="s">
        <v>124</v>
      </c>
      <c r="M186">
        <v>470.09</v>
      </c>
      <c r="N186">
        <v>50</v>
      </c>
      <c r="O186" t="str">
        <f>"Q"&amp;ROUNDUP(MONTH(Transactions[[#This Row],[Transaction Date]])/3,0)</f>
        <v>Q1</v>
      </c>
      <c r="P186">
        <f>YEAR(Transactions[[#This Row],[Transaction Date]])</f>
        <v>2022</v>
      </c>
      <c r="Q186" t="str">
        <f>IF(Transactions[[#This Row],[Sales Amount]]&lt;AVERAGE(Transactions[Sales Amount]),"Below Average","At/Above Average")</f>
        <v>At/Above Average</v>
      </c>
    </row>
    <row r="187" spans="4:17" x14ac:dyDescent="0.2">
      <c r="D187" t="s">
        <v>277</v>
      </c>
      <c r="E187" t="s">
        <v>74</v>
      </c>
      <c r="F187" t="s">
        <v>96</v>
      </c>
      <c r="G187">
        <v>205</v>
      </c>
      <c r="H187">
        <v>4</v>
      </c>
      <c r="I187">
        <v>49.07</v>
      </c>
      <c r="J187">
        <v>2</v>
      </c>
      <c r="K187" s="37">
        <v>45381</v>
      </c>
      <c r="L187" t="s">
        <v>109</v>
      </c>
      <c r="M187">
        <v>27.61</v>
      </c>
      <c r="N187">
        <v>44</v>
      </c>
      <c r="O187" t="str">
        <f>"Q"&amp;ROUNDUP(MONTH(Transactions[[#This Row],[Transaction Date]])/3,0)</f>
        <v>Q1</v>
      </c>
      <c r="P187">
        <f>YEAR(Transactions[[#This Row],[Transaction Date]])</f>
        <v>2024</v>
      </c>
      <c r="Q187" t="str">
        <f>IF(Transactions[[#This Row],[Sales Amount]]&lt;AVERAGE(Transactions[Sales Amount]),"Below Average","At/Above Average")</f>
        <v>Below Average</v>
      </c>
    </row>
    <row r="188" spans="4:17" x14ac:dyDescent="0.2">
      <c r="D188" t="s">
        <v>278</v>
      </c>
      <c r="E188" t="s">
        <v>74</v>
      </c>
      <c r="F188" t="s">
        <v>108</v>
      </c>
      <c r="G188">
        <v>280</v>
      </c>
      <c r="H188">
        <v>1</v>
      </c>
      <c r="I188">
        <v>53.11</v>
      </c>
      <c r="J188">
        <v>9</v>
      </c>
      <c r="K188" s="37">
        <v>45530</v>
      </c>
      <c r="L188" t="s">
        <v>97</v>
      </c>
      <c r="M188">
        <v>293.27</v>
      </c>
      <c r="N188">
        <v>35</v>
      </c>
      <c r="O188" t="str">
        <f>"Q"&amp;ROUNDUP(MONTH(Transactions[[#This Row],[Transaction Date]])/3,0)</f>
        <v>Q3</v>
      </c>
      <c r="P188">
        <f>YEAR(Transactions[[#This Row],[Transaction Date]])</f>
        <v>2024</v>
      </c>
      <c r="Q188" t="str">
        <f>IF(Transactions[[#This Row],[Sales Amount]]&lt;AVERAGE(Transactions[Sales Amount]),"Below Average","At/Above Average")</f>
        <v>At/Above Average</v>
      </c>
    </row>
    <row r="189" spans="4:17" x14ac:dyDescent="0.2">
      <c r="D189" t="s">
        <v>279</v>
      </c>
      <c r="E189" t="s">
        <v>78</v>
      </c>
      <c r="F189" t="s">
        <v>99</v>
      </c>
      <c r="G189">
        <v>274</v>
      </c>
      <c r="H189">
        <v>6</v>
      </c>
      <c r="I189">
        <v>52.07</v>
      </c>
      <c r="J189">
        <v>4</v>
      </c>
      <c r="K189" s="37">
        <v>45264</v>
      </c>
      <c r="L189" t="s">
        <v>92</v>
      </c>
      <c r="M189">
        <v>474.02</v>
      </c>
      <c r="N189">
        <v>17</v>
      </c>
      <c r="O189" t="str">
        <f>"Q"&amp;ROUNDUP(MONTH(Transactions[[#This Row],[Transaction Date]])/3,0)</f>
        <v>Q4</v>
      </c>
      <c r="P189">
        <f>YEAR(Transactions[[#This Row],[Transaction Date]])</f>
        <v>2023</v>
      </c>
      <c r="Q189" t="str">
        <f>IF(Transactions[[#This Row],[Sales Amount]]&lt;AVERAGE(Transactions[Sales Amount]),"Below Average","At/Above Average")</f>
        <v>At/Above Average</v>
      </c>
    </row>
    <row r="190" spans="4:17" x14ac:dyDescent="0.2">
      <c r="D190" t="s">
        <v>280</v>
      </c>
      <c r="E190" t="s">
        <v>78</v>
      </c>
      <c r="F190" t="s">
        <v>94</v>
      </c>
      <c r="G190">
        <v>159</v>
      </c>
      <c r="H190">
        <v>3</v>
      </c>
      <c r="I190">
        <v>47.45</v>
      </c>
      <c r="J190">
        <v>7</v>
      </c>
      <c r="K190" s="37">
        <v>45605</v>
      </c>
      <c r="L190" t="s">
        <v>102</v>
      </c>
      <c r="M190">
        <v>235.39</v>
      </c>
      <c r="N190">
        <v>42</v>
      </c>
      <c r="O190" t="str">
        <f>"Q"&amp;ROUNDUP(MONTH(Transactions[[#This Row],[Transaction Date]])/3,0)</f>
        <v>Q4</v>
      </c>
      <c r="P190">
        <f>YEAR(Transactions[[#This Row],[Transaction Date]])</f>
        <v>2024</v>
      </c>
      <c r="Q190" t="str">
        <f>IF(Transactions[[#This Row],[Sales Amount]]&lt;AVERAGE(Transactions[Sales Amount]),"Below Average","At/Above Average")</f>
        <v>Below Average</v>
      </c>
    </row>
    <row r="191" spans="4:17" x14ac:dyDescent="0.2">
      <c r="D191" t="s">
        <v>281</v>
      </c>
      <c r="E191" t="s">
        <v>87</v>
      </c>
      <c r="F191" t="s">
        <v>88</v>
      </c>
      <c r="G191">
        <v>151</v>
      </c>
      <c r="H191">
        <v>1</v>
      </c>
      <c r="I191">
        <v>46.06</v>
      </c>
      <c r="J191">
        <v>3</v>
      </c>
      <c r="K191" s="37">
        <v>44755</v>
      </c>
      <c r="L191" t="s">
        <v>97</v>
      </c>
      <c r="M191">
        <v>395.72</v>
      </c>
      <c r="N191">
        <v>33</v>
      </c>
      <c r="O191" t="str">
        <f>"Q"&amp;ROUNDUP(MONTH(Transactions[[#This Row],[Transaction Date]])/3,0)</f>
        <v>Q3</v>
      </c>
      <c r="P191">
        <f>YEAR(Transactions[[#This Row],[Transaction Date]])</f>
        <v>2022</v>
      </c>
      <c r="Q191" t="str">
        <f>IF(Transactions[[#This Row],[Sales Amount]]&lt;AVERAGE(Transactions[Sales Amount]),"Below Average","At/Above Average")</f>
        <v>At/Above Average</v>
      </c>
    </row>
    <row r="192" spans="4:17" x14ac:dyDescent="0.2">
      <c r="D192" t="s">
        <v>282</v>
      </c>
      <c r="E192" t="s">
        <v>76</v>
      </c>
      <c r="F192" t="s">
        <v>96</v>
      </c>
      <c r="G192">
        <v>299</v>
      </c>
      <c r="H192">
        <v>8</v>
      </c>
      <c r="I192">
        <v>46.13</v>
      </c>
      <c r="J192">
        <v>5</v>
      </c>
      <c r="K192" s="37">
        <v>44666</v>
      </c>
      <c r="L192" t="s">
        <v>109</v>
      </c>
      <c r="M192">
        <v>189.85</v>
      </c>
      <c r="N192">
        <v>26</v>
      </c>
      <c r="O192" t="str">
        <f>"Q"&amp;ROUNDUP(MONTH(Transactions[[#This Row],[Transaction Date]])/3,0)</f>
        <v>Q2</v>
      </c>
      <c r="P192">
        <f>YEAR(Transactions[[#This Row],[Transaction Date]])</f>
        <v>2022</v>
      </c>
      <c r="Q192" t="str">
        <f>IF(Transactions[[#This Row],[Sales Amount]]&lt;AVERAGE(Transactions[Sales Amount]),"Below Average","At/Above Average")</f>
        <v>Below Average</v>
      </c>
    </row>
    <row r="193" spans="4:17" x14ac:dyDescent="0.2">
      <c r="D193" t="s">
        <v>283</v>
      </c>
      <c r="E193" t="s">
        <v>75</v>
      </c>
      <c r="F193" t="s">
        <v>91</v>
      </c>
      <c r="G193">
        <v>198</v>
      </c>
      <c r="H193">
        <v>5</v>
      </c>
      <c r="I193">
        <v>48.57</v>
      </c>
      <c r="J193">
        <v>3</v>
      </c>
      <c r="K193" s="37">
        <v>45540</v>
      </c>
      <c r="L193" t="s">
        <v>124</v>
      </c>
      <c r="M193">
        <v>246.18</v>
      </c>
      <c r="N193">
        <v>2</v>
      </c>
      <c r="O193" t="str">
        <f>"Q"&amp;ROUNDUP(MONTH(Transactions[[#This Row],[Transaction Date]])/3,0)</f>
        <v>Q3</v>
      </c>
      <c r="P193">
        <f>YEAR(Transactions[[#This Row],[Transaction Date]])</f>
        <v>2024</v>
      </c>
      <c r="Q193" t="str">
        <f>IF(Transactions[[#This Row],[Sales Amount]]&lt;AVERAGE(Transactions[Sales Amount]),"Below Average","At/Above Average")</f>
        <v>Below Average</v>
      </c>
    </row>
    <row r="194" spans="4:17" x14ac:dyDescent="0.2">
      <c r="D194" t="s">
        <v>284</v>
      </c>
      <c r="E194" t="s">
        <v>78</v>
      </c>
      <c r="F194" t="s">
        <v>108</v>
      </c>
      <c r="G194">
        <v>152</v>
      </c>
      <c r="H194">
        <v>6</v>
      </c>
      <c r="I194">
        <v>50.72</v>
      </c>
      <c r="J194">
        <v>5</v>
      </c>
      <c r="K194" s="37">
        <v>44835</v>
      </c>
      <c r="L194" t="s">
        <v>89</v>
      </c>
      <c r="M194">
        <v>480.15</v>
      </c>
      <c r="N194">
        <v>44</v>
      </c>
      <c r="O194" t="str">
        <f>"Q"&amp;ROUNDUP(MONTH(Transactions[[#This Row],[Transaction Date]])/3,0)</f>
        <v>Q4</v>
      </c>
      <c r="P194">
        <f>YEAR(Transactions[[#This Row],[Transaction Date]])</f>
        <v>2022</v>
      </c>
      <c r="Q194" t="str">
        <f>IF(Transactions[[#This Row],[Sales Amount]]&lt;AVERAGE(Transactions[Sales Amount]),"Below Average","At/Above Average")</f>
        <v>At/Above Average</v>
      </c>
    </row>
    <row r="195" spans="4:17" x14ac:dyDescent="0.2">
      <c r="D195" t="s">
        <v>285</v>
      </c>
      <c r="E195" t="s">
        <v>76</v>
      </c>
      <c r="F195" t="s">
        <v>91</v>
      </c>
      <c r="G195">
        <v>212</v>
      </c>
      <c r="H195">
        <v>4</v>
      </c>
      <c r="I195">
        <v>50.62</v>
      </c>
      <c r="J195">
        <v>9</v>
      </c>
      <c r="K195" s="37">
        <v>44918</v>
      </c>
      <c r="L195" t="s">
        <v>89</v>
      </c>
      <c r="M195">
        <v>196.35</v>
      </c>
      <c r="N195">
        <v>18</v>
      </c>
      <c r="O195" t="str">
        <f>"Q"&amp;ROUNDUP(MONTH(Transactions[[#This Row],[Transaction Date]])/3,0)</f>
        <v>Q4</v>
      </c>
      <c r="P195">
        <f>YEAR(Transactions[[#This Row],[Transaction Date]])</f>
        <v>2022</v>
      </c>
      <c r="Q195" t="str">
        <f>IF(Transactions[[#This Row],[Sales Amount]]&lt;AVERAGE(Transactions[Sales Amount]),"Below Average","At/Above Average")</f>
        <v>Below Average</v>
      </c>
    </row>
    <row r="196" spans="4:17" x14ac:dyDescent="0.2">
      <c r="D196" t="s">
        <v>286</v>
      </c>
      <c r="E196" t="s">
        <v>87</v>
      </c>
      <c r="F196" t="s">
        <v>99</v>
      </c>
      <c r="G196">
        <v>189</v>
      </c>
      <c r="H196">
        <v>6</v>
      </c>
      <c r="I196">
        <v>46.12</v>
      </c>
      <c r="J196">
        <v>8</v>
      </c>
      <c r="K196" s="37">
        <v>45545</v>
      </c>
      <c r="L196" t="s">
        <v>109</v>
      </c>
      <c r="M196">
        <v>301.77</v>
      </c>
      <c r="N196">
        <v>31</v>
      </c>
      <c r="O196" t="str">
        <f>"Q"&amp;ROUNDUP(MONTH(Transactions[[#This Row],[Transaction Date]])/3,0)</f>
        <v>Q3</v>
      </c>
      <c r="P196">
        <f>YEAR(Transactions[[#This Row],[Transaction Date]])</f>
        <v>2024</v>
      </c>
      <c r="Q196" t="str">
        <f>IF(Transactions[[#This Row],[Sales Amount]]&lt;AVERAGE(Transactions[Sales Amount]),"Below Average","At/Above Average")</f>
        <v>At/Above Average</v>
      </c>
    </row>
    <row r="197" spans="4:17" x14ac:dyDescent="0.2">
      <c r="D197" t="s">
        <v>287</v>
      </c>
      <c r="E197" t="s">
        <v>87</v>
      </c>
      <c r="F197" t="s">
        <v>94</v>
      </c>
      <c r="G197">
        <v>187</v>
      </c>
      <c r="H197">
        <v>5</v>
      </c>
      <c r="I197">
        <v>49.28</v>
      </c>
      <c r="J197">
        <v>8</v>
      </c>
      <c r="K197" s="37">
        <v>44996</v>
      </c>
      <c r="L197" t="s">
        <v>89</v>
      </c>
      <c r="M197">
        <v>338.47</v>
      </c>
      <c r="N197">
        <v>2</v>
      </c>
      <c r="O197" t="str">
        <f>"Q"&amp;ROUNDUP(MONTH(Transactions[[#This Row],[Transaction Date]])/3,0)</f>
        <v>Q1</v>
      </c>
      <c r="P197">
        <f>YEAR(Transactions[[#This Row],[Transaction Date]])</f>
        <v>2023</v>
      </c>
      <c r="Q197" t="str">
        <f>IF(Transactions[[#This Row],[Sales Amount]]&lt;AVERAGE(Transactions[Sales Amount]),"Below Average","At/Above Average")</f>
        <v>At/Above Average</v>
      </c>
    </row>
    <row r="198" spans="4:17" x14ac:dyDescent="0.2">
      <c r="D198" t="s">
        <v>288</v>
      </c>
      <c r="E198" t="s">
        <v>77</v>
      </c>
      <c r="F198" t="s">
        <v>94</v>
      </c>
      <c r="G198">
        <v>243</v>
      </c>
      <c r="H198">
        <v>2</v>
      </c>
      <c r="I198">
        <v>54.27</v>
      </c>
      <c r="J198">
        <v>9</v>
      </c>
      <c r="K198" s="37">
        <v>45633</v>
      </c>
      <c r="L198" t="s">
        <v>102</v>
      </c>
      <c r="M198">
        <v>308.64</v>
      </c>
      <c r="N198">
        <v>23</v>
      </c>
      <c r="O198" t="str">
        <f>"Q"&amp;ROUNDUP(MONTH(Transactions[[#This Row],[Transaction Date]])/3,0)</f>
        <v>Q4</v>
      </c>
      <c r="P198">
        <f>YEAR(Transactions[[#This Row],[Transaction Date]])</f>
        <v>2024</v>
      </c>
      <c r="Q198" t="str">
        <f>IF(Transactions[[#This Row],[Sales Amount]]&lt;AVERAGE(Transactions[Sales Amount]),"Below Average","At/Above Average")</f>
        <v>At/Above Average</v>
      </c>
    </row>
    <row r="199" spans="4:17" x14ac:dyDescent="0.2">
      <c r="D199" t="s">
        <v>289</v>
      </c>
      <c r="E199" t="s">
        <v>78</v>
      </c>
      <c r="F199" t="s">
        <v>88</v>
      </c>
      <c r="G199">
        <v>112</v>
      </c>
      <c r="H199">
        <v>9</v>
      </c>
      <c r="I199">
        <v>49.08</v>
      </c>
      <c r="J199">
        <v>8</v>
      </c>
      <c r="K199" s="37">
        <v>44662</v>
      </c>
      <c r="L199" t="s">
        <v>124</v>
      </c>
      <c r="M199">
        <v>18.670000000000002</v>
      </c>
      <c r="N199">
        <v>27</v>
      </c>
      <c r="O199" t="str">
        <f>"Q"&amp;ROUNDUP(MONTH(Transactions[[#This Row],[Transaction Date]])/3,0)</f>
        <v>Q2</v>
      </c>
      <c r="P199">
        <f>YEAR(Transactions[[#This Row],[Transaction Date]])</f>
        <v>2022</v>
      </c>
      <c r="Q199" t="str">
        <f>IF(Transactions[[#This Row],[Sales Amount]]&lt;AVERAGE(Transactions[Sales Amount]),"Below Average","At/Above Average")</f>
        <v>Below Average</v>
      </c>
    </row>
    <row r="200" spans="4:17" x14ac:dyDescent="0.2">
      <c r="D200" t="s">
        <v>290</v>
      </c>
      <c r="E200" t="s">
        <v>77</v>
      </c>
      <c r="F200" t="s">
        <v>99</v>
      </c>
      <c r="G200">
        <v>149</v>
      </c>
      <c r="H200">
        <v>4</v>
      </c>
      <c r="I200">
        <v>57.07</v>
      </c>
      <c r="J200">
        <v>5</v>
      </c>
      <c r="K200" s="37">
        <v>44841</v>
      </c>
      <c r="L200" t="s">
        <v>109</v>
      </c>
      <c r="M200">
        <v>384.4</v>
      </c>
      <c r="N200">
        <v>1</v>
      </c>
      <c r="O200" t="str">
        <f>"Q"&amp;ROUNDUP(MONTH(Transactions[[#This Row],[Transaction Date]])/3,0)</f>
        <v>Q4</v>
      </c>
      <c r="P200">
        <f>YEAR(Transactions[[#This Row],[Transaction Date]])</f>
        <v>2022</v>
      </c>
      <c r="Q200" t="str">
        <f>IF(Transactions[[#This Row],[Sales Amount]]&lt;AVERAGE(Transactions[Sales Amount]),"Below Average","At/Above Average")</f>
        <v>At/Above Average</v>
      </c>
    </row>
    <row r="201" spans="4:17" x14ac:dyDescent="0.2">
      <c r="D201" t="s">
        <v>291</v>
      </c>
      <c r="E201" t="s">
        <v>76</v>
      </c>
      <c r="F201" t="s">
        <v>108</v>
      </c>
      <c r="G201">
        <v>127</v>
      </c>
      <c r="H201">
        <v>1</v>
      </c>
      <c r="I201">
        <v>57.39</v>
      </c>
      <c r="J201">
        <v>7</v>
      </c>
      <c r="K201" s="37">
        <v>45573</v>
      </c>
      <c r="L201" t="s">
        <v>102</v>
      </c>
      <c r="M201">
        <v>60</v>
      </c>
      <c r="N201">
        <v>17</v>
      </c>
      <c r="O201" t="str">
        <f>"Q"&amp;ROUNDUP(MONTH(Transactions[[#This Row],[Transaction Date]])/3,0)</f>
        <v>Q4</v>
      </c>
      <c r="P201">
        <f>YEAR(Transactions[[#This Row],[Transaction Date]])</f>
        <v>2024</v>
      </c>
      <c r="Q201" t="str">
        <f>IF(Transactions[[#This Row],[Sales Amount]]&lt;AVERAGE(Transactions[Sales Amount]),"Below Average","At/Above Average")</f>
        <v>Below Average</v>
      </c>
    </row>
    <row r="202" spans="4:17" x14ac:dyDescent="0.2">
      <c r="D202" t="s">
        <v>292</v>
      </c>
      <c r="E202" t="s">
        <v>74</v>
      </c>
      <c r="F202" t="s">
        <v>96</v>
      </c>
      <c r="G202">
        <v>161</v>
      </c>
      <c r="H202">
        <v>6</v>
      </c>
      <c r="I202">
        <v>58.97</v>
      </c>
      <c r="J202">
        <v>3</v>
      </c>
      <c r="K202" s="37">
        <v>45354</v>
      </c>
      <c r="L202" t="s">
        <v>102</v>
      </c>
      <c r="M202">
        <v>196.52</v>
      </c>
      <c r="N202">
        <v>38</v>
      </c>
      <c r="O202" t="str">
        <f>"Q"&amp;ROUNDUP(MONTH(Transactions[[#This Row],[Transaction Date]])/3,0)</f>
        <v>Q1</v>
      </c>
      <c r="P202">
        <f>YEAR(Transactions[[#This Row],[Transaction Date]])</f>
        <v>2024</v>
      </c>
      <c r="Q202" t="str">
        <f>IF(Transactions[[#This Row],[Sales Amount]]&lt;AVERAGE(Transactions[Sales Amount]),"Below Average","At/Above Average")</f>
        <v>Below Average</v>
      </c>
    </row>
    <row r="203" spans="4:17" x14ac:dyDescent="0.2">
      <c r="D203" t="s">
        <v>293</v>
      </c>
      <c r="E203" t="s">
        <v>74</v>
      </c>
      <c r="F203" t="s">
        <v>108</v>
      </c>
      <c r="G203">
        <v>212</v>
      </c>
      <c r="H203">
        <v>6</v>
      </c>
      <c r="I203">
        <v>56.28</v>
      </c>
      <c r="J203">
        <v>8</v>
      </c>
      <c r="K203" s="37">
        <v>45200</v>
      </c>
      <c r="L203" t="s">
        <v>109</v>
      </c>
      <c r="M203">
        <v>481.52</v>
      </c>
      <c r="N203">
        <v>31</v>
      </c>
      <c r="O203" t="str">
        <f>"Q"&amp;ROUNDUP(MONTH(Transactions[[#This Row],[Transaction Date]])/3,0)</f>
        <v>Q4</v>
      </c>
      <c r="P203">
        <f>YEAR(Transactions[[#This Row],[Transaction Date]])</f>
        <v>2023</v>
      </c>
      <c r="Q203" t="str">
        <f>IF(Transactions[[#This Row],[Sales Amount]]&lt;AVERAGE(Transactions[Sales Amount]),"Below Average","At/Above Average")</f>
        <v>At/Above Average</v>
      </c>
    </row>
    <row r="204" spans="4:17" x14ac:dyDescent="0.2">
      <c r="D204" t="s">
        <v>294</v>
      </c>
      <c r="E204" t="s">
        <v>77</v>
      </c>
      <c r="F204" t="s">
        <v>129</v>
      </c>
      <c r="G204">
        <v>143</v>
      </c>
      <c r="H204">
        <v>2</v>
      </c>
      <c r="I204">
        <v>54.91</v>
      </c>
      <c r="J204">
        <v>6</v>
      </c>
      <c r="K204" s="37">
        <v>45111</v>
      </c>
      <c r="L204" t="s">
        <v>92</v>
      </c>
      <c r="M204">
        <v>489.12</v>
      </c>
      <c r="N204">
        <v>33</v>
      </c>
      <c r="O204" t="str">
        <f>"Q"&amp;ROUNDUP(MONTH(Transactions[[#This Row],[Transaction Date]])/3,0)</f>
        <v>Q3</v>
      </c>
      <c r="P204">
        <f>YEAR(Transactions[[#This Row],[Transaction Date]])</f>
        <v>2023</v>
      </c>
      <c r="Q204" t="str">
        <f>IF(Transactions[[#This Row],[Sales Amount]]&lt;AVERAGE(Transactions[Sales Amount]),"Below Average","At/Above Average")</f>
        <v>At/Above Average</v>
      </c>
    </row>
    <row r="205" spans="4:17" x14ac:dyDescent="0.2">
      <c r="D205" t="s">
        <v>295</v>
      </c>
      <c r="E205" t="s">
        <v>74</v>
      </c>
      <c r="F205" t="s">
        <v>91</v>
      </c>
      <c r="G205">
        <v>124</v>
      </c>
      <c r="H205">
        <v>6</v>
      </c>
      <c r="I205">
        <v>57.94</v>
      </c>
      <c r="J205">
        <v>2</v>
      </c>
      <c r="K205" s="37">
        <v>44806</v>
      </c>
      <c r="L205" t="s">
        <v>102</v>
      </c>
      <c r="M205">
        <v>498.48</v>
      </c>
      <c r="N205">
        <v>37</v>
      </c>
      <c r="O205" t="str">
        <f>"Q"&amp;ROUNDUP(MONTH(Transactions[[#This Row],[Transaction Date]])/3,0)</f>
        <v>Q3</v>
      </c>
      <c r="P205">
        <f>YEAR(Transactions[[#This Row],[Transaction Date]])</f>
        <v>2022</v>
      </c>
      <c r="Q205" t="str">
        <f>IF(Transactions[[#This Row],[Sales Amount]]&lt;AVERAGE(Transactions[Sales Amount]),"Below Average","At/Above Average")</f>
        <v>At/Above Average</v>
      </c>
    </row>
    <row r="206" spans="4:17" x14ac:dyDescent="0.2">
      <c r="D206" t="s">
        <v>296</v>
      </c>
      <c r="E206" t="s">
        <v>87</v>
      </c>
      <c r="F206" t="s">
        <v>94</v>
      </c>
      <c r="G206">
        <v>248</v>
      </c>
      <c r="H206">
        <v>4</v>
      </c>
      <c r="I206">
        <v>45.84</v>
      </c>
      <c r="J206">
        <v>6</v>
      </c>
      <c r="K206" s="37">
        <v>44856</v>
      </c>
      <c r="L206" t="s">
        <v>92</v>
      </c>
      <c r="M206">
        <v>24.31</v>
      </c>
      <c r="N206">
        <v>21</v>
      </c>
      <c r="O206" t="str">
        <f>"Q"&amp;ROUNDUP(MONTH(Transactions[[#This Row],[Transaction Date]])/3,0)</f>
        <v>Q4</v>
      </c>
      <c r="P206">
        <f>YEAR(Transactions[[#This Row],[Transaction Date]])</f>
        <v>2022</v>
      </c>
      <c r="Q206" t="str">
        <f>IF(Transactions[[#This Row],[Sales Amount]]&lt;AVERAGE(Transactions[Sales Amount]),"Below Average","At/Above Average")</f>
        <v>Below Average</v>
      </c>
    </row>
    <row r="207" spans="4:17" x14ac:dyDescent="0.2">
      <c r="D207" t="s">
        <v>297</v>
      </c>
      <c r="E207" t="s">
        <v>77</v>
      </c>
      <c r="F207" t="s">
        <v>91</v>
      </c>
      <c r="G207">
        <v>213</v>
      </c>
      <c r="H207">
        <v>5</v>
      </c>
      <c r="I207">
        <v>53.3</v>
      </c>
      <c r="J207">
        <v>1</v>
      </c>
      <c r="K207" s="37">
        <v>45340</v>
      </c>
      <c r="L207" t="s">
        <v>89</v>
      </c>
      <c r="M207">
        <v>487.71</v>
      </c>
      <c r="N207">
        <v>12</v>
      </c>
      <c r="O207" t="str">
        <f>"Q"&amp;ROUNDUP(MONTH(Transactions[[#This Row],[Transaction Date]])/3,0)</f>
        <v>Q1</v>
      </c>
      <c r="P207">
        <f>YEAR(Transactions[[#This Row],[Transaction Date]])</f>
        <v>2024</v>
      </c>
      <c r="Q207" t="str">
        <f>IF(Transactions[[#This Row],[Sales Amount]]&lt;AVERAGE(Transactions[Sales Amount]),"Below Average","At/Above Average")</f>
        <v>At/Above Average</v>
      </c>
    </row>
    <row r="208" spans="4:17" x14ac:dyDescent="0.2">
      <c r="D208" t="s">
        <v>298</v>
      </c>
      <c r="E208" t="s">
        <v>78</v>
      </c>
      <c r="F208" t="s">
        <v>91</v>
      </c>
      <c r="G208">
        <v>124</v>
      </c>
      <c r="H208">
        <v>8</v>
      </c>
      <c r="I208">
        <v>59.72</v>
      </c>
      <c r="J208">
        <v>8</v>
      </c>
      <c r="K208" s="37">
        <v>45218</v>
      </c>
      <c r="L208" t="s">
        <v>124</v>
      </c>
      <c r="M208">
        <v>355.67</v>
      </c>
      <c r="N208">
        <v>9</v>
      </c>
      <c r="O208" t="str">
        <f>"Q"&amp;ROUNDUP(MONTH(Transactions[[#This Row],[Transaction Date]])/3,0)</f>
        <v>Q4</v>
      </c>
      <c r="P208">
        <f>YEAR(Transactions[[#This Row],[Transaction Date]])</f>
        <v>2023</v>
      </c>
      <c r="Q208" t="str">
        <f>IF(Transactions[[#This Row],[Sales Amount]]&lt;AVERAGE(Transactions[Sales Amount]),"Below Average","At/Above Average")</f>
        <v>At/Above Average</v>
      </c>
    </row>
    <row r="209" spans="4:17" x14ac:dyDescent="0.2">
      <c r="D209" t="s">
        <v>299</v>
      </c>
      <c r="E209" t="s">
        <v>74</v>
      </c>
      <c r="F209" t="s">
        <v>94</v>
      </c>
      <c r="G209">
        <v>228</v>
      </c>
      <c r="H209">
        <v>6</v>
      </c>
      <c r="I209">
        <v>51.33</v>
      </c>
      <c r="J209">
        <v>8</v>
      </c>
      <c r="K209" s="37">
        <v>44835</v>
      </c>
      <c r="L209" t="s">
        <v>92</v>
      </c>
      <c r="M209">
        <v>256.91000000000003</v>
      </c>
      <c r="N209">
        <v>42</v>
      </c>
      <c r="O209" t="str">
        <f>"Q"&amp;ROUNDUP(MONTH(Transactions[[#This Row],[Transaction Date]])/3,0)</f>
        <v>Q4</v>
      </c>
      <c r="P209">
        <f>YEAR(Transactions[[#This Row],[Transaction Date]])</f>
        <v>2022</v>
      </c>
      <c r="Q209" t="str">
        <f>IF(Transactions[[#This Row],[Sales Amount]]&lt;AVERAGE(Transactions[Sales Amount]),"Below Average","At/Above Average")</f>
        <v>Below Average</v>
      </c>
    </row>
    <row r="210" spans="4:17" x14ac:dyDescent="0.2">
      <c r="D210" t="s">
        <v>300</v>
      </c>
      <c r="E210" t="s">
        <v>76</v>
      </c>
      <c r="F210" t="s">
        <v>88</v>
      </c>
      <c r="G210">
        <v>171</v>
      </c>
      <c r="H210">
        <v>4</v>
      </c>
      <c r="I210">
        <v>47.9</v>
      </c>
      <c r="J210">
        <v>7</v>
      </c>
      <c r="K210" s="37">
        <v>45362</v>
      </c>
      <c r="L210" t="s">
        <v>92</v>
      </c>
      <c r="M210">
        <v>250.6</v>
      </c>
      <c r="N210">
        <v>1</v>
      </c>
      <c r="O210" t="str">
        <f>"Q"&amp;ROUNDUP(MONTH(Transactions[[#This Row],[Transaction Date]])/3,0)</f>
        <v>Q1</v>
      </c>
      <c r="P210">
        <f>YEAR(Transactions[[#This Row],[Transaction Date]])</f>
        <v>2024</v>
      </c>
      <c r="Q210" t="str">
        <f>IF(Transactions[[#This Row],[Sales Amount]]&lt;AVERAGE(Transactions[Sales Amount]),"Below Average","At/Above Average")</f>
        <v>Below Average</v>
      </c>
    </row>
    <row r="211" spans="4:17" x14ac:dyDescent="0.2">
      <c r="D211" t="s">
        <v>301</v>
      </c>
      <c r="E211" t="s">
        <v>76</v>
      </c>
      <c r="F211" t="s">
        <v>96</v>
      </c>
      <c r="G211">
        <v>108</v>
      </c>
      <c r="H211">
        <v>6</v>
      </c>
      <c r="I211">
        <v>53.77</v>
      </c>
      <c r="J211">
        <v>3</v>
      </c>
      <c r="K211" s="37">
        <v>45234</v>
      </c>
      <c r="L211" t="s">
        <v>97</v>
      </c>
      <c r="M211">
        <v>361.9</v>
      </c>
      <c r="N211">
        <v>45</v>
      </c>
      <c r="O211" t="str">
        <f>"Q"&amp;ROUNDUP(MONTH(Transactions[[#This Row],[Transaction Date]])/3,0)</f>
        <v>Q4</v>
      </c>
      <c r="P211">
        <f>YEAR(Transactions[[#This Row],[Transaction Date]])</f>
        <v>2023</v>
      </c>
      <c r="Q211" t="str">
        <f>IF(Transactions[[#This Row],[Sales Amount]]&lt;AVERAGE(Transactions[Sales Amount]),"Below Average","At/Above Average")</f>
        <v>At/Above Average</v>
      </c>
    </row>
    <row r="212" spans="4:17" x14ac:dyDescent="0.2">
      <c r="D212" t="s">
        <v>302</v>
      </c>
      <c r="E212" t="s">
        <v>74</v>
      </c>
      <c r="F212" t="s">
        <v>108</v>
      </c>
      <c r="G212">
        <v>236</v>
      </c>
      <c r="H212">
        <v>3</v>
      </c>
      <c r="I212">
        <v>53.03</v>
      </c>
      <c r="J212">
        <v>7</v>
      </c>
      <c r="K212" s="37">
        <v>45476</v>
      </c>
      <c r="L212" t="s">
        <v>89</v>
      </c>
      <c r="M212">
        <v>272.08</v>
      </c>
      <c r="N212">
        <v>4</v>
      </c>
      <c r="O212" t="str">
        <f>"Q"&amp;ROUNDUP(MONTH(Transactions[[#This Row],[Transaction Date]])/3,0)</f>
        <v>Q3</v>
      </c>
      <c r="P212">
        <f>YEAR(Transactions[[#This Row],[Transaction Date]])</f>
        <v>2024</v>
      </c>
      <c r="Q212" t="str">
        <f>IF(Transactions[[#This Row],[Sales Amount]]&lt;AVERAGE(Transactions[Sales Amount]),"Below Average","At/Above Average")</f>
        <v>At/Above Average</v>
      </c>
    </row>
    <row r="213" spans="4:17" x14ac:dyDescent="0.2">
      <c r="D213" t="s">
        <v>303</v>
      </c>
      <c r="E213" t="s">
        <v>87</v>
      </c>
      <c r="F213" t="s">
        <v>96</v>
      </c>
      <c r="G213">
        <v>153</v>
      </c>
      <c r="H213">
        <v>7</v>
      </c>
      <c r="I213">
        <v>53.29</v>
      </c>
      <c r="J213">
        <v>9</v>
      </c>
      <c r="K213" s="37">
        <v>45610</v>
      </c>
      <c r="L213" t="s">
        <v>102</v>
      </c>
      <c r="M213">
        <v>358.82</v>
      </c>
      <c r="N213">
        <v>9</v>
      </c>
      <c r="O213" t="str">
        <f>"Q"&amp;ROUNDUP(MONTH(Transactions[[#This Row],[Transaction Date]])/3,0)</f>
        <v>Q4</v>
      </c>
      <c r="P213">
        <f>YEAR(Transactions[[#This Row],[Transaction Date]])</f>
        <v>2024</v>
      </c>
      <c r="Q213" t="str">
        <f>IF(Transactions[[#This Row],[Sales Amount]]&lt;AVERAGE(Transactions[Sales Amount]),"Below Average","At/Above Average")</f>
        <v>At/Above Average</v>
      </c>
    </row>
    <row r="214" spans="4:17" x14ac:dyDescent="0.2">
      <c r="D214" t="s">
        <v>304</v>
      </c>
      <c r="E214" t="s">
        <v>87</v>
      </c>
      <c r="F214" t="s">
        <v>91</v>
      </c>
      <c r="G214">
        <v>287</v>
      </c>
      <c r="H214">
        <v>6</v>
      </c>
      <c r="I214">
        <v>59.27</v>
      </c>
      <c r="J214">
        <v>6</v>
      </c>
      <c r="K214" s="37">
        <v>45097</v>
      </c>
      <c r="L214" t="s">
        <v>102</v>
      </c>
      <c r="M214">
        <v>485.22</v>
      </c>
      <c r="N214">
        <v>10</v>
      </c>
      <c r="O214" t="str">
        <f>"Q"&amp;ROUNDUP(MONTH(Transactions[[#This Row],[Transaction Date]])/3,0)</f>
        <v>Q2</v>
      </c>
      <c r="P214">
        <f>YEAR(Transactions[[#This Row],[Transaction Date]])</f>
        <v>2023</v>
      </c>
      <c r="Q214" t="str">
        <f>IF(Transactions[[#This Row],[Sales Amount]]&lt;AVERAGE(Transactions[Sales Amount]),"Below Average","At/Above Average")</f>
        <v>At/Above Average</v>
      </c>
    </row>
    <row r="215" spans="4:17" x14ac:dyDescent="0.2">
      <c r="D215" t="s">
        <v>305</v>
      </c>
      <c r="E215" t="s">
        <v>76</v>
      </c>
      <c r="F215" t="s">
        <v>96</v>
      </c>
      <c r="G215">
        <v>100</v>
      </c>
      <c r="H215">
        <v>7</v>
      </c>
      <c r="I215">
        <v>53.34</v>
      </c>
      <c r="J215">
        <v>2</v>
      </c>
      <c r="K215" s="37">
        <v>44702</v>
      </c>
      <c r="L215" t="s">
        <v>109</v>
      </c>
      <c r="M215">
        <v>29.14</v>
      </c>
      <c r="N215">
        <v>46</v>
      </c>
      <c r="O215" t="str">
        <f>"Q"&amp;ROUNDUP(MONTH(Transactions[[#This Row],[Transaction Date]])/3,0)</f>
        <v>Q2</v>
      </c>
      <c r="P215">
        <f>YEAR(Transactions[[#This Row],[Transaction Date]])</f>
        <v>2022</v>
      </c>
      <c r="Q215" t="str">
        <f>IF(Transactions[[#This Row],[Sales Amount]]&lt;AVERAGE(Transactions[Sales Amount]),"Below Average","At/Above Average")</f>
        <v>Below Average</v>
      </c>
    </row>
    <row r="216" spans="4:17" x14ac:dyDescent="0.2">
      <c r="D216" t="s">
        <v>306</v>
      </c>
      <c r="E216" t="s">
        <v>74</v>
      </c>
      <c r="F216" t="s">
        <v>108</v>
      </c>
      <c r="G216">
        <v>106</v>
      </c>
      <c r="H216">
        <v>6</v>
      </c>
      <c r="I216">
        <v>55.3</v>
      </c>
      <c r="J216">
        <v>7</v>
      </c>
      <c r="K216" s="37">
        <v>45191</v>
      </c>
      <c r="L216" t="s">
        <v>89</v>
      </c>
      <c r="M216">
        <v>240.86</v>
      </c>
      <c r="N216">
        <v>11</v>
      </c>
      <c r="O216" t="str">
        <f>"Q"&amp;ROUNDUP(MONTH(Transactions[[#This Row],[Transaction Date]])/3,0)</f>
        <v>Q3</v>
      </c>
      <c r="P216">
        <f>YEAR(Transactions[[#This Row],[Transaction Date]])</f>
        <v>2023</v>
      </c>
      <c r="Q216" t="str">
        <f>IF(Transactions[[#This Row],[Sales Amount]]&lt;AVERAGE(Transactions[Sales Amount]),"Below Average","At/Above Average")</f>
        <v>Below Average</v>
      </c>
    </row>
    <row r="217" spans="4:17" x14ac:dyDescent="0.2">
      <c r="D217" t="s">
        <v>307</v>
      </c>
      <c r="E217" t="s">
        <v>77</v>
      </c>
      <c r="F217" t="s">
        <v>129</v>
      </c>
      <c r="G217">
        <v>261</v>
      </c>
      <c r="H217">
        <v>10</v>
      </c>
      <c r="I217">
        <v>48.17</v>
      </c>
      <c r="J217">
        <v>9</v>
      </c>
      <c r="K217" s="37">
        <v>44610</v>
      </c>
      <c r="L217" t="s">
        <v>102</v>
      </c>
      <c r="M217">
        <v>406.56</v>
      </c>
      <c r="N217">
        <v>44</v>
      </c>
      <c r="O217" t="str">
        <f>"Q"&amp;ROUNDUP(MONTH(Transactions[[#This Row],[Transaction Date]])/3,0)</f>
        <v>Q1</v>
      </c>
      <c r="P217">
        <f>YEAR(Transactions[[#This Row],[Transaction Date]])</f>
        <v>2022</v>
      </c>
      <c r="Q217" t="str">
        <f>IF(Transactions[[#This Row],[Sales Amount]]&lt;AVERAGE(Transactions[Sales Amount]),"Below Average","At/Above Average")</f>
        <v>At/Above Average</v>
      </c>
    </row>
    <row r="218" spans="4:17" x14ac:dyDescent="0.2">
      <c r="D218" t="s">
        <v>308</v>
      </c>
      <c r="E218" t="s">
        <v>77</v>
      </c>
      <c r="F218" t="s">
        <v>94</v>
      </c>
      <c r="G218">
        <v>195</v>
      </c>
      <c r="H218">
        <v>4</v>
      </c>
      <c r="I218">
        <v>50.34</v>
      </c>
      <c r="J218">
        <v>2</v>
      </c>
      <c r="K218" s="37">
        <v>44810</v>
      </c>
      <c r="L218" t="s">
        <v>109</v>
      </c>
      <c r="M218">
        <v>220.67</v>
      </c>
      <c r="N218">
        <v>44</v>
      </c>
      <c r="O218" t="str">
        <f>"Q"&amp;ROUNDUP(MONTH(Transactions[[#This Row],[Transaction Date]])/3,0)</f>
        <v>Q3</v>
      </c>
      <c r="P218">
        <f>YEAR(Transactions[[#This Row],[Transaction Date]])</f>
        <v>2022</v>
      </c>
      <c r="Q218" t="str">
        <f>IF(Transactions[[#This Row],[Sales Amount]]&lt;AVERAGE(Transactions[Sales Amount]),"Below Average","At/Above Average")</f>
        <v>Below Average</v>
      </c>
    </row>
    <row r="219" spans="4:17" x14ac:dyDescent="0.2">
      <c r="D219" t="s">
        <v>309</v>
      </c>
      <c r="E219" t="s">
        <v>87</v>
      </c>
      <c r="F219" t="s">
        <v>94</v>
      </c>
      <c r="G219">
        <v>266</v>
      </c>
      <c r="H219">
        <v>7</v>
      </c>
      <c r="I219">
        <v>52.66</v>
      </c>
      <c r="J219">
        <v>4</v>
      </c>
      <c r="K219" s="37">
        <v>44582</v>
      </c>
      <c r="L219" t="s">
        <v>97</v>
      </c>
      <c r="M219">
        <v>170.74</v>
      </c>
      <c r="N219">
        <v>8</v>
      </c>
      <c r="O219" t="str">
        <f>"Q"&amp;ROUNDUP(MONTH(Transactions[[#This Row],[Transaction Date]])/3,0)</f>
        <v>Q1</v>
      </c>
      <c r="P219">
        <f>YEAR(Transactions[[#This Row],[Transaction Date]])</f>
        <v>2022</v>
      </c>
      <c r="Q219" t="str">
        <f>IF(Transactions[[#This Row],[Sales Amount]]&lt;AVERAGE(Transactions[Sales Amount]),"Below Average","At/Above Average")</f>
        <v>Below Average</v>
      </c>
    </row>
    <row r="220" spans="4:17" x14ac:dyDescent="0.2">
      <c r="D220" t="s">
        <v>310</v>
      </c>
      <c r="E220" t="s">
        <v>87</v>
      </c>
      <c r="F220" t="s">
        <v>96</v>
      </c>
      <c r="G220">
        <v>108</v>
      </c>
      <c r="H220">
        <v>10</v>
      </c>
      <c r="I220">
        <v>53.2</v>
      </c>
      <c r="J220">
        <v>3</v>
      </c>
      <c r="K220" s="37">
        <v>45209</v>
      </c>
      <c r="L220" t="s">
        <v>102</v>
      </c>
      <c r="M220">
        <v>142.24</v>
      </c>
      <c r="N220">
        <v>35</v>
      </c>
      <c r="O220" t="str">
        <f>"Q"&amp;ROUNDUP(MONTH(Transactions[[#This Row],[Transaction Date]])/3,0)</f>
        <v>Q4</v>
      </c>
      <c r="P220">
        <f>YEAR(Transactions[[#This Row],[Transaction Date]])</f>
        <v>2023</v>
      </c>
      <c r="Q220" t="str">
        <f>IF(Transactions[[#This Row],[Sales Amount]]&lt;AVERAGE(Transactions[Sales Amount]),"Below Average","At/Above Average")</f>
        <v>Below Average</v>
      </c>
    </row>
    <row r="221" spans="4:17" x14ac:dyDescent="0.2">
      <c r="D221" t="s">
        <v>311</v>
      </c>
      <c r="E221" t="s">
        <v>75</v>
      </c>
      <c r="F221" t="s">
        <v>88</v>
      </c>
      <c r="G221">
        <v>205</v>
      </c>
      <c r="H221">
        <v>7</v>
      </c>
      <c r="I221">
        <v>55.09</v>
      </c>
      <c r="J221">
        <v>1</v>
      </c>
      <c r="K221" s="37">
        <v>45257</v>
      </c>
      <c r="L221" t="s">
        <v>92</v>
      </c>
      <c r="M221">
        <v>494.9</v>
      </c>
      <c r="N221">
        <v>47</v>
      </c>
      <c r="O221" t="str">
        <f>"Q"&amp;ROUNDUP(MONTH(Transactions[[#This Row],[Transaction Date]])/3,0)</f>
        <v>Q4</v>
      </c>
      <c r="P221">
        <f>YEAR(Transactions[[#This Row],[Transaction Date]])</f>
        <v>2023</v>
      </c>
      <c r="Q221" t="str">
        <f>IF(Transactions[[#This Row],[Sales Amount]]&lt;AVERAGE(Transactions[Sales Amount]),"Below Average","At/Above Average")</f>
        <v>At/Above Average</v>
      </c>
    </row>
    <row r="222" spans="4:17" x14ac:dyDescent="0.2">
      <c r="D222" t="s">
        <v>312</v>
      </c>
      <c r="E222" t="s">
        <v>76</v>
      </c>
      <c r="F222" t="s">
        <v>99</v>
      </c>
      <c r="G222">
        <v>259</v>
      </c>
      <c r="H222">
        <v>9</v>
      </c>
      <c r="I222">
        <v>57.39</v>
      </c>
      <c r="J222">
        <v>2</v>
      </c>
      <c r="K222" s="37">
        <v>44648</v>
      </c>
      <c r="L222" t="s">
        <v>97</v>
      </c>
      <c r="M222">
        <v>69.510000000000005</v>
      </c>
      <c r="N222">
        <v>8</v>
      </c>
      <c r="O222" t="str">
        <f>"Q"&amp;ROUNDUP(MONTH(Transactions[[#This Row],[Transaction Date]])/3,0)</f>
        <v>Q1</v>
      </c>
      <c r="P222">
        <f>YEAR(Transactions[[#This Row],[Transaction Date]])</f>
        <v>2022</v>
      </c>
      <c r="Q222" t="str">
        <f>IF(Transactions[[#This Row],[Sales Amount]]&lt;AVERAGE(Transactions[Sales Amount]),"Below Average","At/Above Average")</f>
        <v>Below Average</v>
      </c>
    </row>
    <row r="223" spans="4:17" x14ac:dyDescent="0.2">
      <c r="D223" t="s">
        <v>313</v>
      </c>
      <c r="E223" t="s">
        <v>74</v>
      </c>
      <c r="F223" t="s">
        <v>96</v>
      </c>
      <c r="G223">
        <v>282</v>
      </c>
      <c r="H223">
        <v>6</v>
      </c>
      <c r="I223">
        <v>58.66</v>
      </c>
      <c r="J223">
        <v>5</v>
      </c>
      <c r="K223" s="37">
        <v>44908</v>
      </c>
      <c r="L223" t="s">
        <v>124</v>
      </c>
      <c r="M223">
        <v>122.56</v>
      </c>
      <c r="N223">
        <v>37</v>
      </c>
      <c r="O223" t="str">
        <f>"Q"&amp;ROUNDUP(MONTH(Transactions[[#This Row],[Transaction Date]])/3,0)</f>
        <v>Q4</v>
      </c>
      <c r="P223">
        <f>YEAR(Transactions[[#This Row],[Transaction Date]])</f>
        <v>2022</v>
      </c>
      <c r="Q223" t="str">
        <f>IF(Transactions[[#This Row],[Sales Amount]]&lt;AVERAGE(Transactions[Sales Amount]),"Below Average","At/Above Average")</f>
        <v>Below Average</v>
      </c>
    </row>
    <row r="224" spans="4:17" x14ac:dyDescent="0.2">
      <c r="D224" t="s">
        <v>314</v>
      </c>
      <c r="E224" t="s">
        <v>76</v>
      </c>
      <c r="F224" t="s">
        <v>96</v>
      </c>
      <c r="G224">
        <v>135</v>
      </c>
      <c r="H224">
        <v>4</v>
      </c>
      <c r="I224">
        <v>54.75</v>
      </c>
      <c r="J224">
        <v>6</v>
      </c>
      <c r="K224" s="37">
        <v>44775</v>
      </c>
      <c r="L224" t="s">
        <v>109</v>
      </c>
      <c r="M224">
        <v>356.14</v>
      </c>
      <c r="N224">
        <v>48</v>
      </c>
      <c r="O224" t="str">
        <f>"Q"&amp;ROUNDUP(MONTH(Transactions[[#This Row],[Transaction Date]])/3,0)</f>
        <v>Q3</v>
      </c>
      <c r="P224">
        <f>YEAR(Transactions[[#This Row],[Transaction Date]])</f>
        <v>2022</v>
      </c>
      <c r="Q224" t="str">
        <f>IF(Transactions[[#This Row],[Sales Amount]]&lt;AVERAGE(Transactions[Sales Amount]),"Below Average","At/Above Average")</f>
        <v>At/Above Average</v>
      </c>
    </row>
    <row r="225" spans="4:17" x14ac:dyDescent="0.2">
      <c r="D225" t="s">
        <v>315</v>
      </c>
      <c r="E225" t="s">
        <v>87</v>
      </c>
      <c r="F225" t="s">
        <v>99</v>
      </c>
      <c r="G225">
        <v>294</v>
      </c>
      <c r="H225">
        <v>5</v>
      </c>
      <c r="I225">
        <v>47.05</v>
      </c>
      <c r="J225">
        <v>5</v>
      </c>
      <c r="K225" s="37">
        <v>44833</v>
      </c>
      <c r="L225" t="s">
        <v>124</v>
      </c>
      <c r="M225">
        <v>90.78</v>
      </c>
      <c r="N225">
        <v>39</v>
      </c>
      <c r="O225" t="str">
        <f>"Q"&amp;ROUNDUP(MONTH(Transactions[[#This Row],[Transaction Date]])/3,0)</f>
        <v>Q3</v>
      </c>
      <c r="P225">
        <f>YEAR(Transactions[[#This Row],[Transaction Date]])</f>
        <v>2022</v>
      </c>
      <c r="Q225" t="str">
        <f>IF(Transactions[[#This Row],[Sales Amount]]&lt;AVERAGE(Transactions[Sales Amount]),"Below Average","At/Above Average")</f>
        <v>Below Average</v>
      </c>
    </row>
    <row r="226" spans="4:17" x14ac:dyDescent="0.2">
      <c r="D226" t="s">
        <v>316</v>
      </c>
      <c r="E226" t="s">
        <v>74</v>
      </c>
      <c r="F226" t="s">
        <v>105</v>
      </c>
      <c r="G226">
        <v>180</v>
      </c>
      <c r="H226">
        <v>1</v>
      </c>
      <c r="I226">
        <v>45.92</v>
      </c>
      <c r="J226">
        <v>5</v>
      </c>
      <c r="K226" s="37">
        <v>45197</v>
      </c>
      <c r="L226" t="s">
        <v>97</v>
      </c>
      <c r="M226">
        <v>177.52</v>
      </c>
      <c r="N226">
        <v>10</v>
      </c>
      <c r="O226" t="str">
        <f>"Q"&amp;ROUNDUP(MONTH(Transactions[[#This Row],[Transaction Date]])/3,0)</f>
        <v>Q3</v>
      </c>
      <c r="P226">
        <f>YEAR(Transactions[[#This Row],[Transaction Date]])</f>
        <v>2023</v>
      </c>
      <c r="Q226" t="str">
        <f>IF(Transactions[[#This Row],[Sales Amount]]&lt;AVERAGE(Transactions[Sales Amount]),"Below Average","At/Above Average")</f>
        <v>Below Average</v>
      </c>
    </row>
    <row r="227" spans="4:17" x14ac:dyDescent="0.2">
      <c r="D227" t="s">
        <v>317</v>
      </c>
      <c r="E227" t="s">
        <v>87</v>
      </c>
      <c r="F227" t="s">
        <v>88</v>
      </c>
      <c r="G227">
        <v>287</v>
      </c>
      <c r="H227">
        <v>2</v>
      </c>
      <c r="I227">
        <v>59.86</v>
      </c>
      <c r="J227">
        <v>7</v>
      </c>
      <c r="K227" s="37">
        <v>44775</v>
      </c>
      <c r="L227" t="s">
        <v>89</v>
      </c>
      <c r="M227">
        <v>431.12</v>
      </c>
      <c r="N227">
        <v>40</v>
      </c>
      <c r="O227" t="str">
        <f>"Q"&amp;ROUNDUP(MONTH(Transactions[[#This Row],[Transaction Date]])/3,0)</f>
        <v>Q3</v>
      </c>
      <c r="P227">
        <f>YEAR(Transactions[[#This Row],[Transaction Date]])</f>
        <v>2022</v>
      </c>
      <c r="Q227" t="str">
        <f>IF(Transactions[[#This Row],[Sales Amount]]&lt;AVERAGE(Transactions[Sales Amount]),"Below Average","At/Above Average")</f>
        <v>At/Above Average</v>
      </c>
    </row>
    <row r="228" spans="4:17" x14ac:dyDescent="0.2">
      <c r="D228" t="s">
        <v>318</v>
      </c>
      <c r="E228" t="s">
        <v>77</v>
      </c>
      <c r="F228" t="s">
        <v>94</v>
      </c>
      <c r="G228">
        <v>189</v>
      </c>
      <c r="H228">
        <v>5</v>
      </c>
      <c r="I228">
        <v>45.43</v>
      </c>
      <c r="J228">
        <v>7</v>
      </c>
      <c r="K228" s="37">
        <v>45536</v>
      </c>
      <c r="L228" t="s">
        <v>102</v>
      </c>
      <c r="M228">
        <v>312</v>
      </c>
      <c r="N228">
        <v>1</v>
      </c>
      <c r="O228" t="str">
        <f>"Q"&amp;ROUNDUP(MONTH(Transactions[[#This Row],[Transaction Date]])/3,0)</f>
        <v>Q3</v>
      </c>
      <c r="P228">
        <f>YEAR(Transactions[[#This Row],[Transaction Date]])</f>
        <v>2024</v>
      </c>
      <c r="Q228" t="str">
        <f>IF(Transactions[[#This Row],[Sales Amount]]&lt;AVERAGE(Transactions[Sales Amount]),"Below Average","At/Above Average")</f>
        <v>At/Above Average</v>
      </c>
    </row>
    <row r="229" spans="4:17" x14ac:dyDescent="0.2">
      <c r="D229" t="s">
        <v>319</v>
      </c>
      <c r="E229" t="s">
        <v>76</v>
      </c>
      <c r="F229" t="s">
        <v>129</v>
      </c>
      <c r="G229">
        <v>224</v>
      </c>
      <c r="H229">
        <v>2</v>
      </c>
      <c r="I229">
        <v>46.38</v>
      </c>
      <c r="J229">
        <v>3</v>
      </c>
      <c r="K229" s="37">
        <v>44784</v>
      </c>
      <c r="L229" t="s">
        <v>89</v>
      </c>
      <c r="M229">
        <v>332.76</v>
      </c>
      <c r="N229">
        <v>6</v>
      </c>
      <c r="O229" t="str">
        <f>"Q"&amp;ROUNDUP(MONTH(Transactions[[#This Row],[Transaction Date]])/3,0)</f>
        <v>Q3</v>
      </c>
      <c r="P229">
        <f>YEAR(Transactions[[#This Row],[Transaction Date]])</f>
        <v>2022</v>
      </c>
      <c r="Q229" t="str">
        <f>IF(Transactions[[#This Row],[Sales Amount]]&lt;AVERAGE(Transactions[Sales Amount]),"Below Average","At/Above Average")</f>
        <v>At/Above Average</v>
      </c>
    </row>
    <row r="230" spans="4:17" x14ac:dyDescent="0.2">
      <c r="D230" t="s">
        <v>320</v>
      </c>
      <c r="E230" t="s">
        <v>76</v>
      </c>
      <c r="F230" t="s">
        <v>99</v>
      </c>
      <c r="G230">
        <v>209</v>
      </c>
      <c r="H230">
        <v>8</v>
      </c>
      <c r="I230">
        <v>55.97</v>
      </c>
      <c r="J230">
        <v>4</v>
      </c>
      <c r="K230" s="37">
        <v>44664</v>
      </c>
      <c r="L230" t="s">
        <v>109</v>
      </c>
      <c r="M230">
        <v>278.13</v>
      </c>
      <c r="N230">
        <v>6</v>
      </c>
      <c r="O230" t="str">
        <f>"Q"&amp;ROUNDUP(MONTH(Transactions[[#This Row],[Transaction Date]])/3,0)</f>
        <v>Q2</v>
      </c>
      <c r="P230">
        <f>YEAR(Transactions[[#This Row],[Transaction Date]])</f>
        <v>2022</v>
      </c>
      <c r="Q230" t="str">
        <f>IF(Transactions[[#This Row],[Sales Amount]]&lt;AVERAGE(Transactions[Sales Amount]),"Below Average","At/Above Average")</f>
        <v>At/Above Average</v>
      </c>
    </row>
    <row r="231" spans="4:17" x14ac:dyDescent="0.2">
      <c r="D231" t="s">
        <v>321</v>
      </c>
      <c r="E231" t="s">
        <v>75</v>
      </c>
      <c r="F231" t="s">
        <v>96</v>
      </c>
      <c r="G231">
        <v>141</v>
      </c>
      <c r="H231">
        <v>4</v>
      </c>
      <c r="I231">
        <v>49.49</v>
      </c>
      <c r="J231">
        <v>2</v>
      </c>
      <c r="K231" s="37">
        <v>44573</v>
      </c>
      <c r="L231" t="s">
        <v>89</v>
      </c>
      <c r="M231">
        <v>243.06</v>
      </c>
      <c r="N231">
        <v>38</v>
      </c>
      <c r="O231" t="str">
        <f>"Q"&amp;ROUNDUP(MONTH(Transactions[[#This Row],[Transaction Date]])/3,0)</f>
        <v>Q1</v>
      </c>
      <c r="P231">
        <f>YEAR(Transactions[[#This Row],[Transaction Date]])</f>
        <v>2022</v>
      </c>
      <c r="Q231" t="str">
        <f>IF(Transactions[[#This Row],[Sales Amount]]&lt;AVERAGE(Transactions[Sales Amount]),"Below Average","At/Above Average")</f>
        <v>Below Average</v>
      </c>
    </row>
    <row r="232" spans="4:17" x14ac:dyDescent="0.2">
      <c r="D232" t="s">
        <v>322</v>
      </c>
      <c r="E232" t="s">
        <v>75</v>
      </c>
      <c r="F232" t="s">
        <v>94</v>
      </c>
      <c r="G232">
        <v>243</v>
      </c>
      <c r="H232">
        <v>10</v>
      </c>
      <c r="I232">
        <v>50.06</v>
      </c>
      <c r="J232">
        <v>5</v>
      </c>
      <c r="K232" s="37">
        <v>45104</v>
      </c>
      <c r="L232" t="s">
        <v>89</v>
      </c>
      <c r="M232">
        <v>484.76</v>
      </c>
      <c r="N232">
        <v>24</v>
      </c>
      <c r="O232" t="str">
        <f>"Q"&amp;ROUNDUP(MONTH(Transactions[[#This Row],[Transaction Date]])/3,0)</f>
        <v>Q2</v>
      </c>
      <c r="P232">
        <f>YEAR(Transactions[[#This Row],[Transaction Date]])</f>
        <v>2023</v>
      </c>
      <c r="Q232" t="str">
        <f>IF(Transactions[[#This Row],[Sales Amount]]&lt;AVERAGE(Transactions[Sales Amount]),"Below Average","At/Above Average")</f>
        <v>At/Above Average</v>
      </c>
    </row>
    <row r="233" spans="4:17" x14ac:dyDescent="0.2">
      <c r="D233" t="s">
        <v>323</v>
      </c>
      <c r="E233" t="s">
        <v>78</v>
      </c>
      <c r="F233" t="s">
        <v>129</v>
      </c>
      <c r="G233">
        <v>181</v>
      </c>
      <c r="H233">
        <v>7</v>
      </c>
      <c r="I233">
        <v>52.99</v>
      </c>
      <c r="J233">
        <v>6</v>
      </c>
      <c r="K233" s="37">
        <v>45306</v>
      </c>
      <c r="L233" t="s">
        <v>92</v>
      </c>
      <c r="M233">
        <v>384.26</v>
      </c>
      <c r="N233">
        <v>29</v>
      </c>
      <c r="O233" t="str">
        <f>"Q"&amp;ROUNDUP(MONTH(Transactions[[#This Row],[Transaction Date]])/3,0)</f>
        <v>Q1</v>
      </c>
      <c r="P233">
        <f>YEAR(Transactions[[#This Row],[Transaction Date]])</f>
        <v>2024</v>
      </c>
      <c r="Q233" t="str">
        <f>IF(Transactions[[#This Row],[Sales Amount]]&lt;AVERAGE(Transactions[Sales Amount]),"Below Average","At/Above Average")</f>
        <v>At/Above Average</v>
      </c>
    </row>
    <row r="234" spans="4:17" x14ac:dyDescent="0.2">
      <c r="D234" t="s">
        <v>324</v>
      </c>
      <c r="E234" t="s">
        <v>75</v>
      </c>
      <c r="F234" t="s">
        <v>94</v>
      </c>
      <c r="G234">
        <v>268</v>
      </c>
      <c r="H234">
        <v>8</v>
      </c>
      <c r="I234">
        <v>50.66</v>
      </c>
      <c r="J234">
        <v>9</v>
      </c>
      <c r="K234" s="37">
        <v>45384</v>
      </c>
      <c r="L234" t="s">
        <v>89</v>
      </c>
      <c r="M234">
        <v>310.05</v>
      </c>
      <c r="N234">
        <v>36</v>
      </c>
      <c r="O234" t="str">
        <f>"Q"&amp;ROUNDUP(MONTH(Transactions[[#This Row],[Transaction Date]])/3,0)</f>
        <v>Q2</v>
      </c>
      <c r="P234">
        <f>YEAR(Transactions[[#This Row],[Transaction Date]])</f>
        <v>2024</v>
      </c>
      <c r="Q234" t="str">
        <f>IF(Transactions[[#This Row],[Sales Amount]]&lt;AVERAGE(Transactions[Sales Amount]),"Below Average","At/Above Average")</f>
        <v>At/Above Average</v>
      </c>
    </row>
    <row r="235" spans="4:17" x14ac:dyDescent="0.2">
      <c r="D235" t="s">
        <v>325</v>
      </c>
      <c r="E235" t="s">
        <v>76</v>
      </c>
      <c r="F235" t="s">
        <v>96</v>
      </c>
      <c r="G235">
        <v>276</v>
      </c>
      <c r="H235">
        <v>3</v>
      </c>
      <c r="I235">
        <v>49.22</v>
      </c>
      <c r="J235">
        <v>4</v>
      </c>
      <c r="K235" s="37">
        <v>44763</v>
      </c>
      <c r="L235" t="s">
        <v>124</v>
      </c>
      <c r="M235">
        <v>474.87</v>
      </c>
      <c r="N235">
        <v>25</v>
      </c>
      <c r="O235" t="str">
        <f>"Q"&amp;ROUNDUP(MONTH(Transactions[[#This Row],[Transaction Date]])/3,0)</f>
        <v>Q3</v>
      </c>
      <c r="P235">
        <f>YEAR(Transactions[[#This Row],[Transaction Date]])</f>
        <v>2022</v>
      </c>
      <c r="Q235" t="str">
        <f>IF(Transactions[[#This Row],[Sales Amount]]&lt;AVERAGE(Transactions[Sales Amount]),"Below Average","At/Above Average")</f>
        <v>At/Above Average</v>
      </c>
    </row>
    <row r="236" spans="4:17" x14ac:dyDescent="0.2">
      <c r="D236" t="s">
        <v>326</v>
      </c>
      <c r="E236" t="s">
        <v>87</v>
      </c>
      <c r="F236" t="s">
        <v>99</v>
      </c>
      <c r="G236">
        <v>135</v>
      </c>
      <c r="H236">
        <v>1</v>
      </c>
      <c r="I236">
        <v>57.59</v>
      </c>
      <c r="J236">
        <v>10</v>
      </c>
      <c r="K236" s="37">
        <v>44737</v>
      </c>
      <c r="L236" t="s">
        <v>92</v>
      </c>
      <c r="M236">
        <v>265.83999999999997</v>
      </c>
      <c r="N236">
        <v>41</v>
      </c>
      <c r="O236" t="str">
        <f>"Q"&amp;ROUNDUP(MONTH(Transactions[[#This Row],[Transaction Date]])/3,0)</f>
        <v>Q2</v>
      </c>
      <c r="P236">
        <f>YEAR(Transactions[[#This Row],[Transaction Date]])</f>
        <v>2022</v>
      </c>
      <c r="Q236" t="str">
        <f>IF(Transactions[[#This Row],[Sales Amount]]&lt;AVERAGE(Transactions[Sales Amount]),"Below Average","At/Above Average")</f>
        <v>At/Above Average</v>
      </c>
    </row>
    <row r="237" spans="4:17" x14ac:dyDescent="0.2">
      <c r="D237" t="s">
        <v>327</v>
      </c>
      <c r="E237" t="s">
        <v>75</v>
      </c>
      <c r="F237" t="s">
        <v>108</v>
      </c>
      <c r="G237">
        <v>126</v>
      </c>
      <c r="H237">
        <v>10</v>
      </c>
      <c r="I237">
        <v>52.75</v>
      </c>
      <c r="J237">
        <v>5</v>
      </c>
      <c r="K237" s="37">
        <v>45453</v>
      </c>
      <c r="L237" t="s">
        <v>97</v>
      </c>
      <c r="M237">
        <v>69.22</v>
      </c>
      <c r="N237">
        <v>4</v>
      </c>
      <c r="O237" t="str">
        <f>"Q"&amp;ROUNDUP(MONTH(Transactions[[#This Row],[Transaction Date]])/3,0)</f>
        <v>Q2</v>
      </c>
      <c r="P237">
        <f>YEAR(Transactions[[#This Row],[Transaction Date]])</f>
        <v>2024</v>
      </c>
      <c r="Q237" t="str">
        <f>IF(Transactions[[#This Row],[Sales Amount]]&lt;AVERAGE(Transactions[Sales Amount]),"Below Average","At/Above Average")</f>
        <v>Below Average</v>
      </c>
    </row>
    <row r="238" spans="4:17" x14ac:dyDescent="0.2">
      <c r="D238" t="s">
        <v>328</v>
      </c>
      <c r="E238" t="s">
        <v>87</v>
      </c>
      <c r="F238" t="s">
        <v>88</v>
      </c>
      <c r="G238">
        <v>295</v>
      </c>
      <c r="H238">
        <v>6</v>
      </c>
      <c r="I238">
        <v>58.49</v>
      </c>
      <c r="J238">
        <v>5</v>
      </c>
      <c r="K238" s="37">
        <v>44871</v>
      </c>
      <c r="L238" t="s">
        <v>102</v>
      </c>
      <c r="M238">
        <v>345.7</v>
      </c>
      <c r="N238">
        <v>35</v>
      </c>
      <c r="O238" t="str">
        <f>"Q"&amp;ROUNDUP(MONTH(Transactions[[#This Row],[Transaction Date]])/3,0)</f>
        <v>Q4</v>
      </c>
      <c r="P238">
        <f>YEAR(Transactions[[#This Row],[Transaction Date]])</f>
        <v>2022</v>
      </c>
      <c r="Q238" t="str">
        <f>IF(Transactions[[#This Row],[Sales Amount]]&lt;AVERAGE(Transactions[Sales Amount]),"Below Average","At/Above Average")</f>
        <v>At/Above Average</v>
      </c>
    </row>
    <row r="239" spans="4:17" x14ac:dyDescent="0.2">
      <c r="D239" t="s">
        <v>329</v>
      </c>
      <c r="E239" t="s">
        <v>74</v>
      </c>
      <c r="F239" t="s">
        <v>88</v>
      </c>
      <c r="G239">
        <v>259</v>
      </c>
      <c r="H239">
        <v>2</v>
      </c>
      <c r="I239">
        <v>52.87</v>
      </c>
      <c r="J239">
        <v>1</v>
      </c>
      <c r="K239" s="37">
        <v>45568</v>
      </c>
      <c r="L239" t="s">
        <v>97</v>
      </c>
      <c r="M239">
        <v>473.39</v>
      </c>
      <c r="N239">
        <v>41</v>
      </c>
      <c r="O239" t="str">
        <f>"Q"&amp;ROUNDUP(MONTH(Transactions[[#This Row],[Transaction Date]])/3,0)</f>
        <v>Q4</v>
      </c>
      <c r="P239">
        <f>YEAR(Transactions[[#This Row],[Transaction Date]])</f>
        <v>2024</v>
      </c>
      <c r="Q239" t="str">
        <f>IF(Transactions[[#This Row],[Sales Amount]]&lt;AVERAGE(Transactions[Sales Amount]),"Below Average","At/Above Average")</f>
        <v>At/Above Average</v>
      </c>
    </row>
    <row r="240" spans="4:17" x14ac:dyDescent="0.2">
      <c r="D240" t="s">
        <v>330</v>
      </c>
      <c r="E240" t="s">
        <v>77</v>
      </c>
      <c r="F240" t="s">
        <v>108</v>
      </c>
      <c r="G240">
        <v>154</v>
      </c>
      <c r="H240">
        <v>9</v>
      </c>
      <c r="I240">
        <v>55.42</v>
      </c>
      <c r="J240">
        <v>10</v>
      </c>
      <c r="K240" s="37">
        <v>45020</v>
      </c>
      <c r="L240" t="s">
        <v>97</v>
      </c>
      <c r="M240">
        <v>425.2</v>
      </c>
      <c r="N240">
        <v>28</v>
      </c>
      <c r="O240" t="str">
        <f>"Q"&amp;ROUNDUP(MONTH(Transactions[[#This Row],[Transaction Date]])/3,0)</f>
        <v>Q2</v>
      </c>
      <c r="P240">
        <f>YEAR(Transactions[[#This Row],[Transaction Date]])</f>
        <v>2023</v>
      </c>
      <c r="Q240" t="str">
        <f>IF(Transactions[[#This Row],[Sales Amount]]&lt;AVERAGE(Transactions[Sales Amount]),"Below Average","At/Above Average")</f>
        <v>At/Above Average</v>
      </c>
    </row>
    <row r="241" spans="4:17" x14ac:dyDescent="0.2">
      <c r="D241" t="s">
        <v>331</v>
      </c>
      <c r="E241" t="s">
        <v>76</v>
      </c>
      <c r="F241" t="s">
        <v>105</v>
      </c>
      <c r="G241">
        <v>218</v>
      </c>
      <c r="H241">
        <v>2</v>
      </c>
      <c r="I241">
        <v>47.15</v>
      </c>
      <c r="J241">
        <v>8</v>
      </c>
      <c r="K241" s="37">
        <v>45333</v>
      </c>
      <c r="L241" t="s">
        <v>109</v>
      </c>
      <c r="M241">
        <v>157.1</v>
      </c>
      <c r="N241">
        <v>6</v>
      </c>
      <c r="O241" t="str">
        <f>"Q"&amp;ROUNDUP(MONTH(Transactions[[#This Row],[Transaction Date]])/3,0)</f>
        <v>Q1</v>
      </c>
      <c r="P241">
        <f>YEAR(Transactions[[#This Row],[Transaction Date]])</f>
        <v>2024</v>
      </c>
      <c r="Q241" t="str">
        <f>IF(Transactions[[#This Row],[Sales Amount]]&lt;AVERAGE(Transactions[Sales Amount]),"Below Average","At/Above Average")</f>
        <v>Below Average</v>
      </c>
    </row>
    <row r="242" spans="4:17" x14ac:dyDescent="0.2">
      <c r="D242" t="s">
        <v>332</v>
      </c>
      <c r="E242" t="s">
        <v>78</v>
      </c>
      <c r="F242" t="s">
        <v>88</v>
      </c>
      <c r="G242">
        <v>275</v>
      </c>
      <c r="H242">
        <v>8</v>
      </c>
      <c r="I242">
        <v>51.08</v>
      </c>
      <c r="J242">
        <v>3</v>
      </c>
      <c r="K242" s="37">
        <v>45102</v>
      </c>
      <c r="L242" t="s">
        <v>109</v>
      </c>
      <c r="M242">
        <v>140.80000000000001</v>
      </c>
      <c r="N242">
        <v>38</v>
      </c>
      <c r="O242" t="str">
        <f>"Q"&amp;ROUNDUP(MONTH(Transactions[[#This Row],[Transaction Date]])/3,0)</f>
        <v>Q2</v>
      </c>
      <c r="P242">
        <f>YEAR(Transactions[[#This Row],[Transaction Date]])</f>
        <v>2023</v>
      </c>
      <c r="Q242" t="str">
        <f>IF(Transactions[[#This Row],[Sales Amount]]&lt;AVERAGE(Transactions[Sales Amount]),"Below Average","At/Above Average")</f>
        <v>Below Average</v>
      </c>
    </row>
    <row r="243" spans="4:17" x14ac:dyDescent="0.2">
      <c r="D243" t="s">
        <v>333</v>
      </c>
      <c r="E243" t="s">
        <v>76</v>
      </c>
      <c r="F243" t="s">
        <v>108</v>
      </c>
      <c r="G243">
        <v>271</v>
      </c>
      <c r="H243">
        <v>2</v>
      </c>
      <c r="I243">
        <v>57.74</v>
      </c>
      <c r="J243">
        <v>4</v>
      </c>
      <c r="K243" s="37">
        <v>44960</v>
      </c>
      <c r="L243" t="s">
        <v>102</v>
      </c>
      <c r="M243">
        <v>368.05</v>
      </c>
      <c r="N243">
        <v>18</v>
      </c>
      <c r="O243" t="str">
        <f>"Q"&amp;ROUNDUP(MONTH(Transactions[[#This Row],[Transaction Date]])/3,0)</f>
        <v>Q1</v>
      </c>
      <c r="P243">
        <f>YEAR(Transactions[[#This Row],[Transaction Date]])</f>
        <v>2023</v>
      </c>
      <c r="Q243" t="str">
        <f>IF(Transactions[[#This Row],[Sales Amount]]&lt;AVERAGE(Transactions[Sales Amount]),"Below Average","At/Above Average")</f>
        <v>At/Above Average</v>
      </c>
    </row>
    <row r="244" spans="4:17" x14ac:dyDescent="0.2">
      <c r="D244" t="s">
        <v>334</v>
      </c>
      <c r="E244" t="s">
        <v>87</v>
      </c>
      <c r="F244" t="s">
        <v>88</v>
      </c>
      <c r="G244">
        <v>131</v>
      </c>
      <c r="H244">
        <v>4</v>
      </c>
      <c r="I244">
        <v>55.35</v>
      </c>
      <c r="J244">
        <v>8</v>
      </c>
      <c r="K244" s="37">
        <v>44767</v>
      </c>
      <c r="L244" t="s">
        <v>89</v>
      </c>
      <c r="M244">
        <v>309.8</v>
      </c>
      <c r="N244">
        <v>17</v>
      </c>
      <c r="O244" t="str">
        <f>"Q"&amp;ROUNDUP(MONTH(Transactions[[#This Row],[Transaction Date]])/3,0)</f>
        <v>Q3</v>
      </c>
      <c r="P244">
        <f>YEAR(Transactions[[#This Row],[Transaction Date]])</f>
        <v>2022</v>
      </c>
      <c r="Q244" t="str">
        <f>IF(Transactions[[#This Row],[Sales Amount]]&lt;AVERAGE(Transactions[Sales Amount]),"Below Average","At/Above Average")</f>
        <v>At/Above Average</v>
      </c>
    </row>
    <row r="245" spans="4:17" x14ac:dyDescent="0.2">
      <c r="D245" t="s">
        <v>335</v>
      </c>
      <c r="E245" t="s">
        <v>75</v>
      </c>
      <c r="F245" t="s">
        <v>99</v>
      </c>
      <c r="G245">
        <v>194</v>
      </c>
      <c r="H245">
        <v>8</v>
      </c>
      <c r="I245">
        <v>48.03</v>
      </c>
      <c r="J245">
        <v>5</v>
      </c>
      <c r="K245" s="37">
        <v>44672</v>
      </c>
      <c r="L245" t="s">
        <v>124</v>
      </c>
      <c r="M245">
        <v>89.01</v>
      </c>
      <c r="N245">
        <v>50</v>
      </c>
      <c r="O245" t="str">
        <f>"Q"&amp;ROUNDUP(MONTH(Transactions[[#This Row],[Transaction Date]])/3,0)</f>
        <v>Q2</v>
      </c>
      <c r="P245">
        <f>YEAR(Transactions[[#This Row],[Transaction Date]])</f>
        <v>2022</v>
      </c>
      <c r="Q245" t="str">
        <f>IF(Transactions[[#This Row],[Sales Amount]]&lt;AVERAGE(Transactions[Sales Amount]),"Below Average","At/Above Average")</f>
        <v>Below Average</v>
      </c>
    </row>
    <row r="246" spans="4:17" x14ac:dyDescent="0.2">
      <c r="D246" t="s">
        <v>336</v>
      </c>
      <c r="E246" t="s">
        <v>75</v>
      </c>
      <c r="F246" t="s">
        <v>108</v>
      </c>
      <c r="G246">
        <v>191</v>
      </c>
      <c r="H246">
        <v>8</v>
      </c>
      <c r="I246">
        <v>45.62</v>
      </c>
      <c r="J246">
        <v>7</v>
      </c>
      <c r="K246" s="37">
        <v>45114</v>
      </c>
      <c r="L246" t="s">
        <v>102</v>
      </c>
      <c r="M246">
        <v>388.01</v>
      </c>
      <c r="N246">
        <v>37</v>
      </c>
      <c r="O246" t="str">
        <f>"Q"&amp;ROUNDUP(MONTH(Transactions[[#This Row],[Transaction Date]])/3,0)</f>
        <v>Q3</v>
      </c>
      <c r="P246">
        <f>YEAR(Transactions[[#This Row],[Transaction Date]])</f>
        <v>2023</v>
      </c>
      <c r="Q246" t="str">
        <f>IF(Transactions[[#This Row],[Sales Amount]]&lt;AVERAGE(Transactions[Sales Amount]),"Below Average","At/Above Average")</f>
        <v>At/Above Average</v>
      </c>
    </row>
    <row r="247" spans="4:17" x14ac:dyDescent="0.2">
      <c r="D247" t="s">
        <v>337</v>
      </c>
      <c r="E247" t="s">
        <v>76</v>
      </c>
      <c r="F247" t="s">
        <v>105</v>
      </c>
      <c r="G247">
        <v>107</v>
      </c>
      <c r="H247">
        <v>2</v>
      </c>
      <c r="I247">
        <v>50.09</v>
      </c>
      <c r="J247">
        <v>7</v>
      </c>
      <c r="K247" s="37">
        <v>44982</v>
      </c>
      <c r="L247" t="s">
        <v>92</v>
      </c>
      <c r="M247">
        <v>189.54</v>
      </c>
      <c r="N247">
        <v>2</v>
      </c>
      <c r="O247" t="str">
        <f>"Q"&amp;ROUNDUP(MONTH(Transactions[[#This Row],[Transaction Date]])/3,0)</f>
        <v>Q1</v>
      </c>
      <c r="P247">
        <f>YEAR(Transactions[[#This Row],[Transaction Date]])</f>
        <v>2023</v>
      </c>
      <c r="Q247" t="str">
        <f>IF(Transactions[[#This Row],[Sales Amount]]&lt;AVERAGE(Transactions[Sales Amount]),"Below Average","At/Above Average")</f>
        <v>Below Average</v>
      </c>
    </row>
    <row r="248" spans="4:17" x14ac:dyDescent="0.2">
      <c r="D248" t="s">
        <v>338</v>
      </c>
      <c r="E248" t="s">
        <v>87</v>
      </c>
      <c r="F248" t="s">
        <v>91</v>
      </c>
      <c r="G248">
        <v>202</v>
      </c>
      <c r="H248">
        <v>6</v>
      </c>
      <c r="I248">
        <v>53.12</v>
      </c>
      <c r="J248">
        <v>7</v>
      </c>
      <c r="K248" s="37">
        <v>44667</v>
      </c>
      <c r="L248" t="s">
        <v>89</v>
      </c>
      <c r="M248">
        <v>481.22</v>
      </c>
      <c r="N248">
        <v>38</v>
      </c>
      <c r="O248" t="str">
        <f>"Q"&amp;ROUNDUP(MONTH(Transactions[[#This Row],[Transaction Date]])/3,0)</f>
        <v>Q2</v>
      </c>
      <c r="P248">
        <f>YEAR(Transactions[[#This Row],[Transaction Date]])</f>
        <v>2022</v>
      </c>
      <c r="Q248" t="str">
        <f>IF(Transactions[[#This Row],[Sales Amount]]&lt;AVERAGE(Transactions[Sales Amount]),"Below Average","At/Above Average")</f>
        <v>At/Above Average</v>
      </c>
    </row>
    <row r="249" spans="4:17" x14ac:dyDescent="0.2">
      <c r="D249" t="s">
        <v>339</v>
      </c>
      <c r="E249" t="s">
        <v>75</v>
      </c>
      <c r="F249" t="s">
        <v>108</v>
      </c>
      <c r="G249">
        <v>172</v>
      </c>
      <c r="H249">
        <v>6</v>
      </c>
      <c r="I249">
        <v>55.94</v>
      </c>
      <c r="J249">
        <v>6</v>
      </c>
      <c r="K249" s="37">
        <v>45314</v>
      </c>
      <c r="L249" t="s">
        <v>109</v>
      </c>
      <c r="M249">
        <v>118.47</v>
      </c>
      <c r="N249">
        <v>44</v>
      </c>
      <c r="O249" t="str">
        <f>"Q"&amp;ROUNDUP(MONTH(Transactions[[#This Row],[Transaction Date]])/3,0)</f>
        <v>Q1</v>
      </c>
      <c r="P249">
        <f>YEAR(Transactions[[#This Row],[Transaction Date]])</f>
        <v>2024</v>
      </c>
      <c r="Q249" t="str">
        <f>IF(Transactions[[#This Row],[Sales Amount]]&lt;AVERAGE(Transactions[Sales Amount]),"Below Average","At/Above Average")</f>
        <v>Below Average</v>
      </c>
    </row>
    <row r="250" spans="4:17" x14ac:dyDescent="0.2">
      <c r="D250" t="s">
        <v>340</v>
      </c>
      <c r="E250" t="s">
        <v>77</v>
      </c>
      <c r="F250" t="s">
        <v>91</v>
      </c>
      <c r="G250">
        <v>159</v>
      </c>
      <c r="H250">
        <v>10</v>
      </c>
      <c r="I250">
        <v>59.75</v>
      </c>
      <c r="J250">
        <v>5</v>
      </c>
      <c r="K250" s="37">
        <v>44942</v>
      </c>
      <c r="L250" t="s">
        <v>89</v>
      </c>
      <c r="M250">
        <v>262.36</v>
      </c>
      <c r="N250">
        <v>2</v>
      </c>
      <c r="O250" t="str">
        <f>"Q"&amp;ROUNDUP(MONTH(Transactions[[#This Row],[Transaction Date]])/3,0)</f>
        <v>Q1</v>
      </c>
      <c r="P250">
        <f>YEAR(Transactions[[#This Row],[Transaction Date]])</f>
        <v>2023</v>
      </c>
      <c r="Q250" t="str">
        <f>IF(Transactions[[#This Row],[Sales Amount]]&lt;AVERAGE(Transactions[Sales Amount]),"Below Average","At/Above Average")</f>
        <v>At/Above Average</v>
      </c>
    </row>
    <row r="251" spans="4:17" x14ac:dyDescent="0.2">
      <c r="D251" t="s">
        <v>341</v>
      </c>
      <c r="E251" t="s">
        <v>87</v>
      </c>
      <c r="F251" t="s">
        <v>94</v>
      </c>
      <c r="G251">
        <v>278</v>
      </c>
      <c r="H251">
        <v>2</v>
      </c>
      <c r="I251">
        <v>53.83</v>
      </c>
      <c r="J251">
        <v>1</v>
      </c>
      <c r="K251" s="37">
        <v>45604</v>
      </c>
      <c r="L251" t="s">
        <v>102</v>
      </c>
      <c r="M251">
        <v>94.19</v>
      </c>
      <c r="N251">
        <v>3</v>
      </c>
      <c r="O251" t="str">
        <f>"Q"&amp;ROUNDUP(MONTH(Transactions[[#This Row],[Transaction Date]])/3,0)</f>
        <v>Q4</v>
      </c>
      <c r="P251">
        <f>YEAR(Transactions[[#This Row],[Transaction Date]])</f>
        <v>2024</v>
      </c>
      <c r="Q251" t="str">
        <f>IF(Transactions[[#This Row],[Sales Amount]]&lt;AVERAGE(Transactions[Sales Amount]),"Below Average","At/Above Average")</f>
        <v>Below Average</v>
      </c>
    </row>
    <row r="252" spans="4:17" x14ac:dyDescent="0.2">
      <c r="D252" t="s">
        <v>342</v>
      </c>
      <c r="E252" t="s">
        <v>76</v>
      </c>
      <c r="F252" t="s">
        <v>91</v>
      </c>
      <c r="G252">
        <v>190</v>
      </c>
      <c r="H252">
        <v>4</v>
      </c>
      <c r="I252">
        <v>48.09</v>
      </c>
      <c r="J252">
        <v>1</v>
      </c>
      <c r="K252" s="37">
        <v>44840</v>
      </c>
      <c r="L252" t="s">
        <v>102</v>
      </c>
      <c r="M252">
        <v>245.66</v>
      </c>
      <c r="N252">
        <v>4</v>
      </c>
      <c r="O252" t="str">
        <f>"Q"&amp;ROUNDUP(MONTH(Transactions[[#This Row],[Transaction Date]])/3,0)</f>
        <v>Q4</v>
      </c>
      <c r="P252">
        <f>YEAR(Transactions[[#This Row],[Transaction Date]])</f>
        <v>2022</v>
      </c>
      <c r="Q252" t="str">
        <f>IF(Transactions[[#This Row],[Sales Amount]]&lt;AVERAGE(Transactions[Sales Amount]),"Below Average","At/Above Average")</f>
        <v>Below Average</v>
      </c>
    </row>
    <row r="253" spans="4:17" x14ac:dyDescent="0.2">
      <c r="D253" t="s">
        <v>343</v>
      </c>
      <c r="E253" t="s">
        <v>78</v>
      </c>
      <c r="F253" t="s">
        <v>129</v>
      </c>
      <c r="G253">
        <v>196</v>
      </c>
      <c r="H253">
        <v>9</v>
      </c>
      <c r="I253">
        <v>57.43</v>
      </c>
      <c r="J253">
        <v>5</v>
      </c>
      <c r="K253" s="37">
        <v>45597</v>
      </c>
      <c r="L253" t="s">
        <v>97</v>
      </c>
      <c r="M253">
        <v>479.29</v>
      </c>
      <c r="N253">
        <v>40</v>
      </c>
      <c r="O253" t="str">
        <f>"Q"&amp;ROUNDUP(MONTH(Transactions[[#This Row],[Transaction Date]])/3,0)</f>
        <v>Q4</v>
      </c>
      <c r="P253">
        <f>YEAR(Transactions[[#This Row],[Transaction Date]])</f>
        <v>2024</v>
      </c>
      <c r="Q253" t="str">
        <f>IF(Transactions[[#This Row],[Sales Amount]]&lt;AVERAGE(Transactions[Sales Amount]),"Below Average","At/Above Average")</f>
        <v>At/Above Average</v>
      </c>
    </row>
    <row r="254" spans="4:17" x14ac:dyDescent="0.2">
      <c r="D254" t="s">
        <v>344</v>
      </c>
      <c r="E254" t="s">
        <v>75</v>
      </c>
      <c r="F254" t="s">
        <v>108</v>
      </c>
      <c r="G254">
        <v>212</v>
      </c>
      <c r="H254">
        <v>4</v>
      </c>
      <c r="I254">
        <v>50.24</v>
      </c>
      <c r="J254">
        <v>3</v>
      </c>
      <c r="K254" s="37">
        <v>45069</v>
      </c>
      <c r="L254" t="s">
        <v>97</v>
      </c>
      <c r="M254">
        <v>90.29</v>
      </c>
      <c r="N254">
        <v>23</v>
      </c>
      <c r="O254" t="str">
        <f>"Q"&amp;ROUNDUP(MONTH(Transactions[[#This Row],[Transaction Date]])/3,0)</f>
        <v>Q2</v>
      </c>
      <c r="P254">
        <f>YEAR(Transactions[[#This Row],[Transaction Date]])</f>
        <v>2023</v>
      </c>
      <c r="Q254" t="str">
        <f>IF(Transactions[[#This Row],[Sales Amount]]&lt;AVERAGE(Transactions[Sales Amount]),"Below Average","At/Above Average")</f>
        <v>Below Average</v>
      </c>
    </row>
    <row r="255" spans="4:17" x14ac:dyDescent="0.2">
      <c r="D255" t="s">
        <v>345</v>
      </c>
      <c r="E255" t="s">
        <v>77</v>
      </c>
      <c r="F255" t="s">
        <v>105</v>
      </c>
      <c r="G255">
        <v>177</v>
      </c>
      <c r="H255">
        <v>4</v>
      </c>
      <c r="I255">
        <v>51.53</v>
      </c>
      <c r="J255">
        <v>1</v>
      </c>
      <c r="K255" s="37">
        <v>45014</v>
      </c>
      <c r="L255" t="s">
        <v>89</v>
      </c>
      <c r="M255">
        <v>239.49</v>
      </c>
      <c r="N255">
        <v>17</v>
      </c>
      <c r="O255" t="str">
        <f>"Q"&amp;ROUNDUP(MONTH(Transactions[[#This Row],[Transaction Date]])/3,0)</f>
        <v>Q1</v>
      </c>
      <c r="P255">
        <f>YEAR(Transactions[[#This Row],[Transaction Date]])</f>
        <v>2023</v>
      </c>
      <c r="Q255" t="str">
        <f>IF(Transactions[[#This Row],[Sales Amount]]&lt;AVERAGE(Transactions[Sales Amount]),"Below Average","At/Above Average")</f>
        <v>Below Average</v>
      </c>
    </row>
    <row r="256" spans="4:17" x14ac:dyDescent="0.2">
      <c r="D256" t="s">
        <v>346</v>
      </c>
      <c r="E256" t="s">
        <v>77</v>
      </c>
      <c r="F256" t="s">
        <v>96</v>
      </c>
      <c r="G256">
        <v>271</v>
      </c>
      <c r="H256">
        <v>4</v>
      </c>
      <c r="I256">
        <v>48.69</v>
      </c>
      <c r="J256">
        <v>1</v>
      </c>
      <c r="K256" s="37">
        <v>45372</v>
      </c>
      <c r="L256" t="s">
        <v>92</v>
      </c>
      <c r="M256">
        <v>47.54</v>
      </c>
      <c r="N256">
        <v>14</v>
      </c>
      <c r="O256" t="str">
        <f>"Q"&amp;ROUNDUP(MONTH(Transactions[[#This Row],[Transaction Date]])/3,0)</f>
        <v>Q1</v>
      </c>
      <c r="P256">
        <f>YEAR(Transactions[[#This Row],[Transaction Date]])</f>
        <v>2024</v>
      </c>
      <c r="Q256" t="str">
        <f>IF(Transactions[[#This Row],[Sales Amount]]&lt;AVERAGE(Transactions[Sales Amount]),"Below Average","At/Above Average")</f>
        <v>Below Average</v>
      </c>
    </row>
    <row r="257" spans="4:17" x14ac:dyDescent="0.2">
      <c r="D257" t="s">
        <v>347</v>
      </c>
      <c r="E257" t="s">
        <v>78</v>
      </c>
      <c r="F257" t="s">
        <v>94</v>
      </c>
      <c r="G257">
        <v>162</v>
      </c>
      <c r="H257">
        <v>2</v>
      </c>
      <c r="I257">
        <v>57.81</v>
      </c>
      <c r="J257">
        <v>3</v>
      </c>
      <c r="K257" s="37">
        <v>45353</v>
      </c>
      <c r="L257" t="s">
        <v>92</v>
      </c>
      <c r="M257">
        <v>449.94</v>
      </c>
      <c r="N257">
        <v>30</v>
      </c>
      <c r="O257" t="str">
        <f>"Q"&amp;ROUNDUP(MONTH(Transactions[[#This Row],[Transaction Date]])/3,0)</f>
        <v>Q1</v>
      </c>
      <c r="P257">
        <f>YEAR(Transactions[[#This Row],[Transaction Date]])</f>
        <v>2024</v>
      </c>
      <c r="Q257" t="str">
        <f>IF(Transactions[[#This Row],[Sales Amount]]&lt;AVERAGE(Transactions[Sales Amount]),"Below Average","At/Above Average")</f>
        <v>At/Above Average</v>
      </c>
    </row>
    <row r="258" spans="4:17" x14ac:dyDescent="0.2">
      <c r="D258" t="s">
        <v>348</v>
      </c>
      <c r="E258" t="s">
        <v>77</v>
      </c>
      <c r="F258" t="s">
        <v>88</v>
      </c>
      <c r="G258">
        <v>163</v>
      </c>
      <c r="H258">
        <v>9</v>
      </c>
      <c r="I258">
        <v>49.71</v>
      </c>
      <c r="J258">
        <v>3</v>
      </c>
      <c r="K258" s="37">
        <v>44928</v>
      </c>
      <c r="L258" t="s">
        <v>109</v>
      </c>
      <c r="M258">
        <v>473.06</v>
      </c>
      <c r="N258">
        <v>6</v>
      </c>
      <c r="O258" t="str">
        <f>"Q"&amp;ROUNDUP(MONTH(Transactions[[#This Row],[Transaction Date]])/3,0)</f>
        <v>Q1</v>
      </c>
      <c r="P258">
        <f>YEAR(Transactions[[#This Row],[Transaction Date]])</f>
        <v>2023</v>
      </c>
      <c r="Q258" t="str">
        <f>IF(Transactions[[#This Row],[Sales Amount]]&lt;AVERAGE(Transactions[Sales Amount]),"Below Average","At/Above Average")</f>
        <v>At/Above Average</v>
      </c>
    </row>
    <row r="259" spans="4:17" x14ac:dyDescent="0.2">
      <c r="D259" t="s">
        <v>349</v>
      </c>
      <c r="E259" t="s">
        <v>74</v>
      </c>
      <c r="F259" t="s">
        <v>108</v>
      </c>
      <c r="G259">
        <v>233</v>
      </c>
      <c r="H259">
        <v>1</v>
      </c>
      <c r="I259">
        <v>45.35</v>
      </c>
      <c r="J259">
        <v>7</v>
      </c>
      <c r="K259" s="37">
        <v>45542</v>
      </c>
      <c r="L259" t="s">
        <v>92</v>
      </c>
      <c r="M259">
        <v>139.01</v>
      </c>
      <c r="N259">
        <v>8</v>
      </c>
      <c r="O259" t="str">
        <f>"Q"&amp;ROUNDUP(MONTH(Transactions[[#This Row],[Transaction Date]])/3,0)</f>
        <v>Q3</v>
      </c>
      <c r="P259">
        <f>YEAR(Transactions[[#This Row],[Transaction Date]])</f>
        <v>2024</v>
      </c>
      <c r="Q259" t="str">
        <f>IF(Transactions[[#This Row],[Sales Amount]]&lt;AVERAGE(Transactions[Sales Amount]),"Below Average","At/Above Average")</f>
        <v>Below Average</v>
      </c>
    </row>
    <row r="260" spans="4:17" x14ac:dyDescent="0.2">
      <c r="D260" t="s">
        <v>350</v>
      </c>
      <c r="E260" t="s">
        <v>87</v>
      </c>
      <c r="F260" t="s">
        <v>108</v>
      </c>
      <c r="G260">
        <v>124</v>
      </c>
      <c r="H260">
        <v>5</v>
      </c>
      <c r="I260">
        <v>56.3</v>
      </c>
      <c r="J260">
        <v>9</v>
      </c>
      <c r="K260" s="37">
        <v>45050</v>
      </c>
      <c r="L260" t="s">
        <v>109</v>
      </c>
      <c r="M260">
        <v>377.6</v>
      </c>
      <c r="N260">
        <v>39</v>
      </c>
      <c r="O260" t="str">
        <f>"Q"&amp;ROUNDUP(MONTH(Transactions[[#This Row],[Transaction Date]])/3,0)</f>
        <v>Q2</v>
      </c>
      <c r="P260">
        <f>YEAR(Transactions[[#This Row],[Transaction Date]])</f>
        <v>2023</v>
      </c>
      <c r="Q260" t="str">
        <f>IF(Transactions[[#This Row],[Sales Amount]]&lt;AVERAGE(Transactions[Sales Amount]),"Below Average","At/Above Average")</f>
        <v>At/Above Average</v>
      </c>
    </row>
    <row r="261" spans="4:17" x14ac:dyDescent="0.2">
      <c r="D261" t="s">
        <v>351</v>
      </c>
      <c r="E261" t="s">
        <v>78</v>
      </c>
      <c r="F261" t="s">
        <v>99</v>
      </c>
      <c r="G261">
        <v>245</v>
      </c>
      <c r="H261">
        <v>8</v>
      </c>
      <c r="I261">
        <v>45.15</v>
      </c>
      <c r="J261">
        <v>3</v>
      </c>
      <c r="K261" s="37">
        <v>45272</v>
      </c>
      <c r="L261" t="s">
        <v>97</v>
      </c>
      <c r="M261">
        <v>451.23</v>
      </c>
      <c r="N261">
        <v>16</v>
      </c>
      <c r="O261" t="str">
        <f>"Q"&amp;ROUNDUP(MONTH(Transactions[[#This Row],[Transaction Date]])/3,0)</f>
        <v>Q4</v>
      </c>
      <c r="P261">
        <f>YEAR(Transactions[[#This Row],[Transaction Date]])</f>
        <v>2023</v>
      </c>
      <c r="Q261" t="str">
        <f>IF(Transactions[[#This Row],[Sales Amount]]&lt;AVERAGE(Transactions[Sales Amount]),"Below Average","At/Above Average")</f>
        <v>At/Above Average</v>
      </c>
    </row>
    <row r="262" spans="4:17" x14ac:dyDescent="0.2">
      <c r="D262" t="s">
        <v>352</v>
      </c>
      <c r="E262" t="s">
        <v>75</v>
      </c>
      <c r="F262" t="s">
        <v>96</v>
      </c>
      <c r="G262">
        <v>215</v>
      </c>
      <c r="H262">
        <v>1</v>
      </c>
      <c r="I262">
        <v>50.93</v>
      </c>
      <c r="J262">
        <v>8</v>
      </c>
      <c r="K262" s="37">
        <v>44898</v>
      </c>
      <c r="L262" t="s">
        <v>97</v>
      </c>
      <c r="M262">
        <v>201.23</v>
      </c>
      <c r="N262">
        <v>50</v>
      </c>
      <c r="O262" t="str">
        <f>"Q"&amp;ROUNDUP(MONTH(Transactions[[#This Row],[Transaction Date]])/3,0)</f>
        <v>Q4</v>
      </c>
      <c r="P262">
        <f>YEAR(Transactions[[#This Row],[Transaction Date]])</f>
        <v>2022</v>
      </c>
      <c r="Q262" t="str">
        <f>IF(Transactions[[#This Row],[Sales Amount]]&lt;AVERAGE(Transactions[Sales Amount]),"Below Average","At/Above Average")</f>
        <v>Below Average</v>
      </c>
    </row>
    <row r="263" spans="4:17" x14ac:dyDescent="0.2">
      <c r="D263" t="s">
        <v>353</v>
      </c>
      <c r="E263" t="s">
        <v>74</v>
      </c>
      <c r="F263" t="s">
        <v>105</v>
      </c>
      <c r="G263">
        <v>202</v>
      </c>
      <c r="H263">
        <v>5</v>
      </c>
      <c r="I263">
        <v>51.81</v>
      </c>
      <c r="J263">
        <v>2</v>
      </c>
      <c r="K263" s="37">
        <v>45442</v>
      </c>
      <c r="L263" t="s">
        <v>89</v>
      </c>
      <c r="M263">
        <v>171.29</v>
      </c>
      <c r="N263">
        <v>11</v>
      </c>
      <c r="O263" t="str">
        <f>"Q"&amp;ROUNDUP(MONTH(Transactions[[#This Row],[Transaction Date]])/3,0)</f>
        <v>Q2</v>
      </c>
      <c r="P263">
        <f>YEAR(Transactions[[#This Row],[Transaction Date]])</f>
        <v>2024</v>
      </c>
      <c r="Q263" t="str">
        <f>IF(Transactions[[#This Row],[Sales Amount]]&lt;AVERAGE(Transactions[Sales Amount]),"Below Average","At/Above Average")</f>
        <v>Below Average</v>
      </c>
    </row>
    <row r="264" spans="4:17" x14ac:dyDescent="0.2">
      <c r="D264" t="s">
        <v>354</v>
      </c>
      <c r="E264" t="s">
        <v>77</v>
      </c>
      <c r="F264" t="s">
        <v>96</v>
      </c>
      <c r="G264">
        <v>248</v>
      </c>
      <c r="H264">
        <v>3</v>
      </c>
      <c r="I264">
        <v>59.72</v>
      </c>
      <c r="J264">
        <v>8</v>
      </c>
      <c r="K264" s="37">
        <v>45302</v>
      </c>
      <c r="L264" t="s">
        <v>89</v>
      </c>
      <c r="M264">
        <v>39.94</v>
      </c>
      <c r="N264">
        <v>32</v>
      </c>
      <c r="O264" t="str">
        <f>"Q"&amp;ROUNDUP(MONTH(Transactions[[#This Row],[Transaction Date]])/3,0)</f>
        <v>Q1</v>
      </c>
      <c r="P264">
        <f>YEAR(Transactions[[#This Row],[Transaction Date]])</f>
        <v>2024</v>
      </c>
      <c r="Q264" t="str">
        <f>IF(Transactions[[#This Row],[Sales Amount]]&lt;AVERAGE(Transactions[Sales Amount]),"Below Average","At/Above Average")</f>
        <v>Below Average</v>
      </c>
    </row>
    <row r="265" spans="4:17" x14ac:dyDescent="0.2">
      <c r="D265" t="s">
        <v>355</v>
      </c>
      <c r="E265" t="s">
        <v>87</v>
      </c>
      <c r="F265" t="s">
        <v>94</v>
      </c>
      <c r="G265">
        <v>181</v>
      </c>
      <c r="H265">
        <v>8</v>
      </c>
      <c r="I265">
        <v>54.82</v>
      </c>
      <c r="J265">
        <v>4</v>
      </c>
      <c r="K265" s="37">
        <v>45175</v>
      </c>
      <c r="L265" t="s">
        <v>92</v>
      </c>
      <c r="M265">
        <v>333.09</v>
      </c>
      <c r="N265">
        <v>40</v>
      </c>
      <c r="O265" t="str">
        <f>"Q"&amp;ROUNDUP(MONTH(Transactions[[#This Row],[Transaction Date]])/3,0)</f>
        <v>Q3</v>
      </c>
      <c r="P265">
        <f>YEAR(Transactions[[#This Row],[Transaction Date]])</f>
        <v>2023</v>
      </c>
      <c r="Q265" t="str">
        <f>IF(Transactions[[#This Row],[Sales Amount]]&lt;AVERAGE(Transactions[Sales Amount]),"Below Average","At/Above Average")</f>
        <v>At/Above Average</v>
      </c>
    </row>
    <row r="266" spans="4:17" x14ac:dyDescent="0.2">
      <c r="D266" t="s">
        <v>356</v>
      </c>
      <c r="E266" t="s">
        <v>77</v>
      </c>
      <c r="F266" t="s">
        <v>96</v>
      </c>
      <c r="G266">
        <v>243</v>
      </c>
      <c r="H266">
        <v>4</v>
      </c>
      <c r="I266">
        <v>55.88</v>
      </c>
      <c r="J266">
        <v>5</v>
      </c>
      <c r="K266" s="37">
        <v>45385</v>
      </c>
      <c r="L266" t="s">
        <v>92</v>
      </c>
      <c r="M266">
        <v>402.23</v>
      </c>
      <c r="N266">
        <v>48</v>
      </c>
      <c r="O266" t="str">
        <f>"Q"&amp;ROUNDUP(MONTH(Transactions[[#This Row],[Transaction Date]])/3,0)</f>
        <v>Q2</v>
      </c>
      <c r="P266">
        <f>YEAR(Transactions[[#This Row],[Transaction Date]])</f>
        <v>2024</v>
      </c>
      <c r="Q266" t="str">
        <f>IF(Transactions[[#This Row],[Sales Amount]]&lt;AVERAGE(Transactions[Sales Amount]),"Below Average","At/Above Average")</f>
        <v>At/Above Average</v>
      </c>
    </row>
    <row r="267" spans="4:17" x14ac:dyDescent="0.2">
      <c r="D267" t="s">
        <v>357</v>
      </c>
      <c r="E267" t="s">
        <v>78</v>
      </c>
      <c r="F267" t="s">
        <v>129</v>
      </c>
      <c r="G267">
        <v>164</v>
      </c>
      <c r="H267">
        <v>5</v>
      </c>
      <c r="I267">
        <v>57.49</v>
      </c>
      <c r="J267">
        <v>8</v>
      </c>
      <c r="K267" s="37">
        <v>45515</v>
      </c>
      <c r="L267" t="s">
        <v>92</v>
      </c>
      <c r="M267">
        <v>459.3</v>
      </c>
      <c r="N267">
        <v>47</v>
      </c>
      <c r="O267" t="str">
        <f>"Q"&amp;ROUNDUP(MONTH(Transactions[[#This Row],[Transaction Date]])/3,0)</f>
        <v>Q3</v>
      </c>
      <c r="P267">
        <f>YEAR(Transactions[[#This Row],[Transaction Date]])</f>
        <v>2024</v>
      </c>
      <c r="Q267" t="str">
        <f>IF(Transactions[[#This Row],[Sales Amount]]&lt;AVERAGE(Transactions[Sales Amount]),"Below Average","At/Above Average")</f>
        <v>At/Above Average</v>
      </c>
    </row>
    <row r="268" spans="4:17" x14ac:dyDescent="0.2">
      <c r="D268" t="s">
        <v>358</v>
      </c>
      <c r="E268" t="s">
        <v>76</v>
      </c>
      <c r="F268" t="s">
        <v>96</v>
      </c>
      <c r="G268">
        <v>217</v>
      </c>
      <c r="H268">
        <v>2</v>
      </c>
      <c r="I268">
        <v>51.37</v>
      </c>
      <c r="J268">
        <v>6</v>
      </c>
      <c r="K268" s="37">
        <v>44788</v>
      </c>
      <c r="L268" t="s">
        <v>109</v>
      </c>
      <c r="M268">
        <v>307.60000000000002</v>
      </c>
      <c r="N268">
        <v>36</v>
      </c>
      <c r="O268" t="str">
        <f>"Q"&amp;ROUNDUP(MONTH(Transactions[[#This Row],[Transaction Date]])/3,0)</f>
        <v>Q3</v>
      </c>
      <c r="P268">
        <f>YEAR(Transactions[[#This Row],[Transaction Date]])</f>
        <v>2022</v>
      </c>
      <c r="Q268" t="str">
        <f>IF(Transactions[[#This Row],[Sales Amount]]&lt;AVERAGE(Transactions[Sales Amount]),"Below Average","At/Above Average")</f>
        <v>At/Above Average</v>
      </c>
    </row>
    <row r="269" spans="4:17" x14ac:dyDescent="0.2">
      <c r="D269" t="s">
        <v>359</v>
      </c>
      <c r="E269" t="s">
        <v>76</v>
      </c>
      <c r="F269" t="s">
        <v>91</v>
      </c>
      <c r="G269">
        <v>257</v>
      </c>
      <c r="H269">
        <v>9</v>
      </c>
      <c r="I269">
        <v>54.27</v>
      </c>
      <c r="J269">
        <v>2</v>
      </c>
      <c r="K269" s="37">
        <v>44976</v>
      </c>
      <c r="L269" t="s">
        <v>124</v>
      </c>
      <c r="M269">
        <v>458.35</v>
      </c>
      <c r="N269">
        <v>41</v>
      </c>
      <c r="O269" t="str">
        <f>"Q"&amp;ROUNDUP(MONTH(Transactions[[#This Row],[Transaction Date]])/3,0)</f>
        <v>Q1</v>
      </c>
      <c r="P269">
        <f>YEAR(Transactions[[#This Row],[Transaction Date]])</f>
        <v>2023</v>
      </c>
      <c r="Q269" t="str">
        <f>IF(Transactions[[#This Row],[Sales Amount]]&lt;AVERAGE(Transactions[Sales Amount]),"Below Average","At/Above Average")</f>
        <v>At/Above Average</v>
      </c>
    </row>
    <row r="270" spans="4:17" x14ac:dyDescent="0.2">
      <c r="D270" t="s">
        <v>360</v>
      </c>
      <c r="E270" t="s">
        <v>77</v>
      </c>
      <c r="F270" t="s">
        <v>91</v>
      </c>
      <c r="G270">
        <v>145</v>
      </c>
      <c r="H270">
        <v>1</v>
      </c>
      <c r="I270">
        <v>55.86</v>
      </c>
      <c r="J270">
        <v>5</v>
      </c>
      <c r="K270" s="37">
        <v>45240</v>
      </c>
      <c r="L270" t="s">
        <v>124</v>
      </c>
      <c r="M270">
        <v>370.49</v>
      </c>
      <c r="N270">
        <v>17</v>
      </c>
      <c r="O270" t="str">
        <f>"Q"&amp;ROUNDUP(MONTH(Transactions[[#This Row],[Transaction Date]])/3,0)</f>
        <v>Q4</v>
      </c>
      <c r="P270">
        <f>YEAR(Transactions[[#This Row],[Transaction Date]])</f>
        <v>2023</v>
      </c>
      <c r="Q270" t="str">
        <f>IF(Transactions[[#This Row],[Sales Amount]]&lt;AVERAGE(Transactions[Sales Amount]),"Below Average","At/Above Average")</f>
        <v>At/Above Average</v>
      </c>
    </row>
    <row r="271" spans="4:17" x14ac:dyDescent="0.2">
      <c r="D271" t="s">
        <v>361</v>
      </c>
      <c r="E271" t="s">
        <v>78</v>
      </c>
      <c r="F271" t="s">
        <v>99</v>
      </c>
      <c r="G271">
        <v>180</v>
      </c>
      <c r="H271">
        <v>8</v>
      </c>
      <c r="I271">
        <v>46.4</v>
      </c>
      <c r="J271">
        <v>3</v>
      </c>
      <c r="K271" s="37">
        <v>44707</v>
      </c>
      <c r="L271" t="s">
        <v>97</v>
      </c>
      <c r="M271">
        <v>295.64</v>
      </c>
      <c r="N271">
        <v>17</v>
      </c>
      <c r="O271" t="str">
        <f>"Q"&amp;ROUNDUP(MONTH(Transactions[[#This Row],[Transaction Date]])/3,0)</f>
        <v>Q2</v>
      </c>
      <c r="P271">
        <f>YEAR(Transactions[[#This Row],[Transaction Date]])</f>
        <v>2022</v>
      </c>
      <c r="Q271" t="str">
        <f>IF(Transactions[[#This Row],[Sales Amount]]&lt;AVERAGE(Transactions[Sales Amount]),"Below Average","At/Above Average")</f>
        <v>At/Above Average</v>
      </c>
    </row>
    <row r="272" spans="4:17" x14ac:dyDescent="0.2">
      <c r="D272" t="s">
        <v>362</v>
      </c>
      <c r="E272" t="s">
        <v>74</v>
      </c>
      <c r="F272" t="s">
        <v>99</v>
      </c>
      <c r="G272">
        <v>205</v>
      </c>
      <c r="H272">
        <v>8</v>
      </c>
      <c r="I272">
        <v>50.42</v>
      </c>
      <c r="J272">
        <v>6</v>
      </c>
      <c r="K272" s="37">
        <v>45642</v>
      </c>
      <c r="L272" t="s">
        <v>97</v>
      </c>
      <c r="M272">
        <v>138.93</v>
      </c>
      <c r="N272">
        <v>13</v>
      </c>
      <c r="O272" t="str">
        <f>"Q"&amp;ROUNDUP(MONTH(Transactions[[#This Row],[Transaction Date]])/3,0)</f>
        <v>Q4</v>
      </c>
      <c r="P272">
        <f>YEAR(Transactions[[#This Row],[Transaction Date]])</f>
        <v>2024</v>
      </c>
      <c r="Q272" t="str">
        <f>IF(Transactions[[#This Row],[Sales Amount]]&lt;AVERAGE(Transactions[Sales Amount]),"Below Average","At/Above Average")</f>
        <v>Below Average</v>
      </c>
    </row>
    <row r="273" spans="4:17" x14ac:dyDescent="0.2">
      <c r="D273" t="s">
        <v>363</v>
      </c>
      <c r="E273" t="s">
        <v>74</v>
      </c>
      <c r="F273" t="s">
        <v>108</v>
      </c>
      <c r="G273">
        <v>223</v>
      </c>
      <c r="H273">
        <v>6</v>
      </c>
      <c r="I273">
        <v>59.77</v>
      </c>
      <c r="J273">
        <v>5</v>
      </c>
      <c r="K273" s="37">
        <v>44653</v>
      </c>
      <c r="L273" t="s">
        <v>102</v>
      </c>
      <c r="M273">
        <v>234.68</v>
      </c>
      <c r="N273">
        <v>39</v>
      </c>
      <c r="O273" t="str">
        <f>"Q"&amp;ROUNDUP(MONTH(Transactions[[#This Row],[Transaction Date]])/3,0)</f>
        <v>Q2</v>
      </c>
      <c r="P273">
        <f>YEAR(Transactions[[#This Row],[Transaction Date]])</f>
        <v>2022</v>
      </c>
      <c r="Q273" t="str">
        <f>IF(Transactions[[#This Row],[Sales Amount]]&lt;AVERAGE(Transactions[Sales Amount]),"Below Average","At/Above Average")</f>
        <v>Below Average</v>
      </c>
    </row>
    <row r="274" spans="4:17" x14ac:dyDescent="0.2">
      <c r="D274" t="s">
        <v>364</v>
      </c>
      <c r="E274" t="s">
        <v>74</v>
      </c>
      <c r="F274" t="s">
        <v>129</v>
      </c>
      <c r="G274">
        <v>207</v>
      </c>
      <c r="H274">
        <v>1</v>
      </c>
      <c r="I274">
        <v>54.96</v>
      </c>
      <c r="J274">
        <v>2</v>
      </c>
      <c r="K274" s="37">
        <v>44737</v>
      </c>
      <c r="L274" t="s">
        <v>89</v>
      </c>
      <c r="M274">
        <v>451.3</v>
      </c>
      <c r="N274">
        <v>3</v>
      </c>
      <c r="O274" t="str">
        <f>"Q"&amp;ROUNDUP(MONTH(Transactions[[#This Row],[Transaction Date]])/3,0)</f>
        <v>Q2</v>
      </c>
      <c r="P274">
        <f>YEAR(Transactions[[#This Row],[Transaction Date]])</f>
        <v>2022</v>
      </c>
      <c r="Q274" t="str">
        <f>IF(Transactions[[#This Row],[Sales Amount]]&lt;AVERAGE(Transactions[Sales Amount]),"Below Average","At/Above Average")</f>
        <v>At/Above Average</v>
      </c>
    </row>
    <row r="275" spans="4:17" x14ac:dyDescent="0.2">
      <c r="D275" t="s">
        <v>365</v>
      </c>
      <c r="E275" t="s">
        <v>78</v>
      </c>
      <c r="F275" t="s">
        <v>88</v>
      </c>
      <c r="G275">
        <v>114</v>
      </c>
      <c r="H275">
        <v>5</v>
      </c>
      <c r="I275">
        <v>46.55</v>
      </c>
      <c r="J275">
        <v>4</v>
      </c>
      <c r="K275" s="37">
        <v>44998</v>
      </c>
      <c r="L275" t="s">
        <v>109</v>
      </c>
      <c r="M275">
        <v>334.24</v>
      </c>
      <c r="N275">
        <v>17</v>
      </c>
      <c r="O275" t="str">
        <f>"Q"&amp;ROUNDUP(MONTH(Transactions[[#This Row],[Transaction Date]])/3,0)</f>
        <v>Q1</v>
      </c>
      <c r="P275">
        <f>YEAR(Transactions[[#This Row],[Transaction Date]])</f>
        <v>2023</v>
      </c>
      <c r="Q275" t="str">
        <f>IF(Transactions[[#This Row],[Sales Amount]]&lt;AVERAGE(Transactions[Sales Amount]),"Below Average","At/Above Average")</f>
        <v>At/Above Average</v>
      </c>
    </row>
    <row r="276" spans="4:17" x14ac:dyDescent="0.2">
      <c r="D276" t="s">
        <v>366</v>
      </c>
      <c r="E276" t="s">
        <v>87</v>
      </c>
      <c r="F276" t="s">
        <v>88</v>
      </c>
      <c r="G276">
        <v>291</v>
      </c>
      <c r="H276">
        <v>5</v>
      </c>
      <c r="I276">
        <v>52.89</v>
      </c>
      <c r="J276">
        <v>5</v>
      </c>
      <c r="K276" s="37">
        <v>44799</v>
      </c>
      <c r="L276" t="s">
        <v>97</v>
      </c>
      <c r="M276">
        <v>247.77</v>
      </c>
      <c r="N276">
        <v>38</v>
      </c>
      <c r="O276" t="str">
        <f>"Q"&amp;ROUNDUP(MONTH(Transactions[[#This Row],[Transaction Date]])/3,0)</f>
        <v>Q3</v>
      </c>
      <c r="P276">
        <f>YEAR(Transactions[[#This Row],[Transaction Date]])</f>
        <v>2022</v>
      </c>
      <c r="Q276" t="str">
        <f>IF(Transactions[[#This Row],[Sales Amount]]&lt;AVERAGE(Transactions[Sales Amount]),"Below Average","At/Above Average")</f>
        <v>Below Average</v>
      </c>
    </row>
    <row r="277" spans="4:17" x14ac:dyDescent="0.2">
      <c r="D277" t="s">
        <v>367</v>
      </c>
      <c r="E277" t="s">
        <v>76</v>
      </c>
      <c r="F277" t="s">
        <v>129</v>
      </c>
      <c r="G277">
        <v>226</v>
      </c>
      <c r="H277">
        <v>4</v>
      </c>
      <c r="I277">
        <v>53.14</v>
      </c>
      <c r="J277">
        <v>6</v>
      </c>
      <c r="K277" s="37">
        <v>44785</v>
      </c>
      <c r="L277" t="s">
        <v>97</v>
      </c>
      <c r="M277">
        <v>493.95</v>
      </c>
      <c r="N277">
        <v>18</v>
      </c>
      <c r="O277" t="str">
        <f>"Q"&amp;ROUNDUP(MONTH(Transactions[[#This Row],[Transaction Date]])/3,0)</f>
        <v>Q3</v>
      </c>
      <c r="P277">
        <f>YEAR(Transactions[[#This Row],[Transaction Date]])</f>
        <v>2022</v>
      </c>
      <c r="Q277" t="str">
        <f>IF(Transactions[[#This Row],[Sales Amount]]&lt;AVERAGE(Transactions[Sales Amount]),"Below Average","At/Above Average")</f>
        <v>At/Above Average</v>
      </c>
    </row>
    <row r="278" spans="4:17" x14ac:dyDescent="0.2">
      <c r="D278" t="s">
        <v>368</v>
      </c>
      <c r="E278" t="s">
        <v>87</v>
      </c>
      <c r="F278" t="s">
        <v>99</v>
      </c>
      <c r="G278">
        <v>131</v>
      </c>
      <c r="H278">
        <v>4</v>
      </c>
      <c r="I278">
        <v>55.24</v>
      </c>
      <c r="J278">
        <v>5</v>
      </c>
      <c r="K278" s="37">
        <v>44984</v>
      </c>
      <c r="L278" t="s">
        <v>109</v>
      </c>
      <c r="M278">
        <v>88.47</v>
      </c>
      <c r="N278">
        <v>4</v>
      </c>
      <c r="O278" t="str">
        <f>"Q"&amp;ROUNDUP(MONTH(Transactions[[#This Row],[Transaction Date]])/3,0)</f>
        <v>Q1</v>
      </c>
      <c r="P278">
        <f>YEAR(Transactions[[#This Row],[Transaction Date]])</f>
        <v>2023</v>
      </c>
      <c r="Q278" t="str">
        <f>IF(Transactions[[#This Row],[Sales Amount]]&lt;AVERAGE(Transactions[Sales Amount]),"Below Average","At/Above Average")</f>
        <v>Below Average</v>
      </c>
    </row>
    <row r="279" spans="4:17" x14ac:dyDescent="0.2">
      <c r="D279" t="s">
        <v>369</v>
      </c>
      <c r="E279" t="s">
        <v>77</v>
      </c>
      <c r="F279" t="s">
        <v>129</v>
      </c>
      <c r="G279">
        <v>172</v>
      </c>
      <c r="H279">
        <v>8</v>
      </c>
      <c r="I279">
        <v>53.79</v>
      </c>
      <c r="J279">
        <v>5</v>
      </c>
      <c r="K279" s="37">
        <v>44621</v>
      </c>
      <c r="L279" t="s">
        <v>102</v>
      </c>
      <c r="M279">
        <v>323.3</v>
      </c>
      <c r="N279">
        <v>35</v>
      </c>
      <c r="O279" t="str">
        <f>"Q"&amp;ROUNDUP(MONTH(Transactions[[#This Row],[Transaction Date]])/3,0)</f>
        <v>Q1</v>
      </c>
      <c r="P279">
        <f>YEAR(Transactions[[#This Row],[Transaction Date]])</f>
        <v>2022</v>
      </c>
      <c r="Q279" t="str">
        <f>IF(Transactions[[#This Row],[Sales Amount]]&lt;AVERAGE(Transactions[Sales Amount]),"Below Average","At/Above Average")</f>
        <v>At/Above Average</v>
      </c>
    </row>
    <row r="280" spans="4:17" x14ac:dyDescent="0.2">
      <c r="D280" t="s">
        <v>370</v>
      </c>
      <c r="E280" t="s">
        <v>77</v>
      </c>
      <c r="F280" t="s">
        <v>129</v>
      </c>
      <c r="G280">
        <v>198</v>
      </c>
      <c r="H280">
        <v>5</v>
      </c>
      <c r="I280">
        <v>54.99</v>
      </c>
      <c r="J280">
        <v>5</v>
      </c>
      <c r="K280" s="37">
        <v>45511</v>
      </c>
      <c r="L280" t="s">
        <v>109</v>
      </c>
      <c r="M280">
        <v>486.44</v>
      </c>
      <c r="N280">
        <v>37</v>
      </c>
      <c r="O280" t="str">
        <f>"Q"&amp;ROUNDUP(MONTH(Transactions[[#This Row],[Transaction Date]])/3,0)</f>
        <v>Q3</v>
      </c>
      <c r="P280">
        <f>YEAR(Transactions[[#This Row],[Transaction Date]])</f>
        <v>2024</v>
      </c>
      <c r="Q280" t="str">
        <f>IF(Transactions[[#This Row],[Sales Amount]]&lt;AVERAGE(Transactions[Sales Amount]),"Below Average","At/Above Average")</f>
        <v>At/Above Average</v>
      </c>
    </row>
    <row r="281" spans="4:17" x14ac:dyDescent="0.2">
      <c r="D281" t="s">
        <v>371</v>
      </c>
      <c r="E281" t="s">
        <v>76</v>
      </c>
      <c r="F281" t="s">
        <v>88</v>
      </c>
      <c r="G281">
        <v>170</v>
      </c>
      <c r="H281">
        <v>8</v>
      </c>
      <c r="I281">
        <v>49.8</v>
      </c>
      <c r="J281">
        <v>1</v>
      </c>
      <c r="K281" s="37">
        <v>44923</v>
      </c>
      <c r="L281" t="s">
        <v>124</v>
      </c>
      <c r="M281">
        <v>79.650000000000006</v>
      </c>
      <c r="N281">
        <v>47</v>
      </c>
      <c r="O281" t="str">
        <f>"Q"&amp;ROUNDUP(MONTH(Transactions[[#This Row],[Transaction Date]])/3,0)</f>
        <v>Q4</v>
      </c>
      <c r="P281">
        <f>YEAR(Transactions[[#This Row],[Transaction Date]])</f>
        <v>2022</v>
      </c>
      <c r="Q281" t="str">
        <f>IF(Transactions[[#This Row],[Sales Amount]]&lt;AVERAGE(Transactions[Sales Amount]),"Below Average","At/Above Average")</f>
        <v>Below Average</v>
      </c>
    </row>
    <row r="282" spans="4:17" x14ac:dyDescent="0.2">
      <c r="D282" t="s">
        <v>372</v>
      </c>
      <c r="E282" t="s">
        <v>76</v>
      </c>
      <c r="F282" t="s">
        <v>88</v>
      </c>
      <c r="G282">
        <v>260</v>
      </c>
      <c r="H282">
        <v>4</v>
      </c>
      <c r="I282">
        <v>56.66</v>
      </c>
      <c r="J282">
        <v>9</v>
      </c>
      <c r="K282" s="37">
        <v>44967</v>
      </c>
      <c r="L282" t="s">
        <v>109</v>
      </c>
      <c r="M282">
        <v>170.25</v>
      </c>
      <c r="N282">
        <v>21</v>
      </c>
      <c r="O282" t="str">
        <f>"Q"&amp;ROUNDUP(MONTH(Transactions[[#This Row],[Transaction Date]])/3,0)</f>
        <v>Q1</v>
      </c>
      <c r="P282">
        <f>YEAR(Transactions[[#This Row],[Transaction Date]])</f>
        <v>2023</v>
      </c>
      <c r="Q282" t="str">
        <f>IF(Transactions[[#This Row],[Sales Amount]]&lt;AVERAGE(Transactions[Sales Amount]),"Below Average","At/Above Average")</f>
        <v>Below Average</v>
      </c>
    </row>
    <row r="283" spans="4:17" x14ac:dyDescent="0.2">
      <c r="D283" t="s">
        <v>373</v>
      </c>
      <c r="E283" t="s">
        <v>77</v>
      </c>
      <c r="F283" t="s">
        <v>96</v>
      </c>
      <c r="G283">
        <v>297</v>
      </c>
      <c r="H283">
        <v>5</v>
      </c>
      <c r="I283">
        <v>45.23</v>
      </c>
      <c r="J283">
        <v>1</v>
      </c>
      <c r="K283" s="37">
        <v>45020</v>
      </c>
      <c r="L283" t="s">
        <v>102</v>
      </c>
      <c r="M283">
        <v>395.15</v>
      </c>
      <c r="N283">
        <v>17</v>
      </c>
      <c r="O283" t="str">
        <f>"Q"&amp;ROUNDUP(MONTH(Transactions[[#This Row],[Transaction Date]])/3,0)</f>
        <v>Q2</v>
      </c>
      <c r="P283">
        <f>YEAR(Transactions[[#This Row],[Transaction Date]])</f>
        <v>2023</v>
      </c>
      <c r="Q283" t="str">
        <f>IF(Transactions[[#This Row],[Sales Amount]]&lt;AVERAGE(Transactions[Sales Amount]),"Below Average","At/Above Average")</f>
        <v>At/Above Average</v>
      </c>
    </row>
    <row r="284" spans="4:17" x14ac:dyDescent="0.2">
      <c r="D284" t="s">
        <v>374</v>
      </c>
      <c r="E284" t="s">
        <v>74</v>
      </c>
      <c r="F284" t="s">
        <v>108</v>
      </c>
      <c r="G284">
        <v>222</v>
      </c>
      <c r="H284">
        <v>10</v>
      </c>
      <c r="I284">
        <v>49.34</v>
      </c>
      <c r="J284">
        <v>5</v>
      </c>
      <c r="K284" s="37">
        <v>45514</v>
      </c>
      <c r="L284" t="s">
        <v>89</v>
      </c>
      <c r="M284">
        <v>92.23</v>
      </c>
      <c r="N284">
        <v>38</v>
      </c>
      <c r="O284" t="str">
        <f>"Q"&amp;ROUNDUP(MONTH(Transactions[[#This Row],[Transaction Date]])/3,0)</f>
        <v>Q3</v>
      </c>
      <c r="P284">
        <f>YEAR(Transactions[[#This Row],[Transaction Date]])</f>
        <v>2024</v>
      </c>
      <c r="Q284" t="str">
        <f>IF(Transactions[[#This Row],[Sales Amount]]&lt;AVERAGE(Transactions[Sales Amount]),"Below Average","At/Above Average")</f>
        <v>Below Average</v>
      </c>
    </row>
    <row r="285" spans="4:17" x14ac:dyDescent="0.2">
      <c r="D285" t="s">
        <v>375</v>
      </c>
      <c r="E285" t="s">
        <v>87</v>
      </c>
      <c r="F285" t="s">
        <v>88</v>
      </c>
      <c r="G285">
        <v>228</v>
      </c>
      <c r="H285">
        <v>3</v>
      </c>
      <c r="I285">
        <v>49.98</v>
      </c>
      <c r="J285">
        <v>2</v>
      </c>
      <c r="K285" s="37">
        <v>44885</v>
      </c>
      <c r="L285" t="s">
        <v>89</v>
      </c>
      <c r="M285">
        <v>183.81</v>
      </c>
      <c r="N285">
        <v>48</v>
      </c>
      <c r="O285" t="str">
        <f>"Q"&amp;ROUNDUP(MONTH(Transactions[[#This Row],[Transaction Date]])/3,0)</f>
        <v>Q4</v>
      </c>
      <c r="P285">
        <f>YEAR(Transactions[[#This Row],[Transaction Date]])</f>
        <v>2022</v>
      </c>
      <c r="Q285" t="str">
        <f>IF(Transactions[[#This Row],[Sales Amount]]&lt;AVERAGE(Transactions[Sales Amount]),"Below Average","At/Above Average")</f>
        <v>Below Average</v>
      </c>
    </row>
    <row r="286" spans="4:17" x14ac:dyDescent="0.2">
      <c r="D286" t="s">
        <v>376</v>
      </c>
      <c r="E286" t="s">
        <v>74</v>
      </c>
      <c r="F286" t="s">
        <v>105</v>
      </c>
      <c r="G286">
        <v>262</v>
      </c>
      <c r="H286">
        <v>10</v>
      </c>
      <c r="I286">
        <v>58.88</v>
      </c>
      <c r="J286">
        <v>3</v>
      </c>
      <c r="K286" s="37">
        <v>45387</v>
      </c>
      <c r="L286" t="s">
        <v>92</v>
      </c>
      <c r="M286">
        <v>306.97000000000003</v>
      </c>
      <c r="N286">
        <v>9</v>
      </c>
      <c r="O286" t="str">
        <f>"Q"&amp;ROUNDUP(MONTH(Transactions[[#This Row],[Transaction Date]])/3,0)</f>
        <v>Q2</v>
      </c>
      <c r="P286">
        <f>YEAR(Transactions[[#This Row],[Transaction Date]])</f>
        <v>2024</v>
      </c>
      <c r="Q286" t="str">
        <f>IF(Transactions[[#This Row],[Sales Amount]]&lt;AVERAGE(Transactions[Sales Amount]),"Below Average","At/Above Average")</f>
        <v>At/Above Average</v>
      </c>
    </row>
    <row r="287" spans="4:17" x14ac:dyDescent="0.2">
      <c r="D287" t="s">
        <v>377</v>
      </c>
      <c r="E287" t="s">
        <v>87</v>
      </c>
      <c r="F287" t="s">
        <v>99</v>
      </c>
      <c r="G287">
        <v>117</v>
      </c>
      <c r="H287">
        <v>7</v>
      </c>
      <c r="I287">
        <v>45.78</v>
      </c>
      <c r="J287">
        <v>5</v>
      </c>
      <c r="K287" s="37">
        <v>45140</v>
      </c>
      <c r="L287" t="s">
        <v>97</v>
      </c>
      <c r="M287">
        <v>360.86</v>
      </c>
      <c r="N287">
        <v>47</v>
      </c>
      <c r="O287" t="str">
        <f>"Q"&amp;ROUNDUP(MONTH(Transactions[[#This Row],[Transaction Date]])/3,0)</f>
        <v>Q3</v>
      </c>
      <c r="P287">
        <f>YEAR(Transactions[[#This Row],[Transaction Date]])</f>
        <v>2023</v>
      </c>
      <c r="Q287" t="str">
        <f>IF(Transactions[[#This Row],[Sales Amount]]&lt;AVERAGE(Transactions[Sales Amount]),"Below Average","At/Above Average")</f>
        <v>At/Above Average</v>
      </c>
    </row>
    <row r="288" spans="4:17" x14ac:dyDescent="0.2">
      <c r="D288" t="s">
        <v>378</v>
      </c>
      <c r="E288" t="s">
        <v>77</v>
      </c>
      <c r="F288" t="s">
        <v>105</v>
      </c>
      <c r="G288">
        <v>150</v>
      </c>
      <c r="H288">
        <v>4</v>
      </c>
      <c r="I288">
        <v>57.17</v>
      </c>
      <c r="J288">
        <v>10</v>
      </c>
      <c r="K288" s="37">
        <v>44746</v>
      </c>
      <c r="L288" t="s">
        <v>89</v>
      </c>
      <c r="M288">
        <v>270.31</v>
      </c>
      <c r="N288">
        <v>31</v>
      </c>
      <c r="O288" t="str">
        <f>"Q"&amp;ROUNDUP(MONTH(Transactions[[#This Row],[Transaction Date]])/3,0)</f>
        <v>Q3</v>
      </c>
      <c r="P288">
        <f>YEAR(Transactions[[#This Row],[Transaction Date]])</f>
        <v>2022</v>
      </c>
      <c r="Q288" t="str">
        <f>IF(Transactions[[#This Row],[Sales Amount]]&lt;AVERAGE(Transactions[Sales Amount]),"Below Average","At/Above Average")</f>
        <v>At/Above Average</v>
      </c>
    </row>
    <row r="289" spans="4:17" x14ac:dyDescent="0.2">
      <c r="D289" t="s">
        <v>379</v>
      </c>
      <c r="E289" t="s">
        <v>75</v>
      </c>
      <c r="F289" t="s">
        <v>88</v>
      </c>
      <c r="G289">
        <v>119</v>
      </c>
      <c r="H289">
        <v>5</v>
      </c>
      <c r="I289">
        <v>49.07</v>
      </c>
      <c r="J289">
        <v>10</v>
      </c>
      <c r="K289" s="37">
        <v>45610</v>
      </c>
      <c r="L289" t="s">
        <v>102</v>
      </c>
      <c r="M289">
        <v>448.49</v>
      </c>
      <c r="N289">
        <v>6</v>
      </c>
      <c r="O289" t="str">
        <f>"Q"&amp;ROUNDUP(MONTH(Transactions[[#This Row],[Transaction Date]])/3,0)</f>
        <v>Q4</v>
      </c>
      <c r="P289">
        <f>YEAR(Transactions[[#This Row],[Transaction Date]])</f>
        <v>2024</v>
      </c>
      <c r="Q289" t="str">
        <f>IF(Transactions[[#This Row],[Sales Amount]]&lt;AVERAGE(Transactions[Sales Amount]),"Below Average","At/Above Average")</f>
        <v>At/Above Average</v>
      </c>
    </row>
    <row r="290" spans="4:17" x14ac:dyDescent="0.2">
      <c r="D290" t="s">
        <v>380</v>
      </c>
      <c r="E290" t="s">
        <v>78</v>
      </c>
      <c r="F290" t="s">
        <v>129</v>
      </c>
      <c r="G290">
        <v>253</v>
      </c>
      <c r="H290">
        <v>3</v>
      </c>
      <c r="I290">
        <v>52.55</v>
      </c>
      <c r="J290">
        <v>8</v>
      </c>
      <c r="K290" s="37">
        <v>44771</v>
      </c>
      <c r="L290" t="s">
        <v>109</v>
      </c>
      <c r="M290">
        <v>299.14</v>
      </c>
      <c r="N290">
        <v>6</v>
      </c>
      <c r="O290" t="str">
        <f>"Q"&amp;ROUNDUP(MONTH(Transactions[[#This Row],[Transaction Date]])/3,0)</f>
        <v>Q3</v>
      </c>
      <c r="P290">
        <f>YEAR(Transactions[[#This Row],[Transaction Date]])</f>
        <v>2022</v>
      </c>
      <c r="Q290" t="str">
        <f>IF(Transactions[[#This Row],[Sales Amount]]&lt;AVERAGE(Transactions[Sales Amount]),"Below Average","At/Above Average")</f>
        <v>At/Above Average</v>
      </c>
    </row>
    <row r="291" spans="4:17" x14ac:dyDescent="0.2">
      <c r="D291" t="s">
        <v>381</v>
      </c>
      <c r="E291" t="s">
        <v>77</v>
      </c>
      <c r="F291" t="s">
        <v>91</v>
      </c>
      <c r="G291">
        <v>279</v>
      </c>
      <c r="H291">
        <v>4</v>
      </c>
      <c r="I291">
        <v>48.17</v>
      </c>
      <c r="J291">
        <v>6</v>
      </c>
      <c r="K291" s="37">
        <v>45474</v>
      </c>
      <c r="L291" t="s">
        <v>89</v>
      </c>
      <c r="M291">
        <v>420.02</v>
      </c>
      <c r="N291">
        <v>10</v>
      </c>
      <c r="O291" t="str">
        <f>"Q"&amp;ROUNDUP(MONTH(Transactions[[#This Row],[Transaction Date]])/3,0)</f>
        <v>Q3</v>
      </c>
      <c r="P291">
        <f>YEAR(Transactions[[#This Row],[Transaction Date]])</f>
        <v>2024</v>
      </c>
      <c r="Q291" t="str">
        <f>IF(Transactions[[#This Row],[Sales Amount]]&lt;AVERAGE(Transactions[Sales Amount]),"Below Average","At/Above Average")</f>
        <v>At/Above Average</v>
      </c>
    </row>
    <row r="292" spans="4:17" x14ac:dyDescent="0.2">
      <c r="D292" t="s">
        <v>382</v>
      </c>
      <c r="E292" t="s">
        <v>74</v>
      </c>
      <c r="F292" t="s">
        <v>108</v>
      </c>
      <c r="G292">
        <v>102</v>
      </c>
      <c r="H292">
        <v>7</v>
      </c>
      <c r="I292">
        <v>58.16</v>
      </c>
      <c r="J292">
        <v>5</v>
      </c>
      <c r="K292" s="37">
        <v>44716</v>
      </c>
      <c r="L292" t="s">
        <v>102</v>
      </c>
      <c r="M292">
        <v>63.88</v>
      </c>
      <c r="N292">
        <v>8</v>
      </c>
      <c r="O292" t="str">
        <f>"Q"&amp;ROUNDUP(MONTH(Transactions[[#This Row],[Transaction Date]])/3,0)</f>
        <v>Q2</v>
      </c>
      <c r="P292">
        <f>YEAR(Transactions[[#This Row],[Transaction Date]])</f>
        <v>2022</v>
      </c>
      <c r="Q292" t="str">
        <f>IF(Transactions[[#This Row],[Sales Amount]]&lt;AVERAGE(Transactions[Sales Amount]),"Below Average","At/Above Average")</f>
        <v>Below Average</v>
      </c>
    </row>
    <row r="293" spans="4:17" x14ac:dyDescent="0.2">
      <c r="D293" t="s">
        <v>383</v>
      </c>
      <c r="E293" t="s">
        <v>74</v>
      </c>
      <c r="F293" t="s">
        <v>129</v>
      </c>
      <c r="G293">
        <v>268</v>
      </c>
      <c r="H293">
        <v>4</v>
      </c>
      <c r="I293">
        <v>49.7</v>
      </c>
      <c r="J293">
        <v>2</v>
      </c>
      <c r="K293" s="37">
        <v>45078</v>
      </c>
      <c r="L293" t="s">
        <v>102</v>
      </c>
      <c r="M293">
        <v>412.07</v>
      </c>
      <c r="N293">
        <v>8</v>
      </c>
      <c r="O293" t="str">
        <f>"Q"&amp;ROUNDUP(MONTH(Transactions[[#This Row],[Transaction Date]])/3,0)</f>
        <v>Q2</v>
      </c>
      <c r="P293">
        <f>YEAR(Transactions[[#This Row],[Transaction Date]])</f>
        <v>2023</v>
      </c>
      <c r="Q293" t="str">
        <f>IF(Transactions[[#This Row],[Sales Amount]]&lt;AVERAGE(Transactions[Sales Amount]),"Below Average","At/Above Average")</f>
        <v>At/Above Average</v>
      </c>
    </row>
    <row r="294" spans="4:17" x14ac:dyDescent="0.2">
      <c r="D294" t="s">
        <v>384</v>
      </c>
      <c r="E294" t="s">
        <v>87</v>
      </c>
      <c r="F294" t="s">
        <v>129</v>
      </c>
      <c r="G294">
        <v>213</v>
      </c>
      <c r="H294">
        <v>7</v>
      </c>
      <c r="I294">
        <v>49.65</v>
      </c>
      <c r="J294">
        <v>5</v>
      </c>
      <c r="K294" s="37">
        <v>45184</v>
      </c>
      <c r="L294" t="s">
        <v>109</v>
      </c>
      <c r="M294">
        <v>191.46</v>
      </c>
      <c r="N294">
        <v>15</v>
      </c>
      <c r="O294" t="str">
        <f>"Q"&amp;ROUNDUP(MONTH(Transactions[[#This Row],[Transaction Date]])/3,0)</f>
        <v>Q3</v>
      </c>
      <c r="P294">
        <f>YEAR(Transactions[[#This Row],[Transaction Date]])</f>
        <v>2023</v>
      </c>
      <c r="Q294" t="str">
        <f>IF(Transactions[[#This Row],[Sales Amount]]&lt;AVERAGE(Transactions[Sales Amount]),"Below Average","At/Above Average")</f>
        <v>Below Average</v>
      </c>
    </row>
    <row r="295" spans="4:17" x14ac:dyDescent="0.2">
      <c r="D295" t="s">
        <v>385</v>
      </c>
      <c r="E295" t="s">
        <v>87</v>
      </c>
      <c r="F295" t="s">
        <v>96</v>
      </c>
      <c r="G295">
        <v>190</v>
      </c>
      <c r="H295">
        <v>7</v>
      </c>
      <c r="I295">
        <v>53.83</v>
      </c>
      <c r="J295">
        <v>5</v>
      </c>
      <c r="K295" s="37">
        <v>45397</v>
      </c>
      <c r="L295" t="s">
        <v>92</v>
      </c>
      <c r="M295">
        <v>369.59</v>
      </c>
      <c r="N295">
        <v>13</v>
      </c>
      <c r="O295" t="str">
        <f>"Q"&amp;ROUNDUP(MONTH(Transactions[[#This Row],[Transaction Date]])/3,0)</f>
        <v>Q2</v>
      </c>
      <c r="P295">
        <f>YEAR(Transactions[[#This Row],[Transaction Date]])</f>
        <v>2024</v>
      </c>
      <c r="Q295" t="str">
        <f>IF(Transactions[[#This Row],[Sales Amount]]&lt;AVERAGE(Transactions[Sales Amount]),"Below Average","At/Above Average")</f>
        <v>At/Above Average</v>
      </c>
    </row>
    <row r="296" spans="4:17" x14ac:dyDescent="0.2">
      <c r="D296" t="s">
        <v>386</v>
      </c>
      <c r="E296" t="s">
        <v>77</v>
      </c>
      <c r="F296" t="s">
        <v>91</v>
      </c>
      <c r="G296">
        <v>243</v>
      </c>
      <c r="H296">
        <v>10</v>
      </c>
      <c r="I296">
        <v>54.03</v>
      </c>
      <c r="J296">
        <v>2</v>
      </c>
      <c r="K296" s="37">
        <v>44790</v>
      </c>
      <c r="L296" t="s">
        <v>89</v>
      </c>
      <c r="M296">
        <v>176.61</v>
      </c>
      <c r="N296">
        <v>38</v>
      </c>
      <c r="O296" t="str">
        <f>"Q"&amp;ROUNDUP(MONTH(Transactions[[#This Row],[Transaction Date]])/3,0)</f>
        <v>Q3</v>
      </c>
      <c r="P296">
        <f>YEAR(Transactions[[#This Row],[Transaction Date]])</f>
        <v>2022</v>
      </c>
      <c r="Q296" t="str">
        <f>IF(Transactions[[#This Row],[Sales Amount]]&lt;AVERAGE(Transactions[Sales Amount]),"Below Average","At/Above Average")</f>
        <v>Below Average</v>
      </c>
    </row>
    <row r="297" spans="4:17" x14ac:dyDescent="0.2">
      <c r="D297" t="s">
        <v>387</v>
      </c>
      <c r="E297" t="s">
        <v>77</v>
      </c>
      <c r="F297" t="s">
        <v>105</v>
      </c>
      <c r="G297">
        <v>173</v>
      </c>
      <c r="H297">
        <v>6</v>
      </c>
      <c r="I297">
        <v>50.62</v>
      </c>
      <c r="J297">
        <v>9</v>
      </c>
      <c r="K297" s="37">
        <v>44829</v>
      </c>
      <c r="L297" t="s">
        <v>109</v>
      </c>
      <c r="M297">
        <v>443.13</v>
      </c>
      <c r="N297">
        <v>29</v>
      </c>
      <c r="O297" t="str">
        <f>"Q"&amp;ROUNDUP(MONTH(Transactions[[#This Row],[Transaction Date]])/3,0)</f>
        <v>Q3</v>
      </c>
      <c r="P297">
        <f>YEAR(Transactions[[#This Row],[Transaction Date]])</f>
        <v>2022</v>
      </c>
      <c r="Q297" t="str">
        <f>IF(Transactions[[#This Row],[Sales Amount]]&lt;AVERAGE(Transactions[Sales Amount]),"Below Average","At/Above Average")</f>
        <v>At/Above Average</v>
      </c>
    </row>
    <row r="298" spans="4:17" x14ac:dyDescent="0.2">
      <c r="D298" t="s">
        <v>388</v>
      </c>
      <c r="E298" t="s">
        <v>74</v>
      </c>
      <c r="F298" t="s">
        <v>94</v>
      </c>
      <c r="G298">
        <v>141</v>
      </c>
      <c r="H298">
        <v>10</v>
      </c>
      <c r="I298">
        <v>54.99</v>
      </c>
      <c r="J298">
        <v>8</v>
      </c>
      <c r="K298" s="37">
        <v>44859</v>
      </c>
      <c r="L298" t="s">
        <v>89</v>
      </c>
      <c r="M298">
        <v>97.67</v>
      </c>
      <c r="N298">
        <v>3</v>
      </c>
      <c r="O298" t="str">
        <f>"Q"&amp;ROUNDUP(MONTH(Transactions[[#This Row],[Transaction Date]])/3,0)</f>
        <v>Q4</v>
      </c>
      <c r="P298">
        <f>YEAR(Transactions[[#This Row],[Transaction Date]])</f>
        <v>2022</v>
      </c>
      <c r="Q298" t="str">
        <f>IF(Transactions[[#This Row],[Sales Amount]]&lt;AVERAGE(Transactions[Sales Amount]),"Below Average","At/Above Average")</f>
        <v>Below Average</v>
      </c>
    </row>
    <row r="299" spans="4:17" x14ac:dyDescent="0.2">
      <c r="D299" t="s">
        <v>389</v>
      </c>
      <c r="E299" t="s">
        <v>77</v>
      </c>
      <c r="F299" t="s">
        <v>88</v>
      </c>
      <c r="G299">
        <v>167</v>
      </c>
      <c r="H299">
        <v>8</v>
      </c>
      <c r="I299">
        <v>48.78</v>
      </c>
      <c r="J299">
        <v>4</v>
      </c>
      <c r="K299" s="37">
        <v>45565</v>
      </c>
      <c r="L299" t="s">
        <v>92</v>
      </c>
      <c r="M299">
        <v>252.42</v>
      </c>
      <c r="N299">
        <v>16</v>
      </c>
      <c r="O299" t="str">
        <f>"Q"&amp;ROUNDUP(MONTH(Transactions[[#This Row],[Transaction Date]])/3,0)</f>
        <v>Q3</v>
      </c>
      <c r="P299">
        <f>YEAR(Transactions[[#This Row],[Transaction Date]])</f>
        <v>2024</v>
      </c>
      <c r="Q299" t="str">
        <f>IF(Transactions[[#This Row],[Sales Amount]]&lt;AVERAGE(Transactions[Sales Amount]),"Below Average","At/Above Average")</f>
        <v>Below Average</v>
      </c>
    </row>
    <row r="300" spans="4:17" x14ac:dyDescent="0.2">
      <c r="D300" t="s">
        <v>390</v>
      </c>
      <c r="E300" t="s">
        <v>78</v>
      </c>
      <c r="F300" t="s">
        <v>108</v>
      </c>
      <c r="G300">
        <v>179</v>
      </c>
      <c r="H300">
        <v>6</v>
      </c>
      <c r="I300">
        <v>59.88</v>
      </c>
      <c r="J300">
        <v>2</v>
      </c>
      <c r="K300" s="37">
        <v>45134</v>
      </c>
      <c r="L300" t="s">
        <v>92</v>
      </c>
      <c r="M300">
        <v>274.74</v>
      </c>
      <c r="N300">
        <v>15</v>
      </c>
      <c r="O300" t="str">
        <f>"Q"&amp;ROUNDUP(MONTH(Transactions[[#This Row],[Transaction Date]])/3,0)</f>
        <v>Q3</v>
      </c>
      <c r="P300">
        <f>YEAR(Transactions[[#This Row],[Transaction Date]])</f>
        <v>2023</v>
      </c>
      <c r="Q300" t="str">
        <f>IF(Transactions[[#This Row],[Sales Amount]]&lt;AVERAGE(Transactions[Sales Amount]),"Below Average","At/Above Average")</f>
        <v>At/Above Average</v>
      </c>
    </row>
    <row r="301" spans="4:17" x14ac:dyDescent="0.2">
      <c r="D301" t="s">
        <v>391</v>
      </c>
      <c r="E301" t="s">
        <v>77</v>
      </c>
      <c r="F301" t="s">
        <v>96</v>
      </c>
      <c r="G301">
        <v>134</v>
      </c>
      <c r="H301">
        <v>9</v>
      </c>
      <c r="I301">
        <v>53.93</v>
      </c>
      <c r="J301">
        <v>4</v>
      </c>
      <c r="K301" s="37">
        <v>45026</v>
      </c>
      <c r="L301" t="s">
        <v>89</v>
      </c>
      <c r="M301">
        <v>251.66</v>
      </c>
      <c r="N301">
        <v>12</v>
      </c>
      <c r="O301" t="str">
        <f>"Q"&amp;ROUNDUP(MONTH(Transactions[[#This Row],[Transaction Date]])/3,0)</f>
        <v>Q2</v>
      </c>
      <c r="P301">
        <f>YEAR(Transactions[[#This Row],[Transaction Date]])</f>
        <v>2023</v>
      </c>
      <c r="Q301" t="str">
        <f>IF(Transactions[[#This Row],[Sales Amount]]&lt;AVERAGE(Transactions[Sales Amount]),"Below Average","At/Above Average")</f>
        <v>Below Average</v>
      </c>
    </row>
    <row r="302" spans="4:17" x14ac:dyDescent="0.2">
      <c r="D302" t="s">
        <v>392</v>
      </c>
      <c r="E302" t="s">
        <v>77</v>
      </c>
      <c r="F302" t="s">
        <v>96</v>
      </c>
      <c r="G302">
        <v>182</v>
      </c>
      <c r="H302">
        <v>2</v>
      </c>
      <c r="I302">
        <v>51.61</v>
      </c>
      <c r="J302">
        <v>8</v>
      </c>
      <c r="K302" s="37">
        <v>45308</v>
      </c>
      <c r="L302" t="s">
        <v>109</v>
      </c>
      <c r="M302">
        <v>498.45</v>
      </c>
      <c r="N302">
        <v>22</v>
      </c>
      <c r="O302" t="str">
        <f>"Q"&amp;ROUNDUP(MONTH(Transactions[[#This Row],[Transaction Date]])/3,0)</f>
        <v>Q1</v>
      </c>
      <c r="P302">
        <f>YEAR(Transactions[[#This Row],[Transaction Date]])</f>
        <v>2024</v>
      </c>
      <c r="Q302" t="str">
        <f>IF(Transactions[[#This Row],[Sales Amount]]&lt;AVERAGE(Transactions[Sales Amount]),"Below Average","At/Above Average")</f>
        <v>At/Above Average</v>
      </c>
    </row>
    <row r="303" spans="4:17" x14ac:dyDescent="0.2">
      <c r="D303" t="s">
        <v>393</v>
      </c>
      <c r="E303" t="s">
        <v>78</v>
      </c>
      <c r="F303" t="s">
        <v>129</v>
      </c>
      <c r="G303">
        <v>131</v>
      </c>
      <c r="H303">
        <v>3</v>
      </c>
      <c r="I303">
        <v>45.15</v>
      </c>
      <c r="J303">
        <v>4</v>
      </c>
      <c r="K303" s="37">
        <v>45455</v>
      </c>
      <c r="L303" t="s">
        <v>97</v>
      </c>
      <c r="M303">
        <v>192.05</v>
      </c>
      <c r="N303">
        <v>14</v>
      </c>
      <c r="O303" t="str">
        <f>"Q"&amp;ROUNDUP(MONTH(Transactions[[#This Row],[Transaction Date]])/3,0)</f>
        <v>Q2</v>
      </c>
      <c r="P303">
        <f>YEAR(Transactions[[#This Row],[Transaction Date]])</f>
        <v>2024</v>
      </c>
      <c r="Q303" t="str">
        <f>IF(Transactions[[#This Row],[Sales Amount]]&lt;AVERAGE(Transactions[Sales Amount]),"Below Average","At/Above Average")</f>
        <v>Below Average</v>
      </c>
    </row>
    <row r="304" spans="4:17" x14ac:dyDescent="0.2">
      <c r="D304" t="s">
        <v>394</v>
      </c>
      <c r="E304" t="s">
        <v>76</v>
      </c>
      <c r="F304" t="s">
        <v>94</v>
      </c>
      <c r="G304">
        <v>113</v>
      </c>
      <c r="H304">
        <v>7</v>
      </c>
      <c r="I304">
        <v>50.79</v>
      </c>
      <c r="J304">
        <v>8</v>
      </c>
      <c r="K304" s="37">
        <v>44904</v>
      </c>
      <c r="L304" t="s">
        <v>109</v>
      </c>
      <c r="M304">
        <v>454.65</v>
      </c>
      <c r="N304">
        <v>6</v>
      </c>
      <c r="O304" t="str">
        <f>"Q"&amp;ROUNDUP(MONTH(Transactions[[#This Row],[Transaction Date]])/3,0)</f>
        <v>Q4</v>
      </c>
      <c r="P304">
        <f>YEAR(Transactions[[#This Row],[Transaction Date]])</f>
        <v>2022</v>
      </c>
      <c r="Q304" t="str">
        <f>IF(Transactions[[#This Row],[Sales Amount]]&lt;AVERAGE(Transactions[Sales Amount]),"Below Average","At/Above Average")</f>
        <v>At/Above Average</v>
      </c>
    </row>
    <row r="305" spans="4:17" x14ac:dyDescent="0.2">
      <c r="D305" t="s">
        <v>395</v>
      </c>
      <c r="E305" t="s">
        <v>74</v>
      </c>
      <c r="F305" t="s">
        <v>88</v>
      </c>
      <c r="G305">
        <v>195</v>
      </c>
      <c r="H305">
        <v>10</v>
      </c>
      <c r="I305">
        <v>51.88</v>
      </c>
      <c r="J305">
        <v>3</v>
      </c>
      <c r="K305" s="37">
        <v>45045</v>
      </c>
      <c r="L305" t="s">
        <v>92</v>
      </c>
      <c r="M305">
        <v>226.12</v>
      </c>
      <c r="N305">
        <v>2</v>
      </c>
      <c r="O305" t="str">
        <f>"Q"&amp;ROUNDUP(MONTH(Transactions[[#This Row],[Transaction Date]])/3,0)</f>
        <v>Q2</v>
      </c>
      <c r="P305">
        <f>YEAR(Transactions[[#This Row],[Transaction Date]])</f>
        <v>2023</v>
      </c>
      <c r="Q305" t="str">
        <f>IF(Transactions[[#This Row],[Sales Amount]]&lt;AVERAGE(Transactions[Sales Amount]),"Below Average","At/Above Average")</f>
        <v>Below Average</v>
      </c>
    </row>
    <row r="306" spans="4:17" x14ac:dyDescent="0.2">
      <c r="D306" t="s">
        <v>396</v>
      </c>
      <c r="E306" t="s">
        <v>74</v>
      </c>
      <c r="F306" t="s">
        <v>96</v>
      </c>
      <c r="G306">
        <v>106</v>
      </c>
      <c r="H306">
        <v>4</v>
      </c>
      <c r="I306">
        <v>57.78</v>
      </c>
      <c r="J306">
        <v>4</v>
      </c>
      <c r="K306" s="37">
        <v>45318</v>
      </c>
      <c r="L306" t="s">
        <v>92</v>
      </c>
      <c r="M306">
        <v>229.58</v>
      </c>
      <c r="N306">
        <v>42</v>
      </c>
      <c r="O306" t="str">
        <f>"Q"&amp;ROUNDUP(MONTH(Transactions[[#This Row],[Transaction Date]])/3,0)</f>
        <v>Q1</v>
      </c>
      <c r="P306">
        <f>YEAR(Transactions[[#This Row],[Transaction Date]])</f>
        <v>2024</v>
      </c>
      <c r="Q306" t="str">
        <f>IF(Transactions[[#This Row],[Sales Amount]]&lt;AVERAGE(Transactions[Sales Amount]),"Below Average","At/Above Average")</f>
        <v>Below Average</v>
      </c>
    </row>
    <row r="307" spans="4:17" x14ac:dyDescent="0.2">
      <c r="D307" t="s">
        <v>397</v>
      </c>
      <c r="E307" t="s">
        <v>78</v>
      </c>
      <c r="F307" t="s">
        <v>99</v>
      </c>
      <c r="G307">
        <v>101</v>
      </c>
      <c r="H307">
        <v>4</v>
      </c>
      <c r="I307">
        <v>57.25</v>
      </c>
      <c r="J307">
        <v>2</v>
      </c>
      <c r="K307" s="37">
        <v>45041</v>
      </c>
      <c r="L307" t="s">
        <v>124</v>
      </c>
      <c r="M307">
        <v>419.72</v>
      </c>
      <c r="N307">
        <v>46</v>
      </c>
      <c r="O307" t="str">
        <f>"Q"&amp;ROUNDUP(MONTH(Transactions[[#This Row],[Transaction Date]])/3,0)</f>
        <v>Q2</v>
      </c>
      <c r="P307">
        <f>YEAR(Transactions[[#This Row],[Transaction Date]])</f>
        <v>2023</v>
      </c>
      <c r="Q307" t="str">
        <f>IF(Transactions[[#This Row],[Sales Amount]]&lt;AVERAGE(Transactions[Sales Amount]),"Below Average","At/Above Average")</f>
        <v>At/Above Average</v>
      </c>
    </row>
    <row r="308" spans="4:17" x14ac:dyDescent="0.2">
      <c r="D308" t="s">
        <v>398</v>
      </c>
      <c r="E308" t="s">
        <v>76</v>
      </c>
      <c r="F308" t="s">
        <v>105</v>
      </c>
      <c r="G308">
        <v>160</v>
      </c>
      <c r="H308">
        <v>5</v>
      </c>
      <c r="I308">
        <v>53.46</v>
      </c>
      <c r="J308">
        <v>2</v>
      </c>
      <c r="K308" s="37">
        <v>45041</v>
      </c>
      <c r="L308" t="s">
        <v>124</v>
      </c>
      <c r="M308">
        <v>373.44</v>
      </c>
      <c r="N308">
        <v>22</v>
      </c>
      <c r="O308" t="str">
        <f>"Q"&amp;ROUNDUP(MONTH(Transactions[[#This Row],[Transaction Date]])/3,0)</f>
        <v>Q2</v>
      </c>
      <c r="P308">
        <f>YEAR(Transactions[[#This Row],[Transaction Date]])</f>
        <v>2023</v>
      </c>
      <c r="Q308" t="str">
        <f>IF(Transactions[[#This Row],[Sales Amount]]&lt;AVERAGE(Transactions[Sales Amount]),"Below Average","At/Above Average")</f>
        <v>At/Above Average</v>
      </c>
    </row>
    <row r="309" spans="4:17" x14ac:dyDescent="0.2">
      <c r="D309" t="s">
        <v>399</v>
      </c>
      <c r="E309" t="s">
        <v>87</v>
      </c>
      <c r="F309" t="s">
        <v>108</v>
      </c>
      <c r="G309">
        <v>216</v>
      </c>
      <c r="H309">
        <v>5</v>
      </c>
      <c r="I309">
        <v>59.25</v>
      </c>
      <c r="J309">
        <v>9</v>
      </c>
      <c r="K309" s="37">
        <v>45365</v>
      </c>
      <c r="L309" t="s">
        <v>89</v>
      </c>
      <c r="M309">
        <v>351.56</v>
      </c>
      <c r="N309">
        <v>30</v>
      </c>
      <c r="O309" t="str">
        <f>"Q"&amp;ROUNDUP(MONTH(Transactions[[#This Row],[Transaction Date]])/3,0)</f>
        <v>Q1</v>
      </c>
      <c r="P309">
        <f>YEAR(Transactions[[#This Row],[Transaction Date]])</f>
        <v>2024</v>
      </c>
      <c r="Q309" t="str">
        <f>IF(Transactions[[#This Row],[Sales Amount]]&lt;AVERAGE(Transactions[Sales Amount]),"Below Average","At/Above Average")</f>
        <v>At/Above Average</v>
      </c>
    </row>
    <row r="310" spans="4:17" x14ac:dyDescent="0.2">
      <c r="D310" t="s">
        <v>400</v>
      </c>
      <c r="E310" t="s">
        <v>87</v>
      </c>
      <c r="F310" t="s">
        <v>99</v>
      </c>
      <c r="G310">
        <v>285</v>
      </c>
      <c r="H310">
        <v>9</v>
      </c>
      <c r="I310">
        <v>46.58</v>
      </c>
      <c r="J310">
        <v>6</v>
      </c>
      <c r="K310" s="37">
        <v>44926</v>
      </c>
      <c r="L310" t="s">
        <v>92</v>
      </c>
      <c r="M310">
        <v>324.55</v>
      </c>
      <c r="N310">
        <v>24</v>
      </c>
      <c r="O310" t="str">
        <f>"Q"&amp;ROUNDUP(MONTH(Transactions[[#This Row],[Transaction Date]])/3,0)</f>
        <v>Q4</v>
      </c>
      <c r="P310">
        <f>YEAR(Transactions[[#This Row],[Transaction Date]])</f>
        <v>2022</v>
      </c>
      <c r="Q310" t="str">
        <f>IF(Transactions[[#This Row],[Sales Amount]]&lt;AVERAGE(Transactions[Sales Amount]),"Below Average","At/Above Average")</f>
        <v>At/Above Average</v>
      </c>
    </row>
    <row r="311" spans="4:17" x14ac:dyDescent="0.2">
      <c r="D311" t="s">
        <v>401</v>
      </c>
      <c r="E311" t="s">
        <v>78</v>
      </c>
      <c r="F311" t="s">
        <v>105</v>
      </c>
      <c r="G311">
        <v>270</v>
      </c>
      <c r="H311">
        <v>10</v>
      </c>
      <c r="I311">
        <v>56.65</v>
      </c>
      <c r="J311">
        <v>4</v>
      </c>
      <c r="K311" s="37">
        <v>45523</v>
      </c>
      <c r="L311" t="s">
        <v>92</v>
      </c>
      <c r="M311">
        <v>215.51</v>
      </c>
      <c r="N311">
        <v>14</v>
      </c>
      <c r="O311" t="str">
        <f>"Q"&amp;ROUNDUP(MONTH(Transactions[[#This Row],[Transaction Date]])/3,0)</f>
        <v>Q3</v>
      </c>
      <c r="P311">
        <f>YEAR(Transactions[[#This Row],[Transaction Date]])</f>
        <v>2024</v>
      </c>
      <c r="Q311" t="str">
        <f>IF(Transactions[[#This Row],[Sales Amount]]&lt;AVERAGE(Transactions[Sales Amount]),"Below Average","At/Above Average")</f>
        <v>Below Average</v>
      </c>
    </row>
    <row r="312" spans="4:17" x14ac:dyDescent="0.2">
      <c r="D312" t="s">
        <v>402</v>
      </c>
      <c r="E312" t="s">
        <v>76</v>
      </c>
      <c r="F312" t="s">
        <v>129</v>
      </c>
      <c r="G312">
        <v>137</v>
      </c>
      <c r="H312">
        <v>9</v>
      </c>
      <c r="I312">
        <v>56.06</v>
      </c>
      <c r="J312">
        <v>9</v>
      </c>
      <c r="K312" s="37">
        <v>44593</v>
      </c>
      <c r="L312" t="s">
        <v>109</v>
      </c>
      <c r="M312">
        <v>35.520000000000003</v>
      </c>
      <c r="N312">
        <v>15</v>
      </c>
      <c r="O312" t="str">
        <f>"Q"&amp;ROUNDUP(MONTH(Transactions[[#This Row],[Transaction Date]])/3,0)</f>
        <v>Q1</v>
      </c>
      <c r="P312">
        <f>YEAR(Transactions[[#This Row],[Transaction Date]])</f>
        <v>2022</v>
      </c>
      <c r="Q312" t="str">
        <f>IF(Transactions[[#This Row],[Sales Amount]]&lt;AVERAGE(Transactions[Sales Amount]),"Below Average","At/Above Average")</f>
        <v>Below Average</v>
      </c>
    </row>
    <row r="313" spans="4:17" x14ac:dyDescent="0.2">
      <c r="D313" t="s">
        <v>403</v>
      </c>
      <c r="E313" t="s">
        <v>76</v>
      </c>
      <c r="F313" t="s">
        <v>94</v>
      </c>
      <c r="G313">
        <v>244</v>
      </c>
      <c r="H313">
        <v>2</v>
      </c>
      <c r="I313">
        <v>53.87</v>
      </c>
      <c r="J313">
        <v>3</v>
      </c>
      <c r="K313" s="37">
        <v>45011</v>
      </c>
      <c r="L313" t="s">
        <v>102</v>
      </c>
      <c r="M313">
        <v>275.08999999999997</v>
      </c>
      <c r="N313">
        <v>37</v>
      </c>
      <c r="O313" t="str">
        <f>"Q"&amp;ROUNDUP(MONTH(Transactions[[#This Row],[Transaction Date]])/3,0)</f>
        <v>Q1</v>
      </c>
      <c r="P313">
        <f>YEAR(Transactions[[#This Row],[Transaction Date]])</f>
        <v>2023</v>
      </c>
      <c r="Q313" t="str">
        <f>IF(Transactions[[#This Row],[Sales Amount]]&lt;AVERAGE(Transactions[Sales Amount]),"Below Average","At/Above Average")</f>
        <v>At/Above Average</v>
      </c>
    </row>
    <row r="314" spans="4:17" x14ac:dyDescent="0.2">
      <c r="D314" t="s">
        <v>404</v>
      </c>
      <c r="E314" t="s">
        <v>74</v>
      </c>
      <c r="F314" t="s">
        <v>99</v>
      </c>
      <c r="G314">
        <v>225</v>
      </c>
      <c r="H314">
        <v>10</v>
      </c>
      <c r="I314">
        <v>56.34</v>
      </c>
      <c r="J314">
        <v>4</v>
      </c>
      <c r="K314" s="37">
        <v>45169</v>
      </c>
      <c r="L314" t="s">
        <v>124</v>
      </c>
      <c r="M314">
        <v>363.18</v>
      </c>
      <c r="N314">
        <v>2</v>
      </c>
      <c r="O314" t="str">
        <f>"Q"&amp;ROUNDUP(MONTH(Transactions[[#This Row],[Transaction Date]])/3,0)</f>
        <v>Q3</v>
      </c>
      <c r="P314">
        <f>YEAR(Transactions[[#This Row],[Transaction Date]])</f>
        <v>2023</v>
      </c>
      <c r="Q314" t="str">
        <f>IF(Transactions[[#This Row],[Sales Amount]]&lt;AVERAGE(Transactions[Sales Amount]),"Below Average","At/Above Average")</f>
        <v>At/Above Average</v>
      </c>
    </row>
    <row r="315" spans="4:17" x14ac:dyDescent="0.2">
      <c r="D315" t="s">
        <v>405</v>
      </c>
      <c r="E315" t="s">
        <v>87</v>
      </c>
      <c r="F315" t="s">
        <v>108</v>
      </c>
      <c r="G315">
        <v>126</v>
      </c>
      <c r="H315">
        <v>1</v>
      </c>
      <c r="I315">
        <v>59.31</v>
      </c>
      <c r="J315">
        <v>10</v>
      </c>
      <c r="K315" s="37">
        <v>44658</v>
      </c>
      <c r="L315" t="s">
        <v>92</v>
      </c>
      <c r="M315">
        <v>282.17</v>
      </c>
      <c r="N315">
        <v>22</v>
      </c>
      <c r="O315" t="str">
        <f>"Q"&amp;ROUNDUP(MONTH(Transactions[[#This Row],[Transaction Date]])/3,0)</f>
        <v>Q2</v>
      </c>
      <c r="P315">
        <f>YEAR(Transactions[[#This Row],[Transaction Date]])</f>
        <v>2022</v>
      </c>
      <c r="Q315" t="str">
        <f>IF(Transactions[[#This Row],[Sales Amount]]&lt;AVERAGE(Transactions[Sales Amount]),"Below Average","At/Above Average")</f>
        <v>At/Above Average</v>
      </c>
    </row>
    <row r="316" spans="4:17" x14ac:dyDescent="0.2">
      <c r="D316" t="s">
        <v>406</v>
      </c>
      <c r="E316" t="s">
        <v>75</v>
      </c>
      <c r="F316" t="s">
        <v>105</v>
      </c>
      <c r="G316">
        <v>115</v>
      </c>
      <c r="H316">
        <v>8</v>
      </c>
      <c r="I316">
        <v>52.6</v>
      </c>
      <c r="J316">
        <v>4</v>
      </c>
      <c r="K316" s="37">
        <v>44597</v>
      </c>
      <c r="L316" t="s">
        <v>109</v>
      </c>
      <c r="M316">
        <v>132.04</v>
      </c>
      <c r="N316">
        <v>25</v>
      </c>
      <c r="O316" t="str">
        <f>"Q"&amp;ROUNDUP(MONTH(Transactions[[#This Row],[Transaction Date]])/3,0)</f>
        <v>Q1</v>
      </c>
      <c r="P316">
        <f>YEAR(Transactions[[#This Row],[Transaction Date]])</f>
        <v>2022</v>
      </c>
      <c r="Q316" t="str">
        <f>IF(Transactions[[#This Row],[Sales Amount]]&lt;AVERAGE(Transactions[Sales Amount]),"Below Average","At/Above Average")</f>
        <v>Below Average</v>
      </c>
    </row>
    <row r="317" spans="4:17" x14ac:dyDescent="0.2">
      <c r="D317" t="s">
        <v>407</v>
      </c>
      <c r="E317" t="s">
        <v>74</v>
      </c>
      <c r="F317" t="s">
        <v>91</v>
      </c>
      <c r="G317">
        <v>200</v>
      </c>
      <c r="H317">
        <v>1</v>
      </c>
      <c r="I317">
        <v>53.83</v>
      </c>
      <c r="J317">
        <v>5</v>
      </c>
      <c r="K317" s="37">
        <v>44584</v>
      </c>
      <c r="L317" t="s">
        <v>92</v>
      </c>
      <c r="M317">
        <v>490.11</v>
      </c>
      <c r="N317">
        <v>48</v>
      </c>
      <c r="O317" t="str">
        <f>"Q"&amp;ROUNDUP(MONTH(Transactions[[#This Row],[Transaction Date]])/3,0)</f>
        <v>Q1</v>
      </c>
      <c r="P317">
        <f>YEAR(Transactions[[#This Row],[Transaction Date]])</f>
        <v>2022</v>
      </c>
      <c r="Q317" t="str">
        <f>IF(Transactions[[#This Row],[Sales Amount]]&lt;AVERAGE(Transactions[Sales Amount]),"Below Average","At/Above Average")</f>
        <v>At/Above Average</v>
      </c>
    </row>
    <row r="318" spans="4:17" x14ac:dyDescent="0.2">
      <c r="D318" t="s">
        <v>408</v>
      </c>
      <c r="E318" t="s">
        <v>74</v>
      </c>
      <c r="F318" t="s">
        <v>94</v>
      </c>
      <c r="G318">
        <v>284</v>
      </c>
      <c r="H318">
        <v>10</v>
      </c>
      <c r="I318">
        <v>47.55</v>
      </c>
      <c r="J318">
        <v>4</v>
      </c>
      <c r="K318" s="37">
        <v>45608</v>
      </c>
      <c r="L318" t="s">
        <v>92</v>
      </c>
      <c r="M318">
        <v>211.79</v>
      </c>
      <c r="N318">
        <v>28</v>
      </c>
      <c r="O318" t="str">
        <f>"Q"&amp;ROUNDUP(MONTH(Transactions[[#This Row],[Transaction Date]])/3,0)</f>
        <v>Q4</v>
      </c>
      <c r="P318">
        <f>YEAR(Transactions[[#This Row],[Transaction Date]])</f>
        <v>2024</v>
      </c>
      <c r="Q318" t="str">
        <f>IF(Transactions[[#This Row],[Sales Amount]]&lt;AVERAGE(Transactions[Sales Amount]),"Below Average","At/Above Average")</f>
        <v>Below Average</v>
      </c>
    </row>
    <row r="319" spans="4:17" x14ac:dyDescent="0.2">
      <c r="D319" t="s">
        <v>409</v>
      </c>
      <c r="E319" t="s">
        <v>75</v>
      </c>
      <c r="F319" t="s">
        <v>105</v>
      </c>
      <c r="G319">
        <v>240</v>
      </c>
      <c r="H319">
        <v>9</v>
      </c>
      <c r="I319">
        <v>55.55</v>
      </c>
      <c r="J319">
        <v>2</v>
      </c>
      <c r="K319" s="37">
        <v>44689</v>
      </c>
      <c r="L319" t="s">
        <v>109</v>
      </c>
      <c r="M319">
        <v>144.21</v>
      </c>
      <c r="N319">
        <v>44</v>
      </c>
      <c r="O319" t="str">
        <f>"Q"&amp;ROUNDUP(MONTH(Transactions[[#This Row],[Transaction Date]])/3,0)</f>
        <v>Q2</v>
      </c>
      <c r="P319">
        <f>YEAR(Transactions[[#This Row],[Transaction Date]])</f>
        <v>2022</v>
      </c>
      <c r="Q319" t="str">
        <f>IF(Transactions[[#This Row],[Sales Amount]]&lt;AVERAGE(Transactions[Sales Amount]),"Below Average","At/Above Average")</f>
        <v>Below Average</v>
      </c>
    </row>
    <row r="320" spans="4:17" x14ac:dyDescent="0.2">
      <c r="D320" t="s">
        <v>410</v>
      </c>
      <c r="E320" t="s">
        <v>74</v>
      </c>
      <c r="F320" t="s">
        <v>108</v>
      </c>
      <c r="G320">
        <v>250</v>
      </c>
      <c r="H320">
        <v>6</v>
      </c>
      <c r="I320">
        <v>51.48</v>
      </c>
      <c r="J320">
        <v>3</v>
      </c>
      <c r="K320" s="37">
        <v>44636</v>
      </c>
      <c r="L320" t="s">
        <v>109</v>
      </c>
      <c r="M320">
        <v>112.45</v>
      </c>
      <c r="N320">
        <v>42</v>
      </c>
      <c r="O320" t="str">
        <f>"Q"&amp;ROUNDUP(MONTH(Transactions[[#This Row],[Transaction Date]])/3,0)</f>
        <v>Q1</v>
      </c>
      <c r="P320">
        <f>YEAR(Transactions[[#This Row],[Transaction Date]])</f>
        <v>2022</v>
      </c>
      <c r="Q320" t="str">
        <f>IF(Transactions[[#This Row],[Sales Amount]]&lt;AVERAGE(Transactions[Sales Amount]),"Below Average","At/Above Average")</f>
        <v>Below Average</v>
      </c>
    </row>
    <row r="321" spans="4:17" x14ac:dyDescent="0.2">
      <c r="D321" t="s">
        <v>411</v>
      </c>
      <c r="E321" t="s">
        <v>75</v>
      </c>
      <c r="F321" t="s">
        <v>94</v>
      </c>
      <c r="G321">
        <v>221</v>
      </c>
      <c r="H321">
        <v>10</v>
      </c>
      <c r="I321">
        <v>57.86</v>
      </c>
      <c r="J321">
        <v>9</v>
      </c>
      <c r="K321" s="37">
        <v>45047</v>
      </c>
      <c r="L321" t="s">
        <v>97</v>
      </c>
      <c r="M321">
        <v>348.2</v>
      </c>
      <c r="N321">
        <v>4</v>
      </c>
      <c r="O321" t="str">
        <f>"Q"&amp;ROUNDUP(MONTH(Transactions[[#This Row],[Transaction Date]])/3,0)</f>
        <v>Q2</v>
      </c>
      <c r="P321">
        <f>YEAR(Transactions[[#This Row],[Transaction Date]])</f>
        <v>2023</v>
      </c>
      <c r="Q321" t="str">
        <f>IF(Transactions[[#This Row],[Sales Amount]]&lt;AVERAGE(Transactions[Sales Amount]),"Below Average","At/Above Average")</f>
        <v>At/Above Average</v>
      </c>
    </row>
    <row r="322" spans="4:17" x14ac:dyDescent="0.2">
      <c r="D322" t="s">
        <v>412</v>
      </c>
      <c r="E322" t="s">
        <v>75</v>
      </c>
      <c r="F322" t="s">
        <v>129</v>
      </c>
      <c r="G322">
        <v>159</v>
      </c>
      <c r="H322">
        <v>8</v>
      </c>
      <c r="I322">
        <v>57.28</v>
      </c>
      <c r="J322">
        <v>3</v>
      </c>
      <c r="K322" s="37">
        <v>44981</v>
      </c>
      <c r="L322" t="s">
        <v>102</v>
      </c>
      <c r="M322">
        <v>60.5</v>
      </c>
      <c r="N322">
        <v>18</v>
      </c>
      <c r="O322" t="str">
        <f>"Q"&amp;ROUNDUP(MONTH(Transactions[[#This Row],[Transaction Date]])/3,0)</f>
        <v>Q1</v>
      </c>
      <c r="P322">
        <f>YEAR(Transactions[[#This Row],[Transaction Date]])</f>
        <v>2023</v>
      </c>
      <c r="Q322" t="str">
        <f>IF(Transactions[[#This Row],[Sales Amount]]&lt;AVERAGE(Transactions[Sales Amount]),"Below Average","At/Above Average")</f>
        <v>Below Average</v>
      </c>
    </row>
    <row r="323" spans="4:17" x14ac:dyDescent="0.2">
      <c r="D323" t="s">
        <v>413</v>
      </c>
      <c r="E323" t="s">
        <v>74</v>
      </c>
      <c r="F323" t="s">
        <v>99</v>
      </c>
      <c r="G323">
        <v>184</v>
      </c>
      <c r="H323">
        <v>5</v>
      </c>
      <c r="I323">
        <v>47.79</v>
      </c>
      <c r="J323">
        <v>6</v>
      </c>
      <c r="K323" s="37">
        <v>44609</v>
      </c>
      <c r="L323" t="s">
        <v>109</v>
      </c>
      <c r="M323">
        <v>389.59</v>
      </c>
      <c r="N323">
        <v>6</v>
      </c>
      <c r="O323" t="str">
        <f>"Q"&amp;ROUNDUP(MONTH(Transactions[[#This Row],[Transaction Date]])/3,0)</f>
        <v>Q1</v>
      </c>
      <c r="P323">
        <f>YEAR(Transactions[[#This Row],[Transaction Date]])</f>
        <v>2022</v>
      </c>
      <c r="Q323" t="str">
        <f>IF(Transactions[[#This Row],[Sales Amount]]&lt;AVERAGE(Transactions[Sales Amount]),"Below Average","At/Above Average")</f>
        <v>At/Above Average</v>
      </c>
    </row>
    <row r="324" spans="4:17" x14ac:dyDescent="0.2">
      <c r="D324" t="s">
        <v>414</v>
      </c>
      <c r="E324" t="s">
        <v>77</v>
      </c>
      <c r="F324" t="s">
        <v>129</v>
      </c>
      <c r="G324">
        <v>268</v>
      </c>
      <c r="H324">
        <v>10</v>
      </c>
      <c r="I324">
        <v>58.37</v>
      </c>
      <c r="J324">
        <v>8</v>
      </c>
      <c r="K324" s="37">
        <v>45267</v>
      </c>
      <c r="L324" t="s">
        <v>109</v>
      </c>
      <c r="M324">
        <v>40.6</v>
      </c>
      <c r="N324">
        <v>37</v>
      </c>
      <c r="O324" t="str">
        <f>"Q"&amp;ROUNDUP(MONTH(Transactions[[#This Row],[Transaction Date]])/3,0)</f>
        <v>Q4</v>
      </c>
      <c r="P324">
        <f>YEAR(Transactions[[#This Row],[Transaction Date]])</f>
        <v>2023</v>
      </c>
      <c r="Q324" t="str">
        <f>IF(Transactions[[#This Row],[Sales Amount]]&lt;AVERAGE(Transactions[Sales Amount]),"Below Average","At/Above Average")</f>
        <v>Below Average</v>
      </c>
    </row>
    <row r="325" spans="4:17" x14ac:dyDescent="0.2">
      <c r="D325" t="s">
        <v>415</v>
      </c>
      <c r="E325" t="s">
        <v>76</v>
      </c>
      <c r="F325" t="s">
        <v>88</v>
      </c>
      <c r="G325">
        <v>290</v>
      </c>
      <c r="H325">
        <v>8</v>
      </c>
      <c r="I325">
        <v>50.78</v>
      </c>
      <c r="J325">
        <v>8</v>
      </c>
      <c r="K325" s="37">
        <v>45599</v>
      </c>
      <c r="L325" t="s">
        <v>97</v>
      </c>
      <c r="M325">
        <v>70.17</v>
      </c>
      <c r="N325">
        <v>21</v>
      </c>
      <c r="O325" t="str">
        <f>"Q"&amp;ROUNDUP(MONTH(Transactions[[#This Row],[Transaction Date]])/3,0)</f>
        <v>Q4</v>
      </c>
      <c r="P325">
        <f>YEAR(Transactions[[#This Row],[Transaction Date]])</f>
        <v>2024</v>
      </c>
      <c r="Q325" t="str">
        <f>IF(Transactions[[#This Row],[Sales Amount]]&lt;AVERAGE(Transactions[Sales Amount]),"Below Average","At/Above Average")</f>
        <v>Below Average</v>
      </c>
    </row>
    <row r="326" spans="4:17" x14ac:dyDescent="0.2">
      <c r="D326" t="s">
        <v>416</v>
      </c>
      <c r="E326" t="s">
        <v>75</v>
      </c>
      <c r="F326" t="s">
        <v>94</v>
      </c>
      <c r="G326">
        <v>108</v>
      </c>
      <c r="H326">
        <v>3</v>
      </c>
      <c r="I326">
        <v>59.93</v>
      </c>
      <c r="J326">
        <v>2</v>
      </c>
      <c r="K326" s="37">
        <v>45126</v>
      </c>
      <c r="L326" t="s">
        <v>97</v>
      </c>
      <c r="M326">
        <v>93.08</v>
      </c>
      <c r="N326">
        <v>13</v>
      </c>
      <c r="O326" t="str">
        <f>"Q"&amp;ROUNDUP(MONTH(Transactions[[#This Row],[Transaction Date]])/3,0)</f>
        <v>Q3</v>
      </c>
      <c r="P326">
        <f>YEAR(Transactions[[#This Row],[Transaction Date]])</f>
        <v>2023</v>
      </c>
      <c r="Q326" t="str">
        <f>IF(Transactions[[#This Row],[Sales Amount]]&lt;AVERAGE(Transactions[Sales Amount]),"Below Average","At/Above Average")</f>
        <v>Below Average</v>
      </c>
    </row>
    <row r="327" spans="4:17" x14ac:dyDescent="0.2">
      <c r="D327" t="s">
        <v>417</v>
      </c>
      <c r="E327" t="s">
        <v>78</v>
      </c>
      <c r="F327" t="s">
        <v>88</v>
      </c>
      <c r="G327">
        <v>113</v>
      </c>
      <c r="H327">
        <v>5</v>
      </c>
      <c r="I327">
        <v>57.52</v>
      </c>
      <c r="J327">
        <v>2</v>
      </c>
      <c r="K327" s="37">
        <v>45295</v>
      </c>
      <c r="L327" t="s">
        <v>92</v>
      </c>
      <c r="M327">
        <v>42.59</v>
      </c>
      <c r="N327">
        <v>2</v>
      </c>
      <c r="O327" t="str">
        <f>"Q"&amp;ROUNDUP(MONTH(Transactions[[#This Row],[Transaction Date]])/3,0)</f>
        <v>Q1</v>
      </c>
      <c r="P327">
        <f>YEAR(Transactions[[#This Row],[Transaction Date]])</f>
        <v>2024</v>
      </c>
      <c r="Q327" t="str">
        <f>IF(Transactions[[#This Row],[Sales Amount]]&lt;AVERAGE(Transactions[Sales Amount]),"Below Average","At/Above Average")</f>
        <v>Below Average</v>
      </c>
    </row>
    <row r="328" spans="4:17" x14ac:dyDescent="0.2">
      <c r="D328" t="s">
        <v>418</v>
      </c>
      <c r="E328" t="s">
        <v>75</v>
      </c>
      <c r="F328" t="s">
        <v>94</v>
      </c>
      <c r="G328">
        <v>235</v>
      </c>
      <c r="H328">
        <v>1</v>
      </c>
      <c r="I328">
        <v>46.17</v>
      </c>
      <c r="J328">
        <v>2</v>
      </c>
      <c r="K328" s="37">
        <v>45570</v>
      </c>
      <c r="L328" t="s">
        <v>102</v>
      </c>
      <c r="M328">
        <v>264.70999999999998</v>
      </c>
      <c r="N328">
        <v>18</v>
      </c>
      <c r="O328" t="str">
        <f>"Q"&amp;ROUNDUP(MONTH(Transactions[[#This Row],[Transaction Date]])/3,0)</f>
        <v>Q4</v>
      </c>
      <c r="P328">
        <f>YEAR(Transactions[[#This Row],[Transaction Date]])</f>
        <v>2024</v>
      </c>
      <c r="Q328" t="str">
        <f>IF(Transactions[[#This Row],[Sales Amount]]&lt;AVERAGE(Transactions[Sales Amount]),"Below Average","At/Above Average")</f>
        <v>At/Above Average</v>
      </c>
    </row>
    <row r="329" spans="4:17" x14ac:dyDescent="0.2">
      <c r="D329" t="s">
        <v>419</v>
      </c>
      <c r="E329" t="s">
        <v>78</v>
      </c>
      <c r="F329" t="s">
        <v>105</v>
      </c>
      <c r="G329">
        <v>129</v>
      </c>
      <c r="H329">
        <v>1</v>
      </c>
      <c r="I329">
        <v>47.59</v>
      </c>
      <c r="J329">
        <v>9</v>
      </c>
      <c r="K329" s="37">
        <v>44769</v>
      </c>
      <c r="L329" t="s">
        <v>92</v>
      </c>
      <c r="M329">
        <v>73.73</v>
      </c>
      <c r="N329">
        <v>4</v>
      </c>
      <c r="O329" t="str">
        <f>"Q"&amp;ROUNDUP(MONTH(Transactions[[#This Row],[Transaction Date]])/3,0)</f>
        <v>Q3</v>
      </c>
      <c r="P329">
        <f>YEAR(Transactions[[#This Row],[Transaction Date]])</f>
        <v>2022</v>
      </c>
      <c r="Q329" t="str">
        <f>IF(Transactions[[#This Row],[Sales Amount]]&lt;AVERAGE(Transactions[Sales Amount]),"Below Average","At/Above Average")</f>
        <v>Below Average</v>
      </c>
    </row>
    <row r="330" spans="4:17" x14ac:dyDescent="0.2">
      <c r="D330" t="s">
        <v>420</v>
      </c>
      <c r="E330" t="s">
        <v>77</v>
      </c>
      <c r="F330" t="s">
        <v>99</v>
      </c>
      <c r="G330">
        <v>208</v>
      </c>
      <c r="H330">
        <v>10</v>
      </c>
      <c r="I330">
        <v>45.84</v>
      </c>
      <c r="J330">
        <v>1</v>
      </c>
      <c r="K330" s="37">
        <v>44866</v>
      </c>
      <c r="L330" t="s">
        <v>97</v>
      </c>
      <c r="M330">
        <v>334.62</v>
      </c>
      <c r="N330">
        <v>26</v>
      </c>
      <c r="O330" t="str">
        <f>"Q"&amp;ROUNDUP(MONTH(Transactions[[#This Row],[Transaction Date]])/3,0)</f>
        <v>Q4</v>
      </c>
      <c r="P330">
        <f>YEAR(Transactions[[#This Row],[Transaction Date]])</f>
        <v>2022</v>
      </c>
      <c r="Q330" t="str">
        <f>IF(Transactions[[#This Row],[Sales Amount]]&lt;AVERAGE(Transactions[Sales Amount]),"Below Average","At/Above Average")</f>
        <v>At/Above Average</v>
      </c>
    </row>
    <row r="331" spans="4:17" x14ac:dyDescent="0.2">
      <c r="D331" t="s">
        <v>421</v>
      </c>
      <c r="E331" t="s">
        <v>75</v>
      </c>
      <c r="F331" t="s">
        <v>99</v>
      </c>
      <c r="G331">
        <v>201</v>
      </c>
      <c r="H331">
        <v>4</v>
      </c>
      <c r="I331">
        <v>47.1</v>
      </c>
      <c r="J331">
        <v>2</v>
      </c>
      <c r="K331" s="37">
        <v>45483</v>
      </c>
      <c r="L331" t="s">
        <v>92</v>
      </c>
      <c r="M331">
        <v>78.459999999999994</v>
      </c>
      <c r="N331">
        <v>33</v>
      </c>
      <c r="O331" t="str">
        <f>"Q"&amp;ROUNDUP(MONTH(Transactions[[#This Row],[Transaction Date]])/3,0)</f>
        <v>Q3</v>
      </c>
      <c r="P331">
        <f>YEAR(Transactions[[#This Row],[Transaction Date]])</f>
        <v>2024</v>
      </c>
      <c r="Q331" t="str">
        <f>IF(Transactions[[#This Row],[Sales Amount]]&lt;AVERAGE(Transactions[Sales Amount]),"Below Average","At/Above Average")</f>
        <v>Below Average</v>
      </c>
    </row>
    <row r="332" spans="4:17" x14ac:dyDescent="0.2">
      <c r="D332" t="s">
        <v>422</v>
      </c>
      <c r="E332" t="s">
        <v>76</v>
      </c>
      <c r="F332" t="s">
        <v>108</v>
      </c>
      <c r="G332">
        <v>293</v>
      </c>
      <c r="H332">
        <v>9</v>
      </c>
      <c r="I332">
        <v>48.44</v>
      </c>
      <c r="J332">
        <v>8</v>
      </c>
      <c r="K332" s="37">
        <v>45323</v>
      </c>
      <c r="L332" t="s">
        <v>102</v>
      </c>
      <c r="M332">
        <v>63.75</v>
      </c>
      <c r="N332">
        <v>48</v>
      </c>
      <c r="O332" t="str">
        <f>"Q"&amp;ROUNDUP(MONTH(Transactions[[#This Row],[Transaction Date]])/3,0)</f>
        <v>Q1</v>
      </c>
      <c r="P332">
        <f>YEAR(Transactions[[#This Row],[Transaction Date]])</f>
        <v>2024</v>
      </c>
      <c r="Q332" t="str">
        <f>IF(Transactions[[#This Row],[Sales Amount]]&lt;AVERAGE(Transactions[Sales Amount]),"Below Average","At/Above Average")</f>
        <v>Below Average</v>
      </c>
    </row>
    <row r="333" spans="4:17" x14ac:dyDescent="0.2">
      <c r="D333" t="s">
        <v>423</v>
      </c>
      <c r="E333" t="s">
        <v>78</v>
      </c>
      <c r="F333" t="s">
        <v>88</v>
      </c>
      <c r="G333">
        <v>222</v>
      </c>
      <c r="H333">
        <v>6</v>
      </c>
      <c r="I333">
        <v>59.78</v>
      </c>
      <c r="J333">
        <v>7</v>
      </c>
      <c r="K333" s="37">
        <v>44828</v>
      </c>
      <c r="L333" t="s">
        <v>102</v>
      </c>
      <c r="M333">
        <v>318.37</v>
      </c>
      <c r="N333">
        <v>43</v>
      </c>
      <c r="O333" t="str">
        <f>"Q"&amp;ROUNDUP(MONTH(Transactions[[#This Row],[Transaction Date]])/3,0)</f>
        <v>Q3</v>
      </c>
      <c r="P333">
        <f>YEAR(Transactions[[#This Row],[Transaction Date]])</f>
        <v>2022</v>
      </c>
      <c r="Q333" t="str">
        <f>IF(Transactions[[#This Row],[Sales Amount]]&lt;AVERAGE(Transactions[Sales Amount]),"Below Average","At/Above Average")</f>
        <v>At/Above Average</v>
      </c>
    </row>
    <row r="334" spans="4:17" x14ac:dyDescent="0.2">
      <c r="D334" t="s">
        <v>424</v>
      </c>
      <c r="E334" t="s">
        <v>74</v>
      </c>
      <c r="F334" t="s">
        <v>99</v>
      </c>
      <c r="G334">
        <v>233</v>
      </c>
      <c r="H334">
        <v>8</v>
      </c>
      <c r="I334">
        <v>47.05</v>
      </c>
      <c r="J334">
        <v>2</v>
      </c>
      <c r="K334" s="37">
        <v>44622</v>
      </c>
      <c r="L334" t="s">
        <v>97</v>
      </c>
      <c r="M334">
        <v>62.18</v>
      </c>
      <c r="N334">
        <v>15</v>
      </c>
      <c r="O334" t="str">
        <f>"Q"&amp;ROUNDUP(MONTH(Transactions[[#This Row],[Transaction Date]])/3,0)</f>
        <v>Q1</v>
      </c>
      <c r="P334">
        <f>YEAR(Transactions[[#This Row],[Transaction Date]])</f>
        <v>2022</v>
      </c>
      <c r="Q334" t="str">
        <f>IF(Transactions[[#This Row],[Sales Amount]]&lt;AVERAGE(Transactions[Sales Amount]),"Below Average","At/Above Average")</f>
        <v>Below Average</v>
      </c>
    </row>
    <row r="335" spans="4:17" x14ac:dyDescent="0.2">
      <c r="D335" t="s">
        <v>425</v>
      </c>
      <c r="E335" t="s">
        <v>87</v>
      </c>
      <c r="F335" t="s">
        <v>88</v>
      </c>
      <c r="G335">
        <v>203</v>
      </c>
      <c r="H335">
        <v>9</v>
      </c>
      <c r="I335">
        <v>48.54</v>
      </c>
      <c r="J335">
        <v>3</v>
      </c>
      <c r="K335" s="37">
        <v>45514</v>
      </c>
      <c r="L335" t="s">
        <v>92</v>
      </c>
      <c r="M335">
        <v>486.74</v>
      </c>
      <c r="N335">
        <v>2</v>
      </c>
      <c r="O335" t="str">
        <f>"Q"&amp;ROUNDUP(MONTH(Transactions[[#This Row],[Transaction Date]])/3,0)</f>
        <v>Q3</v>
      </c>
      <c r="P335">
        <f>YEAR(Transactions[[#This Row],[Transaction Date]])</f>
        <v>2024</v>
      </c>
      <c r="Q335" t="str">
        <f>IF(Transactions[[#This Row],[Sales Amount]]&lt;AVERAGE(Transactions[Sales Amount]),"Below Average","At/Above Average")</f>
        <v>At/Above Average</v>
      </c>
    </row>
    <row r="336" spans="4:17" x14ac:dyDescent="0.2">
      <c r="D336" t="s">
        <v>426</v>
      </c>
      <c r="E336" t="s">
        <v>76</v>
      </c>
      <c r="F336" t="s">
        <v>99</v>
      </c>
      <c r="G336">
        <v>252</v>
      </c>
      <c r="H336">
        <v>10</v>
      </c>
      <c r="I336">
        <v>49.33</v>
      </c>
      <c r="J336">
        <v>1</v>
      </c>
      <c r="K336" s="37">
        <v>44841</v>
      </c>
      <c r="L336" t="s">
        <v>97</v>
      </c>
      <c r="M336">
        <v>77.84</v>
      </c>
      <c r="N336">
        <v>29</v>
      </c>
      <c r="O336" t="str">
        <f>"Q"&amp;ROUNDUP(MONTH(Transactions[[#This Row],[Transaction Date]])/3,0)</f>
        <v>Q4</v>
      </c>
      <c r="P336">
        <f>YEAR(Transactions[[#This Row],[Transaction Date]])</f>
        <v>2022</v>
      </c>
      <c r="Q336" t="str">
        <f>IF(Transactions[[#This Row],[Sales Amount]]&lt;AVERAGE(Transactions[Sales Amount]),"Below Average","At/Above Average")</f>
        <v>Below Average</v>
      </c>
    </row>
    <row r="337" spans="4:17" x14ac:dyDescent="0.2">
      <c r="D337" t="s">
        <v>427</v>
      </c>
      <c r="E337" t="s">
        <v>78</v>
      </c>
      <c r="F337" t="s">
        <v>105</v>
      </c>
      <c r="G337">
        <v>291</v>
      </c>
      <c r="H337">
        <v>10</v>
      </c>
      <c r="I337">
        <v>51.97</v>
      </c>
      <c r="J337">
        <v>2</v>
      </c>
      <c r="K337" s="37">
        <v>45388</v>
      </c>
      <c r="L337" t="s">
        <v>109</v>
      </c>
      <c r="M337">
        <v>373.75</v>
      </c>
      <c r="N337">
        <v>5</v>
      </c>
      <c r="O337" t="str">
        <f>"Q"&amp;ROUNDUP(MONTH(Transactions[[#This Row],[Transaction Date]])/3,0)</f>
        <v>Q2</v>
      </c>
      <c r="P337">
        <f>YEAR(Transactions[[#This Row],[Transaction Date]])</f>
        <v>2024</v>
      </c>
      <c r="Q337" t="str">
        <f>IF(Transactions[[#This Row],[Sales Amount]]&lt;AVERAGE(Transactions[Sales Amount]),"Below Average","At/Above Average")</f>
        <v>At/Above Average</v>
      </c>
    </row>
    <row r="338" spans="4:17" x14ac:dyDescent="0.2">
      <c r="D338" t="s">
        <v>428</v>
      </c>
      <c r="E338" t="s">
        <v>78</v>
      </c>
      <c r="F338" t="s">
        <v>129</v>
      </c>
      <c r="G338">
        <v>252</v>
      </c>
      <c r="H338">
        <v>3</v>
      </c>
      <c r="I338">
        <v>54.94</v>
      </c>
      <c r="J338">
        <v>7</v>
      </c>
      <c r="K338" s="37">
        <v>45526</v>
      </c>
      <c r="L338" t="s">
        <v>124</v>
      </c>
      <c r="M338">
        <v>289.17</v>
      </c>
      <c r="N338">
        <v>48</v>
      </c>
      <c r="O338" t="str">
        <f>"Q"&amp;ROUNDUP(MONTH(Transactions[[#This Row],[Transaction Date]])/3,0)</f>
        <v>Q3</v>
      </c>
      <c r="P338">
        <f>YEAR(Transactions[[#This Row],[Transaction Date]])</f>
        <v>2024</v>
      </c>
      <c r="Q338" t="str">
        <f>IF(Transactions[[#This Row],[Sales Amount]]&lt;AVERAGE(Transactions[Sales Amount]),"Below Average","At/Above Average")</f>
        <v>At/Above Average</v>
      </c>
    </row>
    <row r="339" spans="4:17" x14ac:dyDescent="0.2">
      <c r="D339" t="s">
        <v>429</v>
      </c>
      <c r="E339" t="s">
        <v>75</v>
      </c>
      <c r="F339" t="s">
        <v>108</v>
      </c>
      <c r="G339">
        <v>117</v>
      </c>
      <c r="H339">
        <v>10</v>
      </c>
      <c r="I339">
        <v>49.85</v>
      </c>
      <c r="J339">
        <v>2</v>
      </c>
      <c r="K339" s="37">
        <v>44824</v>
      </c>
      <c r="L339" t="s">
        <v>124</v>
      </c>
      <c r="M339">
        <v>317.32</v>
      </c>
      <c r="N339">
        <v>30</v>
      </c>
      <c r="O339" t="str">
        <f>"Q"&amp;ROUNDUP(MONTH(Transactions[[#This Row],[Transaction Date]])/3,0)</f>
        <v>Q3</v>
      </c>
      <c r="P339">
        <f>YEAR(Transactions[[#This Row],[Transaction Date]])</f>
        <v>2022</v>
      </c>
      <c r="Q339" t="str">
        <f>IF(Transactions[[#This Row],[Sales Amount]]&lt;AVERAGE(Transactions[Sales Amount]),"Below Average","At/Above Average")</f>
        <v>At/Above Average</v>
      </c>
    </row>
    <row r="340" spans="4:17" x14ac:dyDescent="0.2">
      <c r="D340" t="s">
        <v>430</v>
      </c>
      <c r="E340" t="s">
        <v>76</v>
      </c>
      <c r="F340" t="s">
        <v>94</v>
      </c>
      <c r="G340">
        <v>196</v>
      </c>
      <c r="H340">
        <v>5</v>
      </c>
      <c r="I340">
        <v>57.97</v>
      </c>
      <c r="J340">
        <v>6</v>
      </c>
      <c r="K340" s="37">
        <v>44682</v>
      </c>
      <c r="L340" t="s">
        <v>124</v>
      </c>
      <c r="M340">
        <v>132.81</v>
      </c>
      <c r="N340">
        <v>42</v>
      </c>
      <c r="O340" t="str">
        <f>"Q"&amp;ROUNDUP(MONTH(Transactions[[#This Row],[Transaction Date]])/3,0)</f>
        <v>Q2</v>
      </c>
      <c r="P340">
        <f>YEAR(Transactions[[#This Row],[Transaction Date]])</f>
        <v>2022</v>
      </c>
      <c r="Q340" t="str">
        <f>IF(Transactions[[#This Row],[Sales Amount]]&lt;AVERAGE(Transactions[Sales Amount]),"Below Average","At/Above Average")</f>
        <v>Below Average</v>
      </c>
    </row>
    <row r="341" spans="4:17" x14ac:dyDescent="0.2">
      <c r="D341" t="s">
        <v>431</v>
      </c>
      <c r="E341" t="s">
        <v>75</v>
      </c>
      <c r="F341" t="s">
        <v>94</v>
      </c>
      <c r="G341">
        <v>102</v>
      </c>
      <c r="H341">
        <v>5</v>
      </c>
      <c r="I341">
        <v>52.02</v>
      </c>
      <c r="J341">
        <v>5</v>
      </c>
      <c r="K341" s="37">
        <v>45074</v>
      </c>
      <c r="L341" t="s">
        <v>109</v>
      </c>
      <c r="M341">
        <v>175.26</v>
      </c>
      <c r="N341">
        <v>27</v>
      </c>
      <c r="O341" t="str">
        <f>"Q"&amp;ROUNDUP(MONTH(Transactions[[#This Row],[Transaction Date]])/3,0)</f>
        <v>Q2</v>
      </c>
      <c r="P341">
        <f>YEAR(Transactions[[#This Row],[Transaction Date]])</f>
        <v>2023</v>
      </c>
      <c r="Q341" t="str">
        <f>IF(Transactions[[#This Row],[Sales Amount]]&lt;AVERAGE(Transactions[Sales Amount]),"Below Average","At/Above Average")</f>
        <v>Below Average</v>
      </c>
    </row>
    <row r="342" spans="4:17" x14ac:dyDescent="0.2">
      <c r="D342" t="s">
        <v>432</v>
      </c>
      <c r="E342" t="s">
        <v>76</v>
      </c>
      <c r="F342" t="s">
        <v>88</v>
      </c>
      <c r="G342">
        <v>196</v>
      </c>
      <c r="H342">
        <v>6</v>
      </c>
      <c r="I342">
        <v>54.29</v>
      </c>
      <c r="J342">
        <v>1</v>
      </c>
      <c r="K342" s="37">
        <v>45612</v>
      </c>
      <c r="L342" t="s">
        <v>89</v>
      </c>
      <c r="M342">
        <v>289.79000000000002</v>
      </c>
      <c r="N342">
        <v>7</v>
      </c>
      <c r="O342" t="str">
        <f>"Q"&amp;ROUNDUP(MONTH(Transactions[[#This Row],[Transaction Date]])/3,0)</f>
        <v>Q4</v>
      </c>
      <c r="P342">
        <f>YEAR(Transactions[[#This Row],[Transaction Date]])</f>
        <v>2024</v>
      </c>
      <c r="Q342" t="str">
        <f>IF(Transactions[[#This Row],[Sales Amount]]&lt;AVERAGE(Transactions[Sales Amount]),"Below Average","At/Above Average")</f>
        <v>At/Above Average</v>
      </c>
    </row>
    <row r="343" spans="4:17" x14ac:dyDescent="0.2">
      <c r="D343" t="s">
        <v>433</v>
      </c>
      <c r="E343" t="s">
        <v>77</v>
      </c>
      <c r="F343" t="s">
        <v>99</v>
      </c>
      <c r="G343">
        <v>274</v>
      </c>
      <c r="H343">
        <v>5</v>
      </c>
      <c r="I343">
        <v>51.61</v>
      </c>
      <c r="J343">
        <v>6</v>
      </c>
      <c r="K343" s="37">
        <v>44790</v>
      </c>
      <c r="L343" t="s">
        <v>102</v>
      </c>
      <c r="M343">
        <v>298.18</v>
      </c>
      <c r="N343">
        <v>26</v>
      </c>
      <c r="O343" t="str">
        <f>"Q"&amp;ROUNDUP(MONTH(Transactions[[#This Row],[Transaction Date]])/3,0)</f>
        <v>Q3</v>
      </c>
      <c r="P343">
        <f>YEAR(Transactions[[#This Row],[Transaction Date]])</f>
        <v>2022</v>
      </c>
      <c r="Q343" t="str">
        <f>IF(Transactions[[#This Row],[Sales Amount]]&lt;AVERAGE(Transactions[Sales Amount]),"Below Average","At/Above Average")</f>
        <v>At/Above Average</v>
      </c>
    </row>
    <row r="344" spans="4:17" x14ac:dyDescent="0.2">
      <c r="D344" t="s">
        <v>434</v>
      </c>
      <c r="E344" t="s">
        <v>74</v>
      </c>
      <c r="F344" t="s">
        <v>99</v>
      </c>
      <c r="G344">
        <v>190</v>
      </c>
      <c r="H344">
        <v>9</v>
      </c>
      <c r="I344">
        <v>53.43</v>
      </c>
      <c r="J344">
        <v>10</v>
      </c>
      <c r="K344" s="37">
        <v>44901</v>
      </c>
      <c r="L344" t="s">
        <v>92</v>
      </c>
      <c r="M344">
        <v>76.25</v>
      </c>
      <c r="N344">
        <v>17</v>
      </c>
      <c r="O344" t="str">
        <f>"Q"&amp;ROUNDUP(MONTH(Transactions[[#This Row],[Transaction Date]])/3,0)</f>
        <v>Q4</v>
      </c>
      <c r="P344">
        <f>YEAR(Transactions[[#This Row],[Transaction Date]])</f>
        <v>2022</v>
      </c>
      <c r="Q344" t="str">
        <f>IF(Transactions[[#This Row],[Sales Amount]]&lt;AVERAGE(Transactions[Sales Amount]),"Below Average","At/Above Average")</f>
        <v>Below Average</v>
      </c>
    </row>
    <row r="345" spans="4:17" x14ac:dyDescent="0.2">
      <c r="D345" t="s">
        <v>435</v>
      </c>
      <c r="E345" t="s">
        <v>75</v>
      </c>
      <c r="F345" t="s">
        <v>88</v>
      </c>
      <c r="G345">
        <v>271</v>
      </c>
      <c r="H345">
        <v>10</v>
      </c>
      <c r="I345">
        <v>56.85</v>
      </c>
      <c r="J345">
        <v>6</v>
      </c>
      <c r="K345" s="37">
        <v>44831</v>
      </c>
      <c r="L345" t="s">
        <v>92</v>
      </c>
      <c r="M345">
        <v>464.74</v>
      </c>
      <c r="N345">
        <v>16</v>
      </c>
      <c r="O345" t="str">
        <f>"Q"&amp;ROUNDUP(MONTH(Transactions[[#This Row],[Transaction Date]])/3,0)</f>
        <v>Q3</v>
      </c>
      <c r="P345">
        <f>YEAR(Transactions[[#This Row],[Transaction Date]])</f>
        <v>2022</v>
      </c>
      <c r="Q345" t="str">
        <f>IF(Transactions[[#This Row],[Sales Amount]]&lt;AVERAGE(Transactions[Sales Amount]),"Below Average","At/Above Average")</f>
        <v>At/Above Average</v>
      </c>
    </row>
    <row r="346" spans="4:17" x14ac:dyDescent="0.2">
      <c r="D346" t="s">
        <v>436</v>
      </c>
      <c r="E346" t="s">
        <v>75</v>
      </c>
      <c r="F346" t="s">
        <v>88</v>
      </c>
      <c r="G346">
        <v>113</v>
      </c>
      <c r="H346">
        <v>3</v>
      </c>
      <c r="I346">
        <v>47.92</v>
      </c>
      <c r="J346">
        <v>7</v>
      </c>
      <c r="K346" s="37">
        <v>44716</v>
      </c>
      <c r="L346" t="s">
        <v>109</v>
      </c>
      <c r="M346">
        <v>270.70999999999998</v>
      </c>
      <c r="N346">
        <v>18</v>
      </c>
      <c r="O346" t="str">
        <f>"Q"&amp;ROUNDUP(MONTH(Transactions[[#This Row],[Transaction Date]])/3,0)</f>
        <v>Q2</v>
      </c>
      <c r="P346">
        <f>YEAR(Transactions[[#This Row],[Transaction Date]])</f>
        <v>2022</v>
      </c>
      <c r="Q346" t="str">
        <f>IF(Transactions[[#This Row],[Sales Amount]]&lt;AVERAGE(Transactions[Sales Amount]),"Below Average","At/Above Average")</f>
        <v>At/Above Average</v>
      </c>
    </row>
    <row r="347" spans="4:17" x14ac:dyDescent="0.2">
      <c r="D347" t="s">
        <v>437</v>
      </c>
      <c r="E347" t="s">
        <v>87</v>
      </c>
      <c r="F347" t="s">
        <v>108</v>
      </c>
      <c r="G347">
        <v>119</v>
      </c>
      <c r="H347">
        <v>5</v>
      </c>
      <c r="I347">
        <v>46.47</v>
      </c>
      <c r="J347">
        <v>1</v>
      </c>
      <c r="K347" s="37">
        <v>45502</v>
      </c>
      <c r="L347" t="s">
        <v>109</v>
      </c>
      <c r="M347">
        <v>225.66</v>
      </c>
      <c r="N347">
        <v>32</v>
      </c>
      <c r="O347" t="str">
        <f>"Q"&amp;ROUNDUP(MONTH(Transactions[[#This Row],[Transaction Date]])/3,0)</f>
        <v>Q3</v>
      </c>
      <c r="P347">
        <f>YEAR(Transactions[[#This Row],[Transaction Date]])</f>
        <v>2024</v>
      </c>
      <c r="Q347" t="str">
        <f>IF(Transactions[[#This Row],[Sales Amount]]&lt;AVERAGE(Transactions[Sales Amount]),"Below Average","At/Above Average")</f>
        <v>Below Average</v>
      </c>
    </row>
    <row r="348" spans="4:17" x14ac:dyDescent="0.2">
      <c r="D348" t="s">
        <v>438</v>
      </c>
      <c r="E348" t="s">
        <v>74</v>
      </c>
      <c r="F348" t="s">
        <v>105</v>
      </c>
      <c r="G348">
        <v>243</v>
      </c>
      <c r="H348">
        <v>10</v>
      </c>
      <c r="I348">
        <v>47.52</v>
      </c>
      <c r="J348">
        <v>7</v>
      </c>
      <c r="K348" s="37">
        <v>45059</v>
      </c>
      <c r="L348" t="s">
        <v>97</v>
      </c>
      <c r="M348">
        <v>74.08</v>
      </c>
      <c r="N348">
        <v>1</v>
      </c>
      <c r="O348" t="str">
        <f>"Q"&amp;ROUNDUP(MONTH(Transactions[[#This Row],[Transaction Date]])/3,0)</f>
        <v>Q2</v>
      </c>
      <c r="P348">
        <f>YEAR(Transactions[[#This Row],[Transaction Date]])</f>
        <v>2023</v>
      </c>
      <c r="Q348" t="str">
        <f>IF(Transactions[[#This Row],[Sales Amount]]&lt;AVERAGE(Transactions[Sales Amount]),"Below Average","At/Above Average")</f>
        <v>Below Average</v>
      </c>
    </row>
    <row r="349" spans="4:17" x14ac:dyDescent="0.2">
      <c r="D349" t="s">
        <v>439</v>
      </c>
      <c r="E349" t="s">
        <v>77</v>
      </c>
      <c r="F349" t="s">
        <v>96</v>
      </c>
      <c r="G349">
        <v>188</v>
      </c>
      <c r="H349">
        <v>1</v>
      </c>
      <c r="I349">
        <v>55.04</v>
      </c>
      <c r="J349">
        <v>3</v>
      </c>
      <c r="K349" s="37">
        <v>44752</v>
      </c>
      <c r="L349" t="s">
        <v>124</v>
      </c>
      <c r="M349">
        <v>110.31</v>
      </c>
      <c r="N349">
        <v>5</v>
      </c>
      <c r="O349" t="str">
        <f>"Q"&amp;ROUNDUP(MONTH(Transactions[[#This Row],[Transaction Date]])/3,0)</f>
        <v>Q3</v>
      </c>
      <c r="P349">
        <f>YEAR(Transactions[[#This Row],[Transaction Date]])</f>
        <v>2022</v>
      </c>
      <c r="Q349" t="str">
        <f>IF(Transactions[[#This Row],[Sales Amount]]&lt;AVERAGE(Transactions[Sales Amount]),"Below Average","At/Above Average")</f>
        <v>Below Average</v>
      </c>
    </row>
    <row r="350" spans="4:17" x14ac:dyDescent="0.2">
      <c r="D350" t="s">
        <v>440</v>
      </c>
      <c r="E350" t="s">
        <v>74</v>
      </c>
      <c r="F350" t="s">
        <v>129</v>
      </c>
      <c r="G350">
        <v>102</v>
      </c>
      <c r="H350">
        <v>5</v>
      </c>
      <c r="I350">
        <v>51.51</v>
      </c>
      <c r="J350">
        <v>2</v>
      </c>
      <c r="K350" s="37">
        <v>44628</v>
      </c>
      <c r="L350" t="s">
        <v>102</v>
      </c>
      <c r="M350">
        <v>276.20999999999998</v>
      </c>
      <c r="N350">
        <v>35</v>
      </c>
      <c r="O350" t="str">
        <f>"Q"&amp;ROUNDUP(MONTH(Transactions[[#This Row],[Transaction Date]])/3,0)</f>
        <v>Q1</v>
      </c>
      <c r="P350">
        <f>YEAR(Transactions[[#This Row],[Transaction Date]])</f>
        <v>2022</v>
      </c>
      <c r="Q350" t="str">
        <f>IF(Transactions[[#This Row],[Sales Amount]]&lt;AVERAGE(Transactions[Sales Amount]),"Below Average","At/Above Average")</f>
        <v>At/Above Average</v>
      </c>
    </row>
    <row r="351" spans="4:17" x14ac:dyDescent="0.2">
      <c r="D351" t="s">
        <v>441</v>
      </c>
      <c r="E351" t="s">
        <v>75</v>
      </c>
      <c r="F351" t="s">
        <v>88</v>
      </c>
      <c r="G351">
        <v>237</v>
      </c>
      <c r="H351">
        <v>7</v>
      </c>
      <c r="I351">
        <v>49.89</v>
      </c>
      <c r="J351">
        <v>9</v>
      </c>
      <c r="K351" s="37">
        <v>45593</v>
      </c>
      <c r="L351" t="s">
        <v>109</v>
      </c>
      <c r="M351">
        <v>186.42</v>
      </c>
      <c r="N351">
        <v>4</v>
      </c>
      <c r="O351" t="str">
        <f>"Q"&amp;ROUNDUP(MONTH(Transactions[[#This Row],[Transaction Date]])/3,0)</f>
        <v>Q4</v>
      </c>
      <c r="P351">
        <f>YEAR(Transactions[[#This Row],[Transaction Date]])</f>
        <v>2024</v>
      </c>
      <c r="Q351" t="str">
        <f>IF(Transactions[[#This Row],[Sales Amount]]&lt;AVERAGE(Transactions[Sales Amount]),"Below Average","At/Above Average")</f>
        <v>Below Average</v>
      </c>
    </row>
    <row r="352" spans="4:17" x14ac:dyDescent="0.2">
      <c r="D352" t="s">
        <v>442</v>
      </c>
      <c r="E352" t="s">
        <v>74</v>
      </c>
      <c r="F352" t="s">
        <v>96</v>
      </c>
      <c r="G352">
        <v>133</v>
      </c>
      <c r="H352">
        <v>2</v>
      </c>
      <c r="I352">
        <v>56.47</v>
      </c>
      <c r="J352">
        <v>2</v>
      </c>
      <c r="K352" s="37">
        <v>45334</v>
      </c>
      <c r="L352" t="s">
        <v>109</v>
      </c>
      <c r="M352">
        <v>250.2</v>
      </c>
      <c r="N352">
        <v>47</v>
      </c>
      <c r="O352" t="str">
        <f>"Q"&amp;ROUNDUP(MONTH(Transactions[[#This Row],[Transaction Date]])/3,0)</f>
        <v>Q1</v>
      </c>
      <c r="P352">
        <f>YEAR(Transactions[[#This Row],[Transaction Date]])</f>
        <v>2024</v>
      </c>
      <c r="Q352" t="str">
        <f>IF(Transactions[[#This Row],[Sales Amount]]&lt;AVERAGE(Transactions[Sales Amount]),"Below Average","At/Above Average")</f>
        <v>Below Average</v>
      </c>
    </row>
    <row r="353" spans="4:17" x14ac:dyDescent="0.2">
      <c r="D353" t="s">
        <v>443</v>
      </c>
      <c r="E353" t="s">
        <v>87</v>
      </c>
      <c r="F353" t="s">
        <v>96</v>
      </c>
      <c r="G353">
        <v>156</v>
      </c>
      <c r="H353">
        <v>5</v>
      </c>
      <c r="I353">
        <v>49.28</v>
      </c>
      <c r="J353">
        <v>7</v>
      </c>
      <c r="K353" s="37">
        <v>44990</v>
      </c>
      <c r="L353" t="s">
        <v>109</v>
      </c>
      <c r="M353">
        <v>142.9</v>
      </c>
      <c r="N353">
        <v>28</v>
      </c>
      <c r="O353" t="str">
        <f>"Q"&amp;ROUNDUP(MONTH(Transactions[[#This Row],[Transaction Date]])/3,0)</f>
        <v>Q1</v>
      </c>
      <c r="P353">
        <f>YEAR(Transactions[[#This Row],[Transaction Date]])</f>
        <v>2023</v>
      </c>
      <c r="Q353" t="str">
        <f>IF(Transactions[[#This Row],[Sales Amount]]&lt;AVERAGE(Transactions[Sales Amount]),"Below Average","At/Above Average")</f>
        <v>Below Average</v>
      </c>
    </row>
    <row r="354" spans="4:17" x14ac:dyDescent="0.2">
      <c r="D354" t="s">
        <v>444</v>
      </c>
      <c r="E354" t="s">
        <v>77</v>
      </c>
      <c r="F354" t="s">
        <v>129</v>
      </c>
      <c r="G354">
        <v>276</v>
      </c>
      <c r="H354">
        <v>2</v>
      </c>
      <c r="I354">
        <v>50.59</v>
      </c>
      <c r="J354">
        <v>3</v>
      </c>
      <c r="K354" s="37">
        <v>45070</v>
      </c>
      <c r="L354" t="s">
        <v>89</v>
      </c>
      <c r="M354">
        <v>45.22</v>
      </c>
      <c r="N354">
        <v>34</v>
      </c>
      <c r="O354" t="str">
        <f>"Q"&amp;ROUNDUP(MONTH(Transactions[[#This Row],[Transaction Date]])/3,0)</f>
        <v>Q2</v>
      </c>
      <c r="P354">
        <f>YEAR(Transactions[[#This Row],[Transaction Date]])</f>
        <v>2023</v>
      </c>
      <c r="Q354" t="str">
        <f>IF(Transactions[[#This Row],[Sales Amount]]&lt;AVERAGE(Transactions[Sales Amount]),"Below Average","At/Above Average")</f>
        <v>Below Average</v>
      </c>
    </row>
    <row r="355" spans="4:17" x14ac:dyDescent="0.2">
      <c r="D355" t="s">
        <v>445</v>
      </c>
      <c r="E355" t="s">
        <v>76</v>
      </c>
      <c r="F355" t="s">
        <v>91</v>
      </c>
      <c r="G355">
        <v>146</v>
      </c>
      <c r="H355">
        <v>8</v>
      </c>
      <c r="I355">
        <v>55.87</v>
      </c>
      <c r="J355">
        <v>4</v>
      </c>
      <c r="K355" s="37">
        <v>44937</v>
      </c>
      <c r="L355" t="s">
        <v>97</v>
      </c>
      <c r="M355">
        <v>194.6</v>
      </c>
      <c r="N355">
        <v>41</v>
      </c>
      <c r="O355" t="str">
        <f>"Q"&amp;ROUNDUP(MONTH(Transactions[[#This Row],[Transaction Date]])/3,0)</f>
        <v>Q1</v>
      </c>
      <c r="P355">
        <f>YEAR(Transactions[[#This Row],[Transaction Date]])</f>
        <v>2023</v>
      </c>
      <c r="Q355" t="str">
        <f>IF(Transactions[[#This Row],[Sales Amount]]&lt;AVERAGE(Transactions[Sales Amount]),"Below Average","At/Above Average")</f>
        <v>Below Average</v>
      </c>
    </row>
    <row r="356" spans="4:17" x14ac:dyDescent="0.2">
      <c r="D356" t="s">
        <v>446</v>
      </c>
      <c r="E356" t="s">
        <v>74</v>
      </c>
      <c r="F356" t="s">
        <v>88</v>
      </c>
      <c r="G356">
        <v>113</v>
      </c>
      <c r="H356">
        <v>1</v>
      </c>
      <c r="I356">
        <v>47.45</v>
      </c>
      <c r="J356">
        <v>9</v>
      </c>
      <c r="K356" s="37">
        <v>45199</v>
      </c>
      <c r="L356" t="s">
        <v>92</v>
      </c>
      <c r="M356">
        <v>468.19</v>
      </c>
      <c r="N356">
        <v>8</v>
      </c>
      <c r="O356" t="str">
        <f>"Q"&amp;ROUNDUP(MONTH(Transactions[[#This Row],[Transaction Date]])/3,0)</f>
        <v>Q3</v>
      </c>
      <c r="P356">
        <f>YEAR(Transactions[[#This Row],[Transaction Date]])</f>
        <v>2023</v>
      </c>
      <c r="Q356" t="str">
        <f>IF(Transactions[[#This Row],[Sales Amount]]&lt;AVERAGE(Transactions[Sales Amount]),"Below Average","At/Above Average")</f>
        <v>At/Above Average</v>
      </c>
    </row>
    <row r="357" spans="4:17" x14ac:dyDescent="0.2">
      <c r="D357" t="s">
        <v>447</v>
      </c>
      <c r="E357" t="s">
        <v>75</v>
      </c>
      <c r="F357" t="s">
        <v>105</v>
      </c>
      <c r="G357">
        <v>239</v>
      </c>
      <c r="H357">
        <v>3</v>
      </c>
      <c r="I357">
        <v>46.06</v>
      </c>
      <c r="J357">
        <v>10</v>
      </c>
      <c r="K357" s="37">
        <v>44840</v>
      </c>
      <c r="L357" t="s">
        <v>109</v>
      </c>
      <c r="M357">
        <v>237.9</v>
      </c>
      <c r="N357">
        <v>39</v>
      </c>
      <c r="O357" t="str">
        <f>"Q"&amp;ROUNDUP(MONTH(Transactions[[#This Row],[Transaction Date]])/3,0)</f>
        <v>Q4</v>
      </c>
      <c r="P357">
        <f>YEAR(Transactions[[#This Row],[Transaction Date]])</f>
        <v>2022</v>
      </c>
      <c r="Q357" t="str">
        <f>IF(Transactions[[#This Row],[Sales Amount]]&lt;AVERAGE(Transactions[Sales Amount]),"Below Average","At/Above Average")</f>
        <v>Below Average</v>
      </c>
    </row>
    <row r="358" spans="4:17" x14ac:dyDescent="0.2">
      <c r="D358" t="s">
        <v>448</v>
      </c>
      <c r="E358" t="s">
        <v>75</v>
      </c>
      <c r="F358" t="s">
        <v>96</v>
      </c>
      <c r="G358">
        <v>285</v>
      </c>
      <c r="H358">
        <v>2</v>
      </c>
      <c r="I358">
        <v>46.69</v>
      </c>
      <c r="J358">
        <v>10</v>
      </c>
      <c r="K358" s="37">
        <v>45626</v>
      </c>
      <c r="L358" t="s">
        <v>89</v>
      </c>
      <c r="M358">
        <v>162.19999999999999</v>
      </c>
      <c r="N358">
        <v>38</v>
      </c>
      <c r="O358" t="str">
        <f>"Q"&amp;ROUNDUP(MONTH(Transactions[[#This Row],[Transaction Date]])/3,0)</f>
        <v>Q4</v>
      </c>
      <c r="P358">
        <f>YEAR(Transactions[[#This Row],[Transaction Date]])</f>
        <v>2024</v>
      </c>
      <c r="Q358" t="str">
        <f>IF(Transactions[[#This Row],[Sales Amount]]&lt;AVERAGE(Transactions[Sales Amount]),"Below Average","At/Above Average")</f>
        <v>Below Average</v>
      </c>
    </row>
    <row r="359" spans="4:17" x14ac:dyDescent="0.2">
      <c r="D359" t="s">
        <v>449</v>
      </c>
      <c r="E359" t="s">
        <v>87</v>
      </c>
      <c r="F359" t="s">
        <v>99</v>
      </c>
      <c r="G359">
        <v>224</v>
      </c>
      <c r="H359">
        <v>1</v>
      </c>
      <c r="I359">
        <v>54.27</v>
      </c>
      <c r="J359">
        <v>6</v>
      </c>
      <c r="K359" s="37">
        <v>45601</v>
      </c>
      <c r="L359" t="s">
        <v>124</v>
      </c>
      <c r="M359">
        <v>493.39</v>
      </c>
      <c r="N359">
        <v>29</v>
      </c>
      <c r="O359" t="str">
        <f>"Q"&amp;ROUNDUP(MONTH(Transactions[[#This Row],[Transaction Date]])/3,0)</f>
        <v>Q4</v>
      </c>
      <c r="P359">
        <f>YEAR(Transactions[[#This Row],[Transaction Date]])</f>
        <v>2024</v>
      </c>
      <c r="Q359" t="str">
        <f>IF(Transactions[[#This Row],[Sales Amount]]&lt;AVERAGE(Transactions[Sales Amount]),"Below Average","At/Above Average")</f>
        <v>At/Above Average</v>
      </c>
    </row>
    <row r="360" spans="4:17" x14ac:dyDescent="0.2">
      <c r="D360" t="s">
        <v>450</v>
      </c>
      <c r="E360" t="s">
        <v>77</v>
      </c>
      <c r="F360" t="s">
        <v>99</v>
      </c>
      <c r="G360">
        <v>229</v>
      </c>
      <c r="H360">
        <v>2</v>
      </c>
      <c r="I360">
        <v>54.96</v>
      </c>
      <c r="J360">
        <v>7</v>
      </c>
      <c r="K360" s="37">
        <v>45460</v>
      </c>
      <c r="L360" t="s">
        <v>109</v>
      </c>
      <c r="M360">
        <v>327.81</v>
      </c>
      <c r="N360">
        <v>43</v>
      </c>
      <c r="O360" t="str">
        <f>"Q"&amp;ROUNDUP(MONTH(Transactions[[#This Row],[Transaction Date]])/3,0)</f>
        <v>Q2</v>
      </c>
      <c r="P360">
        <f>YEAR(Transactions[[#This Row],[Transaction Date]])</f>
        <v>2024</v>
      </c>
      <c r="Q360" t="str">
        <f>IF(Transactions[[#This Row],[Sales Amount]]&lt;AVERAGE(Transactions[Sales Amount]),"Below Average","At/Above Average")</f>
        <v>At/Above Average</v>
      </c>
    </row>
    <row r="361" spans="4:17" x14ac:dyDescent="0.2">
      <c r="D361" t="s">
        <v>451</v>
      </c>
      <c r="E361" t="s">
        <v>74</v>
      </c>
      <c r="F361" t="s">
        <v>105</v>
      </c>
      <c r="G361">
        <v>287</v>
      </c>
      <c r="H361">
        <v>2</v>
      </c>
      <c r="I361">
        <v>55.77</v>
      </c>
      <c r="J361">
        <v>7</v>
      </c>
      <c r="K361" s="37">
        <v>45258</v>
      </c>
      <c r="L361" t="s">
        <v>109</v>
      </c>
      <c r="M361">
        <v>305.75</v>
      </c>
      <c r="N361">
        <v>43</v>
      </c>
      <c r="O361" t="str">
        <f>"Q"&amp;ROUNDUP(MONTH(Transactions[[#This Row],[Transaction Date]])/3,0)</f>
        <v>Q4</v>
      </c>
      <c r="P361">
        <f>YEAR(Transactions[[#This Row],[Transaction Date]])</f>
        <v>2023</v>
      </c>
      <c r="Q361" t="str">
        <f>IF(Transactions[[#This Row],[Sales Amount]]&lt;AVERAGE(Transactions[Sales Amount]),"Below Average","At/Above Average")</f>
        <v>At/Above Average</v>
      </c>
    </row>
    <row r="362" spans="4:17" x14ac:dyDescent="0.2">
      <c r="D362" t="s">
        <v>452</v>
      </c>
      <c r="E362" t="s">
        <v>87</v>
      </c>
      <c r="F362" t="s">
        <v>105</v>
      </c>
      <c r="G362">
        <v>107</v>
      </c>
      <c r="H362">
        <v>6</v>
      </c>
      <c r="I362">
        <v>53.2</v>
      </c>
      <c r="J362">
        <v>2</v>
      </c>
      <c r="K362" s="37">
        <v>45373</v>
      </c>
      <c r="L362" t="s">
        <v>124</v>
      </c>
      <c r="M362">
        <v>152.28</v>
      </c>
      <c r="N362">
        <v>40</v>
      </c>
      <c r="O362" t="str">
        <f>"Q"&amp;ROUNDUP(MONTH(Transactions[[#This Row],[Transaction Date]])/3,0)</f>
        <v>Q1</v>
      </c>
      <c r="P362">
        <f>YEAR(Transactions[[#This Row],[Transaction Date]])</f>
        <v>2024</v>
      </c>
      <c r="Q362" t="str">
        <f>IF(Transactions[[#This Row],[Sales Amount]]&lt;AVERAGE(Transactions[Sales Amount]),"Below Average","At/Above Average")</f>
        <v>Below Average</v>
      </c>
    </row>
    <row r="363" spans="4:17" x14ac:dyDescent="0.2">
      <c r="D363" t="s">
        <v>453</v>
      </c>
      <c r="E363" t="s">
        <v>78</v>
      </c>
      <c r="F363" t="s">
        <v>108</v>
      </c>
      <c r="G363">
        <v>150</v>
      </c>
      <c r="H363">
        <v>8</v>
      </c>
      <c r="I363">
        <v>50.89</v>
      </c>
      <c r="J363">
        <v>5</v>
      </c>
      <c r="K363" s="37">
        <v>45244</v>
      </c>
      <c r="L363" t="s">
        <v>97</v>
      </c>
      <c r="M363">
        <v>229.96</v>
      </c>
      <c r="N363">
        <v>12</v>
      </c>
      <c r="O363" t="str">
        <f>"Q"&amp;ROUNDUP(MONTH(Transactions[[#This Row],[Transaction Date]])/3,0)</f>
        <v>Q4</v>
      </c>
      <c r="P363">
        <f>YEAR(Transactions[[#This Row],[Transaction Date]])</f>
        <v>2023</v>
      </c>
      <c r="Q363" t="str">
        <f>IF(Transactions[[#This Row],[Sales Amount]]&lt;AVERAGE(Transactions[Sales Amount]),"Below Average","At/Above Average")</f>
        <v>Below Average</v>
      </c>
    </row>
    <row r="364" spans="4:17" x14ac:dyDescent="0.2">
      <c r="D364" t="s">
        <v>454</v>
      </c>
      <c r="E364" t="s">
        <v>74</v>
      </c>
      <c r="F364" t="s">
        <v>94</v>
      </c>
      <c r="G364">
        <v>157</v>
      </c>
      <c r="H364">
        <v>8</v>
      </c>
      <c r="I364">
        <v>57.48</v>
      </c>
      <c r="J364">
        <v>4</v>
      </c>
      <c r="K364" s="37">
        <v>44898</v>
      </c>
      <c r="L364" t="s">
        <v>102</v>
      </c>
      <c r="M364">
        <v>264.8</v>
      </c>
      <c r="N364">
        <v>34</v>
      </c>
      <c r="O364" t="str">
        <f>"Q"&amp;ROUNDUP(MONTH(Transactions[[#This Row],[Transaction Date]])/3,0)</f>
        <v>Q4</v>
      </c>
      <c r="P364">
        <f>YEAR(Transactions[[#This Row],[Transaction Date]])</f>
        <v>2022</v>
      </c>
      <c r="Q364" t="str">
        <f>IF(Transactions[[#This Row],[Sales Amount]]&lt;AVERAGE(Transactions[Sales Amount]),"Below Average","At/Above Average")</f>
        <v>At/Above Average</v>
      </c>
    </row>
    <row r="365" spans="4:17" x14ac:dyDescent="0.2">
      <c r="D365" t="s">
        <v>455</v>
      </c>
      <c r="E365" t="s">
        <v>87</v>
      </c>
      <c r="F365" t="s">
        <v>129</v>
      </c>
      <c r="G365">
        <v>238</v>
      </c>
      <c r="H365">
        <v>7</v>
      </c>
      <c r="I365">
        <v>57.9</v>
      </c>
      <c r="J365">
        <v>2</v>
      </c>
      <c r="K365" s="37">
        <v>44916</v>
      </c>
      <c r="L365" t="s">
        <v>92</v>
      </c>
      <c r="M365">
        <v>283</v>
      </c>
      <c r="N365">
        <v>12</v>
      </c>
      <c r="O365" t="str">
        <f>"Q"&amp;ROUNDUP(MONTH(Transactions[[#This Row],[Transaction Date]])/3,0)</f>
        <v>Q4</v>
      </c>
      <c r="P365">
        <f>YEAR(Transactions[[#This Row],[Transaction Date]])</f>
        <v>2022</v>
      </c>
      <c r="Q365" t="str">
        <f>IF(Transactions[[#This Row],[Sales Amount]]&lt;AVERAGE(Transactions[Sales Amount]),"Below Average","At/Above Average")</f>
        <v>At/Above Average</v>
      </c>
    </row>
    <row r="366" spans="4:17" x14ac:dyDescent="0.2">
      <c r="D366" t="s">
        <v>456</v>
      </c>
      <c r="E366" t="s">
        <v>77</v>
      </c>
      <c r="F366" t="s">
        <v>91</v>
      </c>
      <c r="G366">
        <v>257</v>
      </c>
      <c r="H366">
        <v>9</v>
      </c>
      <c r="I366">
        <v>59.13</v>
      </c>
      <c r="J366">
        <v>7</v>
      </c>
      <c r="K366" s="37">
        <v>44959</v>
      </c>
      <c r="L366" t="s">
        <v>89</v>
      </c>
      <c r="M366">
        <v>179.77</v>
      </c>
      <c r="N366">
        <v>13</v>
      </c>
      <c r="O366" t="str">
        <f>"Q"&amp;ROUNDUP(MONTH(Transactions[[#This Row],[Transaction Date]])/3,0)</f>
        <v>Q1</v>
      </c>
      <c r="P366">
        <f>YEAR(Transactions[[#This Row],[Transaction Date]])</f>
        <v>2023</v>
      </c>
      <c r="Q366" t="str">
        <f>IF(Transactions[[#This Row],[Sales Amount]]&lt;AVERAGE(Transactions[Sales Amount]),"Below Average","At/Above Average")</f>
        <v>Below Average</v>
      </c>
    </row>
    <row r="367" spans="4:17" x14ac:dyDescent="0.2">
      <c r="D367" t="s">
        <v>457</v>
      </c>
      <c r="E367" t="s">
        <v>77</v>
      </c>
      <c r="F367" t="s">
        <v>94</v>
      </c>
      <c r="G367">
        <v>195</v>
      </c>
      <c r="H367">
        <v>4</v>
      </c>
      <c r="I367">
        <v>52.86</v>
      </c>
      <c r="J367">
        <v>4</v>
      </c>
      <c r="K367" s="37">
        <v>45529</v>
      </c>
      <c r="L367" t="s">
        <v>89</v>
      </c>
      <c r="M367">
        <v>308.35000000000002</v>
      </c>
      <c r="N367">
        <v>42</v>
      </c>
      <c r="O367" t="str">
        <f>"Q"&amp;ROUNDUP(MONTH(Transactions[[#This Row],[Transaction Date]])/3,0)</f>
        <v>Q3</v>
      </c>
      <c r="P367">
        <f>YEAR(Transactions[[#This Row],[Transaction Date]])</f>
        <v>2024</v>
      </c>
      <c r="Q367" t="str">
        <f>IF(Transactions[[#This Row],[Sales Amount]]&lt;AVERAGE(Transactions[Sales Amount]),"Below Average","At/Above Average")</f>
        <v>At/Above Average</v>
      </c>
    </row>
    <row r="368" spans="4:17" x14ac:dyDescent="0.2">
      <c r="D368" t="s">
        <v>458</v>
      </c>
      <c r="E368" t="s">
        <v>76</v>
      </c>
      <c r="F368" t="s">
        <v>99</v>
      </c>
      <c r="G368">
        <v>167</v>
      </c>
      <c r="H368">
        <v>1</v>
      </c>
      <c r="I368">
        <v>58.3</v>
      </c>
      <c r="J368">
        <v>10</v>
      </c>
      <c r="K368" s="37">
        <v>44616</v>
      </c>
      <c r="L368" t="s">
        <v>97</v>
      </c>
      <c r="M368">
        <v>40.18</v>
      </c>
      <c r="N368">
        <v>14</v>
      </c>
      <c r="O368" t="str">
        <f>"Q"&amp;ROUNDUP(MONTH(Transactions[[#This Row],[Transaction Date]])/3,0)</f>
        <v>Q1</v>
      </c>
      <c r="P368">
        <f>YEAR(Transactions[[#This Row],[Transaction Date]])</f>
        <v>2022</v>
      </c>
      <c r="Q368" t="str">
        <f>IF(Transactions[[#This Row],[Sales Amount]]&lt;AVERAGE(Transactions[Sales Amount]),"Below Average","At/Above Average")</f>
        <v>Below Average</v>
      </c>
    </row>
    <row r="369" spans="4:17" x14ac:dyDescent="0.2">
      <c r="D369" t="s">
        <v>459</v>
      </c>
      <c r="E369" t="s">
        <v>76</v>
      </c>
      <c r="F369" t="s">
        <v>88</v>
      </c>
      <c r="G369">
        <v>264</v>
      </c>
      <c r="H369">
        <v>3</v>
      </c>
      <c r="I369">
        <v>47.32</v>
      </c>
      <c r="J369">
        <v>4</v>
      </c>
      <c r="K369" s="37">
        <v>45559</v>
      </c>
      <c r="L369" t="s">
        <v>124</v>
      </c>
      <c r="M369">
        <v>129.5</v>
      </c>
      <c r="N369">
        <v>9</v>
      </c>
      <c r="O369" t="str">
        <f>"Q"&amp;ROUNDUP(MONTH(Transactions[[#This Row],[Transaction Date]])/3,0)</f>
        <v>Q3</v>
      </c>
      <c r="P369">
        <f>YEAR(Transactions[[#This Row],[Transaction Date]])</f>
        <v>2024</v>
      </c>
      <c r="Q369" t="str">
        <f>IF(Transactions[[#This Row],[Sales Amount]]&lt;AVERAGE(Transactions[Sales Amount]),"Below Average","At/Above Average")</f>
        <v>Below Average</v>
      </c>
    </row>
    <row r="370" spans="4:17" x14ac:dyDescent="0.2">
      <c r="D370" t="s">
        <v>460</v>
      </c>
      <c r="E370" t="s">
        <v>75</v>
      </c>
      <c r="F370" t="s">
        <v>108</v>
      </c>
      <c r="G370">
        <v>193</v>
      </c>
      <c r="H370">
        <v>10</v>
      </c>
      <c r="I370">
        <v>47.2</v>
      </c>
      <c r="J370">
        <v>1</v>
      </c>
      <c r="K370" s="37">
        <v>44913</v>
      </c>
      <c r="L370" t="s">
        <v>89</v>
      </c>
      <c r="M370">
        <v>364.84</v>
      </c>
      <c r="N370">
        <v>31</v>
      </c>
      <c r="O370" t="str">
        <f>"Q"&amp;ROUNDUP(MONTH(Transactions[[#This Row],[Transaction Date]])/3,0)</f>
        <v>Q4</v>
      </c>
      <c r="P370">
        <f>YEAR(Transactions[[#This Row],[Transaction Date]])</f>
        <v>2022</v>
      </c>
      <c r="Q370" t="str">
        <f>IF(Transactions[[#This Row],[Sales Amount]]&lt;AVERAGE(Transactions[Sales Amount]),"Below Average","At/Above Average")</f>
        <v>At/Above Average</v>
      </c>
    </row>
    <row r="371" spans="4:17" x14ac:dyDescent="0.2">
      <c r="D371" t="s">
        <v>461</v>
      </c>
      <c r="E371" t="s">
        <v>76</v>
      </c>
      <c r="F371" t="s">
        <v>88</v>
      </c>
      <c r="G371">
        <v>268</v>
      </c>
      <c r="H371">
        <v>6</v>
      </c>
      <c r="I371">
        <v>56.82</v>
      </c>
      <c r="J371">
        <v>6</v>
      </c>
      <c r="K371" s="37">
        <v>44611</v>
      </c>
      <c r="L371" t="s">
        <v>92</v>
      </c>
      <c r="M371">
        <v>184.93</v>
      </c>
      <c r="N371">
        <v>24</v>
      </c>
      <c r="O371" t="str">
        <f>"Q"&amp;ROUNDUP(MONTH(Transactions[[#This Row],[Transaction Date]])/3,0)</f>
        <v>Q1</v>
      </c>
      <c r="P371">
        <f>YEAR(Transactions[[#This Row],[Transaction Date]])</f>
        <v>2022</v>
      </c>
      <c r="Q371" t="str">
        <f>IF(Transactions[[#This Row],[Sales Amount]]&lt;AVERAGE(Transactions[Sales Amount]),"Below Average","At/Above Average")</f>
        <v>Below Average</v>
      </c>
    </row>
    <row r="372" spans="4:17" x14ac:dyDescent="0.2">
      <c r="D372" t="s">
        <v>462</v>
      </c>
      <c r="E372" t="s">
        <v>74</v>
      </c>
      <c r="F372" t="s">
        <v>129</v>
      </c>
      <c r="G372">
        <v>203</v>
      </c>
      <c r="H372">
        <v>7</v>
      </c>
      <c r="I372">
        <v>49.5</v>
      </c>
      <c r="J372">
        <v>5</v>
      </c>
      <c r="K372" s="37">
        <v>45293</v>
      </c>
      <c r="L372" t="s">
        <v>124</v>
      </c>
      <c r="M372">
        <v>302.33</v>
      </c>
      <c r="N372">
        <v>46</v>
      </c>
      <c r="O372" t="str">
        <f>"Q"&amp;ROUNDUP(MONTH(Transactions[[#This Row],[Transaction Date]])/3,0)</f>
        <v>Q1</v>
      </c>
      <c r="P372">
        <f>YEAR(Transactions[[#This Row],[Transaction Date]])</f>
        <v>2024</v>
      </c>
      <c r="Q372" t="str">
        <f>IF(Transactions[[#This Row],[Sales Amount]]&lt;AVERAGE(Transactions[Sales Amount]),"Below Average","At/Above Average")</f>
        <v>At/Above Average</v>
      </c>
    </row>
    <row r="373" spans="4:17" x14ac:dyDescent="0.2">
      <c r="D373" t="s">
        <v>463</v>
      </c>
      <c r="E373" t="s">
        <v>77</v>
      </c>
      <c r="F373" t="s">
        <v>94</v>
      </c>
      <c r="G373">
        <v>284</v>
      </c>
      <c r="H373">
        <v>5</v>
      </c>
      <c r="I373">
        <v>54.96</v>
      </c>
      <c r="J373">
        <v>9</v>
      </c>
      <c r="K373" s="37">
        <v>45444</v>
      </c>
      <c r="L373" t="s">
        <v>97</v>
      </c>
      <c r="M373">
        <v>193.93</v>
      </c>
      <c r="N373">
        <v>15</v>
      </c>
      <c r="O373" t="str">
        <f>"Q"&amp;ROUNDUP(MONTH(Transactions[[#This Row],[Transaction Date]])/3,0)</f>
        <v>Q2</v>
      </c>
      <c r="P373">
        <f>YEAR(Transactions[[#This Row],[Transaction Date]])</f>
        <v>2024</v>
      </c>
      <c r="Q373" t="str">
        <f>IF(Transactions[[#This Row],[Sales Amount]]&lt;AVERAGE(Transactions[Sales Amount]),"Below Average","At/Above Average")</f>
        <v>Below Average</v>
      </c>
    </row>
    <row r="374" spans="4:17" x14ac:dyDescent="0.2">
      <c r="D374" t="s">
        <v>464</v>
      </c>
      <c r="E374" t="s">
        <v>74</v>
      </c>
      <c r="F374" t="s">
        <v>96</v>
      </c>
      <c r="G374">
        <v>200</v>
      </c>
      <c r="H374">
        <v>2</v>
      </c>
      <c r="I374">
        <v>57.47</v>
      </c>
      <c r="J374">
        <v>6</v>
      </c>
      <c r="K374" s="37">
        <v>45163</v>
      </c>
      <c r="L374" t="s">
        <v>92</v>
      </c>
      <c r="M374">
        <v>305.92</v>
      </c>
      <c r="N374">
        <v>38</v>
      </c>
      <c r="O374" t="str">
        <f>"Q"&amp;ROUNDUP(MONTH(Transactions[[#This Row],[Transaction Date]])/3,0)</f>
        <v>Q3</v>
      </c>
      <c r="P374">
        <f>YEAR(Transactions[[#This Row],[Transaction Date]])</f>
        <v>2023</v>
      </c>
      <c r="Q374" t="str">
        <f>IF(Transactions[[#This Row],[Sales Amount]]&lt;AVERAGE(Transactions[Sales Amount]),"Below Average","At/Above Average")</f>
        <v>At/Above Average</v>
      </c>
    </row>
    <row r="375" spans="4:17" x14ac:dyDescent="0.2">
      <c r="D375" t="s">
        <v>465</v>
      </c>
      <c r="E375" t="s">
        <v>76</v>
      </c>
      <c r="F375" t="s">
        <v>94</v>
      </c>
      <c r="G375">
        <v>163</v>
      </c>
      <c r="H375">
        <v>8</v>
      </c>
      <c r="I375">
        <v>57.47</v>
      </c>
      <c r="J375">
        <v>5</v>
      </c>
      <c r="K375" s="37">
        <v>45517</v>
      </c>
      <c r="L375" t="s">
        <v>109</v>
      </c>
      <c r="M375">
        <v>63.01</v>
      </c>
      <c r="N375">
        <v>14</v>
      </c>
      <c r="O375" t="str">
        <f>"Q"&amp;ROUNDUP(MONTH(Transactions[[#This Row],[Transaction Date]])/3,0)</f>
        <v>Q3</v>
      </c>
      <c r="P375">
        <f>YEAR(Transactions[[#This Row],[Transaction Date]])</f>
        <v>2024</v>
      </c>
      <c r="Q375" t="str">
        <f>IF(Transactions[[#This Row],[Sales Amount]]&lt;AVERAGE(Transactions[Sales Amount]),"Below Average","At/Above Average")</f>
        <v>Below Average</v>
      </c>
    </row>
    <row r="376" spans="4:17" x14ac:dyDescent="0.2">
      <c r="D376" t="s">
        <v>466</v>
      </c>
      <c r="E376" t="s">
        <v>75</v>
      </c>
      <c r="F376" t="s">
        <v>94</v>
      </c>
      <c r="G376">
        <v>179</v>
      </c>
      <c r="H376">
        <v>6</v>
      </c>
      <c r="I376">
        <v>48.77</v>
      </c>
      <c r="J376">
        <v>3</v>
      </c>
      <c r="K376" s="37">
        <v>45049</v>
      </c>
      <c r="L376" t="s">
        <v>109</v>
      </c>
      <c r="M376">
        <v>37.869999999999997</v>
      </c>
      <c r="N376">
        <v>2</v>
      </c>
      <c r="O376" t="str">
        <f>"Q"&amp;ROUNDUP(MONTH(Transactions[[#This Row],[Transaction Date]])/3,0)</f>
        <v>Q2</v>
      </c>
      <c r="P376">
        <f>YEAR(Transactions[[#This Row],[Transaction Date]])</f>
        <v>2023</v>
      </c>
      <c r="Q376" t="str">
        <f>IF(Transactions[[#This Row],[Sales Amount]]&lt;AVERAGE(Transactions[Sales Amount]),"Below Average","At/Above Average")</f>
        <v>Below Average</v>
      </c>
    </row>
    <row r="377" spans="4:17" x14ac:dyDescent="0.2">
      <c r="D377" t="s">
        <v>467</v>
      </c>
      <c r="E377" t="s">
        <v>76</v>
      </c>
      <c r="F377" t="s">
        <v>105</v>
      </c>
      <c r="G377">
        <v>112</v>
      </c>
      <c r="H377">
        <v>10</v>
      </c>
      <c r="I377">
        <v>45.85</v>
      </c>
      <c r="J377">
        <v>7</v>
      </c>
      <c r="K377" s="37">
        <v>45078</v>
      </c>
      <c r="L377" t="s">
        <v>109</v>
      </c>
      <c r="M377">
        <v>278.2</v>
      </c>
      <c r="N377">
        <v>31</v>
      </c>
      <c r="O377" t="str">
        <f>"Q"&amp;ROUNDUP(MONTH(Transactions[[#This Row],[Transaction Date]])/3,0)</f>
        <v>Q2</v>
      </c>
      <c r="P377">
        <f>YEAR(Transactions[[#This Row],[Transaction Date]])</f>
        <v>2023</v>
      </c>
      <c r="Q377" t="str">
        <f>IF(Transactions[[#This Row],[Sales Amount]]&lt;AVERAGE(Transactions[Sales Amount]),"Below Average","At/Above Average")</f>
        <v>At/Above Average</v>
      </c>
    </row>
    <row r="378" spans="4:17" x14ac:dyDescent="0.2">
      <c r="D378" t="s">
        <v>468</v>
      </c>
      <c r="E378" t="s">
        <v>76</v>
      </c>
      <c r="F378" t="s">
        <v>108</v>
      </c>
      <c r="G378">
        <v>258</v>
      </c>
      <c r="H378">
        <v>6</v>
      </c>
      <c r="I378">
        <v>48.82</v>
      </c>
      <c r="J378">
        <v>10</v>
      </c>
      <c r="K378" s="37">
        <v>44824</v>
      </c>
      <c r="L378" t="s">
        <v>89</v>
      </c>
      <c r="M378">
        <v>121.22</v>
      </c>
      <c r="N378">
        <v>34</v>
      </c>
      <c r="O378" t="str">
        <f>"Q"&amp;ROUNDUP(MONTH(Transactions[[#This Row],[Transaction Date]])/3,0)</f>
        <v>Q3</v>
      </c>
      <c r="P378">
        <f>YEAR(Transactions[[#This Row],[Transaction Date]])</f>
        <v>2022</v>
      </c>
      <c r="Q378" t="str">
        <f>IF(Transactions[[#This Row],[Sales Amount]]&lt;AVERAGE(Transactions[Sales Amount]),"Below Average","At/Above Average")</f>
        <v>Below Average</v>
      </c>
    </row>
    <row r="379" spans="4:17" x14ac:dyDescent="0.2">
      <c r="D379" t="s">
        <v>469</v>
      </c>
      <c r="E379" t="s">
        <v>78</v>
      </c>
      <c r="F379" t="s">
        <v>88</v>
      </c>
      <c r="G379">
        <v>134</v>
      </c>
      <c r="H379">
        <v>6</v>
      </c>
      <c r="I379">
        <v>48.03</v>
      </c>
      <c r="J379">
        <v>10</v>
      </c>
      <c r="K379" s="37">
        <v>45215</v>
      </c>
      <c r="L379" t="s">
        <v>89</v>
      </c>
      <c r="M379">
        <v>144.19</v>
      </c>
      <c r="N379">
        <v>1</v>
      </c>
      <c r="O379" t="str">
        <f>"Q"&amp;ROUNDUP(MONTH(Transactions[[#This Row],[Transaction Date]])/3,0)</f>
        <v>Q4</v>
      </c>
      <c r="P379">
        <f>YEAR(Transactions[[#This Row],[Transaction Date]])</f>
        <v>2023</v>
      </c>
      <c r="Q379" t="str">
        <f>IF(Transactions[[#This Row],[Sales Amount]]&lt;AVERAGE(Transactions[Sales Amount]),"Below Average","At/Above Average")</f>
        <v>Below Average</v>
      </c>
    </row>
    <row r="380" spans="4:17" x14ac:dyDescent="0.2">
      <c r="D380" t="s">
        <v>470</v>
      </c>
      <c r="E380" t="s">
        <v>78</v>
      </c>
      <c r="F380" t="s">
        <v>96</v>
      </c>
      <c r="G380">
        <v>178</v>
      </c>
      <c r="H380">
        <v>3</v>
      </c>
      <c r="I380">
        <v>58.04</v>
      </c>
      <c r="J380">
        <v>8</v>
      </c>
      <c r="K380" s="37">
        <v>45359</v>
      </c>
      <c r="L380" t="s">
        <v>109</v>
      </c>
      <c r="M380">
        <v>119.97</v>
      </c>
      <c r="N380">
        <v>4</v>
      </c>
      <c r="O380" t="str">
        <f>"Q"&amp;ROUNDUP(MONTH(Transactions[[#This Row],[Transaction Date]])/3,0)</f>
        <v>Q1</v>
      </c>
      <c r="P380">
        <f>YEAR(Transactions[[#This Row],[Transaction Date]])</f>
        <v>2024</v>
      </c>
      <c r="Q380" t="str">
        <f>IF(Transactions[[#This Row],[Sales Amount]]&lt;AVERAGE(Transactions[Sales Amount]),"Below Average","At/Above Average")</f>
        <v>Below Average</v>
      </c>
    </row>
    <row r="381" spans="4:17" x14ac:dyDescent="0.2">
      <c r="D381" t="s">
        <v>471</v>
      </c>
      <c r="E381" t="s">
        <v>87</v>
      </c>
      <c r="F381" t="s">
        <v>105</v>
      </c>
      <c r="G381">
        <v>151</v>
      </c>
      <c r="H381">
        <v>9</v>
      </c>
      <c r="I381">
        <v>50.08</v>
      </c>
      <c r="J381">
        <v>8</v>
      </c>
      <c r="K381" s="37">
        <v>45452</v>
      </c>
      <c r="L381" t="s">
        <v>124</v>
      </c>
      <c r="M381">
        <v>75.27</v>
      </c>
      <c r="N381">
        <v>14</v>
      </c>
      <c r="O381" t="str">
        <f>"Q"&amp;ROUNDUP(MONTH(Transactions[[#This Row],[Transaction Date]])/3,0)</f>
        <v>Q2</v>
      </c>
      <c r="P381">
        <f>YEAR(Transactions[[#This Row],[Transaction Date]])</f>
        <v>2024</v>
      </c>
      <c r="Q381" t="str">
        <f>IF(Transactions[[#This Row],[Sales Amount]]&lt;AVERAGE(Transactions[Sales Amount]),"Below Average","At/Above Average")</f>
        <v>Below Average</v>
      </c>
    </row>
    <row r="382" spans="4:17" x14ac:dyDescent="0.2">
      <c r="D382" t="s">
        <v>472</v>
      </c>
      <c r="E382" t="s">
        <v>75</v>
      </c>
      <c r="F382" t="s">
        <v>105</v>
      </c>
      <c r="G382">
        <v>120</v>
      </c>
      <c r="H382">
        <v>7</v>
      </c>
      <c r="I382">
        <v>50.57</v>
      </c>
      <c r="J382">
        <v>1</v>
      </c>
      <c r="K382" s="37">
        <v>45312</v>
      </c>
      <c r="L382" t="s">
        <v>109</v>
      </c>
      <c r="M382">
        <v>390.98</v>
      </c>
      <c r="N382">
        <v>17</v>
      </c>
      <c r="O382" t="str">
        <f>"Q"&amp;ROUNDUP(MONTH(Transactions[[#This Row],[Transaction Date]])/3,0)</f>
        <v>Q1</v>
      </c>
      <c r="P382">
        <f>YEAR(Transactions[[#This Row],[Transaction Date]])</f>
        <v>2024</v>
      </c>
      <c r="Q382" t="str">
        <f>IF(Transactions[[#This Row],[Sales Amount]]&lt;AVERAGE(Transactions[Sales Amount]),"Below Average","At/Above Average")</f>
        <v>At/Above Average</v>
      </c>
    </row>
    <row r="383" spans="4:17" x14ac:dyDescent="0.2">
      <c r="D383" t="s">
        <v>473</v>
      </c>
      <c r="E383" t="s">
        <v>78</v>
      </c>
      <c r="F383" t="s">
        <v>96</v>
      </c>
      <c r="G383">
        <v>188</v>
      </c>
      <c r="H383">
        <v>9</v>
      </c>
      <c r="I383">
        <v>53.27</v>
      </c>
      <c r="J383">
        <v>10</v>
      </c>
      <c r="K383" s="37">
        <v>45565</v>
      </c>
      <c r="L383" t="s">
        <v>109</v>
      </c>
      <c r="M383">
        <v>451.5</v>
      </c>
      <c r="N383">
        <v>17</v>
      </c>
      <c r="O383" t="str">
        <f>"Q"&amp;ROUNDUP(MONTH(Transactions[[#This Row],[Transaction Date]])/3,0)</f>
        <v>Q3</v>
      </c>
      <c r="P383">
        <f>YEAR(Transactions[[#This Row],[Transaction Date]])</f>
        <v>2024</v>
      </c>
      <c r="Q383" t="str">
        <f>IF(Transactions[[#This Row],[Sales Amount]]&lt;AVERAGE(Transactions[Sales Amount]),"Below Average","At/Above Average")</f>
        <v>At/Above Average</v>
      </c>
    </row>
    <row r="384" spans="4:17" x14ac:dyDescent="0.2">
      <c r="D384" t="s">
        <v>474</v>
      </c>
      <c r="E384" t="s">
        <v>74</v>
      </c>
      <c r="F384" t="s">
        <v>96</v>
      </c>
      <c r="G384">
        <v>191</v>
      </c>
      <c r="H384">
        <v>9</v>
      </c>
      <c r="I384">
        <v>56.72</v>
      </c>
      <c r="J384">
        <v>1</v>
      </c>
      <c r="K384" s="37">
        <v>44597</v>
      </c>
      <c r="L384" t="s">
        <v>109</v>
      </c>
      <c r="M384">
        <v>362.54</v>
      </c>
      <c r="N384">
        <v>26</v>
      </c>
      <c r="O384" t="str">
        <f>"Q"&amp;ROUNDUP(MONTH(Transactions[[#This Row],[Transaction Date]])/3,0)</f>
        <v>Q1</v>
      </c>
      <c r="P384">
        <f>YEAR(Transactions[[#This Row],[Transaction Date]])</f>
        <v>2022</v>
      </c>
      <c r="Q384" t="str">
        <f>IF(Transactions[[#This Row],[Sales Amount]]&lt;AVERAGE(Transactions[Sales Amount]),"Below Average","At/Above Average")</f>
        <v>At/Above Average</v>
      </c>
    </row>
    <row r="385" spans="4:17" x14ac:dyDescent="0.2">
      <c r="D385" t="s">
        <v>475</v>
      </c>
      <c r="E385" t="s">
        <v>76</v>
      </c>
      <c r="F385" t="s">
        <v>91</v>
      </c>
      <c r="G385">
        <v>291</v>
      </c>
      <c r="H385">
        <v>2</v>
      </c>
      <c r="I385">
        <v>59.8</v>
      </c>
      <c r="J385">
        <v>7</v>
      </c>
      <c r="K385" s="37">
        <v>45486</v>
      </c>
      <c r="L385" t="s">
        <v>92</v>
      </c>
      <c r="M385">
        <v>75.67</v>
      </c>
      <c r="N385">
        <v>16</v>
      </c>
      <c r="O385" t="str">
        <f>"Q"&amp;ROUNDUP(MONTH(Transactions[[#This Row],[Transaction Date]])/3,0)</f>
        <v>Q3</v>
      </c>
      <c r="P385">
        <f>YEAR(Transactions[[#This Row],[Transaction Date]])</f>
        <v>2024</v>
      </c>
      <c r="Q385" t="str">
        <f>IF(Transactions[[#This Row],[Sales Amount]]&lt;AVERAGE(Transactions[Sales Amount]),"Below Average","At/Above Average")</f>
        <v>Below Average</v>
      </c>
    </row>
    <row r="386" spans="4:17" x14ac:dyDescent="0.2">
      <c r="D386" t="s">
        <v>476</v>
      </c>
      <c r="E386" t="s">
        <v>77</v>
      </c>
      <c r="F386" t="s">
        <v>94</v>
      </c>
      <c r="G386">
        <v>210</v>
      </c>
      <c r="H386">
        <v>4</v>
      </c>
      <c r="I386">
        <v>55.62</v>
      </c>
      <c r="J386">
        <v>8</v>
      </c>
      <c r="K386" s="37">
        <v>44733</v>
      </c>
      <c r="L386" t="s">
        <v>92</v>
      </c>
      <c r="M386">
        <v>240.84</v>
      </c>
      <c r="N386">
        <v>48</v>
      </c>
      <c r="O386" t="str">
        <f>"Q"&amp;ROUNDUP(MONTH(Transactions[[#This Row],[Transaction Date]])/3,0)</f>
        <v>Q2</v>
      </c>
      <c r="P386">
        <f>YEAR(Transactions[[#This Row],[Transaction Date]])</f>
        <v>2022</v>
      </c>
      <c r="Q386" t="str">
        <f>IF(Transactions[[#This Row],[Sales Amount]]&lt;AVERAGE(Transactions[Sales Amount]),"Below Average","At/Above Average")</f>
        <v>Below Average</v>
      </c>
    </row>
    <row r="387" spans="4:17" x14ac:dyDescent="0.2">
      <c r="D387" t="s">
        <v>477</v>
      </c>
      <c r="E387" t="s">
        <v>76</v>
      </c>
      <c r="F387" t="s">
        <v>96</v>
      </c>
      <c r="G387">
        <v>195</v>
      </c>
      <c r="H387">
        <v>5</v>
      </c>
      <c r="I387">
        <v>58.69</v>
      </c>
      <c r="J387">
        <v>1</v>
      </c>
      <c r="K387" s="37">
        <v>45427</v>
      </c>
      <c r="L387" t="s">
        <v>97</v>
      </c>
      <c r="M387">
        <v>462.74</v>
      </c>
      <c r="N387">
        <v>46</v>
      </c>
      <c r="O387" t="str">
        <f>"Q"&amp;ROUNDUP(MONTH(Transactions[[#This Row],[Transaction Date]])/3,0)</f>
        <v>Q2</v>
      </c>
      <c r="P387">
        <f>YEAR(Transactions[[#This Row],[Transaction Date]])</f>
        <v>2024</v>
      </c>
      <c r="Q387" t="str">
        <f>IF(Transactions[[#This Row],[Sales Amount]]&lt;AVERAGE(Transactions[Sales Amount]),"Below Average","At/Above Average")</f>
        <v>At/Above Average</v>
      </c>
    </row>
    <row r="388" spans="4:17" x14ac:dyDescent="0.2">
      <c r="D388" t="s">
        <v>478</v>
      </c>
      <c r="E388" t="s">
        <v>77</v>
      </c>
      <c r="F388" t="s">
        <v>91</v>
      </c>
      <c r="G388">
        <v>225</v>
      </c>
      <c r="H388">
        <v>4</v>
      </c>
      <c r="I388">
        <v>57.97</v>
      </c>
      <c r="J388">
        <v>5</v>
      </c>
      <c r="K388" s="37">
        <v>45117</v>
      </c>
      <c r="L388" t="s">
        <v>92</v>
      </c>
      <c r="M388">
        <v>163.85</v>
      </c>
      <c r="N388">
        <v>15</v>
      </c>
      <c r="O388" t="str">
        <f>"Q"&amp;ROUNDUP(MONTH(Transactions[[#This Row],[Transaction Date]])/3,0)</f>
        <v>Q3</v>
      </c>
      <c r="P388">
        <f>YEAR(Transactions[[#This Row],[Transaction Date]])</f>
        <v>2023</v>
      </c>
      <c r="Q388" t="str">
        <f>IF(Transactions[[#This Row],[Sales Amount]]&lt;AVERAGE(Transactions[Sales Amount]),"Below Average","At/Above Average")</f>
        <v>Below Average</v>
      </c>
    </row>
    <row r="389" spans="4:17" x14ac:dyDescent="0.2">
      <c r="D389" t="s">
        <v>479</v>
      </c>
      <c r="E389" t="s">
        <v>87</v>
      </c>
      <c r="F389" t="s">
        <v>91</v>
      </c>
      <c r="G389">
        <v>102</v>
      </c>
      <c r="H389">
        <v>8</v>
      </c>
      <c r="I389">
        <v>50.72</v>
      </c>
      <c r="J389">
        <v>9</v>
      </c>
      <c r="K389" s="37">
        <v>44944</v>
      </c>
      <c r="L389" t="s">
        <v>102</v>
      </c>
      <c r="M389">
        <v>266.31</v>
      </c>
      <c r="N389">
        <v>30</v>
      </c>
      <c r="O389" t="str">
        <f>"Q"&amp;ROUNDUP(MONTH(Transactions[[#This Row],[Transaction Date]])/3,0)</f>
        <v>Q1</v>
      </c>
      <c r="P389">
        <f>YEAR(Transactions[[#This Row],[Transaction Date]])</f>
        <v>2023</v>
      </c>
      <c r="Q389" t="str">
        <f>IF(Transactions[[#This Row],[Sales Amount]]&lt;AVERAGE(Transactions[Sales Amount]),"Below Average","At/Above Average")</f>
        <v>At/Above Average</v>
      </c>
    </row>
    <row r="390" spans="4:17" x14ac:dyDescent="0.2">
      <c r="D390" t="s">
        <v>480</v>
      </c>
      <c r="E390" t="s">
        <v>75</v>
      </c>
      <c r="F390" t="s">
        <v>108</v>
      </c>
      <c r="G390">
        <v>268</v>
      </c>
      <c r="H390">
        <v>1</v>
      </c>
      <c r="I390">
        <v>45.17</v>
      </c>
      <c r="J390">
        <v>4</v>
      </c>
      <c r="K390" s="37">
        <v>45257</v>
      </c>
      <c r="L390" t="s">
        <v>124</v>
      </c>
      <c r="M390">
        <v>380.64</v>
      </c>
      <c r="N390">
        <v>8</v>
      </c>
      <c r="O390" t="str">
        <f>"Q"&amp;ROUNDUP(MONTH(Transactions[[#This Row],[Transaction Date]])/3,0)</f>
        <v>Q4</v>
      </c>
      <c r="P390">
        <f>YEAR(Transactions[[#This Row],[Transaction Date]])</f>
        <v>2023</v>
      </c>
      <c r="Q390" t="str">
        <f>IF(Transactions[[#This Row],[Sales Amount]]&lt;AVERAGE(Transactions[Sales Amount]),"Below Average","At/Above Average")</f>
        <v>At/Above Average</v>
      </c>
    </row>
    <row r="391" spans="4:17" x14ac:dyDescent="0.2">
      <c r="D391" t="s">
        <v>481</v>
      </c>
      <c r="E391" t="s">
        <v>74</v>
      </c>
      <c r="F391" t="s">
        <v>96</v>
      </c>
      <c r="G391">
        <v>248</v>
      </c>
      <c r="H391">
        <v>4</v>
      </c>
      <c r="I391">
        <v>59.11</v>
      </c>
      <c r="J391">
        <v>8</v>
      </c>
      <c r="K391" s="37">
        <v>44885</v>
      </c>
      <c r="L391" t="s">
        <v>92</v>
      </c>
      <c r="M391">
        <v>139.30000000000001</v>
      </c>
      <c r="N391">
        <v>22</v>
      </c>
      <c r="O391" t="str">
        <f>"Q"&amp;ROUNDUP(MONTH(Transactions[[#This Row],[Transaction Date]])/3,0)</f>
        <v>Q4</v>
      </c>
      <c r="P391">
        <f>YEAR(Transactions[[#This Row],[Transaction Date]])</f>
        <v>2022</v>
      </c>
      <c r="Q391" t="str">
        <f>IF(Transactions[[#This Row],[Sales Amount]]&lt;AVERAGE(Transactions[Sales Amount]),"Below Average","At/Above Average")</f>
        <v>Below Average</v>
      </c>
    </row>
    <row r="392" spans="4:17" x14ac:dyDescent="0.2">
      <c r="D392" t="s">
        <v>482</v>
      </c>
      <c r="E392" t="s">
        <v>77</v>
      </c>
      <c r="F392" t="s">
        <v>88</v>
      </c>
      <c r="G392">
        <v>235</v>
      </c>
      <c r="H392">
        <v>9</v>
      </c>
      <c r="I392">
        <v>46.5</v>
      </c>
      <c r="J392">
        <v>1</v>
      </c>
      <c r="K392" s="37">
        <v>44671</v>
      </c>
      <c r="L392" t="s">
        <v>92</v>
      </c>
      <c r="M392">
        <v>465.04</v>
      </c>
      <c r="N392">
        <v>22</v>
      </c>
      <c r="O392" t="str">
        <f>"Q"&amp;ROUNDUP(MONTH(Transactions[[#This Row],[Transaction Date]])/3,0)</f>
        <v>Q2</v>
      </c>
      <c r="P392">
        <f>YEAR(Transactions[[#This Row],[Transaction Date]])</f>
        <v>2022</v>
      </c>
      <c r="Q392" t="str">
        <f>IF(Transactions[[#This Row],[Sales Amount]]&lt;AVERAGE(Transactions[Sales Amount]),"Below Average","At/Above Average")</f>
        <v>At/Above Average</v>
      </c>
    </row>
    <row r="393" spans="4:17" x14ac:dyDescent="0.2">
      <c r="D393" t="s">
        <v>483</v>
      </c>
      <c r="E393" t="s">
        <v>78</v>
      </c>
      <c r="F393" t="s">
        <v>99</v>
      </c>
      <c r="G393">
        <v>256</v>
      </c>
      <c r="H393">
        <v>9</v>
      </c>
      <c r="I393">
        <v>58.12</v>
      </c>
      <c r="J393">
        <v>7</v>
      </c>
      <c r="K393" s="37">
        <v>45159</v>
      </c>
      <c r="L393" t="s">
        <v>89</v>
      </c>
      <c r="M393">
        <v>319.11</v>
      </c>
      <c r="N393">
        <v>12</v>
      </c>
      <c r="O393" t="str">
        <f>"Q"&amp;ROUNDUP(MONTH(Transactions[[#This Row],[Transaction Date]])/3,0)</f>
        <v>Q3</v>
      </c>
      <c r="P393">
        <f>YEAR(Transactions[[#This Row],[Transaction Date]])</f>
        <v>2023</v>
      </c>
      <c r="Q393" t="str">
        <f>IF(Transactions[[#This Row],[Sales Amount]]&lt;AVERAGE(Transactions[Sales Amount]),"Below Average","At/Above Average")</f>
        <v>At/Above Average</v>
      </c>
    </row>
    <row r="394" spans="4:17" x14ac:dyDescent="0.2">
      <c r="D394" t="s">
        <v>484</v>
      </c>
      <c r="E394" t="s">
        <v>75</v>
      </c>
      <c r="F394" t="s">
        <v>88</v>
      </c>
      <c r="G394">
        <v>278</v>
      </c>
      <c r="H394">
        <v>4</v>
      </c>
      <c r="I394">
        <v>54.19</v>
      </c>
      <c r="J394">
        <v>4</v>
      </c>
      <c r="K394" s="37">
        <v>44609</v>
      </c>
      <c r="L394" t="s">
        <v>102</v>
      </c>
      <c r="M394">
        <v>255.39</v>
      </c>
      <c r="N394">
        <v>34</v>
      </c>
      <c r="O394" t="str">
        <f>"Q"&amp;ROUNDUP(MONTH(Transactions[[#This Row],[Transaction Date]])/3,0)</f>
        <v>Q1</v>
      </c>
      <c r="P394">
        <f>YEAR(Transactions[[#This Row],[Transaction Date]])</f>
        <v>2022</v>
      </c>
      <c r="Q394" t="str">
        <f>IF(Transactions[[#This Row],[Sales Amount]]&lt;AVERAGE(Transactions[Sales Amount]),"Below Average","At/Above Average")</f>
        <v>Below Average</v>
      </c>
    </row>
    <row r="395" spans="4:17" x14ac:dyDescent="0.2">
      <c r="D395" t="s">
        <v>485</v>
      </c>
      <c r="E395" t="s">
        <v>77</v>
      </c>
      <c r="F395" t="s">
        <v>129</v>
      </c>
      <c r="G395">
        <v>277</v>
      </c>
      <c r="H395">
        <v>1</v>
      </c>
      <c r="I395">
        <v>56.95</v>
      </c>
      <c r="J395">
        <v>1</v>
      </c>
      <c r="K395" s="37">
        <v>45426</v>
      </c>
      <c r="L395" t="s">
        <v>89</v>
      </c>
      <c r="M395">
        <v>336.14</v>
      </c>
      <c r="N395">
        <v>23</v>
      </c>
      <c r="O395" t="str">
        <f>"Q"&amp;ROUNDUP(MONTH(Transactions[[#This Row],[Transaction Date]])/3,0)</f>
        <v>Q2</v>
      </c>
      <c r="P395">
        <f>YEAR(Transactions[[#This Row],[Transaction Date]])</f>
        <v>2024</v>
      </c>
      <c r="Q395" t="str">
        <f>IF(Transactions[[#This Row],[Sales Amount]]&lt;AVERAGE(Transactions[Sales Amount]),"Below Average","At/Above Average")</f>
        <v>At/Above Average</v>
      </c>
    </row>
    <row r="396" spans="4:17" x14ac:dyDescent="0.2">
      <c r="D396" t="s">
        <v>486</v>
      </c>
      <c r="E396" t="s">
        <v>74</v>
      </c>
      <c r="F396" t="s">
        <v>108</v>
      </c>
      <c r="G396">
        <v>125</v>
      </c>
      <c r="H396">
        <v>6</v>
      </c>
      <c r="I396">
        <v>55.15</v>
      </c>
      <c r="J396">
        <v>3</v>
      </c>
      <c r="K396" s="37">
        <v>44779</v>
      </c>
      <c r="L396" t="s">
        <v>97</v>
      </c>
      <c r="M396">
        <v>374.25</v>
      </c>
      <c r="N396">
        <v>1</v>
      </c>
      <c r="O396" t="str">
        <f>"Q"&amp;ROUNDUP(MONTH(Transactions[[#This Row],[Transaction Date]])/3,0)</f>
        <v>Q3</v>
      </c>
      <c r="P396">
        <f>YEAR(Transactions[[#This Row],[Transaction Date]])</f>
        <v>2022</v>
      </c>
      <c r="Q396" t="str">
        <f>IF(Transactions[[#This Row],[Sales Amount]]&lt;AVERAGE(Transactions[Sales Amount]),"Below Average","At/Above Average")</f>
        <v>At/Above Average</v>
      </c>
    </row>
    <row r="397" spans="4:17" x14ac:dyDescent="0.2">
      <c r="D397" t="s">
        <v>487</v>
      </c>
      <c r="E397" t="s">
        <v>75</v>
      </c>
      <c r="F397" t="s">
        <v>108</v>
      </c>
      <c r="G397">
        <v>132</v>
      </c>
      <c r="H397">
        <v>10</v>
      </c>
      <c r="I397">
        <v>47.04</v>
      </c>
      <c r="J397">
        <v>3</v>
      </c>
      <c r="K397" s="37">
        <v>44730</v>
      </c>
      <c r="L397" t="s">
        <v>97</v>
      </c>
      <c r="M397">
        <v>49.39</v>
      </c>
      <c r="N397">
        <v>12</v>
      </c>
      <c r="O397" t="str">
        <f>"Q"&amp;ROUNDUP(MONTH(Transactions[[#This Row],[Transaction Date]])/3,0)</f>
        <v>Q2</v>
      </c>
      <c r="P397">
        <f>YEAR(Transactions[[#This Row],[Transaction Date]])</f>
        <v>2022</v>
      </c>
      <c r="Q397" t="str">
        <f>IF(Transactions[[#This Row],[Sales Amount]]&lt;AVERAGE(Transactions[Sales Amount]),"Below Average","At/Above Average")</f>
        <v>Below Average</v>
      </c>
    </row>
    <row r="398" spans="4:17" x14ac:dyDescent="0.2">
      <c r="D398" t="s">
        <v>488</v>
      </c>
      <c r="E398" t="s">
        <v>75</v>
      </c>
      <c r="F398" t="s">
        <v>91</v>
      </c>
      <c r="G398">
        <v>258</v>
      </c>
      <c r="H398">
        <v>8</v>
      </c>
      <c r="I398">
        <v>49.85</v>
      </c>
      <c r="J398">
        <v>9</v>
      </c>
      <c r="K398" s="37">
        <v>44753</v>
      </c>
      <c r="L398" t="s">
        <v>124</v>
      </c>
      <c r="M398">
        <v>268.33999999999997</v>
      </c>
      <c r="N398">
        <v>21</v>
      </c>
      <c r="O398" t="str">
        <f>"Q"&amp;ROUNDUP(MONTH(Transactions[[#This Row],[Transaction Date]])/3,0)</f>
        <v>Q3</v>
      </c>
      <c r="P398">
        <f>YEAR(Transactions[[#This Row],[Transaction Date]])</f>
        <v>2022</v>
      </c>
      <c r="Q398" t="str">
        <f>IF(Transactions[[#This Row],[Sales Amount]]&lt;AVERAGE(Transactions[Sales Amount]),"Below Average","At/Above Average")</f>
        <v>At/Above Average</v>
      </c>
    </row>
    <row r="399" spans="4:17" x14ac:dyDescent="0.2">
      <c r="D399" t="s">
        <v>489</v>
      </c>
      <c r="E399" t="s">
        <v>78</v>
      </c>
      <c r="F399" t="s">
        <v>108</v>
      </c>
      <c r="G399">
        <v>160</v>
      </c>
      <c r="H399">
        <v>8</v>
      </c>
      <c r="I399">
        <v>50.56</v>
      </c>
      <c r="J399">
        <v>6</v>
      </c>
      <c r="K399" s="37">
        <v>45334</v>
      </c>
      <c r="L399" t="s">
        <v>92</v>
      </c>
      <c r="M399">
        <v>333.75</v>
      </c>
      <c r="N399">
        <v>33</v>
      </c>
      <c r="O399" t="str">
        <f>"Q"&amp;ROUNDUP(MONTH(Transactions[[#This Row],[Transaction Date]])/3,0)</f>
        <v>Q1</v>
      </c>
      <c r="P399">
        <f>YEAR(Transactions[[#This Row],[Transaction Date]])</f>
        <v>2024</v>
      </c>
      <c r="Q399" t="str">
        <f>IF(Transactions[[#This Row],[Sales Amount]]&lt;AVERAGE(Transactions[Sales Amount]),"Below Average","At/Above Average")</f>
        <v>At/Above Average</v>
      </c>
    </row>
    <row r="400" spans="4:17" x14ac:dyDescent="0.2">
      <c r="D400" t="s">
        <v>490</v>
      </c>
      <c r="E400" t="s">
        <v>78</v>
      </c>
      <c r="F400" t="s">
        <v>88</v>
      </c>
      <c r="G400">
        <v>161</v>
      </c>
      <c r="H400">
        <v>6</v>
      </c>
      <c r="I400">
        <v>47.74</v>
      </c>
      <c r="J400">
        <v>3</v>
      </c>
      <c r="K400" s="37">
        <v>44859</v>
      </c>
      <c r="L400" t="s">
        <v>102</v>
      </c>
      <c r="M400">
        <v>204.46</v>
      </c>
      <c r="N400">
        <v>2</v>
      </c>
      <c r="O400" t="str">
        <f>"Q"&amp;ROUNDUP(MONTH(Transactions[[#This Row],[Transaction Date]])/3,0)</f>
        <v>Q4</v>
      </c>
      <c r="P400">
        <f>YEAR(Transactions[[#This Row],[Transaction Date]])</f>
        <v>2022</v>
      </c>
      <c r="Q400" t="str">
        <f>IF(Transactions[[#This Row],[Sales Amount]]&lt;AVERAGE(Transactions[Sales Amount]),"Below Average","At/Above Average")</f>
        <v>Below Average</v>
      </c>
    </row>
    <row r="401" spans="4:17" x14ac:dyDescent="0.2">
      <c r="D401" t="s">
        <v>491</v>
      </c>
      <c r="E401" t="s">
        <v>78</v>
      </c>
      <c r="F401" t="s">
        <v>96</v>
      </c>
      <c r="G401">
        <v>208</v>
      </c>
      <c r="H401">
        <v>9</v>
      </c>
      <c r="I401">
        <v>56.91</v>
      </c>
      <c r="J401">
        <v>6</v>
      </c>
      <c r="K401" s="37">
        <v>45433</v>
      </c>
      <c r="L401" t="s">
        <v>89</v>
      </c>
      <c r="M401">
        <v>236.66</v>
      </c>
      <c r="N401">
        <v>7</v>
      </c>
      <c r="O401" t="str">
        <f>"Q"&amp;ROUNDUP(MONTH(Transactions[[#This Row],[Transaction Date]])/3,0)</f>
        <v>Q2</v>
      </c>
      <c r="P401">
        <f>YEAR(Transactions[[#This Row],[Transaction Date]])</f>
        <v>2024</v>
      </c>
      <c r="Q401" t="str">
        <f>IF(Transactions[[#This Row],[Sales Amount]]&lt;AVERAGE(Transactions[Sales Amount]),"Below Average","At/Above Average")</f>
        <v>Below Average</v>
      </c>
    </row>
    <row r="402" spans="4:17" x14ac:dyDescent="0.2">
      <c r="D402" t="s">
        <v>492</v>
      </c>
      <c r="E402" t="s">
        <v>87</v>
      </c>
      <c r="F402" t="s">
        <v>105</v>
      </c>
      <c r="G402">
        <v>237</v>
      </c>
      <c r="H402">
        <v>2</v>
      </c>
      <c r="I402">
        <v>51.05</v>
      </c>
      <c r="J402">
        <v>5</v>
      </c>
      <c r="K402" s="37">
        <v>45622</v>
      </c>
      <c r="L402" t="s">
        <v>109</v>
      </c>
      <c r="M402">
        <v>343.82</v>
      </c>
      <c r="N402">
        <v>50</v>
      </c>
      <c r="O402" t="str">
        <f>"Q"&amp;ROUNDUP(MONTH(Transactions[[#This Row],[Transaction Date]])/3,0)</f>
        <v>Q4</v>
      </c>
      <c r="P402">
        <f>YEAR(Transactions[[#This Row],[Transaction Date]])</f>
        <v>2024</v>
      </c>
      <c r="Q402" t="str">
        <f>IF(Transactions[[#This Row],[Sales Amount]]&lt;AVERAGE(Transactions[Sales Amount]),"Below Average","At/Above Average")</f>
        <v>At/Above Average</v>
      </c>
    </row>
    <row r="403" spans="4:17" x14ac:dyDescent="0.2">
      <c r="D403" t="s">
        <v>493</v>
      </c>
      <c r="E403" t="s">
        <v>77</v>
      </c>
      <c r="F403" t="s">
        <v>99</v>
      </c>
      <c r="G403">
        <v>174</v>
      </c>
      <c r="H403">
        <v>5</v>
      </c>
      <c r="I403">
        <v>47.31</v>
      </c>
      <c r="J403">
        <v>10</v>
      </c>
      <c r="K403" s="37">
        <v>45012</v>
      </c>
      <c r="L403" t="s">
        <v>109</v>
      </c>
      <c r="M403">
        <v>113.64</v>
      </c>
      <c r="N403">
        <v>6</v>
      </c>
      <c r="O403" t="str">
        <f>"Q"&amp;ROUNDUP(MONTH(Transactions[[#This Row],[Transaction Date]])/3,0)</f>
        <v>Q1</v>
      </c>
      <c r="P403">
        <f>YEAR(Transactions[[#This Row],[Transaction Date]])</f>
        <v>2023</v>
      </c>
      <c r="Q403" t="str">
        <f>IF(Transactions[[#This Row],[Sales Amount]]&lt;AVERAGE(Transactions[Sales Amount]),"Below Average","At/Above Average")</f>
        <v>Below Average</v>
      </c>
    </row>
    <row r="404" spans="4:17" x14ac:dyDescent="0.2">
      <c r="D404" t="s">
        <v>494</v>
      </c>
      <c r="E404" t="s">
        <v>77</v>
      </c>
      <c r="F404" t="s">
        <v>88</v>
      </c>
      <c r="G404">
        <v>257</v>
      </c>
      <c r="H404">
        <v>2</v>
      </c>
      <c r="I404">
        <v>51.61</v>
      </c>
      <c r="J404">
        <v>9</v>
      </c>
      <c r="K404" s="37">
        <v>44853</v>
      </c>
      <c r="L404" t="s">
        <v>109</v>
      </c>
      <c r="M404">
        <v>231.64</v>
      </c>
      <c r="N404">
        <v>3</v>
      </c>
      <c r="O404" t="str">
        <f>"Q"&amp;ROUNDUP(MONTH(Transactions[[#This Row],[Transaction Date]])/3,0)</f>
        <v>Q4</v>
      </c>
      <c r="P404">
        <f>YEAR(Transactions[[#This Row],[Transaction Date]])</f>
        <v>2022</v>
      </c>
      <c r="Q404" t="str">
        <f>IF(Transactions[[#This Row],[Sales Amount]]&lt;AVERAGE(Transactions[Sales Amount]),"Below Average","At/Above Average")</f>
        <v>Below Average</v>
      </c>
    </row>
    <row r="405" spans="4:17" x14ac:dyDescent="0.2">
      <c r="D405" t="s">
        <v>495</v>
      </c>
      <c r="E405" t="s">
        <v>74</v>
      </c>
      <c r="F405" t="s">
        <v>88</v>
      </c>
      <c r="G405">
        <v>157</v>
      </c>
      <c r="H405">
        <v>1</v>
      </c>
      <c r="I405">
        <v>50.81</v>
      </c>
      <c r="J405">
        <v>9</v>
      </c>
      <c r="K405" s="37">
        <v>44888</v>
      </c>
      <c r="L405" t="s">
        <v>92</v>
      </c>
      <c r="M405">
        <v>274.93</v>
      </c>
      <c r="N405">
        <v>37</v>
      </c>
      <c r="O405" t="str">
        <f>"Q"&amp;ROUNDUP(MONTH(Transactions[[#This Row],[Transaction Date]])/3,0)</f>
        <v>Q4</v>
      </c>
      <c r="P405">
        <f>YEAR(Transactions[[#This Row],[Transaction Date]])</f>
        <v>2022</v>
      </c>
      <c r="Q405" t="str">
        <f>IF(Transactions[[#This Row],[Sales Amount]]&lt;AVERAGE(Transactions[Sales Amount]),"Below Average","At/Above Average")</f>
        <v>At/Above Average</v>
      </c>
    </row>
    <row r="406" spans="4:17" x14ac:dyDescent="0.2">
      <c r="D406" t="s">
        <v>496</v>
      </c>
      <c r="E406" t="s">
        <v>77</v>
      </c>
      <c r="F406" t="s">
        <v>88</v>
      </c>
      <c r="G406">
        <v>183</v>
      </c>
      <c r="H406">
        <v>3</v>
      </c>
      <c r="I406">
        <v>51.86</v>
      </c>
      <c r="J406">
        <v>6</v>
      </c>
      <c r="K406" s="37">
        <v>44576</v>
      </c>
      <c r="L406" t="s">
        <v>102</v>
      </c>
      <c r="M406">
        <v>314.43</v>
      </c>
      <c r="N406">
        <v>32</v>
      </c>
      <c r="O406" t="str">
        <f>"Q"&amp;ROUNDUP(MONTH(Transactions[[#This Row],[Transaction Date]])/3,0)</f>
        <v>Q1</v>
      </c>
      <c r="P406">
        <f>YEAR(Transactions[[#This Row],[Transaction Date]])</f>
        <v>2022</v>
      </c>
      <c r="Q406" t="str">
        <f>IF(Transactions[[#This Row],[Sales Amount]]&lt;AVERAGE(Transactions[Sales Amount]),"Below Average","At/Above Average")</f>
        <v>At/Above Average</v>
      </c>
    </row>
    <row r="407" spans="4:17" x14ac:dyDescent="0.2">
      <c r="D407" t="s">
        <v>497</v>
      </c>
      <c r="E407" t="s">
        <v>76</v>
      </c>
      <c r="F407" t="s">
        <v>96</v>
      </c>
      <c r="G407">
        <v>198</v>
      </c>
      <c r="H407">
        <v>6</v>
      </c>
      <c r="I407">
        <v>57.29</v>
      </c>
      <c r="J407">
        <v>6</v>
      </c>
      <c r="K407" s="37">
        <v>44719</v>
      </c>
      <c r="L407" t="s">
        <v>124</v>
      </c>
      <c r="M407">
        <v>192.04</v>
      </c>
      <c r="N407">
        <v>29</v>
      </c>
      <c r="O407" t="str">
        <f>"Q"&amp;ROUNDUP(MONTH(Transactions[[#This Row],[Transaction Date]])/3,0)</f>
        <v>Q2</v>
      </c>
      <c r="P407">
        <f>YEAR(Transactions[[#This Row],[Transaction Date]])</f>
        <v>2022</v>
      </c>
      <c r="Q407" t="str">
        <f>IF(Transactions[[#This Row],[Sales Amount]]&lt;AVERAGE(Transactions[Sales Amount]),"Below Average","At/Above Average")</f>
        <v>Below Average</v>
      </c>
    </row>
    <row r="408" spans="4:17" x14ac:dyDescent="0.2">
      <c r="D408" t="s">
        <v>498</v>
      </c>
      <c r="E408" t="s">
        <v>87</v>
      </c>
      <c r="F408" t="s">
        <v>105</v>
      </c>
      <c r="G408">
        <v>185</v>
      </c>
      <c r="H408">
        <v>4</v>
      </c>
      <c r="I408">
        <v>48.04</v>
      </c>
      <c r="J408">
        <v>2</v>
      </c>
      <c r="K408" s="37">
        <v>44947</v>
      </c>
      <c r="L408" t="s">
        <v>89</v>
      </c>
      <c r="M408">
        <v>437.86</v>
      </c>
      <c r="N408">
        <v>31</v>
      </c>
      <c r="O408" t="str">
        <f>"Q"&amp;ROUNDUP(MONTH(Transactions[[#This Row],[Transaction Date]])/3,0)</f>
        <v>Q1</v>
      </c>
      <c r="P408">
        <f>YEAR(Transactions[[#This Row],[Transaction Date]])</f>
        <v>2023</v>
      </c>
      <c r="Q408" t="str">
        <f>IF(Transactions[[#This Row],[Sales Amount]]&lt;AVERAGE(Transactions[Sales Amount]),"Below Average","At/Above Average")</f>
        <v>At/Above Average</v>
      </c>
    </row>
    <row r="409" spans="4:17" x14ac:dyDescent="0.2">
      <c r="D409" t="s">
        <v>499</v>
      </c>
      <c r="E409" t="s">
        <v>87</v>
      </c>
      <c r="F409" t="s">
        <v>129</v>
      </c>
      <c r="G409">
        <v>158</v>
      </c>
      <c r="H409">
        <v>2</v>
      </c>
      <c r="I409">
        <v>47.56</v>
      </c>
      <c r="J409">
        <v>9</v>
      </c>
      <c r="K409" s="37">
        <v>45244</v>
      </c>
      <c r="L409" t="s">
        <v>92</v>
      </c>
      <c r="M409">
        <v>432.34</v>
      </c>
      <c r="N409">
        <v>10</v>
      </c>
      <c r="O409" t="str">
        <f>"Q"&amp;ROUNDUP(MONTH(Transactions[[#This Row],[Transaction Date]])/3,0)</f>
        <v>Q4</v>
      </c>
      <c r="P409">
        <f>YEAR(Transactions[[#This Row],[Transaction Date]])</f>
        <v>2023</v>
      </c>
      <c r="Q409" t="str">
        <f>IF(Transactions[[#This Row],[Sales Amount]]&lt;AVERAGE(Transactions[Sales Amount]),"Below Average","At/Above Average")</f>
        <v>At/Above Average</v>
      </c>
    </row>
    <row r="410" spans="4:17" x14ac:dyDescent="0.2">
      <c r="D410" t="s">
        <v>500</v>
      </c>
      <c r="E410" t="s">
        <v>87</v>
      </c>
      <c r="F410" t="s">
        <v>108</v>
      </c>
      <c r="G410">
        <v>220</v>
      </c>
      <c r="H410">
        <v>5</v>
      </c>
      <c r="I410">
        <v>58.92</v>
      </c>
      <c r="J410">
        <v>4</v>
      </c>
      <c r="K410" s="37">
        <v>44704</v>
      </c>
      <c r="L410" t="s">
        <v>97</v>
      </c>
      <c r="M410">
        <v>99.23</v>
      </c>
      <c r="N410">
        <v>34</v>
      </c>
      <c r="O410" t="str">
        <f>"Q"&amp;ROUNDUP(MONTH(Transactions[[#This Row],[Transaction Date]])/3,0)</f>
        <v>Q2</v>
      </c>
      <c r="P410">
        <f>YEAR(Transactions[[#This Row],[Transaction Date]])</f>
        <v>2022</v>
      </c>
      <c r="Q410" t="str">
        <f>IF(Transactions[[#This Row],[Sales Amount]]&lt;AVERAGE(Transactions[Sales Amount]),"Below Average","At/Above Average")</f>
        <v>Below Average</v>
      </c>
    </row>
    <row r="411" spans="4:17" x14ac:dyDescent="0.2">
      <c r="D411" t="s">
        <v>501</v>
      </c>
      <c r="E411" t="s">
        <v>74</v>
      </c>
      <c r="F411" t="s">
        <v>91</v>
      </c>
      <c r="G411">
        <v>259</v>
      </c>
      <c r="H411">
        <v>3</v>
      </c>
      <c r="I411">
        <v>48.04</v>
      </c>
      <c r="J411">
        <v>7</v>
      </c>
      <c r="K411" s="37">
        <v>45290</v>
      </c>
      <c r="L411" t="s">
        <v>102</v>
      </c>
      <c r="M411">
        <v>219.96</v>
      </c>
      <c r="N411">
        <v>2</v>
      </c>
      <c r="O411" t="str">
        <f>"Q"&amp;ROUNDUP(MONTH(Transactions[[#This Row],[Transaction Date]])/3,0)</f>
        <v>Q4</v>
      </c>
      <c r="P411">
        <f>YEAR(Transactions[[#This Row],[Transaction Date]])</f>
        <v>2023</v>
      </c>
      <c r="Q411" t="str">
        <f>IF(Transactions[[#This Row],[Sales Amount]]&lt;AVERAGE(Transactions[Sales Amount]),"Below Average","At/Above Average")</f>
        <v>Below Average</v>
      </c>
    </row>
    <row r="412" spans="4:17" x14ac:dyDescent="0.2">
      <c r="D412" t="s">
        <v>502</v>
      </c>
      <c r="E412" t="s">
        <v>78</v>
      </c>
      <c r="F412" t="s">
        <v>91</v>
      </c>
      <c r="G412">
        <v>165</v>
      </c>
      <c r="H412">
        <v>9</v>
      </c>
      <c r="I412">
        <v>51.67</v>
      </c>
      <c r="J412">
        <v>7</v>
      </c>
      <c r="K412" s="37">
        <v>44886</v>
      </c>
      <c r="L412" t="s">
        <v>92</v>
      </c>
      <c r="M412">
        <v>26.15</v>
      </c>
      <c r="N412">
        <v>2</v>
      </c>
      <c r="O412" t="str">
        <f>"Q"&amp;ROUNDUP(MONTH(Transactions[[#This Row],[Transaction Date]])/3,0)</f>
        <v>Q4</v>
      </c>
      <c r="P412">
        <f>YEAR(Transactions[[#This Row],[Transaction Date]])</f>
        <v>2022</v>
      </c>
      <c r="Q412" t="str">
        <f>IF(Transactions[[#This Row],[Sales Amount]]&lt;AVERAGE(Transactions[Sales Amount]),"Below Average","At/Above Average")</f>
        <v>Below Average</v>
      </c>
    </row>
    <row r="413" spans="4:17" x14ac:dyDescent="0.2">
      <c r="D413" t="s">
        <v>503</v>
      </c>
      <c r="E413" t="s">
        <v>87</v>
      </c>
      <c r="F413" t="s">
        <v>91</v>
      </c>
      <c r="G413">
        <v>156</v>
      </c>
      <c r="H413">
        <v>10</v>
      </c>
      <c r="I413">
        <v>59.93</v>
      </c>
      <c r="J413">
        <v>5</v>
      </c>
      <c r="K413" s="37">
        <v>44825</v>
      </c>
      <c r="L413" t="s">
        <v>102</v>
      </c>
      <c r="M413">
        <v>324.07</v>
      </c>
      <c r="N413">
        <v>36</v>
      </c>
      <c r="O413" t="str">
        <f>"Q"&amp;ROUNDUP(MONTH(Transactions[[#This Row],[Transaction Date]])/3,0)</f>
        <v>Q3</v>
      </c>
      <c r="P413">
        <f>YEAR(Transactions[[#This Row],[Transaction Date]])</f>
        <v>2022</v>
      </c>
      <c r="Q413" t="str">
        <f>IF(Transactions[[#This Row],[Sales Amount]]&lt;AVERAGE(Transactions[Sales Amount]),"Below Average","At/Above Average")</f>
        <v>At/Above Average</v>
      </c>
    </row>
    <row r="414" spans="4:17" x14ac:dyDescent="0.2">
      <c r="D414" t="s">
        <v>504</v>
      </c>
      <c r="E414" t="s">
        <v>78</v>
      </c>
      <c r="F414" t="s">
        <v>99</v>
      </c>
      <c r="G414">
        <v>288</v>
      </c>
      <c r="H414">
        <v>6</v>
      </c>
      <c r="I414">
        <v>59.41</v>
      </c>
      <c r="J414">
        <v>4</v>
      </c>
      <c r="K414" s="37">
        <v>44596</v>
      </c>
      <c r="L414" t="s">
        <v>92</v>
      </c>
      <c r="M414">
        <v>207.19</v>
      </c>
      <c r="N414">
        <v>1</v>
      </c>
      <c r="O414" t="str">
        <f>"Q"&amp;ROUNDUP(MONTH(Transactions[[#This Row],[Transaction Date]])/3,0)</f>
        <v>Q1</v>
      </c>
      <c r="P414">
        <f>YEAR(Transactions[[#This Row],[Transaction Date]])</f>
        <v>2022</v>
      </c>
      <c r="Q414" t="str">
        <f>IF(Transactions[[#This Row],[Sales Amount]]&lt;AVERAGE(Transactions[Sales Amount]),"Below Average","At/Above Average")</f>
        <v>Below Average</v>
      </c>
    </row>
    <row r="415" spans="4:17" x14ac:dyDescent="0.2">
      <c r="D415" t="s">
        <v>505</v>
      </c>
      <c r="E415" t="s">
        <v>75</v>
      </c>
      <c r="F415" t="s">
        <v>88</v>
      </c>
      <c r="G415">
        <v>228</v>
      </c>
      <c r="H415">
        <v>6</v>
      </c>
      <c r="I415">
        <v>48.36</v>
      </c>
      <c r="J415">
        <v>5</v>
      </c>
      <c r="K415" s="37">
        <v>45554</v>
      </c>
      <c r="L415" t="s">
        <v>92</v>
      </c>
      <c r="M415">
        <v>393.37</v>
      </c>
      <c r="N415">
        <v>50</v>
      </c>
      <c r="O415" t="str">
        <f>"Q"&amp;ROUNDUP(MONTH(Transactions[[#This Row],[Transaction Date]])/3,0)</f>
        <v>Q3</v>
      </c>
      <c r="P415">
        <f>YEAR(Transactions[[#This Row],[Transaction Date]])</f>
        <v>2024</v>
      </c>
      <c r="Q415" t="str">
        <f>IF(Transactions[[#This Row],[Sales Amount]]&lt;AVERAGE(Transactions[Sales Amount]),"Below Average","At/Above Average")</f>
        <v>At/Above Average</v>
      </c>
    </row>
    <row r="416" spans="4:17" x14ac:dyDescent="0.2">
      <c r="D416" t="s">
        <v>506</v>
      </c>
      <c r="E416" t="s">
        <v>76</v>
      </c>
      <c r="F416" t="s">
        <v>105</v>
      </c>
      <c r="G416">
        <v>236</v>
      </c>
      <c r="H416">
        <v>9</v>
      </c>
      <c r="I416">
        <v>53.48</v>
      </c>
      <c r="J416">
        <v>9</v>
      </c>
      <c r="K416" s="37">
        <v>44837</v>
      </c>
      <c r="L416" t="s">
        <v>109</v>
      </c>
      <c r="M416">
        <v>368.16</v>
      </c>
      <c r="N416">
        <v>26</v>
      </c>
      <c r="O416" t="str">
        <f>"Q"&amp;ROUNDUP(MONTH(Transactions[[#This Row],[Transaction Date]])/3,0)</f>
        <v>Q4</v>
      </c>
      <c r="P416">
        <f>YEAR(Transactions[[#This Row],[Transaction Date]])</f>
        <v>2022</v>
      </c>
      <c r="Q416" t="str">
        <f>IF(Transactions[[#This Row],[Sales Amount]]&lt;AVERAGE(Transactions[Sales Amount]),"Below Average","At/Above Average")</f>
        <v>At/Above Average</v>
      </c>
    </row>
    <row r="417" spans="4:17" x14ac:dyDescent="0.2">
      <c r="D417" t="s">
        <v>507</v>
      </c>
      <c r="E417" t="s">
        <v>77</v>
      </c>
      <c r="F417" t="s">
        <v>105</v>
      </c>
      <c r="G417">
        <v>104</v>
      </c>
      <c r="H417">
        <v>6</v>
      </c>
      <c r="I417">
        <v>51.09</v>
      </c>
      <c r="J417">
        <v>3</v>
      </c>
      <c r="K417" s="37">
        <v>44688</v>
      </c>
      <c r="L417" t="s">
        <v>89</v>
      </c>
      <c r="M417">
        <v>410.47</v>
      </c>
      <c r="N417">
        <v>4</v>
      </c>
      <c r="O417" t="str">
        <f>"Q"&amp;ROUNDUP(MONTH(Transactions[[#This Row],[Transaction Date]])/3,0)</f>
        <v>Q2</v>
      </c>
      <c r="P417">
        <f>YEAR(Transactions[[#This Row],[Transaction Date]])</f>
        <v>2022</v>
      </c>
      <c r="Q417" t="str">
        <f>IF(Transactions[[#This Row],[Sales Amount]]&lt;AVERAGE(Transactions[Sales Amount]),"Below Average","At/Above Average")</f>
        <v>At/Above Average</v>
      </c>
    </row>
    <row r="418" spans="4:17" x14ac:dyDescent="0.2">
      <c r="D418" t="s">
        <v>508</v>
      </c>
      <c r="E418" t="s">
        <v>74</v>
      </c>
      <c r="F418" t="s">
        <v>88</v>
      </c>
      <c r="G418">
        <v>184</v>
      </c>
      <c r="H418">
        <v>1</v>
      </c>
      <c r="I418">
        <v>46.63</v>
      </c>
      <c r="J418">
        <v>1</v>
      </c>
      <c r="K418" s="37">
        <v>45108</v>
      </c>
      <c r="L418" t="s">
        <v>124</v>
      </c>
      <c r="M418">
        <v>260.24</v>
      </c>
      <c r="N418">
        <v>26</v>
      </c>
      <c r="O418" t="str">
        <f>"Q"&amp;ROUNDUP(MONTH(Transactions[[#This Row],[Transaction Date]])/3,0)</f>
        <v>Q3</v>
      </c>
      <c r="P418">
        <f>YEAR(Transactions[[#This Row],[Transaction Date]])</f>
        <v>2023</v>
      </c>
      <c r="Q418" t="str">
        <f>IF(Transactions[[#This Row],[Sales Amount]]&lt;AVERAGE(Transactions[Sales Amount]),"Below Average","At/Above Average")</f>
        <v>At/Above Average</v>
      </c>
    </row>
    <row r="419" spans="4:17" x14ac:dyDescent="0.2">
      <c r="D419" t="s">
        <v>509</v>
      </c>
      <c r="E419" t="s">
        <v>75</v>
      </c>
      <c r="F419" t="s">
        <v>129</v>
      </c>
      <c r="G419">
        <v>288</v>
      </c>
      <c r="H419">
        <v>6</v>
      </c>
      <c r="I419">
        <v>49.48</v>
      </c>
      <c r="J419">
        <v>1</v>
      </c>
      <c r="K419" s="37">
        <v>44991</v>
      </c>
      <c r="L419" t="s">
        <v>109</v>
      </c>
      <c r="M419">
        <v>303.3</v>
      </c>
      <c r="N419">
        <v>32</v>
      </c>
      <c r="O419" t="str">
        <f>"Q"&amp;ROUNDUP(MONTH(Transactions[[#This Row],[Transaction Date]])/3,0)</f>
        <v>Q1</v>
      </c>
      <c r="P419">
        <f>YEAR(Transactions[[#This Row],[Transaction Date]])</f>
        <v>2023</v>
      </c>
      <c r="Q419" t="str">
        <f>IF(Transactions[[#This Row],[Sales Amount]]&lt;AVERAGE(Transactions[Sales Amount]),"Below Average","At/Above Average")</f>
        <v>At/Above Average</v>
      </c>
    </row>
    <row r="420" spans="4:17" x14ac:dyDescent="0.2">
      <c r="D420" t="s">
        <v>510</v>
      </c>
      <c r="E420" t="s">
        <v>87</v>
      </c>
      <c r="F420" t="s">
        <v>108</v>
      </c>
      <c r="G420">
        <v>281</v>
      </c>
      <c r="H420">
        <v>3</v>
      </c>
      <c r="I420">
        <v>59.77</v>
      </c>
      <c r="J420">
        <v>9</v>
      </c>
      <c r="K420" s="37">
        <v>45150</v>
      </c>
      <c r="L420" t="s">
        <v>102</v>
      </c>
      <c r="M420">
        <v>213.94</v>
      </c>
      <c r="N420">
        <v>24</v>
      </c>
      <c r="O420" t="str">
        <f>"Q"&amp;ROUNDUP(MONTH(Transactions[[#This Row],[Transaction Date]])/3,0)</f>
        <v>Q3</v>
      </c>
      <c r="P420">
        <f>YEAR(Transactions[[#This Row],[Transaction Date]])</f>
        <v>2023</v>
      </c>
      <c r="Q420" t="str">
        <f>IF(Transactions[[#This Row],[Sales Amount]]&lt;AVERAGE(Transactions[Sales Amount]),"Below Average","At/Above Average")</f>
        <v>Below Average</v>
      </c>
    </row>
    <row r="421" spans="4:17" x14ac:dyDescent="0.2">
      <c r="D421" t="s">
        <v>511</v>
      </c>
      <c r="E421" t="s">
        <v>78</v>
      </c>
      <c r="F421" t="s">
        <v>91</v>
      </c>
      <c r="G421">
        <v>152</v>
      </c>
      <c r="H421">
        <v>8</v>
      </c>
      <c r="I421">
        <v>48.7</v>
      </c>
      <c r="J421">
        <v>8</v>
      </c>
      <c r="K421" s="37">
        <v>45295</v>
      </c>
      <c r="L421" t="s">
        <v>92</v>
      </c>
      <c r="M421">
        <v>50.05</v>
      </c>
      <c r="N421">
        <v>16</v>
      </c>
      <c r="O421" t="str">
        <f>"Q"&amp;ROUNDUP(MONTH(Transactions[[#This Row],[Transaction Date]])/3,0)</f>
        <v>Q1</v>
      </c>
      <c r="P421">
        <f>YEAR(Transactions[[#This Row],[Transaction Date]])</f>
        <v>2024</v>
      </c>
      <c r="Q421" t="str">
        <f>IF(Transactions[[#This Row],[Sales Amount]]&lt;AVERAGE(Transactions[Sales Amount]),"Below Average","At/Above Average")</f>
        <v>Below Average</v>
      </c>
    </row>
    <row r="422" spans="4:17" x14ac:dyDescent="0.2">
      <c r="D422" t="s">
        <v>512</v>
      </c>
      <c r="E422" t="s">
        <v>76</v>
      </c>
      <c r="F422" t="s">
        <v>94</v>
      </c>
      <c r="G422">
        <v>108</v>
      </c>
      <c r="H422">
        <v>5</v>
      </c>
      <c r="I422">
        <v>45.62</v>
      </c>
      <c r="J422">
        <v>1</v>
      </c>
      <c r="K422" s="37">
        <v>45055</v>
      </c>
      <c r="L422" t="s">
        <v>102</v>
      </c>
      <c r="M422">
        <v>386.27</v>
      </c>
      <c r="N422">
        <v>36</v>
      </c>
      <c r="O422" t="str">
        <f>"Q"&amp;ROUNDUP(MONTH(Transactions[[#This Row],[Transaction Date]])/3,0)</f>
        <v>Q2</v>
      </c>
      <c r="P422">
        <f>YEAR(Transactions[[#This Row],[Transaction Date]])</f>
        <v>2023</v>
      </c>
      <c r="Q422" t="str">
        <f>IF(Transactions[[#This Row],[Sales Amount]]&lt;AVERAGE(Transactions[Sales Amount]),"Below Average","At/Above Average")</f>
        <v>At/Above Average</v>
      </c>
    </row>
    <row r="423" spans="4:17" x14ac:dyDescent="0.2">
      <c r="D423" t="s">
        <v>513</v>
      </c>
      <c r="E423" t="s">
        <v>75</v>
      </c>
      <c r="F423" t="s">
        <v>96</v>
      </c>
      <c r="G423">
        <v>100</v>
      </c>
      <c r="H423">
        <v>9</v>
      </c>
      <c r="I423">
        <v>59.75</v>
      </c>
      <c r="J423">
        <v>3</v>
      </c>
      <c r="K423" s="37">
        <v>45412</v>
      </c>
      <c r="L423" t="s">
        <v>109</v>
      </c>
      <c r="M423">
        <v>443.09</v>
      </c>
      <c r="N423">
        <v>21</v>
      </c>
      <c r="O423" t="str">
        <f>"Q"&amp;ROUNDUP(MONTH(Transactions[[#This Row],[Transaction Date]])/3,0)</f>
        <v>Q2</v>
      </c>
      <c r="P423">
        <f>YEAR(Transactions[[#This Row],[Transaction Date]])</f>
        <v>2024</v>
      </c>
      <c r="Q423" t="str">
        <f>IF(Transactions[[#This Row],[Sales Amount]]&lt;AVERAGE(Transactions[Sales Amount]),"Below Average","At/Above Average")</f>
        <v>At/Above Average</v>
      </c>
    </row>
    <row r="424" spans="4:17" x14ac:dyDescent="0.2">
      <c r="D424" t="s">
        <v>514</v>
      </c>
      <c r="E424" t="s">
        <v>75</v>
      </c>
      <c r="F424" t="s">
        <v>88</v>
      </c>
      <c r="G424">
        <v>133</v>
      </c>
      <c r="H424">
        <v>2</v>
      </c>
      <c r="I424">
        <v>56.89</v>
      </c>
      <c r="J424">
        <v>4</v>
      </c>
      <c r="K424" s="37">
        <v>44768</v>
      </c>
      <c r="L424" t="s">
        <v>97</v>
      </c>
      <c r="M424">
        <v>127.09</v>
      </c>
      <c r="N424">
        <v>47</v>
      </c>
      <c r="O424" t="str">
        <f>"Q"&amp;ROUNDUP(MONTH(Transactions[[#This Row],[Transaction Date]])/3,0)</f>
        <v>Q3</v>
      </c>
      <c r="P424">
        <f>YEAR(Transactions[[#This Row],[Transaction Date]])</f>
        <v>2022</v>
      </c>
      <c r="Q424" t="str">
        <f>IF(Transactions[[#This Row],[Sales Amount]]&lt;AVERAGE(Transactions[Sales Amount]),"Below Average","At/Above Average")</f>
        <v>Below Average</v>
      </c>
    </row>
    <row r="425" spans="4:17" x14ac:dyDescent="0.2">
      <c r="D425" t="s">
        <v>515</v>
      </c>
      <c r="E425" t="s">
        <v>87</v>
      </c>
      <c r="F425" t="s">
        <v>129</v>
      </c>
      <c r="G425">
        <v>207</v>
      </c>
      <c r="H425">
        <v>3</v>
      </c>
      <c r="I425">
        <v>48.46</v>
      </c>
      <c r="J425">
        <v>10</v>
      </c>
      <c r="K425" s="37">
        <v>45241</v>
      </c>
      <c r="L425" t="s">
        <v>97</v>
      </c>
      <c r="M425">
        <v>280.89</v>
      </c>
      <c r="N425">
        <v>21</v>
      </c>
      <c r="O425" t="str">
        <f>"Q"&amp;ROUNDUP(MONTH(Transactions[[#This Row],[Transaction Date]])/3,0)</f>
        <v>Q4</v>
      </c>
      <c r="P425">
        <f>YEAR(Transactions[[#This Row],[Transaction Date]])</f>
        <v>2023</v>
      </c>
      <c r="Q425" t="str">
        <f>IF(Transactions[[#This Row],[Sales Amount]]&lt;AVERAGE(Transactions[Sales Amount]),"Below Average","At/Above Average")</f>
        <v>At/Above Average</v>
      </c>
    </row>
    <row r="426" spans="4:17" x14ac:dyDescent="0.2">
      <c r="D426" t="s">
        <v>516</v>
      </c>
      <c r="E426" t="s">
        <v>75</v>
      </c>
      <c r="F426" t="s">
        <v>99</v>
      </c>
      <c r="G426">
        <v>216</v>
      </c>
      <c r="H426">
        <v>6</v>
      </c>
      <c r="I426">
        <v>52.54</v>
      </c>
      <c r="J426">
        <v>1</v>
      </c>
      <c r="K426" s="37">
        <v>45445</v>
      </c>
      <c r="L426" t="s">
        <v>97</v>
      </c>
      <c r="M426">
        <v>196.1</v>
      </c>
      <c r="N426">
        <v>47</v>
      </c>
      <c r="O426" t="str">
        <f>"Q"&amp;ROUNDUP(MONTH(Transactions[[#This Row],[Transaction Date]])/3,0)</f>
        <v>Q2</v>
      </c>
      <c r="P426">
        <f>YEAR(Transactions[[#This Row],[Transaction Date]])</f>
        <v>2024</v>
      </c>
      <c r="Q426" t="str">
        <f>IF(Transactions[[#This Row],[Sales Amount]]&lt;AVERAGE(Transactions[Sales Amount]),"Below Average","At/Above Average")</f>
        <v>Below Average</v>
      </c>
    </row>
    <row r="427" spans="4:17" x14ac:dyDescent="0.2">
      <c r="D427" t="s">
        <v>517</v>
      </c>
      <c r="E427" t="s">
        <v>78</v>
      </c>
      <c r="F427" t="s">
        <v>129</v>
      </c>
      <c r="G427">
        <v>161</v>
      </c>
      <c r="H427">
        <v>2</v>
      </c>
      <c r="I427">
        <v>49.78</v>
      </c>
      <c r="J427">
        <v>8</v>
      </c>
      <c r="K427" s="37">
        <v>45219</v>
      </c>
      <c r="L427" t="s">
        <v>92</v>
      </c>
      <c r="M427">
        <v>179.48</v>
      </c>
      <c r="N427">
        <v>32</v>
      </c>
      <c r="O427" t="str">
        <f>"Q"&amp;ROUNDUP(MONTH(Transactions[[#This Row],[Transaction Date]])/3,0)</f>
        <v>Q4</v>
      </c>
      <c r="P427">
        <f>YEAR(Transactions[[#This Row],[Transaction Date]])</f>
        <v>2023</v>
      </c>
      <c r="Q427" t="str">
        <f>IF(Transactions[[#This Row],[Sales Amount]]&lt;AVERAGE(Transactions[Sales Amount]),"Below Average","At/Above Average")</f>
        <v>Below Average</v>
      </c>
    </row>
    <row r="428" spans="4:17" x14ac:dyDescent="0.2">
      <c r="D428" t="s">
        <v>518</v>
      </c>
      <c r="E428" t="s">
        <v>87</v>
      </c>
      <c r="F428" t="s">
        <v>96</v>
      </c>
      <c r="G428">
        <v>189</v>
      </c>
      <c r="H428">
        <v>2</v>
      </c>
      <c r="I428">
        <v>46.47</v>
      </c>
      <c r="J428">
        <v>6</v>
      </c>
      <c r="K428" s="37">
        <v>45304</v>
      </c>
      <c r="L428" t="s">
        <v>109</v>
      </c>
      <c r="M428">
        <v>206.83</v>
      </c>
      <c r="N428">
        <v>8</v>
      </c>
      <c r="O428" t="str">
        <f>"Q"&amp;ROUNDUP(MONTH(Transactions[[#This Row],[Transaction Date]])/3,0)</f>
        <v>Q1</v>
      </c>
      <c r="P428">
        <f>YEAR(Transactions[[#This Row],[Transaction Date]])</f>
        <v>2024</v>
      </c>
      <c r="Q428" t="str">
        <f>IF(Transactions[[#This Row],[Sales Amount]]&lt;AVERAGE(Transactions[Sales Amount]),"Below Average","At/Above Average")</f>
        <v>Below Average</v>
      </c>
    </row>
    <row r="429" spans="4:17" x14ac:dyDescent="0.2">
      <c r="D429" t="s">
        <v>519</v>
      </c>
      <c r="E429" t="s">
        <v>87</v>
      </c>
      <c r="F429" t="s">
        <v>96</v>
      </c>
      <c r="G429">
        <v>155</v>
      </c>
      <c r="H429">
        <v>3</v>
      </c>
      <c r="I429">
        <v>50.28</v>
      </c>
      <c r="J429">
        <v>1</v>
      </c>
      <c r="K429" s="37">
        <v>44877</v>
      </c>
      <c r="L429" t="s">
        <v>124</v>
      </c>
      <c r="M429">
        <v>362.36</v>
      </c>
      <c r="N429">
        <v>24</v>
      </c>
      <c r="O429" t="str">
        <f>"Q"&amp;ROUNDUP(MONTH(Transactions[[#This Row],[Transaction Date]])/3,0)</f>
        <v>Q4</v>
      </c>
      <c r="P429">
        <f>YEAR(Transactions[[#This Row],[Transaction Date]])</f>
        <v>2022</v>
      </c>
      <c r="Q429" t="str">
        <f>IF(Transactions[[#This Row],[Sales Amount]]&lt;AVERAGE(Transactions[Sales Amount]),"Below Average","At/Above Average")</f>
        <v>At/Above Average</v>
      </c>
    </row>
    <row r="430" spans="4:17" x14ac:dyDescent="0.2">
      <c r="D430" t="s">
        <v>520</v>
      </c>
      <c r="E430" t="s">
        <v>87</v>
      </c>
      <c r="F430" t="s">
        <v>105</v>
      </c>
      <c r="G430">
        <v>291</v>
      </c>
      <c r="H430">
        <v>2</v>
      </c>
      <c r="I430">
        <v>50.26</v>
      </c>
      <c r="J430">
        <v>1</v>
      </c>
      <c r="K430" s="37">
        <v>45558</v>
      </c>
      <c r="L430" t="s">
        <v>124</v>
      </c>
      <c r="M430">
        <v>365.71</v>
      </c>
      <c r="N430">
        <v>31</v>
      </c>
      <c r="O430" t="str">
        <f>"Q"&amp;ROUNDUP(MONTH(Transactions[[#This Row],[Transaction Date]])/3,0)</f>
        <v>Q3</v>
      </c>
      <c r="P430">
        <f>YEAR(Transactions[[#This Row],[Transaction Date]])</f>
        <v>2024</v>
      </c>
      <c r="Q430" t="str">
        <f>IF(Transactions[[#This Row],[Sales Amount]]&lt;AVERAGE(Transactions[Sales Amount]),"Below Average","At/Above Average")</f>
        <v>At/Above Average</v>
      </c>
    </row>
    <row r="431" spans="4:17" x14ac:dyDescent="0.2">
      <c r="D431" t="s">
        <v>521</v>
      </c>
      <c r="E431" t="s">
        <v>77</v>
      </c>
      <c r="F431" t="s">
        <v>99</v>
      </c>
      <c r="G431">
        <v>106</v>
      </c>
      <c r="H431">
        <v>4</v>
      </c>
      <c r="I431">
        <v>45.87</v>
      </c>
      <c r="J431">
        <v>7</v>
      </c>
      <c r="K431" s="37">
        <v>45372</v>
      </c>
      <c r="L431" t="s">
        <v>97</v>
      </c>
      <c r="M431">
        <v>186.18</v>
      </c>
      <c r="N431">
        <v>20</v>
      </c>
      <c r="O431" t="str">
        <f>"Q"&amp;ROUNDUP(MONTH(Transactions[[#This Row],[Transaction Date]])/3,0)</f>
        <v>Q1</v>
      </c>
      <c r="P431">
        <f>YEAR(Transactions[[#This Row],[Transaction Date]])</f>
        <v>2024</v>
      </c>
      <c r="Q431" t="str">
        <f>IF(Transactions[[#This Row],[Sales Amount]]&lt;AVERAGE(Transactions[Sales Amount]),"Below Average","At/Above Average")</f>
        <v>Below Average</v>
      </c>
    </row>
    <row r="432" spans="4:17" x14ac:dyDescent="0.2">
      <c r="D432" t="s">
        <v>522</v>
      </c>
      <c r="E432" t="s">
        <v>87</v>
      </c>
      <c r="F432" t="s">
        <v>105</v>
      </c>
      <c r="G432">
        <v>243</v>
      </c>
      <c r="H432">
        <v>5</v>
      </c>
      <c r="I432">
        <v>55.95</v>
      </c>
      <c r="J432">
        <v>8</v>
      </c>
      <c r="K432" s="37">
        <v>44699</v>
      </c>
      <c r="L432" t="s">
        <v>109</v>
      </c>
      <c r="M432">
        <v>164.94</v>
      </c>
      <c r="N432">
        <v>41</v>
      </c>
      <c r="O432" t="str">
        <f>"Q"&amp;ROUNDUP(MONTH(Transactions[[#This Row],[Transaction Date]])/3,0)</f>
        <v>Q2</v>
      </c>
      <c r="P432">
        <f>YEAR(Transactions[[#This Row],[Transaction Date]])</f>
        <v>2022</v>
      </c>
      <c r="Q432" t="str">
        <f>IF(Transactions[[#This Row],[Sales Amount]]&lt;AVERAGE(Transactions[Sales Amount]),"Below Average","At/Above Average")</f>
        <v>Below Average</v>
      </c>
    </row>
    <row r="433" spans="4:17" x14ac:dyDescent="0.2">
      <c r="D433" t="s">
        <v>523</v>
      </c>
      <c r="E433" t="s">
        <v>77</v>
      </c>
      <c r="F433" t="s">
        <v>94</v>
      </c>
      <c r="G433">
        <v>171</v>
      </c>
      <c r="H433">
        <v>5</v>
      </c>
      <c r="I433">
        <v>57.79</v>
      </c>
      <c r="J433">
        <v>7</v>
      </c>
      <c r="K433" s="37">
        <v>45289</v>
      </c>
      <c r="L433" t="s">
        <v>92</v>
      </c>
      <c r="M433">
        <v>299.47000000000003</v>
      </c>
      <c r="N433">
        <v>21</v>
      </c>
      <c r="O433" t="str">
        <f>"Q"&amp;ROUNDUP(MONTH(Transactions[[#This Row],[Transaction Date]])/3,0)</f>
        <v>Q4</v>
      </c>
      <c r="P433">
        <f>YEAR(Transactions[[#This Row],[Transaction Date]])</f>
        <v>2023</v>
      </c>
      <c r="Q433" t="str">
        <f>IF(Transactions[[#This Row],[Sales Amount]]&lt;AVERAGE(Transactions[Sales Amount]),"Below Average","At/Above Average")</f>
        <v>At/Above Average</v>
      </c>
    </row>
    <row r="434" spans="4:17" x14ac:dyDescent="0.2">
      <c r="D434" t="s">
        <v>524</v>
      </c>
      <c r="E434" t="s">
        <v>76</v>
      </c>
      <c r="F434" t="s">
        <v>99</v>
      </c>
      <c r="G434">
        <v>199</v>
      </c>
      <c r="H434">
        <v>10</v>
      </c>
      <c r="I434">
        <v>45.34</v>
      </c>
      <c r="J434">
        <v>2</v>
      </c>
      <c r="K434" s="37">
        <v>45589</v>
      </c>
      <c r="L434" t="s">
        <v>92</v>
      </c>
      <c r="M434">
        <v>118.87</v>
      </c>
      <c r="N434">
        <v>31</v>
      </c>
      <c r="O434" t="str">
        <f>"Q"&amp;ROUNDUP(MONTH(Transactions[[#This Row],[Transaction Date]])/3,0)</f>
        <v>Q4</v>
      </c>
      <c r="P434">
        <f>YEAR(Transactions[[#This Row],[Transaction Date]])</f>
        <v>2024</v>
      </c>
      <c r="Q434" t="str">
        <f>IF(Transactions[[#This Row],[Sales Amount]]&lt;AVERAGE(Transactions[Sales Amount]),"Below Average","At/Above Average")</f>
        <v>Below Average</v>
      </c>
    </row>
    <row r="435" spans="4:17" x14ac:dyDescent="0.2">
      <c r="D435" t="s">
        <v>525</v>
      </c>
      <c r="E435" t="s">
        <v>87</v>
      </c>
      <c r="F435" t="s">
        <v>94</v>
      </c>
      <c r="G435">
        <v>264</v>
      </c>
      <c r="H435">
        <v>10</v>
      </c>
      <c r="I435">
        <v>50.21</v>
      </c>
      <c r="J435">
        <v>9</v>
      </c>
      <c r="K435" s="37">
        <v>44609</v>
      </c>
      <c r="L435" t="s">
        <v>124</v>
      </c>
      <c r="M435">
        <v>211.35</v>
      </c>
      <c r="N435">
        <v>29</v>
      </c>
      <c r="O435" t="str">
        <f>"Q"&amp;ROUNDUP(MONTH(Transactions[[#This Row],[Transaction Date]])/3,0)</f>
        <v>Q1</v>
      </c>
      <c r="P435">
        <f>YEAR(Transactions[[#This Row],[Transaction Date]])</f>
        <v>2022</v>
      </c>
      <c r="Q435" t="str">
        <f>IF(Transactions[[#This Row],[Sales Amount]]&lt;AVERAGE(Transactions[Sales Amount]),"Below Average","At/Above Average")</f>
        <v>Below Average</v>
      </c>
    </row>
    <row r="436" spans="4:17" x14ac:dyDescent="0.2">
      <c r="D436" t="s">
        <v>526</v>
      </c>
      <c r="E436" t="s">
        <v>77</v>
      </c>
      <c r="F436" t="s">
        <v>91</v>
      </c>
      <c r="G436">
        <v>291</v>
      </c>
      <c r="H436">
        <v>7</v>
      </c>
      <c r="I436">
        <v>45.11</v>
      </c>
      <c r="J436">
        <v>6</v>
      </c>
      <c r="K436" s="37">
        <v>45243</v>
      </c>
      <c r="L436" t="s">
        <v>89</v>
      </c>
      <c r="M436">
        <v>180.35</v>
      </c>
      <c r="N436">
        <v>19</v>
      </c>
      <c r="O436" t="str">
        <f>"Q"&amp;ROUNDUP(MONTH(Transactions[[#This Row],[Transaction Date]])/3,0)</f>
        <v>Q4</v>
      </c>
      <c r="P436">
        <f>YEAR(Transactions[[#This Row],[Transaction Date]])</f>
        <v>2023</v>
      </c>
      <c r="Q436" t="str">
        <f>IF(Transactions[[#This Row],[Sales Amount]]&lt;AVERAGE(Transactions[Sales Amount]),"Below Average","At/Above Average")</f>
        <v>Below Average</v>
      </c>
    </row>
    <row r="437" spans="4:17" x14ac:dyDescent="0.2">
      <c r="D437" t="s">
        <v>527</v>
      </c>
      <c r="E437" t="s">
        <v>74</v>
      </c>
      <c r="F437" t="s">
        <v>88</v>
      </c>
      <c r="G437">
        <v>273</v>
      </c>
      <c r="H437">
        <v>7</v>
      </c>
      <c r="I437">
        <v>56.43</v>
      </c>
      <c r="J437">
        <v>6</v>
      </c>
      <c r="K437" s="37">
        <v>45413</v>
      </c>
      <c r="L437" t="s">
        <v>109</v>
      </c>
      <c r="M437">
        <v>349.47</v>
      </c>
      <c r="N437">
        <v>2</v>
      </c>
      <c r="O437" t="str">
        <f>"Q"&amp;ROUNDUP(MONTH(Transactions[[#This Row],[Transaction Date]])/3,0)</f>
        <v>Q2</v>
      </c>
      <c r="P437">
        <f>YEAR(Transactions[[#This Row],[Transaction Date]])</f>
        <v>2024</v>
      </c>
      <c r="Q437" t="str">
        <f>IF(Transactions[[#This Row],[Sales Amount]]&lt;AVERAGE(Transactions[Sales Amount]),"Below Average","At/Above Average")</f>
        <v>At/Above Average</v>
      </c>
    </row>
    <row r="438" spans="4:17" x14ac:dyDescent="0.2">
      <c r="D438" t="s">
        <v>528</v>
      </c>
      <c r="E438" t="s">
        <v>76</v>
      </c>
      <c r="F438" t="s">
        <v>105</v>
      </c>
      <c r="G438">
        <v>241</v>
      </c>
      <c r="H438">
        <v>3</v>
      </c>
      <c r="I438">
        <v>45.41</v>
      </c>
      <c r="J438">
        <v>10</v>
      </c>
      <c r="K438" s="37">
        <v>45065</v>
      </c>
      <c r="L438" t="s">
        <v>124</v>
      </c>
      <c r="M438">
        <v>494.1</v>
      </c>
      <c r="N438">
        <v>20</v>
      </c>
      <c r="O438" t="str">
        <f>"Q"&amp;ROUNDUP(MONTH(Transactions[[#This Row],[Transaction Date]])/3,0)</f>
        <v>Q2</v>
      </c>
      <c r="P438">
        <f>YEAR(Transactions[[#This Row],[Transaction Date]])</f>
        <v>2023</v>
      </c>
      <c r="Q438" t="str">
        <f>IF(Transactions[[#This Row],[Sales Amount]]&lt;AVERAGE(Transactions[Sales Amount]),"Below Average","At/Above Average")</f>
        <v>At/Above Average</v>
      </c>
    </row>
    <row r="439" spans="4:17" x14ac:dyDescent="0.2">
      <c r="D439" t="s">
        <v>529</v>
      </c>
      <c r="E439" t="s">
        <v>76</v>
      </c>
      <c r="F439" t="s">
        <v>88</v>
      </c>
      <c r="G439">
        <v>300</v>
      </c>
      <c r="H439">
        <v>3</v>
      </c>
      <c r="I439">
        <v>50.37</v>
      </c>
      <c r="J439">
        <v>1</v>
      </c>
      <c r="K439" s="37">
        <v>45037</v>
      </c>
      <c r="L439" t="s">
        <v>102</v>
      </c>
      <c r="M439">
        <v>173.68</v>
      </c>
      <c r="N439">
        <v>12</v>
      </c>
      <c r="O439" t="str">
        <f>"Q"&amp;ROUNDUP(MONTH(Transactions[[#This Row],[Transaction Date]])/3,0)</f>
        <v>Q2</v>
      </c>
      <c r="P439">
        <f>YEAR(Transactions[[#This Row],[Transaction Date]])</f>
        <v>2023</v>
      </c>
      <c r="Q439" t="str">
        <f>IF(Transactions[[#This Row],[Sales Amount]]&lt;AVERAGE(Transactions[Sales Amount]),"Below Average","At/Above Average")</f>
        <v>Below Average</v>
      </c>
    </row>
    <row r="440" spans="4:17" x14ac:dyDescent="0.2">
      <c r="D440" t="s">
        <v>530</v>
      </c>
      <c r="E440" t="s">
        <v>76</v>
      </c>
      <c r="F440" t="s">
        <v>99</v>
      </c>
      <c r="G440">
        <v>211</v>
      </c>
      <c r="H440">
        <v>3</v>
      </c>
      <c r="I440">
        <v>58.01</v>
      </c>
      <c r="J440">
        <v>6</v>
      </c>
      <c r="K440" s="37">
        <v>45524</v>
      </c>
      <c r="L440" t="s">
        <v>109</v>
      </c>
      <c r="M440">
        <v>97.76</v>
      </c>
      <c r="N440">
        <v>2</v>
      </c>
      <c r="O440" t="str">
        <f>"Q"&amp;ROUNDUP(MONTH(Transactions[[#This Row],[Transaction Date]])/3,0)</f>
        <v>Q3</v>
      </c>
      <c r="P440">
        <f>YEAR(Transactions[[#This Row],[Transaction Date]])</f>
        <v>2024</v>
      </c>
      <c r="Q440" t="str">
        <f>IF(Transactions[[#This Row],[Sales Amount]]&lt;AVERAGE(Transactions[Sales Amount]),"Below Average","At/Above Average")</f>
        <v>Below Average</v>
      </c>
    </row>
    <row r="441" spans="4:17" x14ac:dyDescent="0.2">
      <c r="D441" t="s">
        <v>531</v>
      </c>
      <c r="E441" t="s">
        <v>76</v>
      </c>
      <c r="F441" t="s">
        <v>96</v>
      </c>
      <c r="G441">
        <v>288</v>
      </c>
      <c r="H441">
        <v>3</v>
      </c>
      <c r="I441">
        <v>46.13</v>
      </c>
      <c r="J441">
        <v>10</v>
      </c>
      <c r="K441" s="37">
        <v>44729</v>
      </c>
      <c r="L441" t="s">
        <v>109</v>
      </c>
      <c r="M441">
        <v>237</v>
      </c>
      <c r="N441">
        <v>8</v>
      </c>
      <c r="O441" t="str">
        <f>"Q"&amp;ROUNDUP(MONTH(Transactions[[#This Row],[Transaction Date]])/3,0)</f>
        <v>Q2</v>
      </c>
      <c r="P441">
        <f>YEAR(Transactions[[#This Row],[Transaction Date]])</f>
        <v>2022</v>
      </c>
      <c r="Q441" t="str">
        <f>IF(Transactions[[#This Row],[Sales Amount]]&lt;AVERAGE(Transactions[Sales Amount]),"Below Average","At/Above Average")</f>
        <v>Below Average</v>
      </c>
    </row>
    <row r="442" spans="4:17" x14ac:dyDescent="0.2">
      <c r="D442" t="s">
        <v>532</v>
      </c>
      <c r="E442" t="s">
        <v>74</v>
      </c>
      <c r="F442" t="s">
        <v>99</v>
      </c>
      <c r="G442">
        <v>252</v>
      </c>
      <c r="H442">
        <v>3</v>
      </c>
      <c r="I442">
        <v>58.91</v>
      </c>
      <c r="J442">
        <v>4</v>
      </c>
      <c r="K442" s="37">
        <v>44669</v>
      </c>
      <c r="L442" t="s">
        <v>124</v>
      </c>
      <c r="M442">
        <v>295.52</v>
      </c>
      <c r="N442">
        <v>2</v>
      </c>
      <c r="O442" t="str">
        <f>"Q"&amp;ROUNDUP(MONTH(Transactions[[#This Row],[Transaction Date]])/3,0)</f>
        <v>Q2</v>
      </c>
      <c r="P442">
        <f>YEAR(Transactions[[#This Row],[Transaction Date]])</f>
        <v>2022</v>
      </c>
      <c r="Q442" t="str">
        <f>IF(Transactions[[#This Row],[Sales Amount]]&lt;AVERAGE(Transactions[Sales Amount]),"Below Average","At/Above Average")</f>
        <v>At/Above Average</v>
      </c>
    </row>
    <row r="443" spans="4:17" x14ac:dyDescent="0.2">
      <c r="D443" t="s">
        <v>533</v>
      </c>
      <c r="E443" t="s">
        <v>74</v>
      </c>
      <c r="F443" t="s">
        <v>88</v>
      </c>
      <c r="G443">
        <v>192</v>
      </c>
      <c r="H443">
        <v>7</v>
      </c>
      <c r="I443">
        <v>47.39</v>
      </c>
      <c r="J443">
        <v>8</v>
      </c>
      <c r="K443" s="37">
        <v>45296</v>
      </c>
      <c r="L443" t="s">
        <v>109</v>
      </c>
      <c r="M443">
        <v>46.34</v>
      </c>
      <c r="N443">
        <v>29</v>
      </c>
      <c r="O443" t="str">
        <f>"Q"&amp;ROUNDUP(MONTH(Transactions[[#This Row],[Transaction Date]])/3,0)</f>
        <v>Q1</v>
      </c>
      <c r="P443">
        <f>YEAR(Transactions[[#This Row],[Transaction Date]])</f>
        <v>2024</v>
      </c>
      <c r="Q443" t="str">
        <f>IF(Transactions[[#This Row],[Sales Amount]]&lt;AVERAGE(Transactions[Sales Amount]),"Below Average","At/Above Average")</f>
        <v>Below Average</v>
      </c>
    </row>
    <row r="444" spans="4:17" x14ac:dyDescent="0.2">
      <c r="D444" t="s">
        <v>534</v>
      </c>
      <c r="E444" t="s">
        <v>87</v>
      </c>
      <c r="F444" t="s">
        <v>105</v>
      </c>
      <c r="G444">
        <v>238</v>
      </c>
      <c r="H444">
        <v>7</v>
      </c>
      <c r="I444">
        <v>54.6</v>
      </c>
      <c r="J444">
        <v>9</v>
      </c>
      <c r="K444" s="37">
        <v>45049</v>
      </c>
      <c r="L444" t="s">
        <v>89</v>
      </c>
      <c r="M444">
        <v>25.77</v>
      </c>
      <c r="N444">
        <v>31</v>
      </c>
      <c r="O444" t="str">
        <f>"Q"&amp;ROUNDUP(MONTH(Transactions[[#This Row],[Transaction Date]])/3,0)</f>
        <v>Q2</v>
      </c>
      <c r="P444">
        <f>YEAR(Transactions[[#This Row],[Transaction Date]])</f>
        <v>2023</v>
      </c>
      <c r="Q444" t="str">
        <f>IF(Transactions[[#This Row],[Sales Amount]]&lt;AVERAGE(Transactions[Sales Amount]),"Below Average","At/Above Average")</f>
        <v>Below Average</v>
      </c>
    </row>
    <row r="445" spans="4:17" x14ac:dyDescent="0.2">
      <c r="D445" t="s">
        <v>535</v>
      </c>
      <c r="E445" t="s">
        <v>75</v>
      </c>
      <c r="F445" t="s">
        <v>99</v>
      </c>
      <c r="G445">
        <v>189</v>
      </c>
      <c r="H445">
        <v>8</v>
      </c>
      <c r="I445">
        <v>51.41</v>
      </c>
      <c r="J445">
        <v>1</v>
      </c>
      <c r="K445" s="37">
        <v>45065</v>
      </c>
      <c r="L445" t="s">
        <v>92</v>
      </c>
      <c r="M445">
        <v>55.97</v>
      </c>
      <c r="N445">
        <v>31</v>
      </c>
      <c r="O445" t="str">
        <f>"Q"&amp;ROUNDUP(MONTH(Transactions[[#This Row],[Transaction Date]])/3,0)</f>
        <v>Q2</v>
      </c>
      <c r="P445">
        <f>YEAR(Transactions[[#This Row],[Transaction Date]])</f>
        <v>2023</v>
      </c>
      <c r="Q445" t="str">
        <f>IF(Transactions[[#This Row],[Sales Amount]]&lt;AVERAGE(Transactions[Sales Amount]),"Below Average","At/Above Average")</f>
        <v>Below Average</v>
      </c>
    </row>
    <row r="446" spans="4:17" x14ac:dyDescent="0.2">
      <c r="D446" t="s">
        <v>536</v>
      </c>
      <c r="E446" t="s">
        <v>75</v>
      </c>
      <c r="F446" t="s">
        <v>108</v>
      </c>
      <c r="G446">
        <v>290</v>
      </c>
      <c r="H446">
        <v>8</v>
      </c>
      <c r="I446">
        <v>57.72</v>
      </c>
      <c r="J446">
        <v>3</v>
      </c>
      <c r="K446" s="37">
        <v>45496</v>
      </c>
      <c r="L446" t="s">
        <v>97</v>
      </c>
      <c r="M446">
        <v>308.63</v>
      </c>
      <c r="N446">
        <v>29</v>
      </c>
      <c r="O446" t="str">
        <f>"Q"&amp;ROUNDUP(MONTH(Transactions[[#This Row],[Transaction Date]])/3,0)</f>
        <v>Q3</v>
      </c>
      <c r="P446">
        <f>YEAR(Transactions[[#This Row],[Transaction Date]])</f>
        <v>2024</v>
      </c>
      <c r="Q446" t="str">
        <f>IF(Transactions[[#This Row],[Sales Amount]]&lt;AVERAGE(Transactions[Sales Amount]),"Below Average","At/Above Average")</f>
        <v>At/Above Average</v>
      </c>
    </row>
    <row r="447" spans="4:17" x14ac:dyDescent="0.2">
      <c r="D447" t="s">
        <v>537</v>
      </c>
      <c r="E447" t="s">
        <v>75</v>
      </c>
      <c r="F447" t="s">
        <v>105</v>
      </c>
      <c r="G447">
        <v>185</v>
      </c>
      <c r="H447">
        <v>7</v>
      </c>
      <c r="I447">
        <v>50.36</v>
      </c>
      <c r="J447">
        <v>9</v>
      </c>
      <c r="K447" s="37">
        <v>45025</v>
      </c>
      <c r="L447" t="s">
        <v>97</v>
      </c>
      <c r="M447">
        <v>74.069999999999993</v>
      </c>
      <c r="N447">
        <v>12</v>
      </c>
      <c r="O447" t="str">
        <f>"Q"&amp;ROUNDUP(MONTH(Transactions[[#This Row],[Transaction Date]])/3,0)</f>
        <v>Q2</v>
      </c>
      <c r="P447">
        <f>YEAR(Transactions[[#This Row],[Transaction Date]])</f>
        <v>2023</v>
      </c>
      <c r="Q447" t="str">
        <f>IF(Transactions[[#This Row],[Sales Amount]]&lt;AVERAGE(Transactions[Sales Amount]),"Below Average","At/Above Average")</f>
        <v>Below Average</v>
      </c>
    </row>
    <row r="448" spans="4:17" x14ac:dyDescent="0.2">
      <c r="D448" t="s">
        <v>538</v>
      </c>
      <c r="E448" t="s">
        <v>75</v>
      </c>
      <c r="F448" t="s">
        <v>129</v>
      </c>
      <c r="G448">
        <v>113</v>
      </c>
      <c r="H448">
        <v>6</v>
      </c>
      <c r="I448">
        <v>45.62</v>
      </c>
      <c r="J448">
        <v>6</v>
      </c>
      <c r="K448" s="37">
        <v>45032</v>
      </c>
      <c r="L448" t="s">
        <v>97</v>
      </c>
      <c r="M448">
        <v>469.73</v>
      </c>
      <c r="N448">
        <v>1</v>
      </c>
      <c r="O448" t="str">
        <f>"Q"&amp;ROUNDUP(MONTH(Transactions[[#This Row],[Transaction Date]])/3,0)</f>
        <v>Q2</v>
      </c>
      <c r="P448">
        <f>YEAR(Transactions[[#This Row],[Transaction Date]])</f>
        <v>2023</v>
      </c>
      <c r="Q448" t="str">
        <f>IF(Transactions[[#This Row],[Sales Amount]]&lt;AVERAGE(Transactions[Sales Amount]),"Below Average","At/Above Average")</f>
        <v>At/Above Average</v>
      </c>
    </row>
    <row r="449" spans="4:17" x14ac:dyDescent="0.2">
      <c r="D449" t="s">
        <v>539</v>
      </c>
      <c r="E449" t="s">
        <v>74</v>
      </c>
      <c r="F449" t="s">
        <v>88</v>
      </c>
      <c r="G449">
        <v>283</v>
      </c>
      <c r="H449">
        <v>6</v>
      </c>
      <c r="I449">
        <v>49.07</v>
      </c>
      <c r="J449">
        <v>3</v>
      </c>
      <c r="K449" s="37">
        <v>44922</v>
      </c>
      <c r="L449" t="s">
        <v>92</v>
      </c>
      <c r="M449">
        <v>493.23</v>
      </c>
      <c r="N449">
        <v>30</v>
      </c>
      <c r="O449" t="str">
        <f>"Q"&amp;ROUNDUP(MONTH(Transactions[[#This Row],[Transaction Date]])/3,0)</f>
        <v>Q4</v>
      </c>
      <c r="P449">
        <f>YEAR(Transactions[[#This Row],[Transaction Date]])</f>
        <v>2022</v>
      </c>
      <c r="Q449" t="str">
        <f>IF(Transactions[[#This Row],[Sales Amount]]&lt;AVERAGE(Transactions[Sales Amount]),"Below Average","At/Above Average")</f>
        <v>At/Above Average</v>
      </c>
    </row>
    <row r="450" spans="4:17" x14ac:dyDescent="0.2">
      <c r="D450" t="s">
        <v>540</v>
      </c>
      <c r="E450" t="s">
        <v>74</v>
      </c>
      <c r="F450" t="s">
        <v>91</v>
      </c>
      <c r="G450">
        <v>288</v>
      </c>
      <c r="H450">
        <v>9</v>
      </c>
      <c r="I450">
        <v>56.53</v>
      </c>
      <c r="J450">
        <v>10</v>
      </c>
      <c r="K450" s="37">
        <v>45268</v>
      </c>
      <c r="L450" t="s">
        <v>102</v>
      </c>
      <c r="M450">
        <v>191.94</v>
      </c>
      <c r="N450">
        <v>41</v>
      </c>
      <c r="O450" t="str">
        <f>"Q"&amp;ROUNDUP(MONTH(Transactions[[#This Row],[Transaction Date]])/3,0)</f>
        <v>Q4</v>
      </c>
      <c r="P450">
        <f>YEAR(Transactions[[#This Row],[Transaction Date]])</f>
        <v>2023</v>
      </c>
      <c r="Q450" t="str">
        <f>IF(Transactions[[#This Row],[Sales Amount]]&lt;AVERAGE(Transactions[Sales Amount]),"Below Average","At/Above Average")</f>
        <v>Below Average</v>
      </c>
    </row>
    <row r="451" spans="4:17" x14ac:dyDescent="0.2">
      <c r="D451" t="s">
        <v>541</v>
      </c>
      <c r="E451" t="s">
        <v>78</v>
      </c>
      <c r="F451" t="s">
        <v>129</v>
      </c>
      <c r="G451">
        <v>199</v>
      </c>
      <c r="H451">
        <v>6</v>
      </c>
      <c r="I451">
        <v>50.52</v>
      </c>
      <c r="J451">
        <v>4</v>
      </c>
      <c r="K451" s="37">
        <v>45507</v>
      </c>
      <c r="L451" t="s">
        <v>92</v>
      </c>
      <c r="M451">
        <v>115.19</v>
      </c>
      <c r="N451">
        <v>37</v>
      </c>
      <c r="O451" t="str">
        <f>"Q"&amp;ROUNDUP(MONTH(Transactions[[#This Row],[Transaction Date]])/3,0)</f>
        <v>Q3</v>
      </c>
      <c r="P451">
        <f>YEAR(Transactions[[#This Row],[Transaction Date]])</f>
        <v>2024</v>
      </c>
      <c r="Q451" t="str">
        <f>IF(Transactions[[#This Row],[Sales Amount]]&lt;AVERAGE(Transactions[Sales Amount]),"Below Average","At/Above Average")</f>
        <v>Below Average</v>
      </c>
    </row>
    <row r="452" spans="4:17" x14ac:dyDescent="0.2">
      <c r="D452" t="s">
        <v>542</v>
      </c>
      <c r="E452" t="s">
        <v>76</v>
      </c>
      <c r="F452" t="s">
        <v>88</v>
      </c>
      <c r="G452">
        <v>216</v>
      </c>
      <c r="H452">
        <v>3</v>
      </c>
      <c r="I452">
        <v>52.39</v>
      </c>
      <c r="J452">
        <v>1</v>
      </c>
      <c r="K452" s="37">
        <v>44990</v>
      </c>
      <c r="L452" t="s">
        <v>124</v>
      </c>
      <c r="M452">
        <v>240.19</v>
      </c>
      <c r="N452">
        <v>29</v>
      </c>
      <c r="O452" t="str">
        <f>"Q"&amp;ROUNDUP(MONTH(Transactions[[#This Row],[Transaction Date]])/3,0)</f>
        <v>Q1</v>
      </c>
      <c r="P452">
        <f>YEAR(Transactions[[#This Row],[Transaction Date]])</f>
        <v>2023</v>
      </c>
      <c r="Q452" t="str">
        <f>IF(Transactions[[#This Row],[Sales Amount]]&lt;AVERAGE(Transactions[Sales Amount]),"Below Average","At/Above Average")</f>
        <v>Below Average</v>
      </c>
    </row>
    <row r="453" spans="4:17" x14ac:dyDescent="0.2">
      <c r="D453" t="s">
        <v>543</v>
      </c>
      <c r="E453" t="s">
        <v>78</v>
      </c>
      <c r="F453" t="s">
        <v>105</v>
      </c>
      <c r="G453">
        <v>125</v>
      </c>
      <c r="H453">
        <v>2</v>
      </c>
      <c r="I453">
        <v>47.86</v>
      </c>
      <c r="J453">
        <v>2</v>
      </c>
      <c r="K453" s="37">
        <v>45008</v>
      </c>
      <c r="L453" t="s">
        <v>109</v>
      </c>
      <c r="M453">
        <v>473.17</v>
      </c>
      <c r="N453">
        <v>37</v>
      </c>
      <c r="O453" t="str">
        <f>"Q"&amp;ROUNDUP(MONTH(Transactions[[#This Row],[Transaction Date]])/3,0)</f>
        <v>Q1</v>
      </c>
      <c r="P453">
        <f>YEAR(Transactions[[#This Row],[Transaction Date]])</f>
        <v>2023</v>
      </c>
      <c r="Q453" t="str">
        <f>IF(Transactions[[#This Row],[Sales Amount]]&lt;AVERAGE(Transactions[Sales Amount]),"Below Average","At/Above Average")</f>
        <v>At/Above Average</v>
      </c>
    </row>
    <row r="454" spans="4:17" x14ac:dyDescent="0.2">
      <c r="D454" t="s">
        <v>544</v>
      </c>
      <c r="E454" t="s">
        <v>75</v>
      </c>
      <c r="F454" t="s">
        <v>94</v>
      </c>
      <c r="G454">
        <v>112</v>
      </c>
      <c r="H454">
        <v>6</v>
      </c>
      <c r="I454">
        <v>59.4</v>
      </c>
      <c r="J454">
        <v>3</v>
      </c>
      <c r="K454" s="37">
        <v>44991</v>
      </c>
      <c r="L454" t="s">
        <v>97</v>
      </c>
      <c r="M454">
        <v>130.82</v>
      </c>
      <c r="N454">
        <v>4</v>
      </c>
      <c r="O454" t="str">
        <f>"Q"&amp;ROUNDUP(MONTH(Transactions[[#This Row],[Transaction Date]])/3,0)</f>
        <v>Q1</v>
      </c>
      <c r="P454">
        <f>YEAR(Transactions[[#This Row],[Transaction Date]])</f>
        <v>2023</v>
      </c>
      <c r="Q454" t="str">
        <f>IF(Transactions[[#This Row],[Sales Amount]]&lt;AVERAGE(Transactions[Sales Amount]),"Below Average","At/Above Average")</f>
        <v>Below Average</v>
      </c>
    </row>
    <row r="455" spans="4:17" x14ac:dyDescent="0.2">
      <c r="D455" t="s">
        <v>545</v>
      </c>
      <c r="E455" t="s">
        <v>78</v>
      </c>
      <c r="F455" t="s">
        <v>96</v>
      </c>
      <c r="G455">
        <v>116</v>
      </c>
      <c r="H455">
        <v>5</v>
      </c>
      <c r="I455">
        <v>58.21</v>
      </c>
      <c r="J455">
        <v>6</v>
      </c>
      <c r="K455" s="37">
        <v>45234</v>
      </c>
      <c r="L455" t="s">
        <v>124</v>
      </c>
      <c r="M455">
        <v>176.22</v>
      </c>
      <c r="N455">
        <v>43</v>
      </c>
      <c r="O455" t="str">
        <f>"Q"&amp;ROUNDUP(MONTH(Transactions[[#This Row],[Transaction Date]])/3,0)</f>
        <v>Q4</v>
      </c>
      <c r="P455">
        <f>YEAR(Transactions[[#This Row],[Transaction Date]])</f>
        <v>2023</v>
      </c>
      <c r="Q455" t="str">
        <f>IF(Transactions[[#This Row],[Sales Amount]]&lt;AVERAGE(Transactions[Sales Amount]),"Below Average","At/Above Average")</f>
        <v>Below Average</v>
      </c>
    </row>
    <row r="456" spans="4:17" x14ac:dyDescent="0.2">
      <c r="D456" t="s">
        <v>546</v>
      </c>
      <c r="E456" t="s">
        <v>77</v>
      </c>
      <c r="F456" t="s">
        <v>91</v>
      </c>
      <c r="G456">
        <v>226</v>
      </c>
      <c r="H456">
        <v>1</v>
      </c>
      <c r="I456">
        <v>52.41</v>
      </c>
      <c r="J456">
        <v>1</v>
      </c>
      <c r="K456" s="37">
        <v>45340</v>
      </c>
      <c r="L456" t="s">
        <v>89</v>
      </c>
      <c r="M456">
        <v>254.4</v>
      </c>
      <c r="N456">
        <v>45</v>
      </c>
      <c r="O456" t="str">
        <f>"Q"&amp;ROUNDUP(MONTH(Transactions[[#This Row],[Transaction Date]])/3,0)</f>
        <v>Q1</v>
      </c>
      <c r="P456">
        <f>YEAR(Transactions[[#This Row],[Transaction Date]])</f>
        <v>2024</v>
      </c>
      <c r="Q456" t="str">
        <f>IF(Transactions[[#This Row],[Sales Amount]]&lt;AVERAGE(Transactions[Sales Amount]),"Below Average","At/Above Average")</f>
        <v>Below Average</v>
      </c>
    </row>
    <row r="457" spans="4:17" x14ac:dyDescent="0.2">
      <c r="D457" t="s">
        <v>547</v>
      </c>
      <c r="E457" t="s">
        <v>87</v>
      </c>
      <c r="F457" t="s">
        <v>129</v>
      </c>
      <c r="G457">
        <v>278</v>
      </c>
      <c r="H457">
        <v>4</v>
      </c>
      <c r="I457">
        <v>57.63</v>
      </c>
      <c r="J457">
        <v>3</v>
      </c>
      <c r="K457" s="37">
        <v>45309</v>
      </c>
      <c r="L457" t="s">
        <v>124</v>
      </c>
      <c r="M457">
        <v>254.96</v>
      </c>
      <c r="N457">
        <v>38</v>
      </c>
      <c r="O457" t="str">
        <f>"Q"&amp;ROUNDUP(MONTH(Transactions[[#This Row],[Transaction Date]])/3,0)</f>
        <v>Q1</v>
      </c>
      <c r="P457">
        <f>YEAR(Transactions[[#This Row],[Transaction Date]])</f>
        <v>2024</v>
      </c>
      <c r="Q457" t="str">
        <f>IF(Transactions[[#This Row],[Sales Amount]]&lt;AVERAGE(Transactions[Sales Amount]),"Below Average","At/Above Average")</f>
        <v>Below Average</v>
      </c>
    </row>
    <row r="458" spans="4:17" x14ac:dyDescent="0.2">
      <c r="D458" t="s">
        <v>548</v>
      </c>
      <c r="E458" t="s">
        <v>74</v>
      </c>
      <c r="F458" t="s">
        <v>108</v>
      </c>
      <c r="G458">
        <v>268</v>
      </c>
      <c r="H458">
        <v>9</v>
      </c>
      <c r="I458">
        <v>55.76</v>
      </c>
      <c r="J458">
        <v>9</v>
      </c>
      <c r="K458" s="37">
        <v>45579</v>
      </c>
      <c r="L458" t="s">
        <v>89</v>
      </c>
      <c r="M458">
        <v>378.62</v>
      </c>
      <c r="N458">
        <v>3</v>
      </c>
      <c r="O458" t="str">
        <f>"Q"&amp;ROUNDUP(MONTH(Transactions[[#This Row],[Transaction Date]])/3,0)</f>
        <v>Q4</v>
      </c>
      <c r="P458">
        <f>YEAR(Transactions[[#This Row],[Transaction Date]])</f>
        <v>2024</v>
      </c>
      <c r="Q458" t="str">
        <f>IF(Transactions[[#This Row],[Sales Amount]]&lt;AVERAGE(Transactions[Sales Amount]),"Below Average","At/Above Average")</f>
        <v>At/Above Average</v>
      </c>
    </row>
    <row r="459" spans="4:17" x14ac:dyDescent="0.2">
      <c r="D459" t="s">
        <v>549</v>
      </c>
      <c r="E459" t="s">
        <v>78</v>
      </c>
      <c r="F459" t="s">
        <v>94</v>
      </c>
      <c r="G459">
        <v>199</v>
      </c>
      <c r="H459">
        <v>10</v>
      </c>
      <c r="I459">
        <v>46.11</v>
      </c>
      <c r="J459">
        <v>5</v>
      </c>
      <c r="K459" s="37">
        <v>45032</v>
      </c>
      <c r="L459" t="s">
        <v>109</v>
      </c>
      <c r="M459">
        <v>464.8</v>
      </c>
      <c r="N459">
        <v>42</v>
      </c>
      <c r="O459" t="str">
        <f>"Q"&amp;ROUNDUP(MONTH(Transactions[[#This Row],[Transaction Date]])/3,0)</f>
        <v>Q2</v>
      </c>
      <c r="P459">
        <f>YEAR(Transactions[[#This Row],[Transaction Date]])</f>
        <v>2023</v>
      </c>
      <c r="Q459" t="str">
        <f>IF(Transactions[[#This Row],[Sales Amount]]&lt;AVERAGE(Transactions[Sales Amount]),"Below Average","At/Above Average")</f>
        <v>At/Above Average</v>
      </c>
    </row>
    <row r="460" spans="4:17" x14ac:dyDescent="0.2">
      <c r="D460" t="s">
        <v>550</v>
      </c>
      <c r="E460" t="s">
        <v>77</v>
      </c>
      <c r="F460" t="s">
        <v>88</v>
      </c>
      <c r="G460">
        <v>210</v>
      </c>
      <c r="H460">
        <v>9</v>
      </c>
      <c r="I460">
        <v>45.29</v>
      </c>
      <c r="J460">
        <v>1</v>
      </c>
      <c r="K460" s="37">
        <v>45491</v>
      </c>
      <c r="L460" t="s">
        <v>109</v>
      </c>
      <c r="M460">
        <v>263.62</v>
      </c>
      <c r="N460">
        <v>30</v>
      </c>
      <c r="O460" t="str">
        <f>"Q"&amp;ROUNDUP(MONTH(Transactions[[#This Row],[Transaction Date]])/3,0)</f>
        <v>Q3</v>
      </c>
      <c r="P460">
        <f>YEAR(Transactions[[#This Row],[Transaction Date]])</f>
        <v>2024</v>
      </c>
      <c r="Q460" t="str">
        <f>IF(Transactions[[#This Row],[Sales Amount]]&lt;AVERAGE(Transactions[Sales Amount]),"Below Average","At/Above Average")</f>
        <v>At/Above Average</v>
      </c>
    </row>
    <row r="461" spans="4:17" x14ac:dyDescent="0.2">
      <c r="D461" t="s">
        <v>551</v>
      </c>
      <c r="E461" t="s">
        <v>78</v>
      </c>
      <c r="F461" t="s">
        <v>105</v>
      </c>
      <c r="G461">
        <v>127</v>
      </c>
      <c r="H461">
        <v>4</v>
      </c>
      <c r="I461">
        <v>51.31</v>
      </c>
      <c r="J461">
        <v>9</v>
      </c>
      <c r="K461" s="37">
        <v>45056</v>
      </c>
      <c r="L461" t="s">
        <v>124</v>
      </c>
      <c r="M461">
        <v>367.91</v>
      </c>
      <c r="N461">
        <v>2</v>
      </c>
      <c r="O461" t="str">
        <f>"Q"&amp;ROUNDUP(MONTH(Transactions[[#This Row],[Transaction Date]])/3,0)</f>
        <v>Q2</v>
      </c>
      <c r="P461">
        <f>YEAR(Transactions[[#This Row],[Transaction Date]])</f>
        <v>2023</v>
      </c>
      <c r="Q461" t="str">
        <f>IF(Transactions[[#This Row],[Sales Amount]]&lt;AVERAGE(Transactions[Sales Amount]),"Below Average","At/Above Average")</f>
        <v>At/Above Average</v>
      </c>
    </row>
    <row r="462" spans="4:17" x14ac:dyDescent="0.2">
      <c r="D462" t="s">
        <v>552</v>
      </c>
      <c r="E462" t="s">
        <v>75</v>
      </c>
      <c r="F462" t="s">
        <v>129</v>
      </c>
      <c r="G462">
        <v>238</v>
      </c>
      <c r="H462">
        <v>1</v>
      </c>
      <c r="I462">
        <v>55.55</v>
      </c>
      <c r="J462">
        <v>10</v>
      </c>
      <c r="K462" s="37">
        <v>45622</v>
      </c>
      <c r="L462" t="s">
        <v>89</v>
      </c>
      <c r="M462">
        <v>105.73</v>
      </c>
      <c r="N462">
        <v>33</v>
      </c>
      <c r="O462" t="str">
        <f>"Q"&amp;ROUNDUP(MONTH(Transactions[[#This Row],[Transaction Date]])/3,0)</f>
        <v>Q4</v>
      </c>
      <c r="P462">
        <f>YEAR(Transactions[[#This Row],[Transaction Date]])</f>
        <v>2024</v>
      </c>
      <c r="Q462" t="str">
        <f>IF(Transactions[[#This Row],[Sales Amount]]&lt;AVERAGE(Transactions[Sales Amount]),"Below Average","At/Above Average")</f>
        <v>Below Average</v>
      </c>
    </row>
    <row r="463" spans="4:17" x14ac:dyDescent="0.2">
      <c r="D463" t="s">
        <v>553</v>
      </c>
      <c r="E463" t="s">
        <v>77</v>
      </c>
      <c r="F463" t="s">
        <v>88</v>
      </c>
      <c r="G463">
        <v>275</v>
      </c>
      <c r="H463">
        <v>5</v>
      </c>
      <c r="I463">
        <v>54.5</v>
      </c>
      <c r="J463">
        <v>7</v>
      </c>
      <c r="K463" s="37">
        <v>45068</v>
      </c>
      <c r="L463" t="s">
        <v>124</v>
      </c>
      <c r="M463">
        <v>155.12</v>
      </c>
      <c r="N463">
        <v>31</v>
      </c>
      <c r="O463" t="str">
        <f>"Q"&amp;ROUNDUP(MONTH(Transactions[[#This Row],[Transaction Date]])/3,0)</f>
        <v>Q2</v>
      </c>
      <c r="P463">
        <f>YEAR(Transactions[[#This Row],[Transaction Date]])</f>
        <v>2023</v>
      </c>
      <c r="Q463" t="str">
        <f>IF(Transactions[[#This Row],[Sales Amount]]&lt;AVERAGE(Transactions[Sales Amount]),"Below Average","At/Above Average")</f>
        <v>Below Average</v>
      </c>
    </row>
    <row r="464" spans="4:17" x14ac:dyDescent="0.2">
      <c r="D464" t="s">
        <v>554</v>
      </c>
      <c r="E464" t="s">
        <v>75</v>
      </c>
      <c r="F464" t="s">
        <v>94</v>
      </c>
      <c r="G464">
        <v>172</v>
      </c>
      <c r="H464">
        <v>2</v>
      </c>
      <c r="I464">
        <v>48.38</v>
      </c>
      <c r="J464">
        <v>7</v>
      </c>
      <c r="K464" s="37">
        <v>44749</v>
      </c>
      <c r="L464" t="s">
        <v>124</v>
      </c>
      <c r="M464">
        <v>54.07</v>
      </c>
      <c r="N464">
        <v>1</v>
      </c>
      <c r="O464" t="str">
        <f>"Q"&amp;ROUNDUP(MONTH(Transactions[[#This Row],[Transaction Date]])/3,0)</f>
        <v>Q3</v>
      </c>
      <c r="P464">
        <f>YEAR(Transactions[[#This Row],[Transaction Date]])</f>
        <v>2022</v>
      </c>
      <c r="Q464" t="str">
        <f>IF(Transactions[[#This Row],[Sales Amount]]&lt;AVERAGE(Transactions[Sales Amount]),"Below Average","At/Above Average")</f>
        <v>Below Average</v>
      </c>
    </row>
    <row r="465" spans="4:17" x14ac:dyDescent="0.2">
      <c r="D465" t="s">
        <v>555</v>
      </c>
      <c r="E465" t="s">
        <v>75</v>
      </c>
      <c r="F465" t="s">
        <v>91</v>
      </c>
      <c r="G465">
        <v>100</v>
      </c>
      <c r="H465">
        <v>8</v>
      </c>
      <c r="I465">
        <v>45.76</v>
      </c>
      <c r="J465">
        <v>3</v>
      </c>
      <c r="K465" s="37">
        <v>45211</v>
      </c>
      <c r="L465" t="s">
        <v>109</v>
      </c>
      <c r="M465">
        <v>100.5</v>
      </c>
      <c r="N465">
        <v>21</v>
      </c>
      <c r="O465" t="str">
        <f>"Q"&amp;ROUNDUP(MONTH(Transactions[[#This Row],[Transaction Date]])/3,0)</f>
        <v>Q4</v>
      </c>
      <c r="P465">
        <f>YEAR(Transactions[[#This Row],[Transaction Date]])</f>
        <v>2023</v>
      </c>
      <c r="Q465" t="str">
        <f>IF(Transactions[[#This Row],[Sales Amount]]&lt;AVERAGE(Transactions[Sales Amount]),"Below Average","At/Above Average")</f>
        <v>Below Average</v>
      </c>
    </row>
    <row r="466" spans="4:17" x14ac:dyDescent="0.2">
      <c r="D466" t="s">
        <v>556</v>
      </c>
      <c r="E466" t="s">
        <v>77</v>
      </c>
      <c r="F466" t="s">
        <v>105</v>
      </c>
      <c r="G466">
        <v>163</v>
      </c>
      <c r="H466">
        <v>7</v>
      </c>
      <c r="I466">
        <v>58.73</v>
      </c>
      <c r="J466">
        <v>3</v>
      </c>
      <c r="K466" s="37">
        <v>45365</v>
      </c>
      <c r="L466" t="s">
        <v>97</v>
      </c>
      <c r="M466">
        <v>215.31</v>
      </c>
      <c r="N466">
        <v>50</v>
      </c>
      <c r="O466" t="str">
        <f>"Q"&amp;ROUNDUP(MONTH(Transactions[[#This Row],[Transaction Date]])/3,0)</f>
        <v>Q1</v>
      </c>
      <c r="P466">
        <f>YEAR(Transactions[[#This Row],[Transaction Date]])</f>
        <v>2024</v>
      </c>
      <c r="Q466" t="str">
        <f>IF(Transactions[[#This Row],[Sales Amount]]&lt;AVERAGE(Transactions[Sales Amount]),"Below Average","At/Above Average")</f>
        <v>Below Average</v>
      </c>
    </row>
    <row r="467" spans="4:17" x14ac:dyDescent="0.2">
      <c r="D467" t="s">
        <v>557</v>
      </c>
      <c r="E467" t="s">
        <v>78</v>
      </c>
      <c r="F467" t="s">
        <v>91</v>
      </c>
      <c r="G467">
        <v>171</v>
      </c>
      <c r="H467">
        <v>9</v>
      </c>
      <c r="I467">
        <v>54.12</v>
      </c>
      <c r="J467">
        <v>2</v>
      </c>
      <c r="K467" s="37">
        <v>45185</v>
      </c>
      <c r="L467" t="s">
        <v>97</v>
      </c>
      <c r="M467">
        <v>437.55</v>
      </c>
      <c r="N467">
        <v>44</v>
      </c>
      <c r="O467" t="str">
        <f>"Q"&amp;ROUNDUP(MONTH(Transactions[[#This Row],[Transaction Date]])/3,0)</f>
        <v>Q3</v>
      </c>
      <c r="P467">
        <f>YEAR(Transactions[[#This Row],[Transaction Date]])</f>
        <v>2023</v>
      </c>
      <c r="Q467" t="str">
        <f>IF(Transactions[[#This Row],[Sales Amount]]&lt;AVERAGE(Transactions[Sales Amount]),"Below Average","At/Above Average")</f>
        <v>At/Above Average</v>
      </c>
    </row>
    <row r="468" spans="4:17" x14ac:dyDescent="0.2">
      <c r="D468" t="s">
        <v>558</v>
      </c>
      <c r="E468" t="s">
        <v>76</v>
      </c>
      <c r="F468" t="s">
        <v>94</v>
      </c>
      <c r="G468">
        <v>270</v>
      </c>
      <c r="H468">
        <v>2</v>
      </c>
      <c r="I468">
        <v>52.96</v>
      </c>
      <c r="J468">
        <v>3</v>
      </c>
      <c r="K468" s="37">
        <v>44887</v>
      </c>
      <c r="L468" t="s">
        <v>102</v>
      </c>
      <c r="M468">
        <v>345.32</v>
      </c>
      <c r="N468">
        <v>4</v>
      </c>
      <c r="O468" t="str">
        <f>"Q"&amp;ROUNDUP(MONTH(Transactions[[#This Row],[Transaction Date]])/3,0)</f>
        <v>Q4</v>
      </c>
      <c r="P468">
        <f>YEAR(Transactions[[#This Row],[Transaction Date]])</f>
        <v>2022</v>
      </c>
      <c r="Q468" t="str">
        <f>IF(Transactions[[#This Row],[Sales Amount]]&lt;AVERAGE(Transactions[Sales Amount]),"Below Average","At/Above Average")</f>
        <v>At/Above Average</v>
      </c>
    </row>
    <row r="469" spans="4:17" x14ac:dyDescent="0.2">
      <c r="D469" t="s">
        <v>559</v>
      </c>
      <c r="E469" t="s">
        <v>77</v>
      </c>
      <c r="F469" t="s">
        <v>99</v>
      </c>
      <c r="G469">
        <v>150</v>
      </c>
      <c r="H469">
        <v>9</v>
      </c>
      <c r="I469">
        <v>57.3</v>
      </c>
      <c r="J469">
        <v>9</v>
      </c>
      <c r="K469" s="37">
        <v>44654</v>
      </c>
      <c r="L469" t="s">
        <v>124</v>
      </c>
      <c r="M469">
        <v>311.51</v>
      </c>
      <c r="N469">
        <v>37</v>
      </c>
      <c r="O469" t="str">
        <f>"Q"&amp;ROUNDUP(MONTH(Transactions[[#This Row],[Transaction Date]])/3,0)</f>
        <v>Q2</v>
      </c>
      <c r="P469">
        <f>YEAR(Transactions[[#This Row],[Transaction Date]])</f>
        <v>2022</v>
      </c>
      <c r="Q469" t="str">
        <f>IF(Transactions[[#This Row],[Sales Amount]]&lt;AVERAGE(Transactions[Sales Amount]),"Below Average","At/Above Average")</f>
        <v>At/Above Average</v>
      </c>
    </row>
    <row r="470" spans="4:17" x14ac:dyDescent="0.2">
      <c r="D470" t="s">
        <v>560</v>
      </c>
      <c r="E470" t="s">
        <v>76</v>
      </c>
      <c r="F470" t="s">
        <v>105</v>
      </c>
      <c r="G470">
        <v>283</v>
      </c>
      <c r="H470">
        <v>7</v>
      </c>
      <c r="I470">
        <v>47.56</v>
      </c>
      <c r="J470">
        <v>9</v>
      </c>
      <c r="K470" s="37">
        <v>45111</v>
      </c>
      <c r="L470" t="s">
        <v>97</v>
      </c>
      <c r="M470">
        <v>426.05</v>
      </c>
      <c r="N470">
        <v>21</v>
      </c>
      <c r="O470" t="str">
        <f>"Q"&amp;ROUNDUP(MONTH(Transactions[[#This Row],[Transaction Date]])/3,0)</f>
        <v>Q3</v>
      </c>
      <c r="P470">
        <f>YEAR(Transactions[[#This Row],[Transaction Date]])</f>
        <v>2023</v>
      </c>
      <c r="Q470" t="str">
        <f>IF(Transactions[[#This Row],[Sales Amount]]&lt;AVERAGE(Transactions[Sales Amount]),"Below Average","At/Above Average")</f>
        <v>At/Above Average</v>
      </c>
    </row>
    <row r="471" spans="4:17" x14ac:dyDescent="0.2">
      <c r="D471" t="s">
        <v>561</v>
      </c>
      <c r="E471" t="s">
        <v>76</v>
      </c>
      <c r="F471" t="s">
        <v>99</v>
      </c>
      <c r="G471">
        <v>192</v>
      </c>
      <c r="H471">
        <v>1</v>
      </c>
      <c r="I471">
        <v>47.99</v>
      </c>
      <c r="J471">
        <v>3</v>
      </c>
      <c r="K471" s="37">
        <v>45309</v>
      </c>
      <c r="L471" t="s">
        <v>102</v>
      </c>
      <c r="M471">
        <v>35.9</v>
      </c>
      <c r="N471">
        <v>21</v>
      </c>
      <c r="O471" t="str">
        <f>"Q"&amp;ROUNDUP(MONTH(Transactions[[#This Row],[Transaction Date]])/3,0)</f>
        <v>Q1</v>
      </c>
      <c r="P471">
        <f>YEAR(Transactions[[#This Row],[Transaction Date]])</f>
        <v>2024</v>
      </c>
      <c r="Q471" t="str">
        <f>IF(Transactions[[#This Row],[Sales Amount]]&lt;AVERAGE(Transactions[Sales Amount]),"Below Average","At/Above Average")</f>
        <v>Below Average</v>
      </c>
    </row>
    <row r="472" spans="4:17" x14ac:dyDescent="0.2">
      <c r="D472" t="s">
        <v>562</v>
      </c>
      <c r="E472" t="s">
        <v>76</v>
      </c>
      <c r="F472" t="s">
        <v>108</v>
      </c>
      <c r="G472">
        <v>274</v>
      </c>
      <c r="H472">
        <v>6</v>
      </c>
      <c r="I472">
        <v>45.88</v>
      </c>
      <c r="J472">
        <v>1</v>
      </c>
      <c r="K472" s="37">
        <v>45510</v>
      </c>
      <c r="L472" t="s">
        <v>92</v>
      </c>
      <c r="M472">
        <v>144.62</v>
      </c>
      <c r="N472">
        <v>32</v>
      </c>
      <c r="O472" t="str">
        <f>"Q"&amp;ROUNDUP(MONTH(Transactions[[#This Row],[Transaction Date]])/3,0)</f>
        <v>Q3</v>
      </c>
      <c r="P472">
        <f>YEAR(Transactions[[#This Row],[Transaction Date]])</f>
        <v>2024</v>
      </c>
      <c r="Q472" t="str">
        <f>IF(Transactions[[#This Row],[Sales Amount]]&lt;AVERAGE(Transactions[Sales Amount]),"Below Average","At/Above Average")</f>
        <v>Below Average</v>
      </c>
    </row>
    <row r="473" spans="4:17" x14ac:dyDescent="0.2">
      <c r="D473" t="s">
        <v>563</v>
      </c>
      <c r="E473" t="s">
        <v>87</v>
      </c>
      <c r="F473" t="s">
        <v>88</v>
      </c>
      <c r="G473">
        <v>143</v>
      </c>
      <c r="H473">
        <v>8</v>
      </c>
      <c r="I473">
        <v>58.35</v>
      </c>
      <c r="J473">
        <v>3</v>
      </c>
      <c r="K473" s="37">
        <v>45009</v>
      </c>
      <c r="L473" t="s">
        <v>109</v>
      </c>
      <c r="M473">
        <v>178.2</v>
      </c>
      <c r="N473">
        <v>2</v>
      </c>
      <c r="O473" t="str">
        <f>"Q"&amp;ROUNDUP(MONTH(Transactions[[#This Row],[Transaction Date]])/3,0)</f>
        <v>Q1</v>
      </c>
      <c r="P473">
        <f>YEAR(Transactions[[#This Row],[Transaction Date]])</f>
        <v>2023</v>
      </c>
      <c r="Q473" t="str">
        <f>IF(Transactions[[#This Row],[Sales Amount]]&lt;AVERAGE(Transactions[Sales Amount]),"Below Average","At/Above Average")</f>
        <v>Below Average</v>
      </c>
    </row>
    <row r="474" spans="4:17" x14ac:dyDescent="0.2">
      <c r="D474" t="s">
        <v>564</v>
      </c>
      <c r="E474" t="s">
        <v>75</v>
      </c>
      <c r="F474" t="s">
        <v>96</v>
      </c>
      <c r="G474">
        <v>209</v>
      </c>
      <c r="H474">
        <v>7</v>
      </c>
      <c r="I474">
        <v>58.26</v>
      </c>
      <c r="J474">
        <v>4</v>
      </c>
      <c r="K474" s="37">
        <v>45625</v>
      </c>
      <c r="L474" t="s">
        <v>97</v>
      </c>
      <c r="M474">
        <v>67.52</v>
      </c>
      <c r="N474">
        <v>41</v>
      </c>
      <c r="O474" t="str">
        <f>"Q"&amp;ROUNDUP(MONTH(Transactions[[#This Row],[Transaction Date]])/3,0)</f>
        <v>Q4</v>
      </c>
      <c r="P474">
        <f>YEAR(Transactions[[#This Row],[Transaction Date]])</f>
        <v>2024</v>
      </c>
      <c r="Q474" t="str">
        <f>IF(Transactions[[#This Row],[Sales Amount]]&lt;AVERAGE(Transactions[Sales Amount]),"Below Average","At/Above Average")</f>
        <v>Below Average</v>
      </c>
    </row>
    <row r="475" spans="4:17" x14ac:dyDescent="0.2">
      <c r="D475" t="s">
        <v>565</v>
      </c>
      <c r="E475" t="s">
        <v>77</v>
      </c>
      <c r="F475" t="s">
        <v>88</v>
      </c>
      <c r="G475">
        <v>252</v>
      </c>
      <c r="H475">
        <v>9</v>
      </c>
      <c r="I475">
        <v>59.94</v>
      </c>
      <c r="J475">
        <v>4</v>
      </c>
      <c r="K475" s="37">
        <v>45166</v>
      </c>
      <c r="L475" t="s">
        <v>89</v>
      </c>
      <c r="M475">
        <v>50.58</v>
      </c>
      <c r="N475">
        <v>34</v>
      </c>
      <c r="O475" t="str">
        <f>"Q"&amp;ROUNDUP(MONTH(Transactions[[#This Row],[Transaction Date]])/3,0)</f>
        <v>Q3</v>
      </c>
      <c r="P475">
        <f>YEAR(Transactions[[#This Row],[Transaction Date]])</f>
        <v>2023</v>
      </c>
      <c r="Q475" t="str">
        <f>IF(Transactions[[#This Row],[Sales Amount]]&lt;AVERAGE(Transactions[Sales Amount]),"Below Average","At/Above Average")</f>
        <v>Below Average</v>
      </c>
    </row>
    <row r="476" spans="4:17" x14ac:dyDescent="0.2">
      <c r="D476" t="s">
        <v>566</v>
      </c>
      <c r="E476" t="s">
        <v>75</v>
      </c>
      <c r="F476" t="s">
        <v>91</v>
      </c>
      <c r="G476">
        <v>238</v>
      </c>
      <c r="H476">
        <v>8</v>
      </c>
      <c r="I476">
        <v>57.33</v>
      </c>
      <c r="J476">
        <v>3</v>
      </c>
      <c r="K476" s="37">
        <v>45536</v>
      </c>
      <c r="L476" t="s">
        <v>109</v>
      </c>
      <c r="M476">
        <v>255.28</v>
      </c>
      <c r="N476">
        <v>33</v>
      </c>
      <c r="O476" t="str">
        <f>"Q"&amp;ROUNDUP(MONTH(Transactions[[#This Row],[Transaction Date]])/3,0)</f>
        <v>Q3</v>
      </c>
      <c r="P476">
        <f>YEAR(Transactions[[#This Row],[Transaction Date]])</f>
        <v>2024</v>
      </c>
      <c r="Q476" t="str">
        <f>IF(Transactions[[#This Row],[Sales Amount]]&lt;AVERAGE(Transactions[Sales Amount]),"Below Average","At/Above Average")</f>
        <v>Below Average</v>
      </c>
    </row>
    <row r="477" spans="4:17" x14ac:dyDescent="0.2">
      <c r="D477" t="s">
        <v>567</v>
      </c>
      <c r="E477" t="s">
        <v>76</v>
      </c>
      <c r="F477" t="s">
        <v>129</v>
      </c>
      <c r="G477">
        <v>255</v>
      </c>
      <c r="H477">
        <v>7</v>
      </c>
      <c r="I477">
        <v>49.39</v>
      </c>
      <c r="J477">
        <v>1</v>
      </c>
      <c r="K477" s="37">
        <v>44833</v>
      </c>
      <c r="L477" t="s">
        <v>89</v>
      </c>
      <c r="M477">
        <v>341.77</v>
      </c>
      <c r="N477">
        <v>37</v>
      </c>
      <c r="O477" t="str">
        <f>"Q"&amp;ROUNDUP(MONTH(Transactions[[#This Row],[Transaction Date]])/3,0)</f>
        <v>Q3</v>
      </c>
      <c r="P477">
        <f>YEAR(Transactions[[#This Row],[Transaction Date]])</f>
        <v>2022</v>
      </c>
      <c r="Q477" t="str">
        <f>IF(Transactions[[#This Row],[Sales Amount]]&lt;AVERAGE(Transactions[Sales Amount]),"Below Average","At/Above Average")</f>
        <v>At/Above Average</v>
      </c>
    </row>
    <row r="478" spans="4:17" x14ac:dyDescent="0.2">
      <c r="D478" t="s">
        <v>568</v>
      </c>
      <c r="E478" t="s">
        <v>78</v>
      </c>
      <c r="F478" t="s">
        <v>108</v>
      </c>
      <c r="G478">
        <v>260</v>
      </c>
      <c r="H478">
        <v>8</v>
      </c>
      <c r="I478">
        <v>47.58</v>
      </c>
      <c r="J478">
        <v>2</v>
      </c>
      <c r="K478" s="37">
        <v>45258</v>
      </c>
      <c r="L478" t="s">
        <v>97</v>
      </c>
      <c r="M478">
        <v>465.64</v>
      </c>
      <c r="N478">
        <v>17</v>
      </c>
      <c r="O478" t="str">
        <f>"Q"&amp;ROUNDUP(MONTH(Transactions[[#This Row],[Transaction Date]])/3,0)</f>
        <v>Q4</v>
      </c>
      <c r="P478">
        <f>YEAR(Transactions[[#This Row],[Transaction Date]])</f>
        <v>2023</v>
      </c>
      <c r="Q478" t="str">
        <f>IF(Transactions[[#This Row],[Sales Amount]]&lt;AVERAGE(Transactions[Sales Amount]),"Below Average","At/Above Average")</f>
        <v>At/Above Average</v>
      </c>
    </row>
    <row r="479" spans="4:17" x14ac:dyDescent="0.2">
      <c r="D479" t="s">
        <v>569</v>
      </c>
      <c r="E479" t="s">
        <v>75</v>
      </c>
      <c r="F479" t="s">
        <v>94</v>
      </c>
      <c r="G479">
        <v>283</v>
      </c>
      <c r="H479">
        <v>9</v>
      </c>
      <c r="I479">
        <v>52.3</v>
      </c>
      <c r="J479">
        <v>5</v>
      </c>
      <c r="K479" s="37">
        <v>45616</v>
      </c>
      <c r="L479" t="s">
        <v>92</v>
      </c>
      <c r="M479">
        <v>30.37</v>
      </c>
      <c r="N479">
        <v>39</v>
      </c>
      <c r="O479" t="str">
        <f>"Q"&amp;ROUNDUP(MONTH(Transactions[[#This Row],[Transaction Date]])/3,0)</f>
        <v>Q4</v>
      </c>
      <c r="P479">
        <f>YEAR(Transactions[[#This Row],[Transaction Date]])</f>
        <v>2024</v>
      </c>
      <c r="Q479" t="str">
        <f>IF(Transactions[[#This Row],[Sales Amount]]&lt;AVERAGE(Transactions[Sales Amount]),"Below Average","At/Above Average")</f>
        <v>Below Average</v>
      </c>
    </row>
    <row r="480" spans="4:17" x14ac:dyDescent="0.2">
      <c r="D480" t="s">
        <v>570</v>
      </c>
      <c r="E480" t="s">
        <v>77</v>
      </c>
      <c r="F480" t="s">
        <v>108</v>
      </c>
      <c r="G480">
        <v>217</v>
      </c>
      <c r="H480">
        <v>2</v>
      </c>
      <c r="I480">
        <v>50.45</v>
      </c>
      <c r="J480">
        <v>8</v>
      </c>
      <c r="K480" s="37">
        <v>45177</v>
      </c>
      <c r="L480" t="s">
        <v>92</v>
      </c>
      <c r="M480">
        <v>461.3</v>
      </c>
      <c r="N480">
        <v>18</v>
      </c>
      <c r="O480" t="str">
        <f>"Q"&amp;ROUNDUP(MONTH(Transactions[[#This Row],[Transaction Date]])/3,0)</f>
        <v>Q3</v>
      </c>
      <c r="P480">
        <f>YEAR(Transactions[[#This Row],[Transaction Date]])</f>
        <v>2023</v>
      </c>
      <c r="Q480" t="str">
        <f>IF(Transactions[[#This Row],[Sales Amount]]&lt;AVERAGE(Transactions[Sales Amount]),"Below Average","At/Above Average")</f>
        <v>At/Above Average</v>
      </c>
    </row>
    <row r="481" spans="4:17" x14ac:dyDescent="0.2">
      <c r="D481" t="s">
        <v>571</v>
      </c>
      <c r="E481" t="s">
        <v>87</v>
      </c>
      <c r="F481" t="s">
        <v>105</v>
      </c>
      <c r="G481">
        <v>294</v>
      </c>
      <c r="H481">
        <v>5</v>
      </c>
      <c r="I481">
        <v>55.55</v>
      </c>
      <c r="J481">
        <v>7</v>
      </c>
      <c r="K481" s="37">
        <v>45451</v>
      </c>
      <c r="L481" t="s">
        <v>92</v>
      </c>
      <c r="M481">
        <v>331.09</v>
      </c>
      <c r="N481">
        <v>48</v>
      </c>
      <c r="O481" t="str">
        <f>"Q"&amp;ROUNDUP(MONTH(Transactions[[#This Row],[Transaction Date]])/3,0)</f>
        <v>Q2</v>
      </c>
      <c r="P481">
        <f>YEAR(Transactions[[#This Row],[Transaction Date]])</f>
        <v>2024</v>
      </c>
      <c r="Q481" t="str">
        <f>IF(Transactions[[#This Row],[Sales Amount]]&lt;AVERAGE(Transactions[Sales Amount]),"Below Average","At/Above Average")</f>
        <v>At/Above Average</v>
      </c>
    </row>
    <row r="482" spans="4:17" x14ac:dyDescent="0.2">
      <c r="D482" t="s">
        <v>572</v>
      </c>
      <c r="E482" t="s">
        <v>74</v>
      </c>
      <c r="F482" t="s">
        <v>91</v>
      </c>
      <c r="G482">
        <v>280</v>
      </c>
      <c r="H482">
        <v>3</v>
      </c>
      <c r="I482">
        <v>58.67</v>
      </c>
      <c r="J482">
        <v>2</v>
      </c>
      <c r="K482" s="37">
        <v>44758</v>
      </c>
      <c r="L482" t="s">
        <v>102</v>
      </c>
      <c r="M482">
        <v>263.79000000000002</v>
      </c>
      <c r="N482">
        <v>15</v>
      </c>
      <c r="O482" t="str">
        <f>"Q"&amp;ROUNDUP(MONTH(Transactions[[#This Row],[Transaction Date]])/3,0)</f>
        <v>Q3</v>
      </c>
      <c r="P482">
        <f>YEAR(Transactions[[#This Row],[Transaction Date]])</f>
        <v>2022</v>
      </c>
      <c r="Q482" t="str">
        <f>IF(Transactions[[#This Row],[Sales Amount]]&lt;AVERAGE(Transactions[Sales Amount]),"Below Average","At/Above Average")</f>
        <v>At/Above Average</v>
      </c>
    </row>
    <row r="483" spans="4:17" x14ac:dyDescent="0.2">
      <c r="D483" t="s">
        <v>573</v>
      </c>
      <c r="E483" t="s">
        <v>76</v>
      </c>
      <c r="F483" t="s">
        <v>108</v>
      </c>
      <c r="G483">
        <v>174</v>
      </c>
      <c r="H483">
        <v>1</v>
      </c>
      <c r="I483">
        <v>50.4</v>
      </c>
      <c r="J483">
        <v>2</v>
      </c>
      <c r="K483" s="37">
        <v>45522</v>
      </c>
      <c r="L483" t="s">
        <v>97</v>
      </c>
      <c r="M483">
        <v>365.71</v>
      </c>
      <c r="N483">
        <v>8</v>
      </c>
      <c r="O483" t="str">
        <f>"Q"&amp;ROUNDUP(MONTH(Transactions[[#This Row],[Transaction Date]])/3,0)</f>
        <v>Q3</v>
      </c>
      <c r="P483">
        <f>YEAR(Transactions[[#This Row],[Transaction Date]])</f>
        <v>2024</v>
      </c>
      <c r="Q483" t="str">
        <f>IF(Transactions[[#This Row],[Sales Amount]]&lt;AVERAGE(Transactions[Sales Amount]),"Below Average","At/Above Average")</f>
        <v>At/Above Average</v>
      </c>
    </row>
    <row r="484" spans="4:17" x14ac:dyDescent="0.2">
      <c r="D484" t="s">
        <v>574</v>
      </c>
      <c r="E484" t="s">
        <v>87</v>
      </c>
      <c r="F484" t="s">
        <v>88</v>
      </c>
      <c r="G484">
        <v>200</v>
      </c>
      <c r="H484">
        <v>3</v>
      </c>
      <c r="I484">
        <v>49.23</v>
      </c>
      <c r="J484">
        <v>10</v>
      </c>
      <c r="K484" s="37">
        <v>45033</v>
      </c>
      <c r="L484" t="s">
        <v>92</v>
      </c>
      <c r="M484">
        <v>463.75</v>
      </c>
      <c r="N484">
        <v>21</v>
      </c>
      <c r="O484" t="str">
        <f>"Q"&amp;ROUNDUP(MONTH(Transactions[[#This Row],[Transaction Date]])/3,0)</f>
        <v>Q2</v>
      </c>
      <c r="P484">
        <f>YEAR(Transactions[[#This Row],[Transaction Date]])</f>
        <v>2023</v>
      </c>
      <c r="Q484" t="str">
        <f>IF(Transactions[[#This Row],[Sales Amount]]&lt;AVERAGE(Transactions[Sales Amount]),"Below Average","At/Above Average")</f>
        <v>At/Above Average</v>
      </c>
    </row>
    <row r="485" spans="4:17" x14ac:dyDescent="0.2">
      <c r="D485" t="s">
        <v>575</v>
      </c>
      <c r="E485" t="s">
        <v>76</v>
      </c>
      <c r="F485" t="s">
        <v>96</v>
      </c>
      <c r="G485">
        <v>295</v>
      </c>
      <c r="H485">
        <v>3</v>
      </c>
      <c r="I485">
        <v>49.42</v>
      </c>
      <c r="J485">
        <v>9</v>
      </c>
      <c r="K485" s="37">
        <v>44959</v>
      </c>
      <c r="L485" t="s">
        <v>89</v>
      </c>
      <c r="M485">
        <v>445.56</v>
      </c>
      <c r="N485">
        <v>41</v>
      </c>
      <c r="O485" t="str">
        <f>"Q"&amp;ROUNDUP(MONTH(Transactions[[#This Row],[Transaction Date]])/3,0)</f>
        <v>Q1</v>
      </c>
      <c r="P485">
        <f>YEAR(Transactions[[#This Row],[Transaction Date]])</f>
        <v>2023</v>
      </c>
      <c r="Q485" t="str">
        <f>IF(Transactions[[#This Row],[Sales Amount]]&lt;AVERAGE(Transactions[Sales Amount]),"Below Average","At/Above Average")</f>
        <v>At/Above Average</v>
      </c>
    </row>
    <row r="486" spans="4:17" x14ac:dyDescent="0.2">
      <c r="D486" t="s">
        <v>576</v>
      </c>
      <c r="E486" t="s">
        <v>75</v>
      </c>
      <c r="F486" t="s">
        <v>105</v>
      </c>
      <c r="G486">
        <v>129</v>
      </c>
      <c r="H486">
        <v>5</v>
      </c>
      <c r="I486">
        <v>58.48</v>
      </c>
      <c r="J486">
        <v>7</v>
      </c>
      <c r="K486" s="37">
        <v>45535</v>
      </c>
      <c r="L486" t="s">
        <v>124</v>
      </c>
      <c r="M486">
        <v>350.49</v>
      </c>
      <c r="N486">
        <v>27</v>
      </c>
      <c r="O486" t="str">
        <f>"Q"&amp;ROUNDUP(MONTH(Transactions[[#This Row],[Transaction Date]])/3,0)</f>
        <v>Q3</v>
      </c>
      <c r="P486">
        <f>YEAR(Transactions[[#This Row],[Transaction Date]])</f>
        <v>2024</v>
      </c>
      <c r="Q486" t="str">
        <f>IF(Transactions[[#This Row],[Sales Amount]]&lt;AVERAGE(Transactions[Sales Amount]),"Below Average","At/Above Average")</f>
        <v>At/Above Average</v>
      </c>
    </row>
    <row r="487" spans="4:17" x14ac:dyDescent="0.2">
      <c r="D487" t="s">
        <v>577</v>
      </c>
      <c r="E487" t="s">
        <v>78</v>
      </c>
      <c r="F487" t="s">
        <v>96</v>
      </c>
      <c r="G487">
        <v>181</v>
      </c>
      <c r="H487">
        <v>9</v>
      </c>
      <c r="I487">
        <v>54.95</v>
      </c>
      <c r="J487">
        <v>7</v>
      </c>
      <c r="K487" s="37">
        <v>45588</v>
      </c>
      <c r="L487" t="s">
        <v>97</v>
      </c>
      <c r="M487">
        <v>262.70999999999998</v>
      </c>
      <c r="N487">
        <v>34</v>
      </c>
      <c r="O487" t="str">
        <f>"Q"&amp;ROUNDUP(MONTH(Transactions[[#This Row],[Transaction Date]])/3,0)</f>
        <v>Q4</v>
      </c>
      <c r="P487">
        <f>YEAR(Transactions[[#This Row],[Transaction Date]])</f>
        <v>2024</v>
      </c>
      <c r="Q487" t="str">
        <f>IF(Transactions[[#This Row],[Sales Amount]]&lt;AVERAGE(Transactions[Sales Amount]),"Below Average","At/Above Average")</f>
        <v>At/Above Average</v>
      </c>
    </row>
    <row r="488" spans="4:17" x14ac:dyDescent="0.2">
      <c r="D488" t="s">
        <v>578</v>
      </c>
      <c r="E488" t="s">
        <v>74</v>
      </c>
      <c r="F488" t="s">
        <v>91</v>
      </c>
      <c r="G488">
        <v>250</v>
      </c>
      <c r="H488">
        <v>7</v>
      </c>
      <c r="I488">
        <v>54.41</v>
      </c>
      <c r="J488">
        <v>8</v>
      </c>
      <c r="K488" s="37">
        <v>44934</v>
      </c>
      <c r="L488" t="s">
        <v>102</v>
      </c>
      <c r="M488">
        <v>399.86</v>
      </c>
      <c r="N488">
        <v>8</v>
      </c>
      <c r="O488" t="str">
        <f>"Q"&amp;ROUNDUP(MONTH(Transactions[[#This Row],[Transaction Date]])/3,0)</f>
        <v>Q1</v>
      </c>
      <c r="P488">
        <f>YEAR(Transactions[[#This Row],[Transaction Date]])</f>
        <v>2023</v>
      </c>
      <c r="Q488" t="str">
        <f>IF(Transactions[[#This Row],[Sales Amount]]&lt;AVERAGE(Transactions[Sales Amount]),"Below Average","At/Above Average")</f>
        <v>At/Above Average</v>
      </c>
    </row>
    <row r="489" spans="4:17" x14ac:dyDescent="0.2">
      <c r="D489" t="s">
        <v>579</v>
      </c>
      <c r="E489" t="s">
        <v>77</v>
      </c>
      <c r="F489" t="s">
        <v>105</v>
      </c>
      <c r="G489">
        <v>266</v>
      </c>
      <c r="H489">
        <v>8</v>
      </c>
      <c r="I489">
        <v>54.44</v>
      </c>
      <c r="J489">
        <v>7</v>
      </c>
      <c r="K489" s="37">
        <v>45281</v>
      </c>
      <c r="L489" t="s">
        <v>89</v>
      </c>
      <c r="M489">
        <v>272.08</v>
      </c>
      <c r="N489">
        <v>13</v>
      </c>
      <c r="O489" t="str">
        <f>"Q"&amp;ROUNDUP(MONTH(Transactions[[#This Row],[Transaction Date]])/3,0)</f>
        <v>Q4</v>
      </c>
      <c r="P489">
        <f>YEAR(Transactions[[#This Row],[Transaction Date]])</f>
        <v>2023</v>
      </c>
      <c r="Q489" t="str">
        <f>IF(Transactions[[#This Row],[Sales Amount]]&lt;AVERAGE(Transactions[Sales Amount]),"Below Average","At/Above Average")</f>
        <v>At/Above Average</v>
      </c>
    </row>
    <row r="490" spans="4:17" x14ac:dyDescent="0.2">
      <c r="D490" t="s">
        <v>580</v>
      </c>
      <c r="E490" t="s">
        <v>87</v>
      </c>
      <c r="F490" t="s">
        <v>99</v>
      </c>
      <c r="G490">
        <v>143</v>
      </c>
      <c r="H490">
        <v>7</v>
      </c>
      <c r="I490">
        <v>46.62</v>
      </c>
      <c r="J490">
        <v>3</v>
      </c>
      <c r="K490" s="37">
        <v>44634</v>
      </c>
      <c r="L490" t="s">
        <v>97</v>
      </c>
      <c r="M490">
        <v>32.520000000000003</v>
      </c>
      <c r="N490">
        <v>50</v>
      </c>
      <c r="O490" t="str">
        <f>"Q"&amp;ROUNDUP(MONTH(Transactions[[#This Row],[Transaction Date]])/3,0)</f>
        <v>Q1</v>
      </c>
      <c r="P490">
        <f>YEAR(Transactions[[#This Row],[Transaction Date]])</f>
        <v>2022</v>
      </c>
      <c r="Q490" t="str">
        <f>IF(Transactions[[#This Row],[Sales Amount]]&lt;AVERAGE(Transactions[Sales Amount]),"Below Average","At/Above Average")</f>
        <v>Below Average</v>
      </c>
    </row>
    <row r="491" spans="4:17" x14ac:dyDescent="0.2">
      <c r="D491" t="s">
        <v>581</v>
      </c>
      <c r="E491" t="s">
        <v>87</v>
      </c>
      <c r="F491" t="s">
        <v>91</v>
      </c>
      <c r="G491">
        <v>255</v>
      </c>
      <c r="H491">
        <v>5</v>
      </c>
      <c r="I491">
        <v>57.7</v>
      </c>
      <c r="J491">
        <v>10</v>
      </c>
      <c r="K491" s="37">
        <v>45110</v>
      </c>
      <c r="L491" t="s">
        <v>97</v>
      </c>
      <c r="M491">
        <v>312.48</v>
      </c>
      <c r="N491">
        <v>17</v>
      </c>
      <c r="O491" t="str">
        <f>"Q"&amp;ROUNDUP(MONTH(Transactions[[#This Row],[Transaction Date]])/3,0)</f>
        <v>Q3</v>
      </c>
      <c r="P491">
        <f>YEAR(Transactions[[#This Row],[Transaction Date]])</f>
        <v>2023</v>
      </c>
      <c r="Q491" t="str">
        <f>IF(Transactions[[#This Row],[Sales Amount]]&lt;AVERAGE(Transactions[Sales Amount]),"Below Average","At/Above Average")</f>
        <v>At/Above Average</v>
      </c>
    </row>
    <row r="492" spans="4:17" x14ac:dyDescent="0.2">
      <c r="D492" t="s">
        <v>582</v>
      </c>
      <c r="E492" t="s">
        <v>74</v>
      </c>
      <c r="F492" t="s">
        <v>88</v>
      </c>
      <c r="G492">
        <v>109</v>
      </c>
      <c r="H492">
        <v>7</v>
      </c>
      <c r="I492">
        <v>56.89</v>
      </c>
      <c r="J492">
        <v>10</v>
      </c>
      <c r="K492" s="37">
        <v>44608</v>
      </c>
      <c r="L492" t="s">
        <v>89</v>
      </c>
      <c r="M492">
        <v>271.45</v>
      </c>
      <c r="N492">
        <v>33</v>
      </c>
      <c r="O492" t="str">
        <f>"Q"&amp;ROUNDUP(MONTH(Transactions[[#This Row],[Transaction Date]])/3,0)</f>
        <v>Q1</v>
      </c>
      <c r="P492">
        <f>YEAR(Transactions[[#This Row],[Transaction Date]])</f>
        <v>2022</v>
      </c>
      <c r="Q492" t="str">
        <f>IF(Transactions[[#This Row],[Sales Amount]]&lt;AVERAGE(Transactions[Sales Amount]),"Below Average","At/Above Average")</f>
        <v>At/Above Average</v>
      </c>
    </row>
    <row r="493" spans="4:17" x14ac:dyDescent="0.2">
      <c r="D493" t="s">
        <v>583</v>
      </c>
      <c r="E493" t="s">
        <v>75</v>
      </c>
      <c r="F493" t="s">
        <v>88</v>
      </c>
      <c r="G493">
        <v>268</v>
      </c>
      <c r="H493">
        <v>4</v>
      </c>
      <c r="I493">
        <v>51.46</v>
      </c>
      <c r="J493">
        <v>7</v>
      </c>
      <c r="K493" s="37">
        <v>44975</v>
      </c>
      <c r="L493" t="s">
        <v>92</v>
      </c>
      <c r="M493">
        <v>94.4</v>
      </c>
      <c r="N493">
        <v>21</v>
      </c>
      <c r="O493" t="str">
        <f>"Q"&amp;ROUNDUP(MONTH(Transactions[[#This Row],[Transaction Date]])/3,0)</f>
        <v>Q1</v>
      </c>
      <c r="P493">
        <f>YEAR(Transactions[[#This Row],[Transaction Date]])</f>
        <v>2023</v>
      </c>
      <c r="Q493" t="str">
        <f>IF(Transactions[[#This Row],[Sales Amount]]&lt;AVERAGE(Transactions[Sales Amount]),"Below Average","At/Above Average")</f>
        <v>Below Average</v>
      </c>
    </row>
    <row r="494" spans="4:17" x14ac:dyDescent="0.2">
      <c r="D494" t="s">
        <v>584</v>
      </c>
      <c r="E494" t="s">
        <v>75</v>
      </c>
      <c r="F494" t="s">
        <v>105</v>
      </c>
      <c r="G494">
        <v>246</v>
      </c>
      <c r="H494">
        <v>1</v>
      </c>
      <c r="I494">
        <v>53.86</v>
      </c>
      <c r="J494">
        <v>6</v>
      </c>
      <c r="K494" s="37">
        <v>45071</v>
      </c>
      <c r="L494" t="s">
        <v>124</v>
      </c>
      <c r="M494">
        <v>303.05</v>
      </c>
      <c r="N494">
        <v>16</v>
      </c>
      <c r="O494" t="str">
        <f>"Q"&amp;ROUNDUP(MONTH(Transactions[[#This Row],[Transaction Date]])/3,0)</f>
        <v>Q2</v>
      </c>
      <c r="P494">
        <f>YEAR(Transactions[[#This Row],[Transaction Date]])</f>
        <v>2023</v>
      </c>
      <c r="Q494" t="str">
        <f>IF(Transactions[[#This Row],[Sales Amount]]&lt;AVERAGE(Transactions[Sales Amount]),"Below Average","At/Above Average")</f>
        <v>At/Above Average</v>
      </c>
    </row>
    <row r="495" spans="4:17" x14ac:dyDescent="0.2">
      <c r="D495" t="s">
        <v>585</v>
      </c>
      <c r="E495" t="s">
        <v>75</v>
      </c>
      <c r="F495" t="s">
        <v>96</v>
      </c>
      <c r="G495">
        <v>218</v>
      </c>
      <c r="H495">
        <v>1</v>
      </c>
      <c r="I495">
        <v>49.52</v>
      </c>
      <c r="J495">
        <v>3</v>
      </c>
      <c r="K495" s="37">
        <v>44752</v>
      </c>
      <c r="L495" t="s">
        <v>109</v>
      </c>
      <c r="M495">
        <v>96.66</v>
      </c>
      <c r="N495">
        <v>14</v>
      </c>
      <c r="O495" t="str">
        <f>"Q"&amp;ROUNDUP(MONTH(Transactions[[#This Row],[Transaction Date]])/3,0)</f>
        <v>Q3</v>
      </c>
      <c r="P495">
        <f>YEAR(Transactions[[#This Row],[Transaction Date]])</f>
        <v>2022</v>
      </c>
      <c r="Q495" t="str">
        <f>IF(Transactions[[#This Row],[Sales Amount]]&lt;AVERAGE(Transactions[Sales Amount]),"Below Average","At/Above Average")</f>
        <v>Below Average</v>
      </c>
    </row>
    <row r="496" spans="4:17" x14ac:dyDescent="0.2">
      <c r="D496" t="s">
        <v>586</v>
      </c>
      <c r="E496" t="s">
        <v>78</v>
      </c>
      <c r="F496" t="s">
        <v>99</v>
      </c>
      <c r="G496">
        <v>263</v>
      </c>
      <c r="H496">
        <v>7</v>
      </c>
      <c r="I496">
        <v>51.64</v>
      </c>
      <c r="J496">
        <v>4</v>
      </c>
      <c r="K496" s="37">
        <v>45436</v>
      </c>
      <c r="L496" t="s">
        <v>102</v>
      </c>
      <c r="M496">
        <v>37.61</v>
      </c>
      <c r="N496">
        <v>14</v>
      </c>
      <c r="O496" t="str">
        <f>"Q"&amp;ROUNDUP(MONTH(Transactions[[#This Row],[Transaction Date]])/3,0)</f>
        <v>Q2</v>
      </c>
      <c r="P496">
        <f>YEAR(Transactions[[#This Row],[Transaction Date]])</f>
        <v>2024</v>
      </c>
      <c r="Q496" t="str">
        <f>IF(Transactions[[#This Row],[Sales Amount]]&lt;AVERAGE(Transactions[Sales Amount]),"Below Average","At/Above Average")</f>
        <v>Below Average</v>
      </c>
    </row>
    <row r="497" spans="4:17" x14ac:dyDescent="0.2">
      <c r="D497" t="s">
        <v>587</v>
      </c>
      <c r="E497" t="s">
        <v>74</v>
      </c>
      <c r="F497" t="s">
        <v>91</v>
      </c>
      <c r="G497">
        <v>180</v>
      </c>
      <c r="H497">
        <v>4</v>
      </c>
      <c r="I497">
        <v>46.77</v>
      </c>
      <c r="J497">
        <v>4</v>
      </c>
      <c r="K497" s="37">
        <v>45183</v>
      </c>
      <c r="L497" t="s">
        <v>97</v>
      </c>
      <c r="M497">
        <v>331.29</v>
      </c>
      <c r="N497">
        <v>36</v>
      </c>
      <c r="O497" t="str">
        <f>"Q"&amp;ROUNDUP(MONTH(Transactions[[#This Row],[Transaction Date]])/3,0)</f>
        <v>Q3</v>
      </c>
      <c r="P497">
        <f>YEAR(Transactions[[#This Row],[Transaction Date]])</f>
        <v>2023</v>
      </c>
      <c r="Q497" t="str">
        <f>IF(Transactions[[#This Row],[Sales Amount]]&lt;AVERAGE(Transactions[Sales Amount]),"Below Average","At/Above Average")</f>
        <v>At/Above Average</v>
      </c>
    </row>
    <row r="498" spans="4:17" x14ac:dyDescent="0.2">
      <c r="D498" t="s">
        <v>588</v>
      </c>
      <c r="E498" t="s">
        <v>74</v>
      </c>
      <c r="F498" t="s">
        <v>94</v>
      </c>
      <c r="G498">
        <v>130</v>
      </c>
      <c r="H498">
        <v>8</v>
      </c>
      <c r="I498">
        <v>54.51</v>
      </c>
      <c r="J498">
        <v>4</v>
      </c>
      <c r="K498" s="37">
        <v>45172</v>
      </c>
      <c r="L498" t="s">
        <v>124</v>
      </c>
      <c r="M498">
        <v>234.67</v>
      </c>
      <c r="N498">
        <v>45</v>
      </c>
      <c r="O498" t="str">
        <f>"Q"&amp;ROUNDUP(MONTH(Transactions[[#This Row],[Transaction Date]])/3,0)</f>
        <v>Q3</v>
      </c>
      <c r="P498">
        <f>YEAR(Transactions[[#This Row],[Transaction Date]])</f>
        <v>2023</v>
      </c>
      <c r="Q498" t="str">
        <f>IF(Transactions[[#This Row],[Sales Amount]]&lt;AVERAGE(Transactions[Sales Amount]),"Below Average","At/Above Average")</f>
        <v>Below Average</v>
      </c>
    </row>
    <row r="499" spans="4:17" x14ac:dyDescent="0.2">
      <c r="D499" t="s">
        <v>589</v>
      </c>
      <c r="E499" t="s">
        <v>75</v>
      </c>
      <c r="F499" t="s">
        <v>88</v>
      </c>
      <c r="G499">
        <v>278</v>
      </c>
      <c r="H499">
        <v>2</v>
      </c>
      <c r="I499">
        <v>50.63</v>
      </c>
      <c r="J499">
        <v>3</v>
      </c>
      <c r="K499" s="37">
        <v>44696</v>
      </c>
      <c r="L499" t="s">
        <v>124</v>
      </c>
      <c r="M499">
        <v>369.81</v>
      </c>
      <c r="N499">
        <v>27</v>
      </c>
      <c r="O499" t="str">
        <f>"Q"&amp;ROUNDUP(MONTH(Transactions[[#This Row],[Transaction Date]])/3,0)</f>
        <v>Q2</v>
      </c>
      <c r="P499">
        <f>YEAR(Transactions[[#This Row],[Transaction Date]])</f>
        <v>2022</v>
      </c>
      <c r="Q499" t="str">
        <f>IF(Transactions[[#This Row],[Sales Amount]]&lt;AVERAGE(Transactions[Sales Amount]),"Below Average","At/Above Average")</f>
        <v>At/Above Average</v>
      </c>
    </row>
    <row r="500" spans="4:17" x14ac:dyDescent="0.2">
      <c r="D500" t="s">
        <v>590</v>
      </c>
      <c r="E500" t="s">
        <v>77</v>
      </c>
      <c r="F500" t="s">
        <v>108</v>
      </c>
      <c r="G500">
        <v>231</v>
      </c>
      <c r="H500">
        <v>1</v>
      </c>
      <c r="I500">
        <v>50.14</v>
      </c>
      <c r="J500">
        <v>2</v>
      </c>
      <c r="K500" s="37">
        <v>45424</v>
      </c>
      <c r="L500" t="s">
        <v>124</v>
      </c>
      <c r="M500">
        <v>420.9</v>
      </c>
      <c r="N500">
        <v>31</v>
      </c>
      <c r="O500" t="str">
        <f>"Q"&amp;ROUNDUP(MONTH(Transactions[[#This Row],[Transaction Date]])/3,0)</f>
        <v>Q2</v>
      </c>
      <c r="P500">
        <f>YEAR(Transactions[[#This Row],[Transaction Date]])</f>
        <v>2024</v>
      </c>
      <c r="Q500" t="str">
        <f>IF(Transactions[[#This Row],[Sales Amount]]&lt;AVERAGE(Transactions[Sales Amount]),"Below Average","At/Above Average")</f>
        <v>At/Above Average</v>
      </c>
    </row>
    <row r="501" spans="4:17" x14ac:dyDescent="0.2">
      <c r="D501" t="s">
        <v>591</v>
      </c>
      <c r="E501" t="s">
        <v>76</v>
      </c>
      <c r="F501" t="s">
        <v>91</v>
      </c>
      <c r="G501">
        <v>134</v>
      </c>
      <c r="H501">
        <v>4</v>
      </c>
      <c r="I501">
        <v>50.1</v>
      </c>
      <c r="J501">
        <v>1</v>
      </c>
      <c r="K501" s="37">
        <v>44947</v>
      </c>
      <c r="L501" t="s">
        <v>92</v>
      </c>
      <c r="M501">
        <v>126.3</v>
      </c>
      <c r="N501">
        <v>39</v>
      </c>
      <c r="O501" t="str">
        <f>"Q"&amp;ROUNDUP(MONTH(Transactions[[#This Row],[Transaction Date]])/3,0)</f>
        <v>Q1</v>
      </c>
      <c r="P501">
        <f>YEAR(Transactions[[#This Row],[Transaction Date]])</f>
        <v>2023</v>
      </c>
      <c r="Q501" t="str">
        <f>IF(Transactions[[#This Row],[Sales Amount]]&lt;AVERAGE(Transactions[Sales Amount]),"Below Average","At/Above Average")</f>
        <v>Below Average</v>
      </c>
    </row>
    <row r="502" spans="4:17" x14ac:dyDescent="0.2">
      <c r="D502" t="s">
        <v>592</v>
      </c>
      <c r="E502" t="s">
        <v>75</v>
      </c>
      <c r="F502" t="s">
        <v>99</v>
      </c>
      <c r="G502">
        <v>135</v>
      </c>
      <c r="H502">
        <v>9</v>
      </c>
      <c r="I502">
        <v>54.76</v>
      </c>
      <c r="J502">
        <v>7</v>
      </c>
      <c r="K502" s="37">
        <v>44709</v>
      </c>
      <c r="L502" t="s">
        <v>92</v>
      </c>
      <c r="M502">
        <v>178.78</v>
      </c>
      <c r="N502">
        <v>6</v>
      </c>
      <c r="O502" t="str">
        <f>"Q"&amp;ROUNDUP(MONTH(Transactions[[#This Row],[Transaction Date]])/3,0)</f>
        <v>Q2</v>
      </c>
      <c r="P502">
        <f>YEAR(Transactions[[#This Row],[Transaction Date]])</f>
        <v>2022</v>
      </c>
      <c r="Q502" t="str">
        <f>IF(Transactions[[#This Row],[Sales Amount]]&lt;AVERAGE(Transactions[Sales Amount]),"Below Average","At/Above Average")</f>
        <v>Below Average</v>
      </c>
    </row>
    <row r="503" spans="4:17" x14ac:dyDescent="0.2">
      <c r="D503" t="s">
        <v>593</v>
      </c>
      <c r="E503" t="s">
        <v>78</v>
      </c>
      <c r="F503" t="s">
        <v>96</v>
      </c>
      <c r="G503">
        <v>187</v>
      </c>
      <c r="H503">
        <v>9</v>
      </c>
      <c r="I503">
        <v>47.84</v>
      </c>
      <c r="J503">
        <v>10</v>
      </c>
      <c r="K503" s="37">
        <v>44709</v>
      </c>
      <c r="L503" t="s">
        <v>89</v>
      </c>
      <c r="M503">
        <v>274.64</v>
      </c>
      <c r="N503">
        <v>49</v>
      </c>
      <c r="O503" t="str">
        <f>"Q"&amp;ROUNDUP(MONTH(Transactions[[#This Row],[Transaction Date]])/3,0)</f>
        <v>Q2</v>
      </c>
      <c r="P503">
        <f>YEAR(Transactions[[#This Row],[Transaction Date]])</f>
        <v>2022</v>
      </c>
      <c r="Q503" t="str">
        <f>IF(Transactions[[#This Row],[Sales Amount]]&lt;AVERAGE(Transactions[Sales Amount]),"Below Average","At/Above Average")</f>
        <v>At/Above Average</v>
      </c>
    </row>
    <row r="504" spans="4:17" x14ac:dyDescent="0.2">
      <c r="D504" t="s">
        <v>594</v>
      </c>
      <c r="E504" t="s">
        <v>75</v>
      </c>
      <c r="F504" t="s">
        <v>88</v>
      </c>
      <c r="G504">
        <v>279</v>
      </c>
      <c r="H504">
        <v>2</v>
      </c>
      <c r="I504">
        <v>50.59</v>
      </c>
      <c r="J504">
        <v>4</v>
      </c>
      <c r="K504" s="37">
        <v>44873</v>
      </c>
      <c r="L504" t="s">
        <v>102</v>
      </c>
      <c r="M504">
        <v>154.78</v>
      </c>
      <c r="N504">
        <v>30</v>
      </c>
      <c r="O504" t="str">
        <f>"Q"&amp;ROUNDUP(MONTH(Transactions[[#This Row],[Transaction Date]])/3,0)</f>
        <v>Q4</v>
      </c>
      <c r="P504">
        <f>YEAR(Transactions[[#This Row],[Transaction Date]])</f>
        <v>2022</v>
      </c>
      <c r="Q504" t="str">
        <f>IF(Transactions[[#This Row],[Sales Amount]]&lt;AVERAGE(Transactions[Sales Amount]),"Below Average","At/Above Average")</f>
        <v>Below Average</v>
      </c>
    </row>
    <row r="505" spans="4:17" x14ac:dyDescent="0.2">
      <c r="D505" t="s">
        <v>595</v>
      </c>
      <c r="E505" t="s">
        <v>87</v>
      </c>
      <c r="F505" t="s">
        <v>129</v>
      </c>
      <c r="G505">
        <v>204</v>
      </c>
      <c r="H505">
        <v>2</v>
      </c>
      <c r="I505">
        <v>55.34</v>
      </c>
      <c r="J505">
        <v>1</v>
      </c>
      <c r="K505" s="37">
        <v>44945</v>
      </c>
      <c r="L505" t="s">
        <v>89</v>
      </c>
      <c r="M505">
        <v>180.15</v>
      </c>
      <c r="N505">
        <v>16</v>
      </c>
      <c r="O505" t="str">
        <f>"Q"&amp;ROUNDUP(MONTH(Transactions[[#This Row],[Transaction Date]])/3,0)</f>
        <v>Q1</v>
      </c>
      <c r="P505">
        <f>YEAR(Transactions[[#This Row],[Transaction Date]])</f>
        <v>2023</v>
      </c>
      <c r="Q505" t="str">
        <f>IF(Transactions[[#This Row],[Sales Amount]]&lt;AVERAGE(Transactions[Sales Amount]),"Below Average","At/Above Average")</f>
        <v>Below Average</v>
      </c>
    </row>
    <row r="506" spans="4:17" x14ac:dyDescent="0.2">
      <c r="D506" t="s">
        <v>596</v>
      </c>
      <c r="E506" t="s">
        <v>87</v>
      </c>
      <c r="F506" t="s">
        <v>88</v>
      </c>
      <c r="G506">
        <v>203</v>
      </c>
      <c r="H506">
        <v>6</v>
      </c>
      <c r="I506">
        <v>52.42</v>
      </c>
      <c r="J506">
        <v>3</v>
      </c>
      <c r="K506" s="37">
        <v>44611</v>
      </c>
      <c r="L506" t="s">
        <v>124</v>
      </c>
      <c r="M506">
        <v>192.42</v>
      </c>
      <c r="N506">
        <v>30</v>
      </c>
      <c r="O506" t="str">
        <f>"Q"&amp;ROUNDUP(MONTH(Transactions[[#This Row],[Transaction Date]])/3,0)</f>
        <v>Q1</v>
      </c>
      <c r="P506">
        <f>YEAR(Transactions[[#This Row],[Transaction Date]])</f>
        <v>2022</v>
      </c>
      <c r="Q506" t="str">
        <f>IF(Transactions[[#This Row],[Sales Amount]]&lt;AVERAGE(Transactions[Sales Amount]),"Below Average","At/Above Average")</f>
        <v>Below Average</v>
      </c>
    </row>
    <row r="507" spans="4:17" x14ac:dyDescent="0.2">
      <c r="D507" t="s">
        <v>597</v>
      </c>
      <c r="E507" t="s">
        <v>77</v>
      </c>
      <c r="F507" t="s">
        <v>94</v>
      </c>
      <c r="G507">
        <v>214</v>
      </c>
      <c r="H507">
        <v>6</v>
      </c>
      <c r="I507">
        <v>59.67</v>
      </c>
      <c r="J507">
        <v>10</v>
      </c>
      <c r="K507" s="37">
        <v>45619</v>
      </c>
      <c r="L507" t="s">
        <v>102</v>
      </c>
      <c r="M507">
        <v>29.49</v>
      </c>
      <c r="N507">
        <v>33</v>
      </c>
      <c r="O507" t="str">
        <f>"Q"&amp;ROUNDUP(MONTH(Transactions[[#This Row],[Transaction Date]])/3,0)</f>
        <v>Q4</v>
      </c>
      <c r="P507">
        <f>YEAR(Transactions[[#This Row],[Transaction Date]])</f>
        <v>2024</v>
      </c>
      <c r="Q507" t="str">
        <f>IF(Transactions[[#This Row],[Sales Amount]]&lt;AVERAGE(Transactions[Sales Amount]),"Below Average","At/Above Average")</f>
        <v>Below Average</v>
      </c>
    </row>
    <row r="508" spans="4:17" x14ac:dyDescent="0.2">
      <c r="D508" t="s">
        <v>598</v>
      </c>
      <c r="E508" t="s">
        <v>75</v>
      </c>
      <c r="F508" t="s">
        <v>99</v>
      </c>
      <c r="G508">
        <v>229</v>
      </c>
      <c r="H508">
        <v>2</v>
      </c>
      <c r="I508">
        <v>58.47</v>
      </c>
      <c r="J508">
        <v>7</v>
      </c>
      <c r="K508" s="37">
        <v>44613</v>
      </c>
      <c r="L508" t="s">
        <v>102</v>
      </c>
      <c r="M508">
        <v>187.38</v>
      </c>
      <c r="N508">
        <v>25</v>
      </c>
      <c r="O508" t="str">
        <f>"Q"&amp;ROUNDUP(MONTH(Transactions[[#This Row],[Transaction Date]])/3,0)</f>
        <v>Q1</v>
      </c>
      <c r="P508">
        <f>YEAR(Transactions[[#This Row],[Transaction Date]])</f>
        <v>2022</v>
      </c>
      <c r="Q508" t="str">
        <f>IF(Transactions[[#This Row],[Sales Amount]]&lt;AVERAGE(Transactions[Sales Amount]),"Below Average","At/Above Average")</f>
        <v>Below Average</v>
      </c>
    </row>
    <row r="509" spans="4:17" x14ac:dyDescent="0.2">
      <c r="D509" t="s">
        <v>599</v>
      </c>
      <c r="E509" t="s">
        <v>74</v>
      </c>
      <c r="F509" t="s">
        <v>99</v>
      </c>
      <c r="G509">
        <v>111</v>
      </c>
      <c r="H509">
        <v>4</v>
      </c>
      <c r="I509">
        <v>52.15</v>
      </c>
      <c r="J509">
        <v>4</v>
      </c>
      <c r="K509" s="37">
        <v>44826</v>
      </c>
      <c r="L509" t="s">
        <v>97</v>
      </c>
      <c r="M509">
        <v>74.22</v>
      </c>
      <c r="N509">
        <v>9</v>
      </c>
      <c r="O509" t="str">
        <f>"Q"&amp;ROUNDUP(MONTH(Transactions[[#This Row],[Transaction Date]])/3,0)</f>
        <v>Q3</v>
      </c>
      <c r="P509">
        <f>YEAR(Transactions[[#This Row],[Transaction Date]])</f>
        <v>2022</v>
      </c>
      <c r="Q509" t="str">
        <f>IF(Transactions[[#This Row],[Sales Amount]]&lt;AVERAGE(Transactions[Sales Amount]),"Below Average","At/Above Average")</f>
        <v>Below Average</v>
      </c>
    </row>
    <row r="510" spans="4:17" x14ac:dyDescent="0.2">
      <c r="D510" t="s">
        <v>600</v>
      </c>
      <c r="E510" t="s">
        <v>77</v>
      </c>
      <c r="F510" t="s">
        <v>94</v>
      </c>
      <c r="G510">
        <v>141</v>
      </c>
      <c r="H510">
        <v>2</v>
      </c>
      <c r="I510">
        <v>51</v>
      </c>
      <c r="J510">
        <v>4</v>
      </c>
      <c r="K510" s="37">
        <v>44855</v>
      </c>
      <c r="L510" t="s">
        <v>124</v>
      </c>
      <c r="M510">
        <v>443.79</v>
      </c>
      <c r="N510">
        <v>16</v>
      </c>
      <c r="O510" t="str">
        <f>"Q"&amp;ROUNDUP(MONTH(Transactions[[#This Row],[Transaction Date]])/3,0)</f>
        <v>Q4</v>
      </c>
      <c r="P510">
        <f>YEAR(Transactions[[#This Row],[Transaction Date]])</f>
        <v>2022</v>
      </c>
      <c r="Q510" t="str">
        <f>IF(Transactions[[#This Row],[Sales Amount]]&lt;AVERAGE(Transactions[Sales Amount]),"Below Average","At/Above Average")</f>
        <v>At/Above Average</v>
      </c>
    </row>
    <row r="511" spans="4:17" x14ac:dyDescent="0.2">
      <c r="D511" t="s">
        <v>601</v>
      </c>
      <c r="E511" t="s">
        <v>75</v>
      </c>
      <c r="F511" t="s">
        <v>91</v>
      </c>
      <c r="G511">
        <v>255</v>
      </c>
      <c r="H511">
        <v>5</v>
      </c>
      <c r="I511">
        <v>50.68</v>
      </c>
      <c r="J511">
        <v>1</v>
      </c>
      <c r="K511" s="37">
        <v>44658</v>
      </c>
      <c r="L511" t="s">
        <v>124</v>
      </c>
      <c r="M511">
        <v>337.8</v>
      </c>
      <c r="N511">
        <v>15</v>
      </c>
      <c r="O511" t="str">
        <f>"Q"&amp;ROUNDUP(MONTH(Transactions[[#This Row],[Transaction Date]])/3,0)</f>
        <v>Q2</v>
      </c>
      <c r="P511">
        <f>YEAR(Transactions[[#This Row],[Transaction Date]])</f>
        <v>2022</v>
      </c>
      <c r="Q511" t="str">
        <f>IF(Transactions[[#This Row],[Sales Amount]]&lt;AVERAGE(Transactions[Sales Amount]),"Below Average","At/Above Average")</f>
        <v>At/Above Average</v>
      </c>
    </row>
    <row r="512" spans="4:17" x14ac:dyDescent="0.2">
      <c r="D512" t="s">
        <v>602</v>
      </c>
      <c r="E512" t="s">
        <v>74</v>
      </c>
      <c r="F512" t="s">
        <v>91</v>
      </c>
      <c r="G512">
        <v>205</v>
      </c>
      <c r="H512">
        <v>4</v>
      </c>
      <c r="I512">
        <v>45.91</v>
      </c>
      <c r="J512">
        <v>2</v>
      </c>
      <c r="K512" s="37">
        <v>45383</v>
      </c>
      <c r="L512" t="s">
        <v>92</v>
      </c>
      <c r="M512">
        <v>148.44999999999999</v>
      </c>
      <c r="N512">
        <v>17</v>
      </c>
      <c r="O512" t="str">
        <f>"Q"&amp;ROUNDUP(MONTH(Transactions[[#This Row],[Transaction Date]])/3,0)</f>
        <v>Q2</v>
      </c>
      <c r="P512">
        <f>YEAR(Transactions[[#This Row],[Transaction Date]])</f>
        <v>2024</v>
      </c>
      <c r="Q512" t="str">
        <f>IF(Transactions[[#This Row],[Sales Amount]]&lt;AVERAGE(Transactions[Sales Amount]),"Below Average","At/Above Average")</f>
        <v>Below Average</v>
      </c>
    </row>
    <row r="513" spans="4:17" x14ac:dyDescent="0.2">
      <c r="D513" t="s">
        <v>603</v>
      </c>
      <c r="E513" t="s">
        <v>76</v>
      </c>
      <c r="F513" t="s">
        <v>99</v>
      </c>
      <c r="G513">
        <v>147</v>
      </c>
      <c r="H513">
        <v>4</v>
      </c>
      <c r="I513">
        <v>58.36</v>
      </c>
      <c r="J513">
        <v>1</v>
      </c>
      <c r="K513" s="37">
        <v>45633</v>
      </c>
      <c r="L513" t="s">
        <v>89</v>
      </c>
      <c r="M513">
        <v>223.18</v>
      </c>
      <c r="N513">
        <v>28</v>
      </c>
      <c r="O513" t="str">
        <f>"Q"&amp;ROUNDUP(MONTH(Transactions[[#This Row],[Transaction Date]])/3,0)</f>
        <v>Q4</v>
      </c>
      <c r="P513">
        <f>YEAR(Transactions[[#This Row],[Transaction Date]])</f>
        <v>2024</v>
      </c>
      <c r="Q513" t="str">
        <f>IF(Transactions[[#This Row],[Sales Amount]]&lt;AVERAGE(Transactions[Sales Amount]),"Below Average","At/Above Average")</f>
        <v>Below Average</v>
      </c>
    </row>
    <row r="514" spans="4:17" x14ac:dyDescent="0.2">
      <c r="D514" t="s">
        <v>604</v>
      </c>
      <c r="E514" t="s">
        <v>87</v>
      </c>
      <c r="F514" t="s">
        <v>96</v>
      </c>
      <c r="G514">
        <v>225</v>
      </c>
      <c r="H514">
        <v>10</v>
      </c>
      <c r="I514">
        <v>59.01</v>
      </c>
      <c r="J514">
        <v>8</v>
      </c>
      <c r="K514" s="37">
        <v>45401</v>
      </c>
      <c r="L514" t="s">
        <v>102</v>
      </c>
      <c r="M514">
        <v>321.33</v>
      </c>
      <c r="N514">
        <v>32</v>
      </c>
      <c r="O514" t="str">
        <f>"Q"&amp;ROUNDUP(MONTH(Transactions[[#This Row],[Transaction Date]])/3,0)</f>
        <v>Q2</v>
      </c>
      <c r="P514">
        <f>YEAR(Transactions[[#This Row],[Transaction Date]])</f>
        <v>2024</v>
      </c>
      <c r="Q514" t="str">
        <f>IF(Transactions[[#This Row],[Sales Amount]]&lt;AVERAGE(Transactions[Sales Amount]),"Below Average","At/Above Average")</f>
        <v>At/Above Average</v>
      </c>
    </row>
    <row r="515" spans="4:17" x14ac:dyDescent="0.2">
      <c r="D515" t="s">
        <v>605</v>
      </c>
      <c r="E515" t="s">
        <v>74</v>
      </c>
      <c r="F515" t="s">
        <v>88</v>
      </c>
      <c r="G515">
        <v>147</v>
      </c>
      <c r="H515">
        <v>7</v>
      </c>
      <c r="I515">
        <v>56.15</v>
      </c>
      <c r="J515">
        <v>5</v>
      </c>
      <c r="K515" s="37">
        <v>44572</v>
      </c>
      <c r="L515" t="s">
        <v>97</v>
      </c>
      <c r="M515">
        <v>370.19</v>
      </c>
      <c r="N515">
        <v>1</v>
      </c>
      <c r="O515" t="str">
        <f>"Q"&amp;ROUNDUP(MONTH(Transactions[[#This Row],[Transaction Date]])/3,0)</f>
        <v>Q1</v>
      </c>
      <c r="P515">
        <f>YEAR(Transactions[[#This Row],[Transaction Date]])</f>
        <v>2022</v>
      </c>
      <c r="Q515" t="str">
        <f>IF(Transactions[[#This Row],[Sales Amount]]&lt;AVERAGE(Transactions[Sales Amount]),"Below Average","At/Above Average")</f>
        <v>At/Above Average</v>
      </c>
    </row>
    <row r="516" spans="4:17" x14ac:dyDescent="0.2">
      <c r="D516" t="s">
        <v>606</v>
      </c>
      <c r="E516" t="s">
        <v>77</v>
      </c>
      <c r="F516" t="s">
        <v>99</v>
      </c>
      <c r="G516">
        <v>185</v>
      </c>
      <c r="H516">
        <v>10</v>
      </c>
      <c r="I516">
        <v>51.92</v>
      </c>
      <c r="J516">
        <v>3</v>
      </c>
      <c r="K516" s="37">
        <v>45153</v>
      </c>
      <c r="L516" t="s">
        <v>89</v>
      </c>
      <c r="M516">
        <v>269.43</v>
      </c>
      <c r="N516">
        <v>5</v>
      </c>
      <c r="O516" t="str">
        <f>"Q"&amp;ROUNDUP(MONTH(Transactions[[#This Row],[Transaction Date]])/3,0)</f>
        <v>Q3</v>
      </c>
      <c r="P516">
        <f>YEAR(Transactions[[#This Row],[Transaction Date]])</f>
        <v>2023</v>
      </c>
      <c r="Q516" t="str">
        <f>IF(Transactions[[#This Row],[Sales Amount]]&lt;AVERAGE(Transactions[Sales Amount]),"Below Average","At/Above Average")</f>
        <v>At/Above Average</v>
      </c>
    </row>
    <row r="517" spans="4:17" x14ac:dyDescent="0.2">
      <c r="D517" t="s">
        <v>607</v>
      </c>
      <c r="E517" t="s">
        <v>76</v>
      </c>
      <c r="F517" t="s">
        <v>105</v>
      </c>
      <c r="G517">
        <v>185</v>
      </c>
      <c r="H517">
        <v>4</v>
      </c>
      <c r="I517">
        <v>54.12</v>
      </c>
      <c r="J517">
        <v>5</v>
      </c>
      <c r="K517" s="37">
        <v>45017</v>
      </c>
      <c r="L517" t="s">
        <v>92</v>
      </c>
      <c r="M517">
        <v>270.08</v>
      </c>
      <c r="N517">
        <v>12</v>
      </c>
      <c r="O517" t="str">
        <f>"Q"&amp;ROUNDUP(MONTH(Transactions[[#This Row],[Transaction Date]])/3,0)</f>
        <v>Q2</v>
      </c>
      <c r="P517">
        <f>YEAR(Transactions[[#This Row],[Transaction Date]])</f>
        <v>2023</v>
      </c>
      <c r="Q517" t="str">
        <f>IF(Transactions[[#This Row],[Sales Amount]]&lt;AVERAGE(Transactions[Sales Amount]),"Below Average","At/Above Average")</f>
        <v>At/Above Average</v>
      </c>
    </row>
    <row r="518" spans="4:17" x14ac:dyDescent="0.2">
      <c r="D518" t="s">
        <v>608</v>
      </c>
      <c r="E518" t="s">
        <v>76</v>
      </c>
      <c r="F518" t="s">
        <v>108</v>
      </c>
      <c r="G518">
        <v>271</v>
      </c>
      <c r="H518">
        <v>3</v>
      </c>
      <c r="I518">
        <v>47.74</v>
      </c>
      <c r="J518">
        <v>10</v>
      </c>
      <c r="K518" s="37">
        <v>45347</v>
      </c>
      <c r="L518" t="s">
        <v>102</v>
      </c>
      <c r="M518">
        <v>245.05</v>
      </c>
      <c r="N518">
        <v>43</v>
      </c>
      <c r="O518" t="str">
        <f>"Q"&amp;ROUNDUP(MONTH(Transactions[[#This Row],[Transaction Date]])/3,0)</f>
        <v>Q1</v>
      </c>
      <c r="P518">
        <f>YEAR(Transactions[[#This Row],[Transaction Date]])</f>
        <v>2024</v>
      </c>
      <c r="Q518" t="str">
        <f>IF(Transactions[[#This Row],[Sales Amount]]&lt;AVERAGE(Transactions[Sales Amount]),"Below Average","At/Above Average")</f>
        <v>Below Average</v>
      </c>
    </row>
    <row r="519" spans="4:17" x14ac:dyDescent="0.2">
      <c r="D519" t="s">
        <v>609</v>
      </c>
      <c r="E519" t="s">
        <v>78</v>
      </c>
      <c r="F519" t="s">
        <v>91</v>
      </c>
      <c r="G519">
        <v>147</v>
      </c>
      <c r="H519">
        <v>4</v>
      </c>
      <c r="I519">
        <v>49.02</v>
      </c>
      <c r="J519">
        <v>2</v>
      </c>
      <c r="K519" s="37">
        <v>45529</v>
      </c>
      <c r="L519" t="s">
        <v>102</v>
      </c>
      <c r="M519">
        <v>265.93</v>
      </c>
      <c r="N519">
        <v>23</v>
      </c>
      <c r="O519" t="str">
        <f>"Q"&amp;ROUNDUP(MONTH(Transactions[[#This Row],[Transaction Date]])/3,0)</f>
        <v>Q3</v>
      </c>
      <c r="P519">
        <f>YEAR(Transactions[[#This Row],[Transaction Date]])</f>
        <v>2024</v>
      </c>
      <c r="Q519" t="str">
        <f>IF(Transactions[[#This Row],[Sales Amount]]&lt;AVERAGE(Transactions[Sales Amount]),"Below Average","At/Above Average")</f>
        <v>At/Above Average</v>
      </c>
    </row>
    <row r="520" spans="4:17" x14ac:dyDescent="0.2">
      <c r="D520" t="s">
        <v>610</v>
      </c>
      <c r="E520" t="s">
        <v>87</v>
      </c>
      <c r="F520" t="s">
        <v>88</v>
      </c>
      <c r="G520">
        <v>294</v>
      </c>
      <c r="H520">
        <v>10</v>
      </c>
      <c r="I520">
        <v>49.17</v>
      </c>
      <c r="J520">
        <v>9</v>
      </c>
      <c r="K520" s="37">
        <v>45070</v>
      </c>
      <c r="L520" t="s">
        <v>89</v>
      </c>
      <c r="M520">
        <v>192.64</v>
      </c>
      <c r="N520">
        <v>50</v>
      </c>
      <c r="O520" t="str">
        <f>"Q"&amp;ROUNDUP(MONTH(Transactions[[#This Row],[Transaction Date]])/3,0)</f>
        <v>Q2</v>
      </c>
      <c r="P520">
        <f>YEAR(Transactions[[#This Row],[Transaction Date]])</f>
        <v>2023</v>
      </c>
      <c r="Q520" t="str">
        <f>IF(Transactions[[#This Row],[Sales Amount]]&lt;AVERAGE(Transactions[Sales Amount]),"Below Average","At/Above Average")</f>
        <v>Below Average</v>
      </c>
    </row>
    <row r="521" spans="4:17" x14ac:dyDescent="0.2">
      <c r="D521" t="s">
        <v>611</v>
      </c>
      <c r="E521" t="s">
        <v>87</v>
      </c>
      <c r="F521" t="s">
        <v>94</v>
      </c>
      <c r="G521">
        <v>262</v>
      </c>
      <c r="H521">
        <v>4</v>
      </c>
      <c r="I521">
        <v>45.35</v>
      </c>
      <c r="J521">
        <v>6</v>
      </c>
      <c r="K521" s="37">
        <v>44649</v>
      </c>
      <c r="L521" t="s">
        <v>109</v>
      </c>
      <c r="M521">
        <v>110.71</v>
      </c>
      <c r="N521">
        <v>16</v>
      </c>
      <c r="O521" t="str">
        <f>"Q"&amp;ROUNDUP(MONTH(Transactions[[#This Row],[Transaction Date]])/3,0)</f>
        <v>Q1</v>
      </c>
      <c r="P521">
        <f>YEAR(Transactions[[#This Row],[Transaction Date]])</f>
        <v>2022</v>
      </c>
      <c r="Q521" t="str">
        <f>IF(Transactions[[#This Row],[Sales Amount]]&lt;AVERAGE(Transactions[Sales Amount]),"Below Average","At/Above Average")</f>
        <v>Below Average</v>
      </c>
    </row>
    <row r="522" spans="4:17" x14ac:dyDescent="0.2">
      <c r="D522" t="s">
        <v>612</v>
      </c>
      <c r="E522" t="s">
        <v>87</v>
      </c>
      <c r="F522" t="s">
        <v>105</v>
      </c>
      <c r="G522">
        <v>131</v>
      </c>
      <c r="H522">
        <v>3</v>
      </c>
      <c r="I522">
        <v>48.49</v>
      </c>
      <c r="J522">
        <v>5</v>
      </c>
      <c r="K522" s="37">
        <v>45270</v>
      </c>
      <c r="L522" t="s">
        <v>102</v>
      </c>
      <c r="M522">
        <v>424.11</v>
      </c>
      <c r="N522">
        <v>39</v>
      </c>
      <c r="O522" t="str">
        <f>"Q"&amp;ROUNDUP(MONTH(Transactions[[#This Row],[Transaction Date]])/3,0)</f>
        <v>Q4</v>
      </c>
      <c r="P522">
        <f>YEAR(Transactions[[#This Row],[Transaction Date]])</f>
        <v>2023</v>
      </c>
      <c r="Q522" t="str">
        <f>IF(Transactions[[#This Row],[Sales Amount]]&lt;AVERAGE(Transactions[Sales Amount]),"Below Average","At/Above Average")</f>
        <v>At/Above Average</v>
      </c>
    </row>
    <row r="523" spans="4:17" x14ac:dyDescent="0.2">
      <c r="D523" t="s">
        <v>613</v>
      </c>
      <c r="E523" t="s">
        <v>77</v>
      </c>
      <c r="F523" t="s">
        <v>94</v>
      </c>
      <c r="G523">
        <v>244</v>
      </c>
      <c r="H523">
        <v>2</v>
      </c>
      <c r="I523">
        <v>51.5</v>
      </c>
      <c r="J523">
        <v>1</v>
      </c>
      <c r="K523" s="37">
        <v>44667</v>
      </c>
      <c r="L523" t="s">
        <v>124</v>
      </c>
      <c r="M523">
        <v>290.42</v>
      </c>
      <c r="N523">
        <v>9</v>
      </c>
      <c r="O523" t="str">
        <f>"Q"&amp;ROUNDUP(MONTH(Transactions[[#This Row],[Transaction Date]])/3,0)</f>
        <v>Q2</v>
      </c>
      <c r="P523">
        <f>YEAR(Transactions[[#This Row],[Transaction Date]])</f>
        <v>2022</v>
      </c>
      <c r="Q523" t="str">
        <f>IF(Transactions[[#This Row],[Sales Amount]]&lt;AVERAGE(Transactions[Sales Amount]),"Below Average","At/Above Average")</f>
        <v>At/Above Average</v>
      </c>
    </row>
    <row r="524" spans="4:17" x14ac:dyDescent="0.2">
      <c r="D524" t="s">
        <v>614</v>
      </c>
      <c r="E524" t="s">
        <v>77</v>
      </c>
      <c r="F524" t="s">
        <v>91</v>
      </c>
      <c r="G524">
        <v>165</v>
      </c>
      <c r="H524">
        <v>9</v>
      </c>
      <c r="I524">
        <v>54.87</v>
      </c>
      <c r="J524">
        <v>8</v>
      </c>
      <c r="K524" s="37">
        <v>45212</v>
      </c>
      <c r="L524" t="s">
        <v>89</v>
      </c>
      <c r="M524">
        <v>462.53</v>
      </c>
      <c r="N524">
        <v>43</v>
      </c>
      <c r="O524" t="str">
        <f>"Q"&amp;ROUNDUP(MONTH(Transactions[[#This Row],[Transaction Date]])/3,0)</f>
        <v>Q4</v>
      </c>
      <c r="P524">
        <f>YEAR(Transactions[[#This Row],[Transaction Date]])</f>
        <v>2023</v>
      </c>
      <c r="Q524" t="str">
        <f>IF(Transactions[[#This Row],[Sales Amount]]&lt;AVERAGE(Transactions[Sales Amount]),"Below Average","At/Above Average")</f>
        <v>At/Above Average</v>
      </c>
    </row>
    <row r="525" spans="4:17" x14ac:dyDescent="0.2">
      <c r="D525" t="s">
        <v>615</v>
      </c>
      <c r="E525" t="s">
        <v>76</v>
      </c>
      <c r="F525" t="s">
        <v>129</v>
      </c>
      <c r="G525">
        <v>131</v>
      </c>
      <c r="H525">
        <v>6</v>
      </c>
      <c r="I525">
        <v>46.92</v>
      </c>
      <c r="J525">
        <v>10</v>
      </c>
      <c r="K525" s="37">
        <v>45383</v>
      </c>
      <c r="L525" t="s">
        <v>124</v>
      </c>
      <c r="M525">
        <v>98.54</v>
      </c>
      <c r="N525">
        <v>20</v>
      </c>
      <c r="O525" t="str">
        <f>"Q"&amp;ROUNDUP(MONTH(Transactions[[#This Row],[Transaction Date]])/3,0)</f>
        <v>Q2</v>
      </c>
      <c r="P525">
        <f>YEAR(Transactions[[#This Row],[Transaction Date]])</f>
        <v>2024</v>
      </c>
      <c r="Q525" t="str">
        <f>IF(Transactions[[#This Row],[Sales Amount]]&lt;AVERAGE(Transactions[Sales Amount]),"Below Average","At/Above Average")</f>
        <v>Below Average</v>
      </c>
    </row>
    <row r="526" spans="4:17" x14ac:dyDescent="0.2">
      <c r="D526" t="s">
        <v>616</v>
      </c>
      <c r="E526" t="s">
        <v>77</v>
      </c>
      <c r="F526" t="s">
        <v>99</v>
      </c>
      <c r="G526">
        <v>256</v>
      </c>
      <c r="H526">
        <v>5</v>
      </c>
      <c r="I526">
        <v>55.72</v>
      </c>
      <c r="J526">
        <v>1</v>
      </c>
      <c r="K526" s="37">
        <v>45303</v>
      </c>
      <c r="L526" t="s">
        <v>109</v>
      </c>
      <c r="M526">
        <v>343.92</v>
      </c>
      <c r="N526">
        <v>44</v>
      </c>
      <c r="O526" t="str">
        <f>"Q"&amp;ROUNDUP(MONTH(Transactions[[#This Row],[Transaction Date]])/3,0)</f>
        <v>Q1</v>
      </c>
      <c r="P526">
        <f>YEAR(Transactions[[#This Row],[Transaction Date]])</f>
        <v>2024</v>
      </c>
      <c r="Q526" t="str">
        <f>IF(Transactions[[#This Row],[Sales Amount]]&lt;AVERAGE(Transactions[Sales Amount]),"Below Average","At/Above Average")</f>
        <v>At/Above Average</v>
      </c>
    </row>
    <row r="527" spans="4:17" x14ac:dyDescent="0.2">
      <c r="D527" t="s">
        <v>617</v>
      </c>
      <c r="E527" t="s">
        <v>77</v>
      </c>
      <c r="F527" t="s">
        <v>88</v>
      </c>
      <c r="G527">
        <v>157</v>
      </c>
      <c r="H527">
        <v>7</v>
      </c>
      <c r="I527">
        <v>56.87</v>
      </c>
      <c r="J527">
        <v>5</v>
      </c>
      <c r="K527" s="37">
        <v>45376</v>
      </c>
      <c r="L527" t="s">
        <v>97</v>
      </c>
      <c r="M527">
        <v>10.78</v>
      </c>
      <c r="N527">
        <v>6</v>
      </c>
      <c r="O527" t="str">
        <f>"Q"&amp;ROUNDUP(MONTH(Transactions[[#This Row],[Transaction Date]])/3,0)</f>
        <v>Q1</v>
      </c>
      <c r="P527">
        <f>YEAR(Transactions[[#This Row],[Transaction Date]])</f>
        <v>2024</v>
      </c>
      <c r="Q527" t="str">
        <f>IF(Transactions[[#This Row],[Sales Amount]]&lt;AVERAGE(Transactions[Sales Amount]),"Below Average","At/Above Average")</f>
        <v>Below Average</v>
      </c>
    </row>
    <row r="528" spans="4:17" x14ac:dyDescent="0.2">
      <c r="D528" t="s">
        <v>618</v>
      </c>
      <c r="E528" t="s">
        <v>75</v>
      </c>
      <c r="F528" t="s">
        <v>99</v>
      </c>
      <c r="G528">
        <v>202</v>
      </c>
      <c r="H528">
        <v>2</v>
      </c>
      <c r="I528">
        <v>52.7</v>
      </c>
      <c r="J528">
        <v>10</v>
      </c>
      <c r="K528" s="37">
        <v>44877</v>
      </c>
      <c r="L528" t="s">
        <v>97</v>
      </c>
      <c r="M528">
        <v>196.4</v>
      </c>
      <c r="N528">
        <v>46</v>
      </c>
      <c r="O528" t="str">
        <f>"Q"&amp;ROUNDUP(MONTH(Transactions[[#This Row],[Transaction Date]])/3,0)</f>
        <v>Q4</v>
      </c>
      <c r="P528">
        <f>YEAR(Transactions[[#This Row],[Transaction Date]])</f>
        <v>2022</v>
      </c>
      <c r="Q528" t="str">
        <f>IF(Transactions[[#This Row],[Sales Amount]]&lt;AVERAGE(Transactions[Sales Amount]),"Below Average","At/Above Average")</f>
        <v>Below Average</v>
      </c>
    </row>
    <row r="529" spans="4:17" x14ac:dyDescent="0.2">
      <c r="D529" t="s">
        <v>619</v>
      </c>
      <c r="E529" t="s">
        <v>74</v>
      </c>
      <c r="F529" t="s">
        <v>105</v>
      </c>
      <c r="G529">
        <v>231</v>
      </c>
      <c r="H529">
        <v>2</v>
      </c>
      <c r="I529">
        <v>45.65</v>
      </c>
      <c r="J529">
        <v>8</v>
      </c>
      <c r="K529" s="37">
        <v>44918</v>
      </c>
      <c r="L529" t="s">
        <v>97</v>
      </c>
      <c r="M529">
        <v>370.55</v>
      </c>
      <c r="N529">
        <v>8</v>
      </c>
      <c r="O529" t="str">
        <f>"Q"&amp;ROUNDUP(MONTH(Transactions[[#This Row],[Transaction Date]])/3,0)</f>
        <v>Q4</v>
      </c>
      <c r="P529">
        <f>YEAR(Transactions[[#This Row],[Transaction Date]])</f>
        <v>2022</v>
      </c>
      <c r="Q529" t="str">
        <f>IF(Transactions[[#This Row],[Sales Amount]]&lt;AVERAGE(Transactions[Sales Amount]),"Below Average","At/Above Average")</f>
        <v>At/Above Average</v>
      </c>
    </row>
    <row r="530" spans="4:17" x14ac:dyDescent="0.2">
      <c r="D530" t="s">
        <v>620</v>
      </c>
      <c r="E530" t="s">
        <v>78</v>
      </c>
      <c r="F530" t="s">
        <v>105</v>
      </c>
      <c r="G530">
        <v>195</v>
      </c>
      <c r="H530">
        <v>2</v>
      </c>
      <c r="I530">
        <v>53.33</v>
      </c>
      <c r="J530">
        <v>4</v>
      </c>
      <c r="K530" s="37">
        <v>45475</v>
      </c>
      <c r="L530" t="s">
        <v>109</v>
      </c>
      <c r="M530">
        <v>480.44</v>
      </c>
      <c r="N530">
        <v>18</v>
      </c>
      <c r="O530" t="str">
        <f>"Q"&amp;ROUNDUP(MONTH(Transactions[[#This Row],[Transaction Date]])/3,0)</f>
        <v>Q3</v>
      </c>
      <c r="P530">
        <f>YEAR(Transactions[[#This Row],[Transaction Date]])</f>
        <v>2024</v>
      </c>
      <c r="Q530" t="str">
        <f>IF(Transactions[[#This Row],[Sales Amount]]&lt;AVERAGE(Transactions[Sales Amount]),"Below Average","At/Above Average")</f>
        <v>At/Above Average</v>
      </c>
    </row>
    <row r="531" spans="4:17" x14ac:dyDescent="0.2">
      <c r="D531" t="s">
        <v>621</v>
      </c>
      <c r="E531" t="s">
        <v>75</v>
      </c>
      <c r="F531" t="s">
        <v>108</v>
      </c>
      <c r="G531">
        <v>213</v>
      </c>
      <c r="H531">
        <v>8</v>
      </c>
      <c r="I531">
        <v>48.75</v>
      </c>
      <c r="J531">
        <v>7</v>
      </c>
      <c r="K531" s="37">
        <v>44593</v>
      </c>
      <c r="L531" t="s">
        <v>124</v>
      </c>
      <c r="M531">
        <v>191.56</v>
      </c>
      <c r="N531">
        <v>43</v>
      </c>
      <c r="O531" t="str">
        <f>"Q"&amp;ROUNDUP(MONTH(Transactions[[#This Row],[Transaction Date]])/3,0)</f>
        <v>Q1</v>
      </c>
      <c r="P531">
        <f>YEAR(Transactions[[#This Row],[Transaction Date]])</f>
        <v>2022</v>
      </c>
      <c r="Q531" t="str">
        <f>IF(Transactions[[#This Row],[Sales Amount]]&lt;AVERAGE(Transactions[Sales Amount]),"Below Average","At/Above Average")</f>
        <v>Below Average</v>
      </c>
    </row>
    <row r="532" spans="4:17" x14ac:dyDescent="0.2">
      <c r="D532" t="s">
        <v>622</v>
      </c>
      <c r="E532" t="s">
        <v>74</v>
      </c>
      <c r="F532" t="s">
        <v>105</v>
      </c>
      <c r="G532">
        <v>255</v>
      </c>
      <c r="H532">
        <v>7</v>
      </c>
      <c r="I532">
        <v>46.66</v>
      </c>
      <c r="J532">
        <v>4</v>
      </c>
      <c r="K532" s="37">
        <v>44989</v>
      </c>
      <c r="L532" t="s">
        <v>92</v>
      </c>
      <c r="M532">
        <v>468.37</v>
      </c>
      <c r="N532">
        <v>13</v>
      </c>
      <c r="O532" t="str">
        <f>"Q"&amp;ROUNDUP(MONTH(Transactions[[#This Row],[Transaction Date]])/3,0)</f>
        <v>Q1</v>
      </c>
      <c r="P532">
        <f>YEAR(Transactions[[#This Row],[Transaction Date]])</f>
        <v>2023</v>
      </c>
      <c r="Q532" t="str">
        <f>IF(Transactions[[#This Row],[Sales Amount]]&lt;AVERAGE(Transactions[Sales Amount]),"Below Average","At/Above Average")</f>
        <v>At/Above Average</v>
      </c>
    </row>
    <row r="533" spans="4:17" x14ac:dyDescent="0.2">
      <c r="D533" t="s">
        <v>623</v>
      </c>
      <c r="E533" t="s">
        <v>87</v>
      </c>
      <c r="F533" t="s">
        <v>96</v>
      </c>
      <c r="G533">
        <v>224</v>
      </c>
      <c r="H533">
        <v>3</v>
      </c>
      <c r="I533">
        <v>49.93</v>
      </c>
      <c r="J533">
        <v>1</v>
      </c>
      <c r="K533" s="37">
        <v>45235</v>
      </c>
      <c r="L533" t="s">
        <v>97</v>
      </c>
      <c r="M533">
        <v>210.74</v>
      </c>
      <c r="N533">
        <v>2</v>
      </c>
      <c r="O533" t="str">
        <f>"Q"&amp;ROUNDUP(MONTH(Transactions[[#This Row],[Transaction Date]])/3,0)</f>
        <v>Q4</v>
      </c>
      <c r="P533">
        <f>YEAR(Transactions[[#This Row],[Transaction Date]])</f>
        <v>2023</v>
      </c>
      <c r="Q533" t="str">
        <f>IF(Transactions[[#This Row],[Sales Amount]]&lt;AVERAGE(Transactions[Sales Amount]),"Below Average","At/Above Average")</f>
        <v>Below Average</v>
      </c>
    </row>
    <row r="534" spans="4:17" x14ac:dyDescent="0.2">
      <c r="D534" t="s">
        <v>624</v>
      </c>
      <c r="E534" t="s">
        <v>77</v>
      </c>
      <c r="F534" t="s">
        <v>96</v>
      </c>
      <c r="G534">
        <v>287</v>
      </c>
      <c r="H534">
        <v>6</v>
      </c>
      <c r="I534">
        <v>48.33</v>
      </c>
      <c r="J534">
        <v>6</v>
      </c>
      <c r="K534" s="37">
        <v>45498</v>
      </c>
      <c r="L534" t="s">
        <v>92</v>
      </c>
      <c r="M534">
        <v>179.71</v>
      </c>
      <c r="N534">
        <v>10</v>
      </c>
      <c r="O534" t="str">
        <f>"Q"&amp;ROUNDUP(MONTH(Transactions[[#This Row],[Transaction Date]])/3,0)</f>
        <v>Q3</v>
      </c>
      <c r="P534">
        <f>YEAR(Transactions[[#This Row],[Transaction Date]])</f>
        <v>2024</v>
      </c>
      <c r="Q534" t="str">
        <f>IF(Transactions[[#This Row],[Sales Amount]]&lt;AVERAGE(Transactions[Sales Amount]),"Below Average","At/Above Average")</f>
        <v>Below Average</v>
      </c>
    </row>
    <row r="535" spans="4:17" x14ac:dyDescent="0.2">
      <c r="D535" t="s">
        <v>625</v>
      </c>
      <c r="E535" t="s">
        <v>87</v>
      </c>
      <c r="F535" t="s">
        <v>105</v>
      </c>
      <c r="G535">
        <v>282</v>
      </c>
      <c r="H535">
        <v>1</v>
      </c>
      <c r="I535">
        <v>45.53</v>
      </c>
      <c r="J535">
        <v>6</v>
      </c>
      <c r="K535" s="37">
        <v>44711</v>
      </c>
      <c r="L535" t="s">
        <v>124</v>
      </c>
      <c r="M535">
        <v>241.51</v>
      </c>
      <c r="N535">
        <v>17</v>
      </c>
      <c r="O535" t="str">
        <f>"Q"&amp;ROUNDUP(MONTH(Transactions[[#This Row],[Transaction Date]])/3,0)</f>
        <v>Q2</v>
      </c>
      <c r="P535">
        <f>YEAR(Transactions[[#This Row],[Transaction Date]])</f>
        <v>2022</v>
      </c>
      <c r="Q535" t="str">
        <f>IF(Transactions[[#This Row],[Sales Amount]]&lt;AVERAGE(Transactions[Sales Amount]),"Below Average","At/Above Average")</f>
        <v>Below Average</v>
      </c>
    </row>
    <row r="536" spans="4:17" x14ac:dyDescent="0.2">
      <c r="D536" t="s">
        <v>626</v>
      </c>
      <c r="E536" t="s">
        <v>78</v>
      </c>
      <c r="F536" t="s">
        <v>99</v>
      </c>
      <c r="G536">
        <v>261</v>
      </c>
      <c r="H536">
        <v>2</v>
      </c>
      <c r="I536">
        <v>52.17</v>
      </c>
      <c r="J536">
        <v>10</v>
      </c>
      <c r="K536" s="37">
        <v>45245</v>
      </c>
      <c r="L536" t="s">
        <v>124</v>
      </c>
      <c r="M536">
        <v>79.84</v>
      </c>
      <c r="N536">
        <v>21</v>
      </c>
      <c r="O536" t="str">
        <f>"Q"&amp;ROUNDUP(MONTH(Transactions[[#This Row],[Transaction Date]])/3,0)</f>
        <v>Q4</v>
      </c>
      <c r="P536">
        <f>YEAR(Transactions[[#This Row],[Transaction Date]])</f>
        <v>2023</v>
      </c>
      <c r="Q536" t="str">
        <f>IF(Transactions[[#This Row],[Sales Amount]]&lt;AVERAGE(Transactions[Sales Amount]),"Below Average","At/Above Average")</f>
        <v>Below Average</v>
      </c>
    </row>
    <row r="537" spans="4:17" x14ac:dyDescent="0.2">
      <c r="D537" t="s">
        <v>627</v>
      </c>
      <c r="E537" t="s">
        <v>76</v>
      </c>
      <c r="F537" t="s">
        <v>105</v>
      </c>
      <c r="G537">
        <v>261</v>
      </c>
      <c r="H537">
        <v>6</v>
      </c>
      <c r="I537">
        <v>46.25</v>
      </c>
      <c r="J537">
        <v>4</v>
      </c>
      <c r="K537" s="37">
        <v>45181</v>
      </c>
      <c r="L537" t="s">
        <v>97</v>
      </c>
      <c r="M537">
        <v>111.57</v>
      </c>
      <c r="N537">
        <v>50</v>
      </c>
      <c r="O537" t="str">
        <f>"Q"&amp;ROUNDUP(MONTH(Transactions[[#This Row],[Transaction Date]])/3,0)</f>
        <v>Q3</v>
      </c>
      <c r="P537">
        <f>YEAR(Transactions[[#This Row],[Transaction Date]])</f>
        <v>2023</v>
      </c>
      <c r="Q537" t="str">
        <f>IF(Transactions[[#This Row],[Sales Amount]]&lt;AVERAGE(Transactions[Sales Amount]),"Below Average","At/Above Average")</f>
        <v>Below Average</v>
      </c>
    </row>
    <row r="538" spans="4:17" x14ac:dyDescent="0.2">
      <c r="D538" t="s">
        <v>628</v>
      </c>
      <c r="E538" t="s">
        <v>75</v>
      </c>
      <c r="F538" t="s">
        <v>96</v>
      </c>
      <c r="G538">
        <v>262</v>
      </c>
      <c r="H538">
        <v>2</v>
      </c>
      <c r="I538">
        <v>48.23</v>
      </c>
      <c r="J538">
        <v>8</v>
      </c>
      <c r="K538" s="37">
        <v>44990</v>
      </c>
      <c r="L538" t="s">
        <v>97</v>
      </c>
      <c r="M538">
        <v>247.68</v>
      </c>
      <c r="N538">
        <v>18</v>
      </c>
      <c r="O538" t="str">
        <f>"Q"&amp;ROUNDUP(MONTH(Transactions[[#This Row],[Transaction Date]])/3,0)</f>
        <v>Q1</v>
      </c>
      <c r="P538">
        <f>YEAR(Transactions[[#This Row],[Transaction Date]])</f>
        <v>2023</v>
      </c>
      <c r="Q538" t="str">
        <f>IF(Transactions[[#This Row],[Sales Amount]]&lt;AVERAGE(Transactions[Sales Amount]),"Below Average","At/Above Average")</f>
        <v>Below Average</v>
      </c>
    </row>
    <row r="539" spans="4:17" x14ac:dyDescent="0.2">
      <c r="D539" t="s">
        <v>629</v>
      </c>
      <c r="E539" t="s">
        <v>74</v>
      </c>
      <c r="F539" t="s">
        <v>96</v>
      </c>
      <c r="G539">
        <v>235</v>
      </c>
      <c r="H539">
        <v>8</v>
      </c>
      <c r="I539">
        <v>47.9</v>
      </c>
      <c r="J539">
        <v>6</v>
      </c>
      <c r="K539" s="37">
        <v>44846</v>
      </c>
      <c r="L539" t="s">
        <v>89</v>
      </c>
      <c r="M539">
        <v>20.7</v>
      </c>
      <c r="N539">
        <v>28</v>
      </c>
      <c r="O539" t="str">
        <f>"Q"&amp;ROUNDUP(MONTH(Transactions[[#This Row],[Transaction Date]])/3,0)</f>
        <v>Q4</v>
      </c>
      <c r="P539">
        <f>YEAR(Transactions[[#This Row],[Transaction Date]])</f>
        <v>2022</v>
      </c>
      <c r="Q539" t="str">
        <f>IF(Transactions[[#This Row],[Sales Amount]]&lt;AVERAGE(Transactions[Sales Amount]),"Below Average","At/Above Average")</f>
        <v>Below Average</v>
      </c>
    </row>
    <row r="540" spans="4:17" x14ac:dyDescent="0.2">
      <c r="D540" t="s">
        <v>630</v>
      </c>
      <c r="E540" t="s">
        <v>87</v>
      </c>
      <c r="F540" t="s">
        <v>99</v>
      </c>
      <c r="G540">
        <v>265</v>
      </c>
      <c r="H540">
        <v>8</v>
      </c>
      <c r="I540">
        <v>47.05</v>
      </c>
      <c r="J540">
        <v>9</v>
      </c>
      <c r="K540" s="37">
        <v>45551</v>
      </c>
      <c r="L540" t="s">
        <v>102</v>
      </c>
      <c r="M540">
        <v>106.27</v>
      </c>
      <c r="N540">
        <v>42</v>
      </c>
      <c r="O540" t="str">
        <f>"Q"&amp;ROUNDUP(MONTH(Transactions[[#This Row],[Transaction Date]])/3,0)</f>
        <v>Q3</v>
      </c>
      <c r="P540">
        <f>YEAR(Transactions[[#This Row],[Transaction Date]])</f>
        <v>2024</v>
      </c>
      <c r="Q540" t="str">
        <f>IF(Transactions[[#This Row],[Sales Amount]]&lt;AVERAGE(Transactions[Sales Amount]),"Below Average","At/Above Average")</f>
        <v>Below Average</v>
      </c>
    </row>
    <row r="541" spans="4:17" x14ac:dyDescent="0.2">
      <c r="D541" t="s">
        <v>631</v>
      </c>
      <c r="E541" t="s">
        <v>87</v>
      </c>
      <c r="F541" t="s">
        <v>91</v>
      </c>
      <c r="G541">
        <v>288</v>
      </c>
      <c r="H541">
        <v>9</v>
      </c>
      <c r="I541">
        <v>48.46</v>
      </c>
      <c r="J541">
        <v>6</v>
      </c>
      <c r="K541" s="37">
        <v>45385</v>
      </c>
      <c r="L541" t="s">
        <v>92</v>
      </c>
      <c r="M541">
        <v>234.42</v>
      </c>
      <c r="N541">
        <v>3</v>
      </c>
      <c r="O541" t="str">
        <f>"Q"&amp;ROUNDUP(MONTH(Transactions[[#This Row],[Transaction Date]])/3,0)</f>
        <v>Q2</v>
      </c>
      <c r="P541">
        <f>YEAR(Transactions[[#This Row],[Transaction Date]])</f>
        <v>2024</v>
      </c>
      <c r="Q541" t="str">
        <f>IF(Transactions[[#This Row],[Sales Amount]]&lt;AVERAGE(Transactions[Sales Amount]),"Below Average","At/Above Average")</f>
        <v>Below Average</v>
      </c>
    </row>
    <row r="542" spans="4:17" x14ac:dyDescent="0.2">
      <c r="D542" t="s">
        <v>632</v>
      </c>
      <c r="E542" t="s">
        <v>74</v>
      </c>
      <c r="F542" t="s">
        <v>99</v>
      </c>
      <c r="G542">
        <v>168</v>
      </c>
      <c r="H542">
        <v>2</v>
      </c>
      <c r="I542">
        <v>53.33</v>
      </c>
      <c r="J542">
        <v>4</v>
      </c>
      <c r="K542" s="37">
        <v>45410</v>
      </c>
      <c r="L542" t="s">
        <v>124</v>
      </c>
      <c r="M542">
        <v>336.54</v>
      </c>
      <c r="N542">
        <v>42</v>
      </c>
      <c r="O542" t="str">
        <f>"Q"&amp;ROUNDUP(MONTH(Transactions[[#This Row],[Transaction Date]])/3,0)</f>
        <v>Q2</v>
      </c>
      <c r="P542">
        <f>YEAR(Transactions[[#This Row],[Transaction Date]])</f>
        <v>2024</v>
      </c>
      <c r="Q542" t="str">
        <f>IF(Transactions[[#This Row],[Sales Amount]]&lt;AVERAGE(Transactions[Sales Amount]),"Below Average","At/Above Average")</f>
        <v>At/Above Average</v>
      </c>
    </row>
    <row r="543" spans="4:17" x14ac:dyDescent="0.2">
      <c r="D543" t="s">
        <v>633</v>
      </c>
      <c r="E543" t="s">
        <v>74</v>
      </c>
      <c r="F543" t="s">
        <v>91</v>
      </c>
      <c r="G543">
        <v>179</v>
      </c>
      <c r="H543">
        <v>1</v>
      </c>
      <c r="I543">
        <v>54.8</v>
      </c>
      <c r="J543">
        <v>10</v>
      </c>
      <c r="K543" s="37">
        <v>45030</v>
      </c>
      <c r="L543" t="s">
        <v>124</v>
      </c>
      <c r="M543">
        <v>90.91</v>
      </c>
      <c r="N543">
        <v>6</v>
      </c>
      <c r="O543" t="str">
        <f>"Q"&amp;ROUNDUP(MONTH(Transactions[[#This Row],[Transaction Date]])/3,0)</f>
        <v>Q2</v>
      </c>
      <c r="P543">
        <f>YEAR(Transactions[[#This Row],[Transaction Date]])</f>
        <v>2023</v>
      </c>
      <c r="Q543" t="str">
        <f>IF(Transactions[[#This Row],[Sales Amount]]&lt;AVERAGE(Transactions[Sales Amount]),"Below Average","At/Above Average")</f>
        <v>Below Average</v>
      </c>
    </row>
    <row r="544" spans="4:17" x14ac:dyDescent="0.2">
      <c r="D544" t="s">
        <v>634</v>
      </c>
      <c r="E544" t="s">
        <v>76</v>
      </c>
      <c r="F544" t="s">
        <v>88</v>
      </c>
      <c r="G544">
        <v>194</v>
      </c>
      <c r="H544">
        <v>8</v>
      </c>
      <c r="I544">
        <v>52.04</v>
      </c>
      <c r="J544">
        <v>8</v>
      </c>
      <c r="K544" s="37">
        <v>44607</v>
      </c>
      <c r="L544" t="s">
        <v>124</v>
      </c>
      <c r="M544">
        <v>464.65</v>
      </c>
      <c r="N544">
        <v>1</v>
      </c>
      <c r="O544" t="str">
        <f>"Q"&amp;ROUNDUP(MONTH(Transactions[[#This Row],[Transaction Date]])/3,0)</f>
        <v>Q1</v>
      </c>
      <c r="P544">
        <f>YEAR(Transactions[[#This Row],[Transaction Date]])</f>
        <v>2022</v>
      </c>
      <c r="Q544" t="str">
        <f>IF(Transactions[[#This Row],[Sales Amount]]&lt;AVERAGE(Transactions[Sales Amount]),"Below Average","At/Above Average")</f>
        <v>At/Above Average</v>
      </c>
    </row>
    <row r="545" spans="4:17" x14ac:dyDescent="0.2">
      <c r="D545" t="s">
        <v>635</v>
      </c>
      <c r="E545" t="s">
        <v>74</v>
      </c>
      <c r="F545" t="s">
        <v>88</v>
      </c>
      <c r="G545">
        <v>231</v>
      </c>
      <c r="H545">
        <v>10</v>
      </c>
      <c r="I545">
        <v>54.31</v>
      </c>
      <c r="J545">
        <v>1</v>
      </c>
      <c r="K545" s="37">
        <v>44747</v>
      </c>
      <c r="L545" t="s">
        <v>97</v>
      </c>
      <c r="M545">
        <v>175.64</v>
      </c>
      <c r="N545">
        <v>26</v>
      </c>
      <c r="O545" t="str">
        <f>"Q"&amp;ROUNDUP(MONTH(Transactions[[#This Row],[Transaction Date]])/3,0)</f>
        <v>Q3</v>
      </c>
      <c r="P545">
        <f>YEAR(Transactions[[#This Row],[Transaction Date]])</f>
        <v>2022</v>
      </c>
      <c r="Q545" t="str">
        <f>IF(Transactions[[#This Row],[Sales Amount]]&lt;AVERAGE(Transactions[Sales Amount]),"Below Average","At/Above Average")</f>
        <v>Below Average</v>
      </c>
    </row>
    <row r="546" spans="4:17" x14ac:dyDescent="0.2">
      <c r="D546" t="s">
        <v>636</v>
      </c>
      <c r="E546" t="s">
        <v>75</v>
      </c>
      <c r="F546" t="s">
        <v>99</v>
      </c>
      <c r="G546">
        <v>165</v>
      </c>
      <c r="H546">
        <v>8</v>
      </c>
      <c r="I546">
        <v>57.49</v>
      </c>
      <c r="J546">
        <v>10</v>
      </c>
      <c r="K546" s="37">
        <v>44914</v>
      </c>
      <c r="L546" t="s">
        <v>102</v>
      </c>
      <c r="M546">
        <v>315.55</v>
      </c>
      <c r="N546">
        <v>31</v>
      </c>
      <c r="O546" t="str">
        <f>"Q"&amp;ROUNDUP(MONTH(Transactions[[#This Row],[Transaction Date]])/3,0)</f>
        <v>Q4</v>
      </c>
      <c r="P546">
        <f>YEAR(Transactions[[#This Row],[Transaction Date]])</f>
        <v>2022</v>
      </c>
      <c r="Q546" t="str">
        <f>IF(Transactions[[#This Row],[Sales Amount]]&lt;AVERAGE(Transactions[Sales Amount]),"Below Average","At/Above Average")</f>
        <v>At/Above Average</v>
      </c>
    </row>
    <row r="547" spans="4:17" x14ac:dyDescent="0.2">
      <c r="D547" t="s">
        <v>637</v>
      </c>
      <c r="E547" t="s">
        <v>77</v>
      </c>
      <c r="F547" t="s">
        <v>94</v>
      </c>
      <c r="G547">
        <v>255</v>
      </c>
      <c r="H547">
        <v>9</v>
      </c>
      <c r="I547">
        <v>56.95</v>
      </c>
      <c r="J547">
        <v>10</v>
      </c>
      <c r="K547" s="37">
        <v>44767</v>
      </c>
      <c r="L547" t="s">
        <v>89</v>
      </c>
      <c r="M547">
        <v>490.77</v>
      </c>
      <c r="N547">
        <v>30</v>
      </c>
      <c r="O547" t="str">
        <f>"Q"&amp;ROUNDUP(MONTH(Transactions[[#This Row],[Transaction Date]])/3,0)</f>
        <v>Q3</v>
      </c>
      <c r="P547">
        <f>YEAR(Transactions[[#This Row],[Transaction Date]])</f>
        <v>2022</v>
      </c>
      <c r="Q547" t="str">
        <f>IF(Transactions[[#This Row],[Sales Amount]]&lt;AVERAGE(Transactions[Sales Amount]),"Below Average","At/Above Average")</f>
        <v>At/Above Average</v>
      </c>
    </row>
    <row r="548" spans="4:17" x14ac:dyDescent="0.2">
      <c r="D548" t="s">
        <v>638</v>
      </c>
      <c r="E548" t="s">
        <v>75</v>
      </c>
      <c r="F548" t="s">
        <v>94</v>
      </c>
      <c r="G548">
        <v>117</v>
      </c>
      <c r="H548">
        <v>2</v>
      </c>
      <c r="I548">
        <v>55.43</v>
      </c>
      <c r="J548">
        <v>3</v>
      </c>
      <c r="K548" s="37">
        <v>44646</v>
      </c>
      <c r="L548" t="s">
        <v>109</v>
      </c>
      <c r="M548">
        <v>213.45</v>
      </c>
      <c r="N548">
        <v>36</v>
      </c>
      <c r="O548" t="str">
        <f>"Q"&amp;ROUNDUP(MONTH(Transactions[[#This Row],[Transaction Date]])/3,0)</f>
        <v>Q1</v>
      </c>
      <c r="P548">
        <f>YEAR(Transactions[[#This Row],[Transaction Date]])</f>
        <v>2022</v>
      </c>
      <c r="Q548" t="str">
        <f>IF(Transactions[[#This Row],[Sales Amount]]&lt;AVERAGE(Transactions[Sales Amount]),"Below Average","At/Above Average")</f>
        <v>Below Average</v>
      </c>
    </row>
    <row r="549" spans="4:17" x14ac:dyDescent="0.2">
      <c r="D549" t="s">
        <v>639</v>
      </c>
      <c r="E549" t="s">
        <v>78</v>
      </c>
      <c r="F549" t="s">
        <v>94</v>
      </c>
      <c r="G549">
        <v>290</v>
      </c>
      <c r="H549">
        <v>1</v>
      </c>
      <c r="I549">
        <v>55.62</v>
      </c>
      <c r="J549">
        <v>2</v>
      </c>
      <c r="K549" s="37">
        <v>44607</v>
      </c>
      <c r="L549" t="s">
        <v>89</v>
      </c>
      <c r="M549">
        <v>120.88</v>
      </c>
      <c r="N549">
        <v>38</v>
      </c>
      <c r="O549" t="str">
        <f>"Q"&amp;ROUNDUP(MONTH(Transactions[[#This Row],[Transaction Date]])/3,0)</f>
        <v>Q1</v>
      </c>
      <c r="P549">
        <f>YEAR(Transactions[[#This Row],[Transaction Date]])</f>
        <v>2022</v>
      </c>
      <c r="Q549" t="str">
        <f>IF(Transactions[[#This Row],[Sales Amount]]&lt;AVERAGE(Transactions[Sales Amount]),"Below Average","At/Above Average")</f>
        <v>Below Average</v>
      </c>
    </row>
    <row r="550" spans="4:17" x14ac:dyDescent="0.2">
      <c r="D550" t="s">
        <v>640</v>
      </c>
      <c r="E550" t="s">
        <v>74</v>
      </c>
      <c r="F550" t="s">
        <v>108</v>
      </c>
      <c r="G550">
        <v>112</v>
      </c>
      <c r="H550">
        <v>7</v>
      </c>
      <c r="I550">
        <v>51.4</v>
      </c>
      <c r="J550">
        <v>6</v>
      </c>
      <c r="K550" s="37">
        <v>45199</v>
      </c>
      <c r="L550" t="s">
        <v>97</v>
      </c>
      <c r="M550">
        <v>457.13</v>
      </c>
      <c r="N550">
        <v>4</v>
      </c>
      <c r="O550" t="str">
        <f>"Q"&amp;ROUNDUP(MONTH(Transactions[[#This Row],[Transaction Date]])/3,0)</f>
        <v>Q3</v>
      </c>
      <c r="P550">
        <f>YEAR(Transactions[[#This Row],[Transaction Date]])</f>
        <v>2023</v>
      </c>
      <c r="Q550" t="str">
        <f>IF(Transactions[[#This Row],[Sales Amount]]&lt;AVERAGE(Transactions[Sales Amount]),"Below Average","At/Above Average")</f>
        <v>At/Above Average</v>
      </c>
    </row>
    <row r="551" spans="4:17" x14ac:dyDescent="0.2">
      <c r="D551" t="s">
        <v>641</v>
      </c>
      <c r="E551" t="s">
        <v>76</v>
      </c>
      <c r="F551" t="s">
        <v>88</v>
      </c>
      <c r="G551">
        <v>129</v>
      </c>
      <c r="H551">
        <v>5</v>
      </c>
      <c r="I551">
        <v>52.02</v>
      </c>
      <c r="J551">
        <v>1</v>
      </c>
      <c r="K551" s="37">
        <v>45214</v>
      </c>
      <c r="L551" t="s">
        <v>102</v>
      </c>
      <c r="M551">
        <v>177.99</v>
      </c>
      <c r="N551">
        <v>28</v>
      </c>
      <c r="O551" t="str">
        <f>"Q"&amp;ROUNDUP(MONTH(Transactions[[#This Row],[Transaction Date]])/3,0)</f>
        <v>Q4</v>
      </c>
      <c r="P551">
        <f>YEAR(Transactions[[#This Row],[Transaction Date]])</f>
        <v>2023</v>
      </c>
      <c r="Q551" t="str">
        <f>IF(Transactions[[#This Row],[Sales Amount]]&lt;AVERAGE(Transactions[Sales Amount]),"Below Average","At/Above Average")</f>
        <v>Below Average</v>
      </c>
    </row>
    <row r="552" spans="4:17" x14ac:dyDescent="0.2">
      <c r="D552" t="s">
        <v>642</v>
      </c>
      <c r="E552" t="s">
        <v>78</v>
      </c>
      <c r="F552" t="s">
        <v>96</v>
      </c>
      <c r="G552">
        <v>115</v>
      </c>
      <c r="H552">
        <v>7</v>
      </c>
      <c r="I552">
        <v>47.08</v>
      </c>
      <c r="J552">
        <v>3</v>
      </c>
      <c r="K552" s="37">
        <v>45491</v>
      </c>
      <c r="L552" t="s">
        <v>102</v>
      </c>
      <c r="M552">
        <v>219.72</v>
      </c>
      <c r="N552">
        <v>24</v>
      </c>
      <c r="O552" t="str">
        <f>"Q"&amp;ROUNDUP(MONTH(Transactions[[#This Row],[Transaction Date]])/3,0)</f>
        <v>Q3</v>
      </c>
      <c r="P552">
        <f>YEAR(Transactions[[#This Row],[Transaction Date]])</f>
        <v>2024</v>
      </c>
      <c r="Q552" t="str">
        <f>IF(Transactions[[#This Row],[Sales Amount]]&lt;AVERAGE(Transactions[Sales Amount]),"Below Average","At/Above Average")</f>
        <v>Below Average</v>
      </c>
    </row>
    <row r="553" spans="4:17" x14ac:dyDescent="0.2">
      <c r="D553" t="s">
        <v>643</v>
      </c>
      <c r="E553" t="s">
        <v>77</v>
      </c>
      <c r="F553" t="s">
        <v>94</v>
      </c>
      <c r="G553">
        <v>252</v>
      </c>
      <c r="H553">
        <v>7</v>
      </c>
      <c r="I553">
        <v>53.41</v>
      </c>
      <c r="J553">
        <v>9</v>
      </c>
      <c r="K553" s="37">
        <v>44859</v>
      </c>
      <c r="L553" t="s">
        <v>124</v>
      </c>
      <c r="M553">
        <v>440.01</v>
      </c>
      <c r="N553">
        <v>41</v>
      </c>
      <c r="O553" t="str">
        <f>"Q"&amp;ROUNDUP(MONTH(Transactions[[#This Row],[Transaction Date]])/3,0)</f>
        <v>Q4</v>
      </c>
      <c r="P553">
        <f>YEAR(Transactions[[#This Row],[Transaction Date]])</f>
        <v>2022</v>
      </c>
      <c r="Q553" t="str">
        <f>IF(Transactions[[#This Row],[Sales Amount]]&lt;AVERAGE(Transactions[Sales Amount]),"Below Average","At/Above Average")</f>
        <v>At/Above Average</v>
      </c>
    </row>
    <row r="554" spans="4:17" x14ac:dyDescent="0.2">
      <c r="D554" t="s">
        <v>644</v>
      </c>
      <c r="E554" t="s">
        <v>77</v>
      </c>
      <c r="F554" t="s">
        <v>94</v>
      </c>
      <c r="G554">
        <v>204</v>
      </c>
      <c r="H554">
        <v>5</v>
      </c>
      <c r="I554">
        <v>57.15</v>
      </c>
      <c r="J554">
        <v>8</v>
      </c>
      <c r="K554" s="37">
        <v>44588</v>
      </c>
      <c r="L554" t="s">
        <v>109</v>
      </c>
      <c r="M554">
        <v>378.27</v>
      </c>
      <c r="N554">
        <v>2</v>
      </c>
      <c r="O554" t="str">
        <f>"Q"&amp;ROUNDUP(MONTH(Transactions[[#This Row],[Transaction Date]])/3,0)</f>
        <v>Q1</v>
      </c>
      <c r="P554">
        <f>YEAR(Transactions[[#This Row],[Transaction Date]])</f>
        <v>2022</v>
      </c>
      <c r="Q554" t="str">
        <f>IF(Transactions[[#This Row],[Sales Amount]]&lt;AVERAGE(Transactions[Sales Amount]),"Below Average","At/Above Average")</f>
        <v>At/Above Average</v>
      </c>
    </row>
    <row r="555" spans="4:17" x14ac:dyDescent="0.2">
      <c r="D555" t="s">
        <v>645</v>
      </c>
      <c r="E555" t="s">
        <v>87</v>
      </c>
      <c r="F555" t="s">
        <v>129</v>
      </c>
      <c r="G555">
        <v>210</v>
      </c>
      <c r="H555">
        <v>5</v>
      </c>
      <c r="I555">
        <v>51.52</v>
      </c>
      <c r="J555">
        <v>10</v>
      </c>
      <c r="K555" s="37">
        <v>44946</v>
      </c>
      <c r="L555" t="s">
        <v>124</v>
      </c>
      <c r="M555">
        <v>393.59</v>
      </c>
      <c r="N555">
        <v>2</v>
      </c>
      <c r="O555" t="str">
        <f>"Q"&amp;ROUNDUP(MONTH(Transactions[[#This Row],[Transaction Date]])/3,0)</f>
        <v>Q1</v>
      </c>
      <c r="P555">
        <f>YEAR(Transactions[[#This Row],[Transaction Date]])</f>
        <v>2023</v>
      </c>
      <c r="Q555" t="str">
        <f>IF(Transactions[[#This Row],[Sales Amount]]&lt;AVERAGE(Transactions[Sales Amount]),"Below Average","At/Above Average")</f>
        <v>At/Above Average</v>
      </c>
    </row>
    <row r="556" spans="4:17" x14ac:dyDescent="0.2">
      <c r="D556" t="s">
        <v>646</v>
      </c>
      <c r="E556" t="s">
        <v>77</v>
      </c>
      <c r="F556" t="s">
        <v>105</v>
      </c>
      <c r="G556">
        <v>293</v>
      </c>
      <c r="H556">
        <v>6</v>
      </c>
      <c r="I556">
        <v>58.92</v>
      </c>
      <c r="J556">
        <v>6</v>
      </c>
      <c r="K556" s="37">
        <v>44812</v>
      </c>
      <c r="L556" t="s">
        <v>109</v>
      </c>
      <c r="M556">
        <v>282.02999999999997</v>
      </c>
      <c r="N556">
        <v>21</v>
      </c>
      <c r="O556" t="str">
        <f>"Q"&amp;ROUNDUP(MONTH(Transactions[[#This Row],[Transaction Date]])/3,0)</f>
        <v>Q3</v>
      </c>
      <c r="P556">
        <f>YEAR(Transactions[[#This Row],[Transaction Date]])</f>
        <v>2022</v>
      </c>
      <c r="Q556" t="str">
        <f>IF(Transactions[[#This Row],[Sales Amount]]&lt;AVERAGE(Transactions[Sales Amount]),"Below Average","At/Above Average")</f>
        <v>At/Above Average</v>
      </c>
    </row>
    <row r="557" spans="4:17" x14ac:dyDescent="0.2">
      <c r="D557" t="s">
        <v>647</v>
      </c>
      <c r="E557" t="s">
        <v>74</v>
      </c>
      <c r="F557" t="s">
        <v>96</v>
      </c>
      <c r="G557">
        <v>300</v>
      </c>
      <c r="H557">
        <v>6</v>
      </c>
      <c r="I557">
        <v>56.15</v>
      </c>
      <c r="J557">
        <v>10</v>
      </c>
      <c r="K557" s="37">
        <v>45161</v>
      </c>
      <c r="L557" t="s">
        <v>109</v>
      </c>
      <c r="M557">
        <v>54.65</v>
      </c>
      <c r="N557">
        <v>4</v>
      </c>
      <c r="O557" t="str">
        <f>"Q"&amp;ROUNDUP(MONTH(Transactions[[#This Row],[Transaction Date]])/3,0)</f>
        <v>Q3</v>
      </c>
      <c r="P557">
        <f>YEAR(Transactions[[#This Row],[Transaction Date]])</f>
        <v>2023</v>
      </c>
      <c r="Q557" t="str">
        <f>IF(Transactions[[#This Row],[Sales Amount]]&lt;AVERAGE(Transactions[Sales Amount]),"Below Average","At/Above Average")</f>
        <v>Below Average</v>
      </c>
    </row>
    <row r="558" spans="4:17" x14ac:dyDescent="0.2">
      <c r="D558" t="s">
        <v>648</v>
      </c>
      <c r="E558" t="s">
        <v>75</v>
      </c>
      <c r="F558" t="s">
        <v>88</v>
      </c>
      <c r="G558">
        <v>128</v>
      </c>
      <c r="H558">
        <v>6</v>
      </c>
      <c r="I558">
        <v>52.77</v>
      </c>
      <c r="J558">
        <v>2</v>
      </c>
      <c r="K558" s="37">
        <v>45132</v>
      </c>
      <c r="L558" t="s">
        <v>92</v>
      </c>
      <c r="M558">
        <v>115</v>
      </c>
      <c r="N558">
        <v>3</v>
      </c>
      <c r="O558" t="str">
        <f>"Q"&amp;ROUNDUP(MONTH(Transactions[[#This Row],[Transaction Date]])/3,0)</f>
        <v>Q3</v>
      </c>
      <c r="P558">
        <f>YEAR(Transactions[[#This Row],[Transaction Date]])</f>
        <v>2023</v>
      </c>
      <c r="Q558" t="str">
        <f>IF(Transactions[[#This Row],[Sales Amount]]&lt;AVERAGE(Transactions[Sales Amount]),"Below Average","At/Above Average")</f>
        <v>Below Average</v>
      </c>
    </row>
    <row r="559" spans="4:17" x14ac:dyDescent="0.2">
      <c r="D559" t="s">
        <v>649</v>
      </c>
      <c r="E559" t="s">
        <v>75</v>
      </c>
      <c r="F559" t="s">
        <v>105</v>
      </c>
      <c r="G559">
        <v>181</v>
      </c>
      <c r="H559">
        <v>9</v>
      </c>
      <c r="I559">
        <v>46.53</v>
      </c>
      <c r="J559">
        <v>4</v>
      </c>
      <c r="K559" s="37">
        <v>45304</v>
      </c>
      <c r="L559" t="s">
        <v>109</v>
      </c>
      <c r="M559">
        <v>255.75</v>
      </c>
      <c r="N559">
        <v>22</v>
      </c>
      <c r="O559" t="str">
        <f>"Q"&amp;ROUNDUP(MONTH(Transactions[[#This Row],[Transaction Date]])/3,0)</f>
        <v>Q1</v>
      </c>
      <c r="P559">
        <f>YEAR(Transactions[[#This Row],[Transaction Date]])</f>
        <v>2024</v>
      </c>
      <c r="Q559" t="str">
        <f>IF(Transactions[[#This Row],[Sales Amount]]&lt;AVERAGE(Transactions[Sales Amount]),"Below Average","At/Above Average")</f>
        <v>Below Average</v>
      </c>
    </row>
    <row r="560" spans="4:17" x14ac:dyDescent="0.2">
      <c r="D560" t="s">
        <v>650</v>
      </c>
      <c r="E560" t="s">
        <v>76</v>
      </c>
      <c r="F560" t="s">
        <v>88</v>
      </c>
      <c r="G560">
        <v>161</v>
      </c>
      <c r="H560">
        <v>6</v>
      </c>
      <c r="I560">
        <v>52.31</v>
      </c>
      <c r="J560">
        <v>8</v>
      </c>
      <c r="K560" s="37">
        <v>45210</v>
      </c>
      <c r="L560" t="s">
        <v>109</v>
      </c>
      <c r="M560">
        <v>310.63</v>
      </c>
      <c r="N560">
        <v>32</v>
      </c>
      <c r="O560" t="str">
        <f>"Q"&amp;ROUNDUP(MONTH(Transactions[[#This Row],[Transaction Date]])/3,0)</f>
        <v>Q4</v>
      </c>
      <c r="P560">
        <f>YEAR(Transactions[[#This Row],[Transaction Date]])</f>
        <v>2023</v>
      </c>
      <c r="Q560" t="str">
        <f>IF(Transactions[[#This Row],[Sales Amount]]&lt;AVERAGE(Transactions[Sales Amount]),"Below Average","At/Above Average")</f>
        <v>At/Above Average</v>
      </c>
    </row>
    <row r="561" spans="4:17" x14ac:dyDescent="0.2">
      <c r="D561" t="s">
        <v>651</v>
      </c>
      <c r="E561" t="s">
        <v>76</v>
      </c>
      <c r="F561" t="s">
        <v>88</v>
      </c>
      <c r="G561">
        <v>225</v>
      </c>
      <c r="H561">
        <v>3</v>
      </c>
      <c r="I561">
        <v>57.01</v>
      </c>
      <c r="J561">
        <v>2</v>
      </c>
      <c r="K561" s="37">
        <v>44683</v>
      </c>
      <c r="L561" t="s">
        <v>97</v>
      </c>
      <c r="M561">
        <v>338.08</v>
      </c>
      <c r="N561">
        <v>42</v>
      </c>
      <c r="O561" t="str">
        <f>"Q"&amp;ROUNDUP(MONTH(Transactions[[#This Row],[Transaction Date]])/3,0)</f>
        <v>Q2</v>
      </c>
      <c r="P561">
        <f>YEAR(Transactions[[#This Row],[Transaction Date]])</f>
        <v>2022</v>
      </c>
      <c r="Q561" t="str">
        <f>IF(Transactions[[#This Row],[Sales Amount]]&lt;AVERAGE(Transactions[Sales Amount]),"Below Average","At/Above Average")</f>
        <v>At/Above Average</v>
      </c>
    </row>
    <row r="562" spans="4:17" x14ac:dyDescent="0.2">
      <c r="D562" t="s">
        <v>652</v>
      </c>
      <c r="E562" t="s">
        <v>76</v>
      </c>
      <c r="F562" t="s">
        <v>88</v>
      </c>
      <c r="G562">
        <v>282</v>
      </c>
      <c r="H562">
        <v>10</v>
      </c>
      <c r="I562">
        <v>53.94</v>
      </c>
      <c r="J562">
        <v>4</v>
      </c>
      <c r="K562" s="37">
        <v>45257</v>
      </c>
      <c r="L562" t="s">
        <v>89</v>
      </c>
      <c r="M562">
        <v>443.71</v>
      </c>
      <c r="N562">
        <v>27</v>
      </c>
      <c r="O562" t="str">
        <f>"Q"&amp;ROUNDUP(MONTH(Transactions[[#This Row],[Transaction Date]])/3,0)</f>
        <v>Q4</v>
      </c>
      <c r="P562">
        <f>YEAR(Transactions[[#This Row],[Transaction Date]])</f>
        <v>2023</v>
      </c>
      <c r="Q562" t="str">
        <f>IF(Transactions[[#This Row],[Sales Amount]]&lt;AVERAGE(Transactions[Sales Amount]),"Below Average","At/Above Average")</f>
        <v>At/Above Average</v>
      </c>
    </row>
    <row r="563" spans="4:17" x14ac:dyDescent="0.2">
      <c r="D563" t="s">
        <v>653</v>
      </c>
      <c r="E563" t="s">
        <v>74</v>
      </c>
      <c r="F563" t="s">
        <v>129</v>
      </c>
      <c r="G563">
        <v>151</v>
      </c>
      <c r="H563">
        <v>6</v>
      </c>
      <c r="I563">
        <v>47.97</v>
      </c>
      <c r="J563">
        <v>10</v>
      </c>
      <c r="K563" s="37">
        <v>45618</v>
      </c>
      <c r="L563" t="s">
        <v>102</v>
      </c>
      <c r="M563">
        <v>89.15</v>
      </c>
      <c r="N563">
        <v>38</v>
      </c>
      <c r="O563" t="str">
        <f>"Q"&amp;ROUNDUP(MONTH(Transactions[[#This Row],[Transaction Date]])/3,0)</f>
        <v>Q4</v>
      </c>
      <c r="P563">
        <f>YEAR(Transactions[[#This Row],[Transaction Date]])</f>
        <v>2024</v>
      </c>
      <c r="Q563" t="str">
        <f>IF(Transactions[[#This Row],[Sales Amount]]&lt;AVERAGE(Transactions[Sales Amount]),"Below Average","At/Above Average")</f>
        <v>Below Average</v>
      </c>
    </row>
    <row r="564" spans="4:17" x14ac:dyDescent="0.2">
      <c r="D564" t="s">
        <v>654</v>
      </c>
      <c r="E564" t="s">
        <v>75</v>
      </c>
      <c r="F564" t="s">
        <v>94</v>
      </c>
      <c r="G564">
        <v>177</v>
      </c>
      <c r="H564">
        <v>2</v>
      </c>
      <c r="I564">
        <v>47.62</v>
      </c>
      <c r="J564">
        <v>7</v>
      </c>
      <c r="K564" s="37">
        <v>45640</v>
      </c>
      <c r="L564" t="s">
        <v>109</v>
      </c>
      <c r="M564">
        <v>151.19</v>
      </c>
      <c r="N564">
        <v>41</v>
      </c>
      <c r="O564" t="str">
        <f>"Q"&amp;ROUNDUP(MONTH(Transactions[[#This Row],[Transaction Date]])/3,0)</f>
        <v>Q4</v>
      </c>
      <c r="P564">
        <f>YEAR(Transactions[[#This Row],[Transaction Date]])</f>
        <v>2024</v>
      </c>
      <c r="Q564" t="str">
        <f>IF(Transactions[[#This Row],[Sales Amount]]&lt;AVERAGE(Transactions[Sales Amount]),"Below Average","At/Above Average")</f>
        <v>Below Average</v>
      </c>
    </row>
    <row r="565" spans="4:17" x14ac:dyDescent="0.2">
      <c r="D565" t="s">
        <v>655</v>
      </c>
      <c r="E565" t="s">
        <v>77</v>
      </c>
      <c r="F565" t="s">
        <v>91</v>
      </c>
      <c r="G565">
        <v>195</v>
      </c>
      <c r="H565">
        <v>10</v>
      </c>
      <c r="I565">
        <v>51.11</v>
      </c>
      <c r="J565">
        <v>4</v>
      </c>
      <c r="K565" s="37">
        <v>45554</v>
      </c>
      <c r="L565" t="s">
        <v>102</v>
      </c>
      <c r="M565">
        <v>220.42</v>
      </c>
      <c r="N565">
        <v>7</v>
      </c>
      <c r="O565" t="str">
        <f>"Q"&amp;ROUNDUP(MONTH(Transactions[[#This Row],[Transaction Date]])/3,0)</f>
        <v>Q3</v>
      </c>
      <c r="P565">
        <f>YEAR(Transactions[[#This Row],[Transaction Date]])</f>
        <v>2024</v>
      </c>
      <c r="Q565" t="str">
        <f>IF(Transactions[[#This Row],[Sales Amount]]&lt;AVERAGE(Transactions[Sales Amount]),"Below Average","At/Above Average")</f>
        <v>Below Average</v>
      </c>
    </row>
    <row r="566" spans="4:17" x14ac:dyDescent="0.2">
      <c r="D566" t="s">
        <v>656</v>
      </c>
      <c r="E566" t="s">
        <v>77</v>
      </c>
      <c r="F566" t="s">
        <v>94</v>
      </c>
      <c r="G566">
        <v>184</v>
      </c>
      <c r="H566">
        <v>10</v>
      </c>
      <c r="I566">
        <v>50.38</v>
      </c>
      <c r="J566">
        <v>7</v>
      </c>
      <c r="K566" s="37">
        <v>44893</v>
      </c>
      <c r="L566" t="s">
        <v>102</v>
      </c>
      <c r="M566">
        <v>283.45</v>
      </c>
      <c r="N566">
        <v>35</v>
      </c>
      <c r="O566" t="str">
        <f>"Q"&amp;ROUNDUP(MONTH(Transactions[[#This Row],[Transaction Date]])/3,0)</f>
        <v>Q4</v>
      </c>
      <c r="P566">
        <f>YEAR(Transactions[[#This Row],[Transaction Date]])</f>
        <v>2022</v>
      </c>
      <c r="Q566" t="str">
        <f>IF(Transactions[[#This Row],[Sales Amount]]&lt;AVERAGE(Transactions[Sales Amount]),"Below Average","At/Above Average")</f>
        <v>At/Above Average</v>
      </c>
    </row>
    <row r="567" spans="4:17" x14ac:dyDescent="0.2">
      <c r="D567" t="s">
        <v>657</v>
      </c>
      <c r="E567" t="s">
        <v>77</v>
      </c>
      <c r="F567" t="s">
        <v>94</v>
      </c>
      <c r="G567">
        <v>155</v>
      </c>
      <c r="H567">
        <v>2</v>
      </c>
      <c r="I567">
        <v>58.61</v>
      </c>
      <c r="J567">
        <v>5</v>
      </c>
      <c r="K567" s="37">
        <v>45395</v>
      </c>
      <c r="L567" t="s">
        <v>92</v>
      </c>
      <c r="M567">
        <v>327.51</v>
      </c>
      <c r="N567">
        <v>24</v>
      </c>
      <c r="O567" t="str">
        <f>"Q"&amp;ROUNDUP(MONTH(Transactions[[#This Row],[Transaction Date]])/3,0)</f>
        <v>Q2</v>
      </c>
      <c r="P567">
        <f>YEAR(Transactions[[#This Row],[Transaction Date]])</f>
        <v>2024</v>
      </c>
      <c r="Q567" t="str">
        <f>IF(Transactions[[#This Row],[Sales Amount]]&lt;AVERAGE(Transactions[Sales Amount]),"Below Average","At/Above Average")</f>
        <v>At/Above Average</v>
      </c>
    </row>
    <row r="568" spans="4:17" x14ac:dyDescent="0.2">
      <c r="D568" t="s">
        <v>658</v>
      </c>
      <c r="E568" t="s">
        <v>75</v>
      </c>
      <c r="F568" t="s">
        <v>91</v>
      </c>
      <c r="G568">
        <v>291</v>
      </c>
      <c r="H568">
        <v>10</v>
      </c>
      <c r="I568">
        <v>59.11</v>
      </c>
      <c r="J568">
        <v>8</v>
      </c>
      <c r="K568" s="37">
        <v>44611</v>
      </c>
      <c r="L568" t="s">
        <v>102</v>
      </c>
      <c r="M568">
        <v>233.8</v>
      </c>
      <c r="N568">
        <v>25</v>
      </c>
      <c r="O568" t="str">
        <f>"Q"&amp;ROUNDUP(MONTH(Transactions[[#This Row],[Transaction Date]])/3,0)</f>
        <v>Q1</v>
      </c>
      <c r="P568">
        <f>YEAR(Transactions[[#This Row],[Transaction Date]])</f>
        <v>2022</v>
      </c>
      <c r="Q568" t="str">
        <f>IF(Transactions[[#This Row],[Sales Amount]]&lt;AVERAGE(Transactions[Sales Amount]),"Below Average","At/Above Average")</f>
        <v>Below Average</v>
      </c>
    </row>
    <row r="569" spans="4:17" x14ac:dyDescent="0.2">
      <c r="D569" t="s">
        <v>659</v>
      </c>
      <c r="E569" t="s">
        <v>76</v>
      </c>
      <c r="F569" t="s">
        <v>91</v>
      </c>
      <c r="G569">
        <v>108</v>
      </c>
      <c r="H569">
        <v>1</v>
      </c>
      <c r="I569">
        <v>49.22</v>
      </c>
      <c r="J569">
        <v>8</v>
      </c>
      <c r="K569" s="37">
        <v>44751</v>
      </c>
      <c r="L569" t="s">
        <v>89</v>
      </c>
      <c r="M569">
        <v>44.25</v>
      </c>
      <c r="N569">
        <v>48</v>
      </c>
      <c r="O569" t="str">
        <f>"Q"&amp;ROUNDUP(MONTH(Transactions[[#This Row],[Transaction Date]])/3,0)</f>
        <v>Q3</v>
      </c>
      <c r="P569">
        <f>YEAR(Transactions[[#This Row],[Transaction Date]])</f>
        <v>2022</v>
      </c>
      <c r="Q569" t="str">
        <f>IF(Transactions[[#This Row],[Sales Amount]]&lt;AVERAGE(Transactions[Sales Amount]),"Below Average","At/Above Average")</f>
        <v>Below Average</v>
      </c>
    </row>
    <row r="570" spans="4:17" x14ac:dyDescent="0.2">
      <c r="D570" t="s">
        <v>660</v>
      </c>
      <c r="E570" t="s">
        <v>76</v>
      </c>
      <c r="F570" t="s">
        <v>105</v>
      </c>
      <c r="G570">
        <v>256</v>
      </c>
      <c r="H570">
        <v>4</v>
      </c>
      <c r="I570">
        <v>59.16</v>
      </c>
      <c r="J570">
        <v>7</v>
      </c>
      <c r="K570" s="37">
        <v>44658</v>
      </c>
      <c r="L570" t="s">
        <v>92</v>
      </c>
      <c r="M570">
        <v>289.36</v>
      </c>
      <c r="N570">
        <v>40</v>
      </c>
      <c r="O570" t="str">
        <f>"Q"&amp;ROUNDUP(MONTH(Transactions[[#This Row],[Transaction Date]])/3,0)</f>
        <v>Q2</v>
      </c>
      <c r="P570">
        <f>YEAR(Transactions[[#This Row],[Transaction Date]])</f>
        <v>2022</v>
      </c>
      <c r="Q570" t="str">
        <f>IF(Transactions[[#This Row],[Sales Amount]]&lt;AVERAGE(Transactions[Sales Amount]),"Below Average","At/Above Average")</f>
        <v>At/Above Average</v>
      </c>
    </row>
    <row r="571" spans="4:17" x14ac:dyDescent="0.2">
      <c r="D571" t="s">
        <v>661</v>
      </c>
      <c r="E571" t="s">
        <v>87</v>
      </c>
      <c r="F571" t="s">
        <v>129</v>
      </c>
      <c r="G571">
        <v>287</v>
      </c>
      <c r="H571">
        <v>10</v>
      </c>
      <c r="I571">
        <v>47.05</v>
      </c>
      <c r="J571">
        <v>5</v>
      </c>
      <c r="K571" s="37">
        <v>45235</v>
      </c>
      <c r="L571" t="s">
        <v>92</v>
      </c>
      <c r="M571">
        <v>226.33</v>
      </c>
      <c r="N571">
        <v>12</v>
      </c>
      <c r="O571" t="str">
        <f>"Q"&amp;ROUNDUP(MONTH(Transactions[[#This Row],[Transaction Date]])/3,0)</f>
        <v>Q4</v>
      </c>
      <c r="P571">
        <f>YEAR(Transactions[[#This Row],[Transaction Date]])</f>
        <v>2023</v>
      </c>
      <c r="Q571" t="str">
        <f>IF(Transactions[[#This Row],[Sales Amount]]&lt;AVERAGE(Transactions[Sales Amount]),"Below Average","At/Above Average")</f>
        <v>Below Average</v>
      </c>
    </row>
    <row r="572" spans="4:17" x14ac:dyDescent="0.2">
      <c r="D572" t="s">
        <v>662</v>
      </c>
      <c r="E572" t="s">
        <v>74</v>
      </c>
      <c r="F572" t="s">
        <v>88</v>
      </c>
      <c r="G572">
        <v>177</v>
      </c>
      <c r="H572">
        <v>2</v>
      </c>
      <c r="I572">
        <v>50.77</v>
      </c>
      <c r="J572">
        <v>5</v>
      </c>
      <c r="K572" s="37">
        <v>45529</v>
      </c>
      <c r="L572" t="s">
        <v>97</v>
      </c>
      <c r="M572">
        <v>109.58</v>
      </c>
      <c r="N572">
        <v>49</v>
      </c>
      <c r="O572" t="str">
        <f>"Q"&amp;ROUNDUP(MONTH(Transactions[[#This Row],[Transaction Date]])/3,0)</f>
        <v>Q3</v>
      </c>
      <c r="P572">
        <f>YEAR(Transactions[[#This Row],[Transaction Date]])</f>
        <v>2024</v>
      </c>
      <c r="Q572" t="str">
        <f>IF(Transactions[[#This Row],[Sales Amount]]&lt;AVERAGE(Transactions[Sales Amount]),"Below Average","At/Above Average")</f>
        <v>Below Average</v>
      </c>
    </row>
    <row r="573" spans="4:17" x14ac:dyDescent="0.2">
      <c r="D573" t="s">
        <v>663</v>
      </c>
      <c r="E573" t="s">
        <v>87</v>
      </c>
      <c r="F573" t="s">
        <v>108</v>
      </c>
      <c r="G573">
        <v>183</v>
      </c>
      <c r="H573">
        <v>8</v>
      </c>
      <c r="I573">
        <v>53.55</v>
      </c>
      <c r="J573">
        <v>9</v>
      </c>
      <c r="K573" s="37">
        <v>45472</v>
      </c>
      <c r="L573" t="s">
        <v>124</v>
      </c>
      <c r="M573">
        <v>321.3</v>
      </c>
      <c r="N573">
        <v>35</v>
      </c>
      <c r="O573" t="str">
        <f>"Q"&amp;ROUNDUP(MONTH(Transactions[[#This Row],[Transaction Date]])/3,0)</f>
        <v>Q2</v>
      </c>
      <c r="P573">
        <f>YEAR(Transactions[[#This Row],[Transaction Date]])</f>
        <v>2024</v>
      </c>
      <c r="Q573" t="str">
        <f>IF(Transactions[[#This Row],[Sales Amount]]&lt;AVERAGE(Transactions[Sales Amount]),"Below Average","At/Above Average")</f>
        <v>At/Above Average</v>
      </c>
    </row>
    <row r="574" spans="4:17" x14ac:dyDescent="0.2">
      <c r="D574" t="s">
        <v>664</v>
      </c>
      <c r="E574" t="s">
        <v>78</v>
      </c>
      <c r="F574" t="s">
        <v>99</v>
      </c>
      <c r="G574">
        <v>152</v>
      </c>
      <c r="H574">
        <v>2</v>
      </c>
      <c r="I574">
        <v>56.13</v>
      </c>
      <c r="J574">
        <v>2</v>
      </c>
      <c r="K574" s="37">
        <v>45529</v>
      </c>
      <c r="L574" t="s">
        <v>109</v>
      </c>
      <c r="M574">
        <v>497.8</v>
      </c>
      <c r="N574">
        <v>40</v>
      </c>
      <c r="O574" t="str">
        <f>"Q"&amp;ROUNDUP(MONTH(Transactions[[#This Row],[Transaction Date]])/3,0)</f>
        <v>Q3</v>
      </c>
      <c r="P574">
        <f>YEAR(Transactions[[#This Row],[Transaction Date]])</f>
        <v>2024</v>
      </c>
      <c r="Q574" t="str">
        <f>IF(Transactions[[#This Row],[Sales Amount]]&lt;AVERAGE(Transactions[Sales Amount]),"Below Average","At/Above Average")</f>
        <v>At/Above Average</v>
      </c>
    </row>
    <row r="575" spans="4:17" x14ac:dyDescent="0.2">
      <c r="D575" t="s">
        <v>665</v>
      </c>
      <c r="E575" t="s">
        <v>78</v>
      </c>
      <c r="F575" t="s">
        <v>91</v>
      </c>
      <c r="G575">
        <v>201</v>
      </c>
      <c r="H575">
        <v>1</v>
      </c>
      <c r="I575">
        <v>59.66</v>
      </c>
      <c r="J575">
        <v>2</v>
      </c>
      <c r="K575" s="37">
        <v>44587</v>
      </c>
      <c r="L575" t="s">
        <v>109</v>
      </c>
      <c r="M575">
        <v>320.17</v>
      </c>
      <c r="N575">
        <v>31</v>
      </c>
      <c r="O575" t="str">
        <f>"Q"&amp;ROUNDUP(MONTH(Transactions[[#This Row],[Transaction Date]])/3,0)</f>
        <v>Q1</v>
      </c>
      <c r="P575">
        <f>YEAR(Transactions[[#This Row],[Transaction Date]])</f>
        <v>2022</v>
      </c>
      <c r="Q575" t="str">
        <f>IF(Transactions[[#This Row],[Sales Amount]]&lt;AVERAGE(Transactions[Sales Amount]),"Below Average","At/Above Average")</f>
        <v>At/Above Average</v>
      </c>
    </row>
    <row r="576" spans="4:17" x14ac:dyDescent="0.2">
      <c r="D576" t="s">
        <v>666</v>
      </c>
      <c r="E576" t="s">
        <v>87</v>
      </c>
      <c r="F576" t="s">
        <v>91</v>
      </c>
      <c r="G576">
        <v>144</v>
      </c>
      <c r="H576">
        <v>2</v>
      </c>
      <c r="I576">
        <v>56.27</v>
      </c>
      <c r="J576">
        <v>4</v>
      </c>
      <c r="K576" s="37">
        <v>44888</v>
      </c>
      <c r="L576" t="s">
        <v>124</v>
      </c>
      <c r="M576">
        <v>377.92</v>
      </c>
      <c r="N576">
        <v>2</v>
      </c>
      <c r="O576" t="str">
        <f>"Q"&amp;ROUNDUP(MONTH(Transactions[[#This Row],[Transaction Date]])/3,0)</f>
        <v>Q4</v>
      </c>
      <c r="P576">
        <f>YEAR(Transactions[[#This Row],[Transaction Date]])</f>
        <v>2022</v>
      </c>
      <c r="Q576" t="str">
        <f>IF(Transactions[[#This Row],[Sales Amount]]&lt;AVERAGE(Transactions[Sales Amount]),"Below Average","At/Above Average")</f>
        <v>At/Above Average</v>
      </c>
    </row>
    <row r="577" spans="4:17" x14ac:dyDescent="0.2">
      <c r="D577" t="s">
        <v>667</v>
      </c>
      <c r="E577" t="s">
        <v>77</v>
      </c>
      <c r="F577" t="s">
        <v>91</v>
      </c>
      <c r="G577">
        <v>119</v>
      </c>
      <c r="H577">
        <v>6</v>
      </c>
      <c r="I577">
        <v>56.16</v>
      </c>
      <c r="J577">
        <v>3</v>
      </c>
      <c r="K577" s="37">
        <v>44654</v>
      </c>
      <c r="L577" t="s">
        <v>124</v>
      </c>
      <c r="M577">
        <v>91.11</v>
      </c>
      <c r="N577">
        <v>43</v>
      </c>
      <c r="O577" t="str">
        <f>"Q"&amp;ROUNDUP(MONTH(Transactions[[#This Row],[Transaction Date]])/3,0)</f>
        <v>Q2</v>
      </c>
      <c r="P577">
        <f>YEAR(Transactions[[#This Row],[Transaction Date]])</f>
        <v>2022</v>
      </c>
      <c r="Q577" t="str">
        <f>IF(Transactions[[#This Row],[Sales Amount]]&lt;AVERAGE(Transactions[Sales Amount]),"Below Average","At/Above Average")</f>
        <v>Below Average</v>
      </c>
    </row>
    <row r="578" spans="4:17" x14ac:dyDescent="0.2">
      <c r="D578" t="s">
        <v>668</v>
      </c>
      <c r="E578" t="s">
        <v>77</v>
      </c>
      <c r="F578" t="s">
        <v>96</v>
      </c>
      <c r="G578">
        <v>214</v>
      </c>
      <c r="H578">
        <v>5</v>
      </c>
      <c r="I578">
        <v>53.3</v>
      </c>
      <c r="J578">
        <v>10</v>
      </c>
      <c r="K578" s="37">
        <v>44597</v>
      </c>
      <c r="L578" t="s">
        <v>92</v>
      </c>
      <c r="M578">
        <v>186.48</v>
      </c>
      <c r="N578">
        <v>23</v>
      </c>
      <c r="O578" t="str">
        <f>"Q"&amp;ROUNDUP(MONTH(Transactions[[#This Row],[Transaction Date]])/3,0)</f>
        <v>Q1</v>
      </c>
      <c r="P578">
        <f>YEAR(Transactions[[#This Row],[Transaction Date]])</f>
        <v>2022</v>
      </c>
      <c r="Q578" t="str">
        <f>IF(Transactions[[#This Row],[Sales Amount]]&lt;AVERAGE(Transactions[Sales Amount]),"Below Average","At/Above Average")</f>
        <v>Below Average</v>
      </c>
    </row>
    <row r="579" spans="4:17" x14ac:dyDescent="0.2">
      <c r="D579" t="s">
        <v>669</v>
      </c>
      <c r="E579" t="s">
        <v>74</v>
      </c>
      <c r="F579" t="s">
        <v>94</v>
      </c>
      <c r="G579">
        <v>120</v>
      </c>
      <c r="H579">
        <v>1</v>
      </c>
      <c r="I579">
        <v>58.19</v>
      </c>
      <c r="J579">
        <v>4</v>
      </c>
      <c r="K579" s="37">
        <v>45453</v>
      </c>
      <c r="L579" t="s">
        <v>89</v>
      </c>
      <c r="M579">
        <v>89.63</v>
      </c>
      <c r="N579">
        <v>33</v>
      </c>
      <c r="O579" t="str">
        <f>"Q"&amp;ROUNDUP(MONTH(Transactions[[#This Row],[Transaction Date]])/3,0)</f>
        <v>Q2</v>
      </c>
      <c r="P579">
        <f>YEAR(Transactions[[#This Row],[Transaction Date]])</f>
        <v>2024</v>
      </c>
      <c r="Q579" t="str">
        <f>IF(Transactions[[#This Row],[Sales Amount]]&lt;AVERAGE(Transactions[Sales Amount]),"Below Average","At/Above Average")</f>
        <v>Below Average</v>
      </c>
    </row>
    <row r="580" spans="4:17" x14ac:dyDescent="0.2">
      <c r="D580" t="s">
        <v>670</v>
      </c>
      <c r="E580" t="s">
        <v>77</v>
      </c>
      <c r="F580" t="s">
        <v>94</v>
      </c>
      <c r="G580">
        <v>274</v>
      </c>
      <c r="H580">
        <v>3</v>
      </c>
      <c r="I580">
        <v>55.77</v>
      </c>
      <c r="J580">
        <v>8</v>
      </c>
      <c r="K580" s="37">
        <v>44657</v>
      </c>
      <c r="L580" t="s">
        <v>92</v>
      </c>
      <c r="M580">
        <v>274.68</v>
      </c>
      <c r="N580">
        <v>28</v>
      </c>
      <c r="O580" t="str">
        <f>"Q"&amp;ROUNDUP(MONTH(Transactions[[#This Row],[Transaction Date]])/3,0)</f>
        <v>Q2</v>
      </c>
      <c r="P580">
        <f>YEAR(Transactions[[#This Row],[Transaction Date]])</f>
        <v>2022</v>
      </c>
      <c r="Q580" t="str">
        <f>IF(Transactions[[#This Row],[Sales Amount]]&lt;AVERAGE(Transactions[Sales Amount]),"Below Average","At/Above Average")</f>
        <v>At/Above Average</v>
      </c>
    </row>
    <row r="581" spans="4:17" x14ac:dyDescent="0.2">
      <c r="D581" t="s">
        <v>671</v>
      </c>
      <c r="E581" t="s">
        <v>87</v>
      </c>
      <c r="F581" t="s">
        <v>96</v>
      </c>
      <c r="G581">
        <v>176</v>
      </c>
      <c r="H581">
        <v>3</v>
      </c>
      <c r="I581">
        <v>46.76</v>
      </c>
      <c r="J581">
        <v>3</v>
      </c>
      <c r="K581" s="37">
        <v>44614</v>
      </c>
      <c r="L581" t="s">
        <v>97</v>
      </c>
      <c r="M581">
        <v>275.04000000000002</v>
      </c>
      <c r="N581">
        <v>27</v>
      </c>
      <c r="O581" t="str">
        <f>"Q"&amp;ROUNDUP(MONTH(Transactions[[#This Row],[Transaction Date]])/3,0)</f>
        <v>Q1</v>
      </c>
      <c r="P581">
        <f>YEAR(Transactions[[#This Row],[Transaction Date]])</f>
        <v>2022</v>
      </c>
      <c r="Q581" t="str">
        <f>IF(Transactions[[#This Row],[Sales Amount]]&lt;AVERAGE(Transactions[Sales Amount]),"Below Average","At/Above Average")</f>
        <v>At/Above Average</v>
      </c>
    </row>
    <row r="582" spans="4:17" x14ac:dyDescent="0.2">
      <c r="D582" t="s">
        <v>672</v>
      </c>
      <c r="E582" t="s">
        <v>78</v>
      </c>
      <c r="F582" t="s">
        <v>99</v>
      </c>
      <c r="G582">
        <v>106</v>
      </c>
      <c r="H582">
        <v>1</v>
      </c>
      <c r="I582">
        <v>47.95</v>
      </c>
      <c r="J582">
        <v>10</v>
      </c>
      <c r="K582" s="37">
        <v>45313</v>
      </c>
      <c r="L582" t="s">
        <v>92</v>
      </c>
      <c r="M582">
        <v>70.58</v>
      </c>
      <c r="N582">
        <v>33</v>
      </c>
      <c r="O582" t="str">
        <f>"Q"&amp;ROUNDUP(MONTH(Transactions[[#This Row],[Transaction Date]])/3,0)</f>
        <v>Q1</v>
      </c>
      <c r="P582">
        <f>YEAR(Transactions[[#This Row],[Transaction Date]])</f>
        <v>2024</v>
      </c>
      <c r="Q582" t="str">
        <f>IF(Transactions[[#This Row],[Sales Amount]]&lt;AVERAGE(Transactions[Sales Amount]),"Below Average","At/Above Average")</f>
        <v>Below Average</v>
      </c>
    </row>
    <row r="583" spans="4:17" x14ac:dyDescent="0.2">
      <c r="D583" t="s">
        <v>673</v>
      </c>
      <c r="E583" t="s">
        <v>75</v>
      </c>
      <c r="F583" t="s">
        <v>105</v>
      </c>
      <c r="G583">
        <v>214</v>
      </c>
      <c r="H583">
        <v>6</v>
      </c>
      <c r="I583">
        <v>47.57</v>
      </c>
      <c r="J583">
        <v>2</v>
      </c>
      <c r="K583" s="37">
        <v>45548</v>
      </c>
      <c r="L583" t="s">
        <v>97</v>
      </c>
      <c r="M583">
        <v>342.25</v>
      </c>
      <c r="N583">
        <v>34</v>
      </c>
      <c r="O583" t="str">
        <f>"Q"&amp;ROUNDUP(MONTH(Transactions[[#This Row],[Transaction Date]])/3,0)</f>
        <v>Q3</v>
      </c>
      <c r="P583">
        <f>YEAR(Transactions[[#This Row],[Transaction Date]])</f>
        <v>2024</v>
      </c>
      <c r="Q583" t="str">
        <f>IF(Transactions[[#This Row],[Sales Amount]]&lt;AVERAGE(Transactions[Sales Amount]),"Below Average","At/Above Average")</f>
        <v>At/Above Average</v>
      </c>
    </row>
    <row r="584" spans="4:17" x14ac:dyDescent="0.2">
      <c r="D584" t="s">
        <v>674</v>
      </c>
      <c r="E584" t="s">
        <v>87</v>
      </c>
      <c r="F584" t="s">
        <v>99</v>
      </c>
      <c r="G584">
        <v>148</v>
      </c>
      <c r="H584">
        <v>8</v>
      </c>
      <c r="I584">
        <v>45.7</v>
      </c>
      <c r="J584">
        <v>3</v>
      </c>
      <c r="K584" s="37">
        <v>45190</v>
      </c>
      <c r="L584" t="s">
        <v>97</v>
      </c>
      <c r="M584">
        <v>273.68</v>
      </c>
      <c r="N584">
        <v>18</v>
      </c>
      <c r="O584" t="str">
        <f>"Q"&amp;ROUNDUP(MONTH(Transactions[[#This Row],[Transaction Date]])/3,0)</f>
        <v>Q3</v>
      </c>
      <c r="P584">
        <f>YEAR(Transactions[[#This Row],[Transaction Date]])</f>
        <v>2023</v>
      </c>
      <c r="Q584" t="str">
        <f>IF(Transactions[[#This Row],[Sales Amount]]&lt;AVERAGE(Transactions[Sales Amount]),"Below Average","At/Above Average")</f>
        <v>At/Above Average</v>
      </c>
    </row>
    <row r="585" spans="4:17" x14ac:dyDescent="0.2">
      <c r="D585" t="s">
        <v>675</v>
      </c>
      <c r="E585" t="s">
        <v>76</v>
      </c>
      <c r="F585" t="s">
        <v>105</v>
      </c>
      <c r="G585">
        <v>263</v>
      </c>
      <c r="H585">
        <v>3</v>
      </c>
      <c r="I585">
        <v>59.72</v>
      </c>
      <c r="J585">
        <v>5</v>
      </c>
      <c r="K585" s="37">
        <v>44586</v>
      </c>
      <c r="L585" t="s">
        <v>97</v>
      </c>
      <c r="M585">
        <v>231.08</v>
      </c>
      <c r="N585">
        <v>26</v>
      </c>
      <c r="O585" t="str">
        <f>"Q"&amp;ROUNDUP(MONTH(Transactions[[#This Row],[Transaction Date]])/3,0)</f>
        <v>Q1</v>
      </c>
      <c r="P585">
        <f>YEAR(Transactions[[#This Row],[Transaction Date]])</f>
        <v>2022</v>
      </c>
      <c r="Q585" t="str">
        <f>IF(Transactions[[#This Row],[Sales Amount]]&lt;AVERAGE(Transactions[Sales Amount]),"Below Average","At/Above Average")</f>
        <v>Below Average</v>
      </c>
    </row>
    <row r="586" spans="4:17" x14ac:dyDescent="0.2">
      <c r="D586" t="s">
        <v>676</v>
      </c>
      <c r="E586" t="s">
        <v>76</v>
      </c>
      <c r="F586" t="s">
        <v>99</v>
      </c>
      <c r="G586">
        <v>286</v>
      </c>
      <c r="H586">
        <v>2</v>
      </c>
      <c r="I586">
        <v>55.05</v>
      </c>
      <c r="J586">
        <v>6</v>
      </c>
      <c r="K586" s="37">
        <v>45573</v>
      </c>
      <c r="L586" t="s">
        <v>102</v>
      </c>
      <c r="M586">
        <v>60.32</v>
      </c>
      <c r="N586">
        <v>49</v>
      </c>
      <c r="O586" t="str">
        <f>"Q"&amp;ROUNDUP(MONTH(Transactions[[#This Row],[Transaction Date]])/3,0)</f>
        <v>Q4</v>
      </c>
      <c r="P586">
        <f>YEAR(Transactions[[#This Row],[Transaction Date]])</f>
        <v>2024</v>
      </c>
      <c r="Q586" t="str">
        <f>IF(Transactions[[#This Row],[Sales Amount]]&lt;AVERAGE(Transactions[Sales Amount]),"Below Average","At/Above Average")</f>
        <v>Below Average</v>
      </c>
    </row>
    <row r="587" spans="4:17" x14ac:dyDescent="0.2">
      <c r="D587" t="s">
        <v>677</v>
      </c>
      <c r="E587" t="s">
        <v>78</v>
      </c>
      <c r="F587" t="s">
        <v>99</v>
      </c>
      <c r="G587">
        <v>102</v>
      </c>
      <c r="H587">
        <v>8</v>
      </c>
      <c r="I587">
        <v>48.46</v>
      </c>
      <c r="J587">
        <v>7</v>
      </c>
      <c r="K587" s="37">
        <v>45117</v>
      </c>
      <c r="L587" t="s">
        <v>92</v>
      </c>
      <c r="M587">
        <v>69.91</v>
      </c>
      <c r="N587">
        <v>39</v>
      </c>
      <c r="O587" t="str">
        <f>"Q"&amp;ROUNDUP(MONTH(Transactions[[#This Row],[Transaction Date]])/3,0)</f>
        <v>Q3</v>
      </c>
      <c r="P587">
        <f>YEAR(Transactions[[#This Row],[Transaction Date]])</f>
        <v>2023</v>
      </c>
      <c r="Q587" t="str">
        <f>IF(Transactions[[#This Row],[Sales Amount]]&lt;AVERAGE(Transactions[Sales Amount]),"Below Average","At/Above Average")</f>
        <v>Below Average</v>
      </c>
    </row>
    <row r="588" spans="4:17" x14ac:dyDescent="0.2">
      <c r="D588" t="s">
        <v>678</v>
      </c>
      <c r="E588" t="s">
        <v>76</v>
      </c>
      <c r="F588" t="s">
        <v>94</v>
      </c>
      <c r="G588">
        <v>249</v>
      </c>
      <c r="H588">
        <v>2</v>
      </c>
      <c r="I588">
        <v>45.61</v>
      </c>
      <c r="J588">
        <v>8</v>
      </c>
      <c r="K588" s="37">
        <v>45528</v>
      </c>
      <c r="L588" t="s">
        <v>92</v>
      </c>
      <c r="M588">
        <v>28.29</v>
      </c>
      <c r="N588">
        <v>45</v>
      </c>
      <c r="O588" t="str">
        <f>"Q"&amp;ROUNDUP(MONTH(Transactions[[#This Row],[Transaction Date]])/3,0)</f>
        <v>Q3</v>
      </c>
      <c r="P588">
        <f>YEAR(Transactions[[#This Row],[Transaction Date]])</f>
        <v>2024</v>
      </c>
      <c r="Q588" t="str">
        <f>IF(Transactions[[#This Row],[Sales Amount]]&lt;AVERAGE(Transactions[Sales Amount]),"Below Average","At/Above Average")</f>
        <v>Below Average</v>
      </c>
    </row>
    <row r="589" spans="4:17" x14ac:dyDescent="0.2">
      <c r="D589" t="s">
        <v>679</v>
      </c>
      <c r="E589" t="s">
        <v>87</v>
      </c>
      <c r="F589" t="s">
        <v>108</v>
      </c>
      <c r="G589">
        <v>122</v>
      </c>
      <c r="H589">
        <v>4</v>
      </c>
      <c r="I589">
        <v>59.33</v>
      </c>
      <c r="J589">
        <v>7</v>
      </c>
      <c r="K589" s="37">
        <v>45101</v>
      </c>
      <c r="L589" t="s">
        <v>92</v>
      </c>
      <c r="M589">
        <v>187.69</v>
      </c>
      <c r="N589">
        <v>8</v>
      </c>
      <c r="O589" t="str">
        <f>"Q"&amp;ROUNDUP(MONTH(Transactions[[#This Row],[Transaction Date]])/3,0)</f>
        <v>Q2</v>
      </c>
      <c r="P589">
        <f>YEAR(Transactions[[#This Row],[Transaction Date]])</f>
        <v>2023</v>
      </c>
      <c r="Q589" t="str">
        <f>IF(Transactions[[#This Row],[Sales Amount]]&lt;AVERAGE(Transactions[Sales Amount]),"Below Average","At/Above Average")</f>
        <v>Below Average</v>
      </c>
    </row>
    <row r="590" spans="4:17" x14ac:dyDescent="0.2">
      <c r="D590" t="s">
        <v>680</v>
      </c>
      <c r="E590" t="s">
        <v>74</v>
      </c>
      <c r="F590" t="s">
        <v>108</v>
      </c>
      <c r="G590">
        <v>298</v>
      </c>
      <c r="H590">
        <v>8</v>
      </c>
      <c r="I590">
        <v>52.67</v>
      </c>
      <c r="J590">
        <v>9</v>
      </c>
      <c r="K590" s="37">
        <v>44915</v>
      </c>
      <c r="L590" t="s">
        <v>102</v>
      </c>
      <c r="M590">
        <v>325.67</v>
      </c>
      <c r="N590">
        <v>12</v>
      </c>
      <c r="O590" t="str">
        <f>"Q"&amp;ROUNDUP(MONTH(Transactions[[#This Row],[Transaction Date]])/3,0)</f>
        <v>Q4</v>
      </c>
      <c r="P590">
        <f>YEAR(Transactions[[#This Row],[Transaction Date]])</f>
        <v>2022</v>
      </c>
      <c r="Q590" t="str">
        <f>IF(Transactions[[#This Row],[Sales Amount]]&lt;AVERAGE(Transactions[Sales Amount]),"Below Average","At/Above Average")</f>
        <v>At/Above Average</v>
      </c>
    </row>
    <row r="591" spans="4:17" x14ac:dyDescent="0.2">
      <c r="D591" t="s">
        <v>681</v>
      </c>
      <c r="E591" t="s">
        <v>87</v>
      </c>
      <c r="F591" t="s">
        <v>99</v>
      </c>
      <c r="G591">
        <v>142</v>
      </c>
      <c r="H591">
        <v>5</v>
      </c>
      <c r="I591">
        <v>57.86</v>
      </c>
      <c r="J591">
        <v>10</v>
      </c>
      <c r="K591" s="37">
        <v>45010</v>
      </c>
      <c r="L591" t="s">
        <v>102</v>
      </c>
      <c r="M591">
        <v>332.39</v>
      </c>
      <c r="N591">
        <v>36</v>
      </c>
      <c r="O591" t="str">
        <f>"Q"&amp;ROUNDUP(MONTH(Transactions[[#This Row],[Transaction Date]])/3,0)</f>
        <v>Q1</v>
      </c>
      <c r="P591">
        <f>YEAR(Transactions[[#This Row],[Transaction Date]])</f>
        <v>2023</v>
      </c>
      <c r="Q591" t="str">
        <f>IF(Transactions[[#This Row],[Sales Amount]]&lt;AVERAGE(Transactions[Sales Amount]),"Below Average","At/Above Average")</f>
        <v>At/Above Average</v>
      </c>
    </row>
    <row r="592" spans="4:17" x14ac:dyDescent="0.2">
      <c r="D592" t="s">
        <v>682</v>
      </c>
      <c r="E592" t="s">
        <v>75</v>
      </c>
      <c r="F592" t="s">
        <v>108</v>
      </c>
      <c r="G592">
        <v>210</v>
      </c>
      <c r="H592">
        <v>6</v>
      </c>
      <c r="I592">
        <v>48.54</v>
      </c>
      <c r="J592">
        <v>3</v>
      </c>
      <c r="K592" s="37">
        <v>45407</v>
      </c>
      <c r="L592" t="s">
        <v>102</v>
      </c>
      <c r="M592">
        <v>198.28</v>
      </c>
      <c r="N592">
        <v>16</v>
      </c>
      <c r="O592" t="str">
        <f>"Q"&amp;ROUNDUP(MONTH(Transactions[[#This Row],[Transaction Date]])/3,0)</f>
        <v>Q2</v>
      </c>
      <c r="P592">
        <f>YEAR(Transactions[[#This Row],[Transaction Date]])</f>
        <v>2024</v>
      </c>
      <c r="Q592" t="str">
        <f>IF(Transactions[[#This Row],[Sales Amount]]&lt;AVERAGE(Transactions[Sales Amount]),"Below Average","At/Above Average")</f>
        <v>Below Average</v>
      </c>
    </row>
    <row r="593" spans="4:17" x14ac:dyDescent="0.2">
      <c r="D593" t="s">
        <v>683</v>
      </c>
      <c r="E593" t="s">
        <v>78</v>
      </c>
      <c r="F593" t="s">
        <v>105</v>
      </c>
      <c r="G593">
        <v>250</v>
      </c>
      <c r="H593">
        <v>7</v>
      </c>
      <c r="I593">
        <v>46.86</v>
      </c>
      <c r="J593">
        <v>7</v>
      </c>
      <c r="K593" s="37">
        <v>45549</v>
      </c>
      <c r="L593" t="s">
        <v>92</v>
      </c>
      <c r="M593">
        <v>185.99</v>
      </c>
      <c r="N593">
        <v>39</v>
      </c>
      <c r="O593" t="str">
        <f>"Q"&amp;ROUNDUP(MONTH(Transactions[[#This Row],[Transaction Date]])/3,0)</f>
        <v>Q3</v>
      </c>
      <c r="P593">
        <f>YEAR(Transactions[[#This Row],[Transaction Date]])</f>
        <v>2024</v>
      </c>
      <c r="Q593" t="str">
        <f>IF(Transactions[[#This Row],[Sales Amount]]&lt;AVERAGE(Transactions[Sales Amount]),"Below Average","At/Above Average")</f>
        <v>Below Average</v>
      </c>
    </row>
    <row r="594" spans="4:17" x14ac:dyDescent="0.2">
      <c r="D594" t="s">
        <v>684</v>
      </c>
      <c r="E594" t="s">
        <v>76</v>
      </c>
      <c r="F594" t="s">
        <v>96</v>
      </c>
      <c r="G594">
        <v>261</v>
      </c>
      <c r="H594">
        <v>4</v>
      </c>
      <c r="I594">
        <v>59.56</v>
      </c>
      <c r="J594">
        <v>10</v>
      </c>
      <c r="K594" s="37">
        <v>45231</v>
      </c>
      <c r="L594" t="s">
        <v>97</v>
      </c>
      <c r="M594">
        <v>198.89</v>
      </c>
      <c r="N594">
        <v>41</v>
      </c>
      <c r="O594" t="str">
        <f>"Q"&amp;ROUNDUP(MONTH(Transactions[[#This Row],[Transaction Date]])/3,0)</f>
        <v>Q4</v>
      </c>
      <c r="P594">
        <f>YEAR(Transactions[[#This Row],[Transaction Date]])</f>
        <v>2023</v>
      </c>
      <c r="Q594" t="str">
        <f>IF(Transactions[[#This Row],[Sales Amount]]&lt;AVERAGE(Transactions[Sales Amount]),"Below Average","At/Above Average")</f>
        <v>Below Average</v>
      </c>
    </row>
    <row r="595" spans="4:17" x14ac:dyDescent="0.2">
      <c r="D595" t="s">
        <v>685</v>
      </c>
      <c r="E595" t="s">
        <v>78</v>
      </c>
      <c r="F595" t="s">
        <v>91</v>
      </c>
      <c r="G595">
        <v>296</v>
      </c>
      <c r="H595">
        <v>8</v>
      </c>
      <c r="I595">
        <v>45.29</v>
      </c>
      <c r="J595">
        <v>4</v>
      </c>
      <c r="K595" s="37">
        <v>45450</v>
      </c>
      <c r="L595" t="s">
        <v>109</v>
      </c>
      <c r="M595">
        <v>226.53</v>
      </c>
      <c r="N595">
        <v>3</v>
      </c>
      <c r="O595" t="str">
        <f>"Q"&amp;ROUNDUP(MONTH(Transactions[[#This Row],[Transaction Date]])/3,0)</f>
        <v>Q2</v>
      </c>
      <c r="P595">
        <f>YEAR(Transactions[[#This Row],[Transaction Date]])</f>
        <v>2024</v>
      </c>
      <c r="Q595" t="str">
        <f>IF(Transactions[[#This Row],[Sales Amount]]&lt;AVERAGE(Transactions[Sales Amount]),"Below Average","At/Above Average")</f>
        <v>Below Average</v>
      </c>
    </row>
    <row r="596" spans="4:17" x14ac:dyDescent="0.2">
      <c r="D596" t="s">
        <v>686</v>
      </c>
      <c r="E596" t="s">
        <v>87</v>
      </c>
      <c r="F596" t="s">
        <v>99</v>
      </c>
      <c r="G596">
        <v>206</v>
      </c>
      <c r="H596">
        <v>5</v>
      </c>
      <c r="I596">
        <v>53.09</v>
      </c>
      <c r="J596">
        <v>4</v>
      </c>
      <c r="K596" s="37">
        <v>44935</v>
      </c>
      <c r="L596" t="s">
        <v>89</v>
      </c>
      <c r="M596">
        <v>295.92</v>
      </c>
      <c r="N596">
        <v>26</v>
      </c>
      <c r="O596" t="str">
        <f>"Q"&amp;ROUNDUP(MONTH(Transactions[[#This Row],[Transaction Date]])/3,0)</f>
        <v>Q1</v>
      </c>
      <c r="P596">
        <f>YEAR(Transactions[[#This Row],[Transaction Date]])</f>
        <v>2023</v>
      </c>
      <c r="Q596" t="str">
        <f>IF(Transactions[[#This Row],[Sales Amount]]&lt;AVERAGE(Transactions[Sales Amount]),"Below Average","At/Above Average")</f>
        <v>At/Above Average</v>
      </c>
    </row>
    <row r="597" spans="4:17" x14ac:dyDescent="0.2">
      <c r="D597" t="s">
        <v>687</v>
      </c>
      <c r="E597" t="s">
        <v>74</v>
      </c>
      <c r="F597" t="s">
        <v>88</v>
      </c>
      <c r="G597">
        <v>273</v>
      </c>
      <c r="H597">
        <v>4</v>
      </c>
      <c r="I597">
        <v>56.99</v>
      </c>
      <c r="J597">
        <v>5</v>
      </c>
      <c r="K597" s="37">
        <v>44577</v>
      </c>
      <c r="L597" t="s">
        <v>124</v>
      </c>
      <c r="M597">
        <v>230.79</v>
      </c>
      <c r="N597">
        <v>23</v>
      </c>
      <c r="O597" t="str">
        <f>"Q"&amp;ROUNDUP(MONTH(Transactions[[#This Row],[Transaction Date]])/3,0)</f>
        <v>Q1</v>
      </c>
      <c r="P597">
        <f>YEAR(Transactions[[#This Row],[Transaction Date]])</f>
        <v>2022</v>
      </c>
      <c r="Q597" t="str">
        <f>IF(Transactions[[#This Row],[Sales Amount]]&lt;AVERAGE(Transactions[Sales Amount]),"Below Average","At/Above Average")</f>
        <v>Below Average</v>
      </c>
    </row>
    <row r="598" spans="4:17" x14ac:dyDescent="0.2">
      <c r="D598" t="s">
        <v>688</v>
      </c>
      <c r="E598" t="s">
        <v>78</v>
      </c>
      <c r="F598" t="s">
        <v>99</v>
      </c>
      <c r="G598">
        <v>155</v>
      </c>
      <c r="H598">
        <v>3</v>
      </c>
      <c r="I598">
        <v>52.59</v>
      </c>
      <c r="J598">
        <v>7</v>
      </c>
      <c r="K598" s="37">
        <v>45644</v>
      </c>
      <c r="L598" t="s">
        <v>92</v>
      </c>
      <c r="M598">
        <v>339.98</v>
      </c>
      <c r="N598">
        <v>46</v>
      </c>
      <c r="O598" t="str">
        <f>"Q"&amp;ROUNDUP(MONTH(Transactions[[#This Row],[Transaction Date]])/3,0)</f>
        <v>Q4</v>
      </c>
      <c r="P598">
        <f>YEAR(Transactions[[#This Row],[Transaction Date]])</f>
        <v>2024</v>
      </c>
      <c r="Q598" t="str">
        <f>IF(Transactions[[#This Row],[Sales Amount]]&lt;AVERAGE(Transactions[Sales Amount]),"Below Average","At/Above Average")</f>
        <v>At/Above Average</v>
      </c>
    </row>
    <row r="599" spans="4:17" x14ac:dyDescent="0.2">
      <c r="D599" t="s">
        <v>689</v>
      </c>
      <c r="E599" t="s">
        <v>77</v>
      </c>
      <c r="F599" t="s">
        <v>108</v>
      </c>
      <c r="G599">
        <v>107</v>
      </c>
      <c r="H599">
        <v>8</v>
      </c>
      <c r="I599">
        <v>59.08</v>
      </c>
      <c r="J599">
        <v>10</v>
      </c>
      <c r="K599" s="37">
        <v>44662</v>
      </c>
      <c r="L599" t="s">
        <v>89</v>
      </c>
      <c r="M599">
        <v>30.74</v>
      </c>
      <c r="N599">
        <v>25</v>
      </c>
      <c r="O599" t="str">
        <f>"Q"&amp;ROUNDUP(MONTH(Transactions[[#This Row],[Transaction Date]])/3,0)</f>
        <v>Q2</v>
      </c>
      <c r="P599">
        <f>YEAR(Transactions[[#This Row],[Transaction Date]])</f>
        <v>2022</v>
      </c>
      <c r="Q599" t="str">
        <f>IF(Transactions[[#This Row],[Sales Amount]]&lt;AVERAGE(Transactions[Sales Amount]),"Below Average","At/Above Average")</f>
        <v>Below Average</v>
      </c>
    </row>
    <row r="600" spans="4:17" x14ac:dyDescent="0.2">
      <c r="D600" t="s">
        <v>690</v>
      </c>
      <c r="E600" t="s">
        <v>75</v>
      </c>
      <c r="F600" t="s">
        <v>94</v>
      </c>
      <c r="G600">
        <v>121</v>
      </c>
      <c r="H600">
        <v>6</v>
      </c>
      <c r="I600">
        <v>52.06</v>
      </c>
      <c r="J600">
        <v>3</v>
      </c>
      <c r="K600" s="37">
        <v>44616</v>
      </c>
      <c r="L600" t="s">
        <v>109</v>
      </c>
      <c r="M600">
        <v>428.67</v>
      </c>
      <c r="N600">
        <v>48</v>
      </c>
      <c r="O600" t="str">
        <f>"Q"&amp;ROUNDUP(MONTH(Transactions[[#This Row],[Transaction Date]])/3,0)</f>
        <v>Q1</v>
      </c>
      <c r="P600">
        <f>YEAR(Transactions[[#This Row],[Transaction Date]])</f>
        <v>2022</v>
      </c>
      <c r="Q600" t="str">
        <f>IF(Transactions[[#This Row],[Sales Amount]]&lt;AVERAGE(Transactions[Sales Amount]),"Below Average","At/Above Average")</f>
        <v>At/Above Average</v>
      </c>
    </row>
    <row r="601" spans="4:17" x14ac:dyDescent="0.2">
      <c r="D601" t="s">
        <v>691</v>
      </c>
      <c r="E601" t="s">
        <v>78</v>
      </c>
      <c r="F601" t="s">
        <v>94</v>
      </c>
      <c r="G601">
        <v>295</v>
      </c>
      <c r="H601">
        <v>7</v>
      </c>
      <c r="I601">
        <v>54.61</v>
      </c>
      <c r="J601">
        <v>4</v>
      </c>
      <c r="K601" s="37">
        <v>45527</v>
      </c>
      <c r="L601" t="s">
        <v>124</v>
      </c>
      <c r="M601">
        <v>485.14</v>
      </c>
      <c r="N601">
        <v>21</v>
      </c>
      <c r="O601" t="str">
        <f>"Q"&amp;ROUNDUP(MONTH(Transactions[[#This Row],[Transaction Date]])/3,0)</f>
        <v>Q3</v>
      </c>
      <c r="P601">
        <f>YEAR(Transactions[[#This Row],[Transaction Date]])</f>
        <v>2024</v>
      </c>
      <c r="Q601" t="str">
        <f>IF(Transactions[[#This Row],[Sales Amount]]&lt;AVERAGE(Transactions[Sales Amount]),"Below Average","At/Above Average")</f>
        <v>At/Above Average</v>
      </c>
    </row>
    <row r="602" spans="4:17" x14ac:dyDescent="0.2">
      <c r="D602" t="s">
        <v>692</v>
      </c>
      <c r="E602" t="s">
        <v>74</v>
      </c>
      <c r="F602" t="s">
        <v>96</v>
      </c>
      <c r="G602">
        <v>212</v>
      </c>
      <c r="H602">
        <v>6</v>
      </c>
      <c r="I602">
        <v>58.16</v>
      </c>
      <c r="J602">
        <v>1</v>
      </c>
      <c r="K602" s="37">
        <v>45311</v>
      </c>
      <c r="L602" t="s">
        <v>124</v>
      </c>
      <c r="M602">
        <v>324.76</v>
      </c>
      <c r="N602">
        <v>29</v>
      </c>
      <c r="O602" t="str">
        <f>"Q"&amp;ROUNDUP(MONTH(Transactions[[#This Row],[Transaction Date]])/3,0)</f>
        <v>Q1</v>
      </c>
      <c r="P602">
        <f>YEAR(Transactions[[#This Row],[Transaction Date]])</f>
        <v>2024</v>
      </c>
      <c r="Q602" t="str">
        <f>IF(Transactions[[#This Row],[Sales Amount]]&lt;AVERAGE(Transactions[Sales Amount]),"Below Average","At/Above Average")</f>
        <v>At/Above Average</v>
      </c>
    </row>
    <row r="603" spans="4:17" x14ac:dyDescent="0.2">
      <c r="D603" t="s">
        <v>693</v>
      </c>
      <c r="E603" t="s">
        <v>74</v>
      </c>
      <c r="F603" t="s">
        <v>96</v>
      </c>
      <c r="G603">
        <v>252</v>
      </c>
      <c r="H603">
        <v>3</v>
      </c>
      <c r="I603">
        <v>51.76</v>
      </c>
      <c r="J603">
        <v>3</v>
      </c>
      <c r="K603" s="37">
        <v>45522</v>
      </c>
      <c r="L603" t="s">
        <v>97</v>
      </c>
      <c r="M603">
        <v>495.53</v>
      </c>
      <c r="N603">
        <v>44</v>
      </c>
      <c r="O603" t="str">
        <f>"Q"&amp;ROUNDUP(MONTH(Transactions[[#This Row],[Transaction Date]])/3,0)</f>
        <v>Q3</v>
      </c>
      <c r="P603">
        <f>YEAR(Transactions[[#This Row],[Transaction Date]])</f>
        <v>2024</v>
      </c>
      <c r="Q603" t="str">
        <f>IF(Transactions[[#This Row],[Sales Amount]]&lt;AVERAGE(Transactions[Sales Amount]),"Below Average","At/Above Average")</f>
        <v>At/Above Average</v>
      </c>
    </row>
    <row r="604" spans="4:17" x14ac:dyDescent="0.2">
      <c r="D604" t="s">
        <v>694</v>
      </c>
      <c r="E604" t="s">
        <v>78</v>
      </c>
      <c r="F604" t="s">
        <v>96</v>
      </c>
      <c r="G604">
        <v>121</v>
      </c>
      <c r="H604">
        <v>10</v>
      </c>
      <c r="I604">
        <v>54.31</v>
      </c>
      <c r="J604">
        <v>1</v>
      </c>
      <c r="K604" s="37">
        <v>44784</v>
      </c>
      <c r="L604" t="s">
        <v>124</v>
      </c>
      <c r="M604">
        <v>144.58000000000001</v>
      </c>
      <c r="N604">
        <v>12</v>
      </c>
      <c r="O604" t="str">
        <f>"Q"&amp;ROUNDUP(MONTH(Transactions[[#This Row],[Transaction Date]])/3,0)</f>
        <v>Q3</v>
      </c>
      <c r="P604">
        <f>YEAR(Transactions[[#This Row],[Transaction Date]])</f>
        <v>2022</v>
      </c>
      <c r="Q604" t="str">
        <f>IF(Transactions[[#This Row],[Sales Amount]]&lt;AVERAGE(Transactions[Sales Amount]),"Below Average","At/Above Average")</f>
        <v>Below Average</v>
      </c>
    </row>
    <row r="605" spans="4:17" x14ac:dyDescent="0.2">
      <c r="D605" t="s">
        <v>695</v>
      </c>
      <c r="E605" t="s">
        <v>76</v>
      </c>
      <c r="F605" t="s">
        <v>96</v>
      </c>
      <c r="G605">
        <v>162</v>
      </c>
      <c r="H605">
        <v>4</v>
      </c>
      <c r="I605">
        <v>56.35</v>
      </c>
      <c r="J605">
        <v>9</v>
      </c>
      <c r="K605" s="37">
        <v>45182</v>
      </c>
      <c r="L605" t="s">
        <v>92</v>
      </c>
      <c r="M605">
        <v>286.92</v>
      </c>
      <c r="N605">
        <v>34</v>
      </c>
      <c r="O605" t="str">
        <f>"Q"&amp;ROUNDUP(MONTH(Transactions[[#This Row],[Transaction Date]])/3,0)</f>
        <v>Q3</v>
      </c>
      <c r="P605">
        <f>YEAR(Transactions[[#This Row],[Transaction Date]])</f>
        <v>2023</v>
      </c>
      <c r="Q605" t="str">
        <f>IF(Transactions[[#This Row],[Sales Amount]]&lt;AVERAGE(Transactions[Sales Amount]),"Below Average","At/Above Average")</f>
        <v>At/Above Average</v>
      </c>
    </row>
    <row r="606" spans="4:17" x14ac:dyDescent="0.2">
      <c r="D606" t="s">
        <v>696</v>
      </c>
      <c r="E606" t="s">
        <v>77</v>
      </c>
      <c r="F606" t="s">
        <v>108</v>
      </c>
      <c r="G606">
        <v>136</v>
      </c>
      <c r="H606">
        <v>10</v>
      </c>
      <c r="I606">
        <v>47.85</v>
      </c>
      <c r="J606">
        <v>10</v>
      </c>
      <c r="K606" s="37">
        <v>44721</v>
      </c>
      <c r="L606" t="s">
        <v>89</v>
      </c>
      <c r="M606">
        <v>75.28</v>
      </c>
      <c r="N606">
        <v>41</v>
      </c>
      <c r="O606" t="str">
        <f>"Q"&amp;ROUNDUP(MONTH(Transactions[[#This Row],[Transaction Date]])/3,0)</f>
        <v>Q2</v>
      </c>
      <c r="P606">
        <f>YEAR(Transactions[[#This Row],[Transaction Date]])</f>
        <v>2022</v>
      </c>
      <c r="Q606" t="str">
        <f>IF(Transactions[[#This Row],[Sales Amount]]&lt;AVERAGE(Transactions[Sales Amount]),"Below Average","At/Above Average")</f>
        <v>Below Average</v>
      </c>
    </row>
    <row r="607" spans="4:17" x14ac:dyDescent="0.2">
      <c r="D607" t="s">
        <v>697</v>
      </c>
      <c r="E607" t="s">
        <v>87</v>
      </c>
      <c r="F607" t="s">
        <v>129</v>
      </c>
      <c r="G607">
        <v>245</v>
      </c>
      <c r="H607">
        <v>5</v>
      </c>
      <c r="I607">
        <v>48.02</v>
      </c>
      <c r="J607">
        <v>5</v>
      </c>
      <c r="K607" s="37">
        <v>44988</v>
      </c>
      <c r="L607" t="s">
        <v>97</v>
      </c>
      <c r="M607">
        <v>83.16</v>
      </c>
      <c r="N607">
        <v>12</v>
      </c>
      <c r="O607" t="str">
        <f>"Q"&amp;ROUNDUP(MONTH(Transactions[[#This Row],[Transaction Date]])/3,0)</f>
        <v>Q1</v>
      </c>
      <c r="P607">
        <f>YEAR(Transactions[[#This Row],[Transaction Date]])</f>
        <v>2023</v>
      </c>
      <c r="Q607" t="str">
        <f>IF(Transactions[[#This Row],[Sales Amount]]&lt;AVERAGE(Transactions[Sales Amount]),"Below Average","At/Above Average")</f>
        <v>Below Average</v>
      </c>
    </row>
    <row r="608" spans="4:17" x14ac:dyDescent="0.2">
      <c r="D608" t="s">
        <v>698</v>
      </c>
      <c r="E608" t="s">
        <v>75</v>
      </c>
      <c r="F608" t="s">
        <v>129</v>
      </c>
      <c r="G608">
        <v>173</v>
      </c>
      <c r="H608">
        <v>6</v>
      </c>
      <c r="I608">
        <v>48.07</v>
      </c>
      <c r="J608">
        <v>1</v>
      </c>
      <c r="K608" s="37">
        <v>45280</v>
      </c>
      <c r="L608" t="s">
        <v>109</v>
      </c>
      <c r="M608">
        <v>208.14</v>
      </c>
      <c r="N608">
        <v>14</v>
      </c>
      <c r="O608" t="str">
        <f>"Q"&amp;ROUNDUP(MONTH(Transactions[[#This Row],[Transaction Date]])/3,0)</f>
        <v>Q4</v>
      </c>
      <c r="P608">
        <f>YEAR(Transactions[[#This Row],[Transaction Date]])</f>
        <v>2023</v>
      </c>
      <c r="Q608" t="str">
        <f>IF(Transactions[[#This Row],[Sales Amount]]&lt;AVERAGE(Transactions[Sales Amount]),"Below Average","At/Above Average")</f>
        <v>Below Average</v>
      </c>
    </row>
    <row r="609" spans="4:17" x14ac:dyDescent="0.2">
      <c r="D609" t="s">
        <v>699</v>
      </c>
      <c r="E609" t="s">
        <v>75</v>
      </c>
      <c r="F609" t="s">
        <v>108</v>
      </c>
      <c r="G609">
        <v>255</v>
      </c>
      <c r="H609">
        <v>1</v>
      </c>
      <c r="I609">
        <v>48.16</v>
      </c>
      <c r="J609">
        <v>1</v>
      </c>
      <c r="K609" s="37">
        <v>44899</v>
      </c>
      <c r="L609" t="s">
        <v>102</v>
      </c>
      <c r="M609">
        <v>351.09</v>
      </c>
      <c r="N609">
        <v>36</v>
      </c>
      <c r="O609" t="str">
        <f>"Q"&amp;ROUNDUP(MONTH(Transactions[[#This Row],[Transaction Date]])/3,0)</f>
        <v>Q4</v>
      </c>
      <c r="P609">
        <f>YEAR(Transactions[[#This Row],[Transaction Date]])</f>
        <v>2022</v>
      </c>
      <c r="Q609" t="str">
        <f>IF(Transactions[[#This Row],[Sales Amount]]&lt;AVERAGE(Transactions[Sales Amount]),"Below Average","At/Above Average")</f>
        <v>At/Above Average</v>
      </c>
    </row>
    <row r="610" spans="4:17" x14ac:dyDescent="0.2">
      <c r="D610" t="s">
        <v>700</v>
      </c>
      <c r="E610" t="s">
        <v>78</v>
      </c>
      <c r="F610" t="s">
        <v>105</v>
      </c>
      <c r="G610">
        <v>153</v>
      </c>
      <c r="H610">
        <v>1</v>
      </c>
      <c r="I610">
        <v>47.14</v>
      </c>
      <c r="J610">
        <v>7</v>
      </c>
      <c r="K610" s="37">
        <v>44646</v>
      </c>
      <c r="L610" t="s">
        <v>89</v>
      </c>
      <c r="M610">
        <v>354.7</v>
      </c>
      <c r="N610">
        <v>41</v>
      </c>
      <c r="O610" t="str">
        <f>"Q"&amp;ROUNDUP(MONTH(Transactions[[#This Row],[Transaction Date]])/3,0)</f>
        <v>Q1</v>
      </c>
      <c r="P610">
        <f>YEAR(Transactions[[#This Row],[Transaction Date]])</f>
        <v>2022</v>
      </c>
      <c r="Q610" t="str">
        <f>IF(Transactions[[#This Row],[Sales Amount]]&lt;AVERAGE(Transactions[Sales Amount]),"Below Average","At/Above Average")</f>
        <v>At/Above Average</v>
      </c>
    </row>
    <row r="611" spans="4:17" x14ac:dyDescent="0.2">
      <c r="D611" t="s">
        <v>701</v>
      </c>
      <c r="E611" t="s">
        <v>74</v>
      </c>
      <c r="F611" t="s">
        <v>108</v>
      </c>
      <c r="G611">
        <v>205</v>
      </c>
      <c r="H611">
        <v>1</v>
      </c>
      <c r="I611">
        <v>46.48</v>
      </c>
      <c r="J611">
        <v>5</v>
      </c>
      <c r="K611" s="37">
        <v>45209</v>
      </c>
      <c r="L611" t="s">
        <v>92</v>
      </c>
      <c r="M611">
        <v>190.6</v>
      </c>
      <c r="N611">
        <v>44</v>
      </c>
      <c r="O611" t="str">
        <f>"Q"&amp;ROUNDUP(MONTH(Transactions[[#This Row],[Transaction Date]])/3,0)</f>
        <v>Q4</v>
      </c>
      <c r="P611">
        <f>YEAR(Transactions[[#This Row],[Transaction Date]])</f>
        <v>2023</v>
      </c>
      <c r="Q611" t="str">
        <f>IF(Transactions[[#This Row],[Sales Amount]]&lt;AVERAGE(Transactions[Sales Amount]),"Below Average","At/Above Average")</f>
        <v>Below Average</v>
      </c>
    </row>
    <row r="612" spans="4:17" x14ac:dyDescent="0.2">
      <c r="D612" t="s">
        <v>702</v>
      </c>
      <c r="E612" t="s">
        <v>87</v>
      </c>
      <c r="F612" t="s">
        <v>105</v>
      </c>
      <c r="G612">
        <v>150</v>
      </c>
      <c r="H612">
        <v>10</v>
      </c>
      <c r="I612">
        <v>58.19</v>
      </c>
      <c r="J612">
        <v>3</v>
      </c>
      <c r="K612" s="37">
        <v>45551</v>
      </c>
      <c r="L612" t="s">
        <v>124</v>
      </c>
      <c r="M612">
        <v>41.51</v>
      </c>
      <c r="N612">
        <v>4</v>
      </c>
      <c r="O612" t="str">
        <f>"Q"&amp;ROUNDUP(MONTH(Transactions[[#This Row],[Transaction Date]])/3,0)</f>
        <v>Q3</v>
      </c>
      <c r="P612">
        <f>YEAR(Transactions[[#This Row],[Transaction Date]])</f>
        <v>2024</v>
      </c>
      <c r="Q612" t="str">
        <f>IF(Transactions[[#This Row],[Sales Amount]]&lt;AVERAGE(Transactions[Sales Amount]),"Below Average","At/Above Average")</f>
        <v>Below Average</v>
      </c>
    </row>
    <row r="613" spans="4:17" x14ac:dyDescent="0.2">
      <c r="D613" t="s">
        <v>703</v>
      </c>
      <c r="E613" t="s">
        <v>78</v>
      </c>
      <c r="F613" t="s">
        <v>94</v>
      </c>
      <c r="G613">
        <v>199</v>
      </c>
      <c r="H613">
        <v>3</v>
      </c>
      <c r="I613">
        <v>56.38</v>
      </c>
      <c r="J613">
        <v>5</v>
      </c>
      <c r="K613" s="37">
        <v>45319</v>
      </c>
      <c r="L613" t="s">
        <v>92</v>
      </c>
      <c r="M613">
        <v>165.48</v>
      </c>
      <c r="N613">
        <v>30</v>
      </c>
      <c r="O613" t="str">
        <f>"Q"&amp;ROUNDUP(MONTH(Transactions[[#This Row],[Transaction Date]])/3,0)</f>
        <v>Q1</v>
      </c>
      <c r="P613">
        <f>YEAR(Transactions[[#This Row],[Transaction Date]])</f>
        <v>2024</v>
      </c>
      <c r="Q613" t="str">
        <f>IF(Transactions[[#This Row],[Sales Amount]]&lt;AVERAGE(Transactions[Sales Amount]),"Below Average","At/Above Average")</f>
        <v>Below Average</v>
      </c>
    </row>
    <row r="614" spans="4:17" x14ac:dyDescent="0.2">
      <c r="D614" t="s">
        <v>704</v>
      </c>
      <c r="E614" t="s">
        <v>76</v>
      </c>
      <c r="F614" t="s">
        <v>105</v>
      </c>
      <c r="G614">
        <v>187</v>
      </c>
      <c r="H614">
        <v>7</v>
      </c>
      <c r="I614">
        <v>53.74</v>
      </c>
      <c r="J614">
        <v>6</v>
      </c>
      <c r="K614" s="37">
        <v>45270</v>
      </c>
      <c r="L614" t="s">
        <v>124</v>
      </c>
      <c r="M614">
        <v>257.08</v>
      </c>
      <c r="N614">
        <v>38</v>
      </c>
      <c r="O614" t="str">
        <f>"Q"&amp;ROUNDUP(MONTH(Transactions[[#This Row],[Transaction Date]])/3,0)</f>
        <v>Q4</v>
      </c>
      <c r="P614">
        <f>YEAR(Transactions[[#This Row],[Transaction Date]])</f>
        <v>2023</v>
      </c>
      <c r="Q614" t="str">
        <f>IF(Transactions[[#This Row],[Sales Amount]]&lt;AVERAGE(Transactions[Sales Amount]),"Below Average","At/Above Average")</f>
        <v>Below Average</v>
      </c>
    </row>
    <row r="615" spans="4:17" x14ac:dyDescent="0.2">
      <c r="D615" t="s">
        <v>705</v>
      </c>
      <c r="E615" t="s">
        <v>87</v>
      </c>
      <c r="F615" t="s">
        <v>99</v>
      </c>
      <c r="G615">
        <v>152</v>
      </c>
      <c r="H615">
        <v>10</v>
      </c>
      <c r="I615">
        <v>58.3</v>
      </c>
      <c r="J615">
        <v>6</v>
      </c>
      <c r="K615" s="37">
        <v>44683</v>
      </c>
      <c r="L615" t="s">
        <v>102</v>
      </c>
      <c r="M615">
        <v>40.200000000000003</v>
      </c>
      <c r="N615">
        <v>8</v>
      </c>
      <c r="O615" t="str">
        <f>"Q"&amp;ROUNDUP(MONTH(Transactions[[#This Row],[Transaction Date]])/3,0)</f>
        <v>Q2</v>
      </c>
      <c r="P615">
        <f>YEAR(Transactions[[#This Row],[Transaction Date]])</f>
        <v>2022</v>
      </c>
      <c r="Q615" t="str">
        <f>IF(Transactions[[#This Row],[Sales Amount]]&lt;AVERAGE(Transactions[Sales Amount]),"Below Average","At/Above Average")</f>
        <v>Below Average</v>
      </c>
    </row>
    <row r="616" spans="4:17" x14ac:dyDescent="0.2">
      <c r="D616" t="s">
        <v>706</v>
      </c>
      <c r="E616" t="s">
        <v>74</v>
      </c>
      <c r="F616" t="s">
        <v>88</v>
      </c>
      <c r="G616">
        <v>278</v>
      </c>
      <c r="H616">
        <v>6</v>
      </c>
      <c r="I616">
        <v>55.35</v>
      </c>
      <c r="J616">
        <v>8</v>
      </c>
      <c r="K616" s="37">
        <v>44567</v>
      </c>
      <c r="L616" t="s">
        <v>92</v>
      </c>
      <c r="M616">
        <v>91.87</v>
      </c>
      <c r="N616">
        <v>42</v>
      </c>
      <c r="O616" t="str">
        <f>"Q"&amp;ROUNDUP(MONTH(Transactions[[#This Row],[Transaction Date]])/3,0)</f>
        <v>Q1</v>
      </c>
      <c r="P616">
        <f>YEAR(Transactions[[#This Row],[Transaction Date]])</f>
        <v>2022</v>
      </c>
      <c r="Q616" t="str">
        <f>IF(Transactions[[#This Row],[Sales Amount]]&lt;AVERAGE(Transactions[Sales Amount]),"Below Average","At/Above Average")</f>
        <v>Below Average</v>
      </c>
    </row>
    <row r="617" spans="4:17" x14ac:dyDescent="0.2">
      <c r="D617" t="s">
        <v>707</v>
      </c>
      <c r="E617" t="s">
        <v>76</v>
      </c>
      <c r="F617" t="s">
        <v>91</v>
      </c>
      <c r="G617">
        <v>296</v>
      </c>
      <c r="H617">
        <v>5</v>
      </c>
      <c r="I617">
        <v>54.42</v>
      </c>
      <c r="J617">
        <v>9</v>
      </c>
      <c r="K617" s="37">
        <v>44650</v>
      </c>
      <c r="L617" t="s">
        <v>102</v>
      </c>
      <c r="M617">
        <v>98.75</v>
      </c>
      <c r="N617">
        <v>15</v>
      </c>
      <c r="O617" t="str">
        <f>"Q"&amp;ROUNDUP(MONTH(Transactions[[#This Row],[Transaction Date]])/3,0)</f>
        <v>Q1</v>
      </c>
      <c r="P617">
        <f>YEAR(Transactions[[#This Row],[Transaction Date]])</f>
        <v>2022</v>
      </c>
      <c r="Q617" t="str">
        <f>IF(Transactions[[#This Row],[Sales Amount]]&lt;AVERAGE(Transactions[Sales Amount]),"Below Average","At/Above Average")</f>
        <v>Below Average</v>
      </c>
    </row>
    <row r="618" spans="4:17" x14ac:dyDescent="0.2">
      <c r="D618" t="s">
        <v>708</v>
      </c>
      <c r="E618" t="s">
        <v>74</v>
      </c>
      <c r="F618" t="s">
        <v>94</v>
      </c>
      <c r="G618">
        <v>271</v>
      </c>
      <c r="H618">
        <v>6</v>
      </c>
      <c r="I618">
        <v>56.97</v>
      </c>
      <c r="J618">
        <v>8</v>
      </c>
      <c r="K618" s="37">
        <v>45282</v>
      </c>
      <c r="L618" t="s">
        <v>89</v>
      </c>
      <c r="M618">
        <v>343.01</v>
      </c>
      <c r="N618">
        <v>43</v>
      </c>
      <c r="O618" t="str">
        <f>"Q"&amp;ROUNDUP(MONTH(Transactions[[#This Row],[Transaction Date]])/3,0)</f>
        <v>Q4</v>
      </c>
      <c r="P618">
        <f>YEAR(Transactions[[#This Row],[Transaction Date]])</f>
        <v>2023</v>
      </c>
      <c r="Q618" t="str">
        <f>IF(Transactions[[#This Row],[Sales Amount]]&lt;AVERAGE(Transactions[Sales Amount]),"Below Average","At/Above Average")</f>
        <v>At/Above Average</v>
      </c>
    </row>
    <row r="619" spans="4:17" x14ac:dyDescent="0.2">
      <c r="D619" t="s">
        <v>709</v>
      </c>
      <c r="E619" t="s">
        <v>76</v>
      </c>
      <c r="F619" t="s">
        <v>108</v>
      </c>
      <c r="G619">
        <v>254</v>
      </c>
      <c r="H619">
        <v>4</v>
      </c>
      <c r="I619">
        <v>54.93</v>
      </c>
      <c r="J619">
        <v>8</v>
      </c>
      <c r="K619" s="37">
        <v>45296</v>
      </c>
      <c r="L619" t="s">
        <v>124</v>
      </c>
      <c r="M619">
        <v>412.78</v>
      </c>
      <c r="N619">
        <v>15</v>
      </c>
      <c r="O619" t="str">
        <f>"Q"&amp;ROUNDUP(MONTH(Transactions[[#This Row],[Transaction Date]])/3,0)</f>
        <v>Q1</v>
      </c>
      <c r="P619">
        <f>YEAR(Transactions[[#This Row],[Transaction Date]])</f>
        <v>2024</v>
      </c>
      <c r="Q619" t="str">
        <f>IF(Transactions[[#This Row],[Sales Amount]]&lt;AVERAGE(Transactions[Sales Amount]),"Below Average","At/Above Average")</f>
        <v>At/Above Average</v>
      </c>
    </row>
    <row r="620" spans="4:17" x14ac:dyDescent="0.2">
      <c r="D620" t="s">
        <v>710</v>
      </c>
      <c r="E620" t="s">
        <v>75</v>
      </c>
      <c r="F620" t="s">
        <v>108</v>
      </c>
      <c r="G620">
        <v>112</v>
      </c>
      <c r="H620">
        <v>7</v>
      </c>
      <c r="I620">
        <v>58.84</v>
      </c>
      <c r="J620">
        <v>1</v>
      </c>
      <c r="K620" s="37">
        <v>44917</v>
      </c>
      <c r="L620" t="s">
        <v>124</v>
      </c>
      <c r="M620">
        <v>251.03</v>
      </c>
      <c r="N620">
        <v>34</v>
      </c>
      <c r="O620" t="str">
        <f>"Q"&amp;ROUNDUP(MONTH(Transactions[[#This Row],[Transaction Date]])/3,0)</f>
        <v>Q4</v>
      </c>
      <c r="P620">
        <f>YEAR(Transactions[[#This Row],[Transaction Date]])</f>
        <v>2022</v>
      </c>
      <c r="Q620" t="str">
        <f>IF(Transactions[[#This Row],[Sales Amount]]&lt;AVERAGE(Transactions[Sales Amount]),"Below Average","At/Above Average")</f>
        <v>Below Average</v>
      </c>
    </row>
    <row r="621" spans="4:17" x14ac:dyDescent="0.2">
      <c r="D621" t="s">
        <v>711</v>
      </c>
      <c r="E621" t="s">
        <v>76</v>
      </c>
      <c r="F621" t="s">
        <v>108</v>
      </c>
      <c r="G621">
        <v>126</v>
      </c>
      <c r="H621">
        <v>3</v>
      </c>
      <c r="I621">
        <v>53.83</v>
      </c>
      <c r="J621">
        <v>2</v>
      </c>
      <c r="K621" s="37">
        <v>44630</v>
      </c>
      <c r="L621" t="s">
        <v>89</v>
      </c>
      <c r="M621">
        <v>357.6</v>
      </c>
      <c r="N621">
        <v>49</v>
      </c>
      <c r="O621" t="str">
        <f>"Q"&amp;ROUNDUP(MONTH(Transactions[[#This Row],[Transaction Date]])/3,0)</f>
        <v>Q1</v>
      </c>
      <c r="P621">
        <f>YEAR(Transactions[[#This Row],[Transaction Date]])</f>
        <v>2022</v>
      </c>
      <c r="Q621" t="str">
        <f>IF(Transactions[[#This Row],[Sales Amount]]&lt;AVERAGE(Transactions[Sales Amount]),"Below Average","At/Above Average")</f>
        <v>At/Above Average</v>
      </c>
    </row>
    <row r="622" spans="4:17" x14ac:dyDescent="0.2">
      <c r="D622" t="s">
        <v>712</v>
      </c>
      <c r="E622" t="s">
        <v>74</v>
      </c>
      <c r="F622" t="s">
        <v>105</v>
      </c>
      <c r="G622">
        <v>202</v>
      </c>
      <c r="H622">
        <v>1</v>
      </c>
      <c r="I622">
        <v>52.94</v>
      </c>
      <c r="J622">
        <v>2</v>
      </c>
      <c r="K622" s="37">
        <v>45440</v>
      </c>
      <c r="L622" t="s">
        <v>102</v>
      </c>
      <c r="M622">
        <v>10.81</v>
      </c>
      <c r="N622">
        <v>28</v>
      </c>
      <c r="O622" t="str">
        <f>"Q"&amp;ROUNDUP(MONTH(Transactions[[#This Row],[Transaction Date]])/3,0)</f>
        <v>Q2</v>
      </c>
      <c r="P622">
        <f>YEAR(Transactions[[#This Row],[Transaction Date]])</f>
        <v>2024</v>
      </c>
      <c r="Q622" t="str">
        <f>IF(Transactions[[#This Row],[Sales Amount]]&lt;AVERAGE(Transactions[Sales Amount]),"Below Average","At/Above Average")</f>
        <v>Below Average</v>
      </c>
    </row>
    <row r="623" spans="4:17" x14ac:dyDescent="0.2">
      <c r="D623" t="s">
        <v>713</v>
      </c>
      <c r="E623" t="s">
        <v>74</v>
      </c>
      <c r="F623" t="s">
        <v>105</v>
      </c>
      <c r="G623">
        <v>286</v>
      </c>
      <c r="H623">
        <v>9</v>
      </c>
      <c r="I623">
        <v>45.4</v>
      </c>
      <c r="J623">
        <v>3</v>
      </c>
      <c r="K623" s="37">
        <v>44896</v>
      </c>
      <c r="L623" t="s">
        <v>89</v>
      </c>
      <c r="M623">
        <v>415.27</v>
      </c>
      <c r="N623">
        <v>31</v>
      </c>
      <c r="O623" t="str">
        <f>"Q"&amp;ROUNDUP(MONTH(Transactions[[#This Row],[Transaction Date]])/3,0)</f>
        <v>Q4</v>
      </c>
      <c r="P623">
        <f>YEAR(Transactions[[#This Row],[Transaction Date]])</f>
        <v>2022</v>
      </c>
      <c r="Q623" t="str">
        <f>IF(Transactions[[#This Row],[Sales Amount]]&lt;AVERAGE(Transactions[Sales Amount]),"Below Average","At/Above Average")</f>
        <v>At/Above Average</v>
      </c>
    </row>
    <row r="624" spans="4:17" x14ac:dyDescent="0.2">
      <c r="D624" t="s">
        <v>714</v>
      </c>
      <c r="E624" t="s">
        <v>75</v>
      </c>
      <c r="F624" t="s">
        <v>108</v>
      </c>
      <c r="G624">
        <v>127</v>
      </c>
      <c r="H624">
        <v>2</v>
      </c>
      <c r="I624">
        <v>58.61</v>
      </c>
      <c r="J624">
        <v>3</v>
      </c>
      <c r="K624" s="37">
        <v>44701</v>
      </c>
      <c r="L624" t="s">
        <v>124</v>
      </c>
      <c r="M624">
        <v>316.51</v>
      </c>
      <c r="N624">
        <v>14</v>
      </c>
      <c r="O624" t="str">
        <f>"Q"&amp;ROUNDUP(MONTH(Transactions[[#This Row],[Transaction Date]])/3,0)</f>
        <v>Q2</v>
      </c>
      <c r="P624">
        <f>YEAR(Transactions[[#This Row],[Transaction Date]])</f>
        <v>2022</v>
      </c>
      <c r="Q624" t="str">
        <f>IF(Transactions[[#This Row],[Sales Amount]]&lt;AVERAGE(Transactions[Sales Amount]),"Below Average","At/Above Average")</f>
        <v>At/Above Average</v>
      </c>
    </row>
    <row r="625" spans="4:17" x14ac:dyDescent="0.2">
      <c r="D625" t="s">
        <v>715</v>
      </c>
      <c r="E625" t="s">
        <v>74</v>
      </c>
      <c r="F625" t="s">
        <v>91</v>
      </c>
      <c r="G625">
        <v>233</v>
      </c>
      <c r="H625">
        <v>4</v>
      </c>
      <c r="I625">
        <v>54.56</v>
      </c>
      <c r="J625">
        <v>8</v>
      </c>
      <c r="K625" s="37">
        <v>45529</v>
      </c>
      <c r="L625" t="s">
        <v>89</v>
      </c>
      <c r="M625">
        <v>18.37</v>
      </c>
      <c r="N625">
        <v>23</v>
      </c>
      <c r="O625" t="str">
        <f>"Q"&amp;ROUNDUP(MONTH(Transactions[[#This Row],[Transaction Date]])/3,0)</f>
        <v>Q3</v>
      </c>
      <c r="P625">
        <f>YEAR(Transactions[[#This Row],[Transaction Date]])</f>
        <v>2024</v>
      </c>
      <c r="Q625" t="str">
        <f>IF(Transactions[[#This Row],[Sales Amount]]&lt;AVERAGE(Transactions[Sales Amount]),"Below Average","At/Above Average")</f>
        <v>Below Average</v>
      </c>
    </row>
    <row r="626" spans="4:17" x14ac:dyDescent="0.2">
      <c r="D626" t="s">
        <v>716</v>
      </c>
      <c r="E626" t="s">
        <v>74</v>
      </c>
      <c r="F626" t="s">
        <v>88</v>
      </c>
      <c r="G626">
        <v>246</v>
      </c>
      <c r="H626">
        <v>6</v>
      </c>
      <c r="I626">
        <v>46.61</v>
      </c>
      <c r="J626">
        <v>4</v>
      </c>
      <c r="K626" s="37">
        <v>44763</v>
      </c>
      <c r="L626" t="s">
        <v>97</v>
      </c>
      <c r="M626">
        <v>82.54</v>
      </c>
      <c r="N626">
        <v>6</v>
      </c>
      <c r="O626" t="str">
        <f>"Q"&amp;ROUNDUP(MONTH(Transactions[[#This Row],[Transaction Date]])/3,0)</f>
        <v>Q3</v>
      </c>
      <c r="P626">
        <f>YEAR(Transactions[[#This Row],[Transaction Date]])</f>
        <v>2022</v>
      </c>
      <c r="Q626" t="str">
        <f>IF(Transactions[[#This Row],[Sales Amount]]&lt;AVERAGE(Transactions[Sales Amount]),"Below Average","At/Above Average")</f>
        <v>Below Average</v>
      </c>
    </row>
    <row r="627" spans="4:17" x14ac:dyDescent="0.2">
      <c r="D627" t="s">
        <v>717</v>
      </c>
      <c r="E627" t="s">
        <v>87</v>
      </c>
      <c r="F627" t="s">
        <v>105</v>
      </c>
      <c r="G627">
        <v>125</v>
      </c>
      <c r="H627">
        <v>2</v>
      </c>
      <c r="I627">
        <v>49.4</v>
      </c>
      <c r="J627">
        <v>4</v>
      </c>
      <c r="K627" s="37">
        <v>45252</v>
      </c>
      <c r="L627" t="s">
        <v>97</v>
      </c>
      <c r="M627">
        <v>266.16000000000003</v>
      </c>
      <c r="N627">
        <v>30</v>
      </c>
      <c r="O627" t="str">
        <f>"Q"&amp;ROUNDUP(MONTH(Transactions[[#This Row],[Transaction Date]])/3,0)</f>
        <v>Q4</v>
      </c>
      <c r="P627">
        <f>YEAR(Transactions[[#This Row],[Transaction Date]])</f>
        <v>2023</v>
      </c>
      <c r="Q627" t="str">
        <f>IF(Transactions[[#This Row],[Sales Amount]]&lt;AVERAGE(Transactions[Sales Amount]),"Below Average","At/Above Average")</f>
        <v>At/Above Average</v>
      </c>
    </row>
    <row r="628" spans="4:17" x14ac:dyDescent="0.2">
      <c r="D628" t="s">
        <v>718</v>
      </c>
      <c r="E628" t="s">
        <v>76</v>
      </c>
      <c r="F628" t="s">
        <v>108</v>
      </c>
      <c r="G628">
        <v>160</v>
      </c>
      <c r="H628">
        <v>1</v>
      </c>
      <c r="I628">
        <v>49.95</v>
      </c>
      <c r="J628">
        <v>2</v>
      </c>
      <c r="K628" s="37">
        <v>45410</v>
      </c>
      <c r="L628" t="s">
        <v>102</v>
      </c>
      <c r="M628">
        <v>111.76</v>
      </c>
      <c r="N628">
        <v>14</v>
      </c>
      <c r="O628" t="str">
        <f>"Q"&amp;ROUNDUP(MONTH(Transactions[[#This Row],[Transaction Date]])/3,0)</f>
        <v>Q2</v>
      </c>
      <c r="P628">
        <f>YEAR(Transactions[[#This Row],[Transaction Date]])</f>
        <v>2024</v>
      </c>
      <c r="Q628" t="str">
        <f>IF(Transactions[[#This Row],[Sales Amount]]&lt;AVERAGE(Transactions[Sales Amount]),"Below Average","At/Above Average")</f>
        <v>Below Average</v>
      </c>
    </row>
    <row r="629" spans="4:17" x14ac:dyDescent="0.2">
      <c r="D629" t="s">
        <v>719</v>
      </c>
      <c r="E629" t="s">
        <v>77</v>
      </c>
      <c r="F629" t="s">
        <v>108</v>
      </c>
      <c r="G629">
        <v>271</v>
      </c>
      <c r="H629">
        <v>6</v>
      </c>
      <c r="I629">
        <v>49.76</v>
      </c>
      <c r="J629">
        <v>10</v>
      </c>
      <c r="K629" s="37">
        <v>45524</v>
      </c>
      <c r="L629" t="s">
        <v>102</v>
      </c>
      <c r="M629">
        <v>365.68</v>
      </c>
      <c r="N629">
        <v>12</v>
      </c>
      <c r="O629" t="str">
        <f>"Q"&amp;ROUNDUP(MONTH(Transactions[[#This Row],[Transaction Date]])/3,0)</f>
        <v>Q3</v>
      </c>
      <c r="P629">
        <f>YEAR(Transactions[[#This Row],[Transaction Date]])</f>
        <v>2024</v>
      </c>
      <c r="Q629" t="str">
        <f>IF(Transactions[[#This Row],[Sales Amount]]&lt;AVERAGE(Transactions[Sales Amount]),"Below Average","At/Above Average")</f>
        <v>At/Above Average</v>
      </c>
    </row>
    <row r="630" spans="4:17" x14ac:dyDescent="0.2">
      <c r="D630" t="s">
        <v>720</v>
      </c>
      <c r="E630" t="s">
        <v>87</v>
      </c>
      <c r="F630" t="s">
        <v>129</v>
      </c>
      <c r="G630">
        <v>118</v>
      </c>
      <c r="H630">
        <v>8</v>
      </c>
      <c r="I630">
        <v>51.52</v>
      </c>
      <c r="J630">
        <v>8</v>
      </c>
      <c r="K630" s="37">
        <v>44984</v>
      </c>
      <c r="L630" t="s">
        <v>97</v>
      </c>
      <c r="M630">
        <v>286.32</v>
      </c>
      <c r="N630">
        <v>32</v>
      </c>
      <c r="O630" t="str">
        <f>"Q"&amp;ROUNDUP(MONTH(Transactions[[#This Row],[Transaction Date]])/3,0)</f>
        <v>Q1</v>
      </c>
      <c r="P630">
        <f>YEAR(Transactions[[#This Row],[Transaction Date]])</f>
        <v>2023</v>
      </c>
      <c r="Q630" t="str">
        <f>IF(Transactions[[#This Row],[Sales Amount]]&lt;AVERAGE(Transactions[Sales Amount]),"Below Average","At/Above Average")</f>
        <v>At/Above Average</v>
      </c>
    </row>
    <row r="631" spans="4:17" x14ac:dyDescent="0.2">
      <c r="D631" t="s">
        <v>721</v>
      </c>
      <c r="E631" t="s">
        <v>77</v>
      </c>
      <c r="F631" t="s">
        <v>105</v>
      </c>
      <c r="G631">
        <v>116</v>
      </c>
      <c r="H631">
        <v>4</v>
      </c>
      <c r="I631">
        <v>55.08</v>
      </c>
      <c r="J631">
        <v>6</v>
      </c>
      <c r="K631" s="37">
        <v>45458</v>
      </c>
      <c r="L631" t="s">
        <v>92</v>
      </c>
      <c r="M631">
        <v>215.02</v>
      </c>
      <c r="N631">
        <v>12</v>
      </c>
      <c r="O631" t="str">
        <f>"Q"&amp;ROUNDUP(MONTH(Transactions[[#This Row],[Transaction Date]])/3,0)</f>
        <v>Q2</v>
      </c>
      <c r="P631">
        <f>YEAR(Transactions[[#This Row],[Transaction Date]])</f>
        <v>2024</v>
      </c>
      <c r="Q631" t="str">
        <f>IF(Transactions[[#This Row],[Sales Amount]]&lt;AVERAGE(Transactions[Sales Amount]),"Below Average","At/Above Average")</f>
        <v>Below Average</v>
      </c>
    </row>
    <row r="632" spans="4:17" x14ac:dyDescent="0.2">
      <c r="D632" t="s">
        <v>722</v>
      </c>
      <c r="E632" t="s">
        <v>77</v>
      </c>
      <c r="F632" t="s">
        <v>88</v>
      </c>
      <c r="G632">
        <v>182</v>
      </c>
      <c r="H632">
        <v>7</v>
      </c>
      <c r="I632">
        <v>54.71</v>
      </c>
      <c r="J632">
        <v>10</v>
      </c>
      <c r="K632" s="37">
        <v>45294</v>
      </c>
      <c r="L632" t="s">
        <v>89</v>
      </c>
      <c r="M632">
        <v>136.38999999999999</v>
      </c>
      <c r="N632">
        <v>12</v>
      </c>
      <c r="O632" t="str">
        <f>"Q"&amp;ROUNDUP(MONTH(Transactions[[#This Row],[Transaction Date]])/3,0)</f>
        <v>Q1</v>
      </c>
      <c r="P632">
        <f>YEAR(Transactions[[#This Row],[Transaction Date]])</f>
        <v>2024</v>
      </c>
      <c r="Q632" t="str">
        <f>IF(Transactions[[#This Row],[Sales Amount]]&lt;AVERAGE(Transactions[Sales Amount]),"Below Average","At/Above Average")</f>
        <v>Below Average</v>
      </c>
    </row>
    <row r="633" spans="4:17" x14ac:dyDescent="0.2">
      <c r="D633" t="s">
        <v>723</v>
      </c>
      <c r="E633" t="s">
        <v>87</v>
      </c>
      <c r="F633" t="s">
        <v>88</v>
      </c>
      <c r="G633">
        <v>285</v>
      </c>
      <c r="H633">
        <v>6</v>
      </c>
      <c r="I633">
        <v>46.05</v>
      </c>
      <c r="J633">
        <v>3</v>
      </c>
      <c r="K633" s="37">
        <v>44598</v>
      </c>
      <c r="L633" t="s">
        <v>92</v>
      </c>
      <c r="M633">
        <v>247.41</v>
      </c>
      <c r="N633">
        <v>36</v>
      </c>
      <c r="O633" t="str">
        <f>"Q"&amp;ROUNDUP(MONTH(Transactions[[#This Row],[Transaction Date]])/3,0)</f>
        <v>Q1</v>
      </c>
      <c r="P633">
        <f>YEAR(Transactions[[#This Row],[Transaction Date]])</f>
        <v>2022</v>
      </c>
      <c r="Q633" t="str">
        <f>IF(Transactions[[#This Row],[Sales Amount]]&lt;AVERAGE(Transactions[Sales Amount]),"Below Average","At/Above Average")</f>
        <v>Below Average</v>
      </c>
    </row>
    <row r="634" spans="4:17" x14ac:dyDescent="0.2">
      <c r="D634" t="s">
        <v>724</v>
      </c>
      <c r="E634" t="s">
        <v>75</v>
      </c>
      <c r="F634" t="s">
        <v>96</v>
      </c>
      <c r="G634">
        <v>223</v>
      </c>
      <c r="H634">
        <v>3</v>
      </c>
      <c r="I634">
        <v>57.97</v>
      </c>
      <c r="J634">
        <v>4</v>
      </c>
      <c r="K634" s="37">
        <v>45574</v>
      </c>
      <c r="L634" t="s">
        <v>109</v>
      </c>
      <c r="M634">
        <v>266.56</v>
      </c>
      <c r="N634">
        <v>41</v>
      </c>
      <c r="O634" t="str">
        <f>"Q"&amp;ROUNDUP(MONTH(Transactions[[#This Row],[Transaction Date]])/3,0)</f>
        <v>Q4</v>
      </c>
      <c r="P634">
        <f>YEAR(Transactions[[#This Row],[Transaction Date]])</f>
        <v>2024</v>
      </c>
      <c r="Q634" t="str">
        <f>IF(Transactions[[#This Row],[Sales Amount]]&lt;AVERAGE(Transactions[Sales Amount]),"Below Average","At/Above Average")</f>
        <v>At/Above Average</v>
      </c>
    </row>
    <row r="635" spans="4:17" x14ac:dyDescent="0.2">
      <c r="D635" t="s">
        <v>725</v>
      </c>
      <c r="E635" t="s">
        <v>77</v>
      </c>
      <c r="F635" t="s">
        <v>88</v>
      </c>
      <c r="G635">
        <v>103</v>
      </c>
      <c r="H635">
        <v>9</v>
      </c>
      <c r="I635">
        <v>52.08</v>
      </c>
      <c r="J635">
        <v>10</v>
      </c>
      <c r="K635" s="37">
        <v>44705</v>
      </c>
      <c r="L635" t="s">
        <v>102</v>
      </c>
      <c r="M635">
        <v>360.9</v>
      </c>
      <c r="N635">
        <v>25</v>
      </c>
      <c r="O635" t="str">
        <f>"Q"&amp;ROUNDUP(MONTH(Transactions[[#This Row],[Transaction Date]])/3,0)</f>
        <v>Q2</v>
      </c>
      <c r="P635">
        <f>YEAR(Transactions[[#This Row],[Transaction Date]])</f>
        <v>2022</v>
      </c>
      <c r="Q635" t="str">
        <f>IF(Transactions[[#This Row],[Sales Amount]]&lt;AVERAGE(Transactions[Sales Amount]),"Below Average","At/Above Average")</f>
        <v>At/Above Average</v>
      </c>
    </row>
    <row r="636" spans="4:17" x14ac:dyDescent="0.2">
      <c r="D636" t="s">
        <v>726</v>
      </c>
      <c r="E636" t="s">
        <v>78</v>
      </c>
      <c r="F636" t="s">
        <v>88</v>
      </c>
      <c r="G636">
        <v>187</v>
      </c>
      <c r="H636">
        <v>9</v>
      </c>
      <c r="I636">
        <v>50.76</v>
      </c>
      <c r="J636">
        <v>6</v>
      </c>
      <c r="K636" s="37">
        <v>45149</v>
      </c>
      <c r="L636" t="s">
        <v>97</v>
      </c>
      <c r="M636">
        <v>316.77999999999997</v>
      </c>
      <c r="N636">
        <v>34</v>
      </c>
      <c r="O636" t="str">
        <f>"Q"&amp;ROUNDUP(MONTH(Transactions[[#This Row],[Transaction Date]])/3,0)</f>
        <v>Q3</v>
      </c>
      <c r="P636">
        <f>YEAR(Transactions[[#This Row],[Transaction Date]])</f>
        <v>2023</v>
      </c>
      <c r="Q636" t="str">
        <f>IF(Transactions[[#This Row],[Sales Amount]]&lt;AVERAGE(Transactions[Sales Amount]),"Below Average","At/Above Average")</f>
        <v>At/Above Average</v>
      </c>
    </row>
    <row r="637" spans="4:17" x14ac:dyDescent="0.2">
      <c r="D637" t="s">
        <v>727</v>
      </c>
      <c r="E637" t="s">
        <v>76</v>
      </c>
      <c r="F637" t="s">
        <v>88</v>
      </c>
      <c r="G637">
        <v>271</v>
      </c>
      <c r="H637">
        <v>3</v>
      </c>
      <c r="I637">
        <v>50.32</v>
      </c>
      <c r="J637">
        <v>3</v>
      </c>
      <c r="K637" s="37">
        <v>45472</v>
      </c>
      <c r="L637" t="s">
        <v>97</v>
      </c>
      <c r="M637">
        <v>37.799999999999997</v>
      </c>
      <c r="N637">
        <v>23</v>
      </c>
      <c r="O637" t="str">
        <f>"Q"&amp;ROUNDUP(MONTH(Transactions[[#This Row],[Transaction Date]])/3,0)</f>
        <v>Q2</v>
      </c>
      <c r="P637">
        <f>YEAR(Transactions[[#This Row],[Transaction Date]])</f>
        <v>2024</v>
      </c>
      <c r="Q637" t="str">
        <f>IF(Transactions[[#This Row],[Sales Amount]]&lt;AVERAGE(Transactions[Sales Amount]),"Below Average","At/Above Average")</f>
        <v>Below Average</v>
      </c>
    </row>
    <row r="638" spans="4:17" x14ac:dyDescent="0.2">
      <c r="D638" t="s">
        <v>728</v>
      </c>
      <c r="E638" t="s">
        <v>87</v>
      </c>
      <c r="F638" t="s">
        <v>96</v>
      </c>
      <c r="G638">
        <v>149</v>
      </c>
      <c r="H638">
        <v>7</v>
      </c>
      <c r="I638">
        <v>50.92</v>
      </c>
      <c r="J638">
        <v>9</v>
      </c>
      <c r="K638" s="37">
        <v>45425</v>
      </c>
      <c r="L638" t="s">
        <v>92</v>
      </c>
      <c r="M638">
        <v>120.67</v>
      </c>
      <c r="N638">
        <v>1</v>
      </c>
      <c r="O638" t="str">
        <f>"Q"&amp;ROUNDUP(MONTH(Transactions[[#This Row],[Transaction Date]])/3,0)</f>
        <v>Q2</v>
      </c>
      <c r="P638">
        <f>YEAR(Transactions[[#This Row],[Transaction Date]])</f>
        <v>2024</v>
      </c>
      <c r="Q638" t="str">
        <f>IF(Transactions[[#This Row],[Sales Amount]]&lt;AVERAGE(Transactions[Sales Amount]),"Below Average","At/Above Average")</f>
        <v>Below Average</v>
      </c>
    </row>
    <row r="639" spans="4:17" x14ac:dyDescent="0.2">
      <c r="D639" t="s">
        <v>729</v>
      </c>
      <c r="E639" t="s">
        <v>75</v>
      </c>
      <c r="F639" t="s">
        <v>105</v>
      </c>
      <c r="G639">
        <v>216</v>
      </c>
      <c r="H639">
        <v>5</v>
      </c>
      <c r="I639">
        <v>56.24</v>
      </c>
      <c r="J639">
        <v>5</v>
      </c>
      <c r="K639" s="37">
        <v>45561</v>
      </c>
      <c r="L639" t="s">
        <v>89</v>
      </c>
      <c r="M639">
        <v>144.47999999999999</v>
      </c>
      <c r="N639">
        <v>11</v>
      </c>
      <c r="O639" t="str">
        <f>"Q"&amp;ROUNDUP(MONTH(Transactions[[#This Row],[Transaction Date]])/3,0)</f>
        <v>Q3</v>
      </c>
      <c r="P639">
        <f>YEAR(Transactions[[#This Row],[Transaction Date]])</f>
        <v>2024</v>
      </c>
      <c r="Q639" t="str">
        <f>IF(Transactions[[#This Row],[Sales Amount]]&lt;AVERAGE(Transactions[Sales Amount]),"Below Average","At/Above Average")</f>
        <v>Below Average</v>
      </c>
    </row>
    <row r="640" spans="4:17" x14ac:dyDescent="0.2">
      <c r="D640" t="s">
        <v>730</v>
      </c>
      <c r="E640" t="s">
        <v>78</v>
      </c>
      <c r="F640" t="s">
        <v>99</v>
      </c>
      <c r="G640">
        <v>274</v>
      </c>
      <c r="H640">
        <v>5</v>
      </c>
      <c r="I640">
        <v>53.3</v>
      </c>
      <c r="J640">
        <v>6</v>
      </c>
      <c r="K640" s="37">
        <v>45630</v>
      </c>
      <c r="L640" t="s">
        <v>124</v>
      </c>
      <c r="M640">
        <v>324.76</v>
      </c>
      <c r="N640">
        <v>9</v>
      </c>
      <c r="O640" t="str">
        <f>"Q"&amp;ROUNDUP(MONTH(Transactions[[#This Row],[Transaction Date]])/3,0)</f>
        <v>Q4</v>
      </c>
      <c r="P640">
        <f>YEAR(Transactions[[#This Row],[Transaction Date]])</f>
        <v>2024</v>
      </c>
      <c r="Q640" t="str">
        <f>IF(Transactions[[#This Row],[Sales Amount]]&lt;AVERAGE(Transactions[Sales Amount]),"Below Average","At/Above Average")</f>
        <v>At/Above Average</v>
      </c>
    </row>
    <row r="641" spans="4:17" x14ac:dyDescent="0.2">
      <c r="D641" t="s">
        <v>731</v>
      </c>
      <c r="E641" t="s">
        <v>74</v>
      </c>
      <c r="F641" t="s">
        <v>96</v>
      </c>
      <c r="G641">
        <v>215</v>
      </c>
      <c r="H641">
        <v>8</v>
      </c>
      <c r="I641">
        <v>55.88</v>
      </c>
      <c r="J641">
        <v>1</v>
      </c>
      <c r="K641" s="37">
        <v>45464</v>
      </c>
      <c r="L641" t="s">
        <v>97</v>
      </c>
      <c r="M641">
        <v>429.74</v>
      </c>
      <c r="N641">
        <v>16</v>
      </c>
      <c r="O641" t="str">
        <f>"Q"&amp;ROUNDUP(MONTH(Transactions[[#This Row],[Transaction Date]])/3,0)</f>
        <v>Q2</v>
      </c>
      <c r="P641">
        <f>YEAR(Transactions[[#This Row],[Transaction Date]])</f>
        <v>2024</v>
      </c>
      <c r="Q641" t="str">
        <f>IF(Transactions[[#This Row],[Sales Amount]]&lt;AVERAGE(Transactions[Sales Amount]),"Below Average","At/Above Average")</f>
        <v>At/Above Average</v>
      </c>
    </row>
    <row r="642" spans="4:17" x14ac:dyDescent="0.2">
      <c r="D642" t="s">
        <v>732</v>
      </c>
      <c r="E642" t="s">
        <v>87</v>
      </c>
      <c r="F642" t="s">
        <v>99</v>
      </c>
      <c r="G642">
        <v>136</v>
      </c>
      <c r="H642">
        <v>6</v>
      </c>
      <c r="I642">
        <v>49.7</v>
      </c>
      <c r="J642">
        <v>10</v>
      </c>
      <c r="K642" s="37">
        <v>44840</v>
      </c>
      <c r="L642" t="s">
        <v>102</v>
      </c>
      <c r="M642">
        <v>421.82</v>
      </c>
      <c r="N642">
        <v>36</v>
      </c>
      <c r="O642" t="str">
        <f>"Q"&amp;ROUNDUP(MONTH(Transactions[[#This Row],[Transaction Date]])/3,0)</f>
        <v>Q4</v>
      </c>
      <c r="P642">
        <f>YEAR(Transactions[[#This Row],[Transaction Date]])</f>
        <v>2022</v>
      </c>
      <c r="Q642" t="str">
        <f>IF(Transactions[[#This Row],[Sales Amount]]&lt;AVERAGE(Transactions[Sales Amount]),"Below Average","At/Above Average")</f>
        <v>At/Above Average</v>
      </c>
    </row>
    <row r="643" spans="4:17" x14ac:dyDescent="0.2">
      <c r="D643" t="s">
        <v>733</v>
      </c>
      <c r="E643" t="s">
        <v>76</v>
      </c>
      <c r="F643" t="s">
        <v>91</v>
      </c>
      <c r="G643">
        <v>230</v>
      </c>
      <c r="H643">
        <v>2</v>
      </c>
      <c r="I643">
        <v>45.72</v>
      </c>
      <c r="J643">
        <v>4</v>
      </c>
      <c r="K643" s="37">
        <v>45652</v>
      </c>
      <c r="L643" t="s">
        <v>92</v>
      </c>
      <c r="M643">
        <v>188.59</v>
      </c>
      <c r="N643">
        <v>40</v>
      </c>
      <c r="O643" t="str">
        <f>"Q"&amp;ROUNDUP(MONTH(Transactions[[#This Row],[Transaction Date]])/3,0)</f>
        <v>Q4</v>
      </c>
      <c r="P643">
        <f>YEAR(Transactions[[#This Row],[Transaction Date]])</f>
        <v>2024</v>
      </c>
      <c r="Q643" t="str">
        <f>IF(Transactions[[#This Row],[Sales Amount]]&lt;AVERAGE(Transactions[Sales Amount]),"Below Average","At/Above Average")</f>
        <v>Below Average</v>
      </c>
    </row>
    <row r="644" spans="4:17" x14ac:dyDescent="0.2">
      <c r="D644" t="s">
        <v>734</v>
      </c>
      <c r="E644" t="s">
        <v>75</v>
      </c>
      <c r="F644" t="s">
        <v>108</v>
      </c>
      <c r="G644">
        <v>164</v>
      </c>
      <c r="H644">
        <v>9</v>
      </c>
      <c r="I644">
        <v>48.62</v>
      </c>
      <c r="J644">
        <v>2</v>
      </c>
      <c r="K644" s="37">
        <v>45307</v>
      </c>
      <c r="L644" t="s">
        <v>97</v>
      </c>
      <c r="M644">
        <v>259.69</v>
      </c>
      <c r="N644">
        <v>5</v>
      </c>
      <c r="O644" t="str">
        <f>"Q"&amp;ROUNDUP(MONTH(Transactions[[#This Row],[Transaction Date]])/3,0)</f>
        <v>Q1</v>
      </c>
      <c r="P644">
        <f>YEAR(Transactions[[#This Row],[Transaction Date]])</f>
        <v>2024</v>
      </c>
      <c r="Q644" t="str">
        <f>IF(Transactions[[#This Row],[Sales Amount]]&lt;AVERAGE(Transactions[Sales Amount]),"Below Average","At/Above Average")</f>
        <v>At/Above Average</v>
      </c>
    </row>
    <row r="645" spans="4:17" x14ac:dyDescent="0.2">
      <c r="D645" t="s">
        <v>735</v>
      </c>
      <c r="E645" t="s">
        <v>78</v>
      </c>
      <c r="F645" t="s">
        <v>88</v>
      </c>
      <c r="G645">
        <v>116</v>
      </c>
      <c r="H645">
        <v>5</v>
      </c>
      <c r="I645">
        <v>58.97</v>
      </c>
      <c r="J645">
        <v>2</v>
      </c>
      <c r="K645" s="37">
        <v>45008</v>
      </c>
      <c r="L645" t="s">
        <v>102</v>
      </c>
      <c r="M645">
        <v>274.79000000000002</v>
      </c>
      <c r="N645">
        <v>15</v>
      </c>
      <c r="O645" t="str">
        <f>"Q"&amp;ROUNDUP(MONTH(Transactions[[#This Row],[Transaction Date]])/3,0)</f>
        <v>Q1</v>
      </c>
      <c r="P645">
        <f>YEAR(Transactions[[#This Row],[Transaction Date]])</f>
        <v>2023</v>
      </c>
      <c r="Q645" t="str">
        <f>IF(Transactions[[#This Row],[Sales Amount]]&lt;AVERAGE(Transactions[Sales Amount]),"Below Average","At/Above Average")</f>
        <v>At/Above Average</v>
      </c>
    </row>
    <row r="646" spans="4:17" x14ac:dyDescent="0.2">
      <c r="D646" t="s">
        <v>736</v>
      </c>
      <c r="E646" t="s">
        <v>78</v>
      </c>
      <c r="F646" t="s">
        <v>94</v>
      </c>
      <c r="G646">
        <v>293</v>
      </c>
      <c r="H646">
        <v>4</v>
      </c>
      <c r="I646">
        <v>46.63</v>
      </c>
      <c r="J646">
        <v>1</v>
      </c>
      <c r="K646" s="37">
        <v>44699</v>
      </c>
      <c r="L646" t="s">
        <v>102</v>
      </c>
      <c r="M646">
        <v>53.28</v>
      </c>
      <c r="N646">
        <v>23</v>
      </c>
      <c r="O646" t="str">
        <f>"Q"&amp;ROUNDUP(MONTH(Transactions[[#This Row],[Transaction Date]])/3,0)</f>
        <v>Q2</v>
      </c>
      <c r="P646">
        <f>YEAR(Transactions[[#This Row],[Transaction Date]])</f>
        <v>2022</v>
      </c>
      <c r="Q646" t="str">
        <f>IF(Transactions[[#This Row],[Sales Amount]]&lt;AVERAGE(Transactions[Sales Amount]),"Below Average","At/Above Average")</f>
        <v>Below Average</v>
      </c>
    </row>
    <row r="647" spans="4:17" x14ac:dyDescent="0.2">
      <c r="D647" t="s">
        <v>737</v>
      </c>
      <c r="E647" t="s">
        <v>78</v>
      </c>
      <c r="F647" t="s">
        <v>88</v>
      </c>
      <c r="G647">
        <v>222</v>
      </c>
      <c r="H647">
        <v>8</v>
      </c>
      <c r="I647">
        <v>56.25</v>
      </c>
      <c r="J647">
        <v>9</v>
      </c>
      <c r="K647" s="37">
        <v>45097</v>
      </c>
      <c r="L647" t="s">
        <v>124</v>
      </c>
      <c r="M647">
        <v>24.29</v>
      </c>
      <c r="N647">
        <v>45</v>
      </c>
      <c r="O647" t="str">
        <f>"Q"&amp;ROUNDUP(MONTH(Transactions[[#This Row],[Transaction Date]])/3,0)</f>
        <v>Q2</v>
      </c>
      <c r="P647">
        <f>YEAR(Transactions[[#This Row],[Transaction Date]])</f>
        <v>2023</v>
      </c>
      <c r="Q647" t="str">
        <f>IF(Transactions[[#This Row],[Sales Amount]]&lt;AVERAGE(Transactions[Sales Amount]),"Below Average","At/Above Average")</f>
        <v>Below Average</v>
      </c>
    </row>
    <row r="648" spans="4:17" x14ac:dyDescent="0.2">
      <c r="D648" t="s">
        <v>738</v>
      </c>
      <c r="E648" t="s">
        <v>75</v>
      </c>
      <c r="F648" t="s">
        <v>88</v>
      </c>
      <c r="G648">
        <v>178</v>
      </c>
      <c r="H648">
        <v>3</v>
      </c>
      <c r="I648">
        <v>51.81</v>
      </c>
      <c r="J648">
        <v>7</v>
      </c>
      <c r="K648" s="37">
        <v>45599</v>
      </c>
      <c r="L648" t="s">
        <v>89</v>
      </c>
      <c r="M648">
        <v>266.93</v>
      </c>
      <c r="N648">
        <v>38</v>
      </c>
      <c r="O648" t="str">
        <f>"Q"&amp;ROUNDUP(MONTH(Transactions[[#This Row],[Transaction Date]])/3,0)</f>
        <v>Q4</v>
      </c>
      <c r="P648">
        <f>YEAR(Transactions[[#This Row],[Transaction Date]])</f>
        <v>2024</v>
      </c>
      <c r="Q648" t="str">
        <f>IF(Transactions[[#This Row],[Sales Amount]]&lt;AVERAGE(Transactions[Sales Amount]),"Below Average","At/Above Average")</f>
        <v>At/Above Average</v>
      </c>
    </row>
    <row r="649" spans="4:17" x14ac:dyDescent="0.2">
      <c r="D649" t="s">
        <v>739</v>
      </c>
      <c r="E649" t="s">
        <v>75</v>
      </c>
      <c r="F649" t="s">
        <v>99</v>
      </c>
      <c r="G649">
        <v>223</v>
      </c>
      <c r="H649">
        <v>2</v>
      </c>
      <c r="I649">
        <v>52.6</v>
      </c>
      <c r="J649">
        <v>4</v>
      </c>
      <c r="K649" s="37">
        <v>44654</v>
      </c>
      <c r="L649" t="s">
        <v>124</v>
      </c>
      <c r="M649">
        <v>320.95999999999998</v>
      </c>
      <c r="N649">
        <v>33</v>
      </c>
      <c r="O649" t="str">
        <f>"Q"&amp;ROUNDUP(MONTH(Transactions[[#This Row],[Transaction Date]])/3,0)</f>
        <v>Q2</v>
      </c>
      <c r="P649">
        <f>YEAR(Transactions[[#This Row],[Transaction Date]])</f>
        <v>2022</v>
      </c>
      <c r="Q649" t="str">
        <f>IF(Transactions[[#This Row],[Sales Amount]]&lt;AVERAGE(Transactions[Sales Amount]),"Below Average","At/Above Average")</f>
        <v>At/Above Average</v>
      </c>
    </row>
    <row r="650" spans="4:17" x14ac:dyDescent="0.2">
      <c r="D650" t="s">
        <v>740</v>
      </c>
      <c r="E650" t="s">
        <v>76</v>
      </c>
      <c r="F650" t="s">
        <v>91</v>
      </c>
      <c r="G650">
        <v>160</v>
      </c>
      <c r="H650">
        <v>3</v>
      </c>
      <c r="I650">
        <v>48.41</v>
      </c>
      <c r="J650">
        <v>10</v>
      </c>
      <c r="K650" s="37">
        <v>44990</v>
      </c>
      <c r="L650" t="s">
        <v>97</v>
      </c>
      <c r="M650">
        <v>379.41</v>
      </c>
      <c r="N650">
        <v>30</v>
      </c>
      <c r="O650" t="str">
        <f>"Q"&amp;ROUNDUP(MONTH(Transactions[[#This Row],[Transaction Date]])/3,0)</f>
        <v>Q1</v>
      </c>
      <c r="P650">
        <f>YEAR(Transactions[[#This Row],[Transaction Date]])</f>
        <v>2023</v>
      </c>
      <c r="Q650" t="str">
        <f>IF(Transactions[[#This Row],[Sales Amount]]&lt;AVERAGE(Transactions[Sales Amount]),"Below Average","At/Above Average")</f>
        <v>At/Above Average</v>
      </c>
    </row>
    <row r="651" spans="4:17" x14ac:dyDescent="0.2">
      <c r="D651" t="s">
        <v>741</v>
      </c>
      <c r="E651" t="s">
        <v>75</v>
      </c>
      <c r="F651" t="s">
        <v>88</v>
      </c>
      <c r="G651">
        <v>161</v>
      </c>
      <c r="H651">
        <v>7</v>
      </c>
      <c r="I651">
        <v>56.41</v>
      </c>
      <c r="J651">
        <v>3</v>
      </c>
      <c r="K651" s="37">
        <v>44785</v>
      </c>
      <c r="L651" t="s">
        <v>102</v>
      </c>
      <c r="M651">
        <v>381.67</v>
      </c>
      <c r="N651">
        <v>12</v>
      </c>
      <c r="O651" t="str">
        <f>"Q"&amp;ROUNDUP(MONTH(Transactions[[#This Row],[Transaction Date]])/3,0)</f>
        <v>Q3</v>
      </c>
      <c r="P651">
        <f>YEAR(Transactions[[#This Row],[Transaction Date]])</f>
        <v>2022</v>
      </c>
      <c r="Q651" t="str">
        <f>IF(Transactions[[#This Row],[Sales Amount]]&lt;AVERAGE(Transactions[Sales Amount]),"Below Average","At/Above Average")</f>
        <v>At/Above Average</v>
      </c>
    </row>
    <row r="652" spans="4:17" x14ac:dyDescent="0.2">
      <c r="D652" t="s">
        <v>742</v>
      </c>
      <c r="E652" t="s">
        <v>78</v>
      </c>
      <c r="F652" t="s">
        <v>88</v>
      </c>
      <c r="G652">
        <v>147</v>
      </c>
      <c r="H652">
        <v>3</v>
      </c>
      <c r="I652">
        <v>48.26</v>
      </c>
      <c r="J652">
        <v>1</v>
      </c>
      <c r="K652" s="37">
        <v>45611</v>
      </c>
      <c r="L652" t="s">
        <v>109</v>
      </c>
      <c r="M652">
        <v>272.22000000000003</v>
      </c>
      <c r="N652">
        <v>27</v>
      </c>
      <c r="O652" t="str">
        <f>"Q"&amp;ROUNDUP(MONTH(Transactions[[#This Row],[Transaction Date]])/3,0)</f>
        <v>Q4</v>
      </c>
      <c r="P652">
        <f>YEAR(Transactions[[#This Row],[Transaction Date]])</f>
        <v>2024</v>
      </c>
      <c r="Q652" t="str">
        <f>IF(Transactions[[#This Row],[Sales Amount]]&lt;AVERAGE(Transactions[Sales Amount]),"Below Average","At/Above Average")</f>
        <v>At/Above Average</v>
      </c>
    </row>
    <row r="653" spans="4:17" x14ac:dyDescent="0.2">
      <c r="D653" t="s">
        <v>743</v>
      </c>
      <c r="E653" t="s">
        <v>75</v>
      </c>
      <c r="F653" t="s">
        <v>108</v>
      </c>
      <c r="G653">
        <v>229</v>
      </c>
      <c r="H653">
        <v>1</v>
      </c>
      <c r="I653">
        <v>51.45</v>
      </c>
      <c r="J653">
        <v>8</v>
      </c>
      <c r="K653" s="37">
        <v>44766</v>
      </c>
      <c r="L653" t="s">
        <v>92</v>
      </c>
      <c r="M653">
        <v>263.42</v>
      </c>
      <c r="N653">
        <v>34</v>
      </c>
      <c r="O653" t="str">
        <f>"Q"&amp;ROUNDUP(MONTH(Transactions[[#This Row],[Transaction Date]])/3,0)</f>
        <v>Q3</v>
      </c>
      <c r="P653">
        <f>YEAR(Transactions[[#This Row],[Transaction Date]])</f>
        <v>2022</v>
      </c>
      <c r="Q653" t="str">
        <f>IF(Transactions[[#This Row],[Sales Amount]]&lt;AVERAGE(Transactions[Sales Amount]),"Below Average","At/Above Average")</f>
        <v>At/Above Average</v>
      </c>
    </row>
    <row r="654" spans="4:17" x14ac:dyDescent="0.2">
      <c r="D654" t="s">
        <v>744</v>
      </c>
      <c r="E654" t="s">
        <v>76</v>
      </c>
      <c r="F654" t="s">
        <v>99</v>
      </c>
      <c r="G654">
        <v>295</v>
      </c>
      <c r="H654">
        <v>3</v>
      </c>
      <c r="I654">
        <v>50.26</v>
      </c>
      <c r="J654">
        <v>8</v>
      </c>
      <c r="K654" s="37">
        <v>44801</v>
      </c>
      <c r="L654" t="s">
        <v>97</v>
      </c>
      <c r="M654">
        <v>478.82</v>
      </c>
      <c r="N654">
        <v>42</v>
      </c>
      <c r="O654" t="str">
        <f>"Q"&amp;ROUNDUP(MONTH(Transactions[[#This Row],[Transaction Date]])/3,0)</f>
        <v>Q3</v>
      </c>
      <c r="P654">
        <f>YEAR(Transactions[[#This Row],[Transaction Date]])</f>
        <v>2022</v>
      </c>
      <c r="Q654" t="str">
        <f>IF(Transactions[[#This Row],[Sales Amount]]&lt;AVERAGE(Transactions[Sales Amount]),"Below Average","At/Above Average")</f>
        <v>At/Above Average</v>
      </c>
    </row>
    <row r="655" spans="4:17" x14ac:dyDescent="0.2">
      <c r="D655" t="s">
        <v>745</v>
      </c>
      <c r="E655" t="s">
        <v>74</v>
      </c>
      <c r="F655" t="s">
        <v>96</v>
      </c>
      <c r="G655">
        <v>161</v>
      </c>
      <c r="H655">
        <v>1</v>
      </c>
      <c r="I655">
        <v>49.73</v>
      </c>
      <c r="J655">
        <v>7</v>
      </c>
      <c r="K655" s="37">
        <v>45285</v>
      </c>
      <c r="L655" t="s">
        <v>92</v>
      </c>
      <c r="M655">
        <v>26.11</v>
      </c>
      <c r="N655">
        <v>46</v>
      </c>
      <c r="O655" t="str">
        <f>"Q"&amp;ROUNDUP(MONTH(Transactions[[#This Row],[Transaction Date]])/3,0)</f>
        <v>Q4</v>
      </c>
      <c r="P655">
        <f>YEAR(Transactions[[#This Row],[Transaction Date]])</f>
        <v>2023</v>
      </c>
      <c r="Q655" t="str">
        <f>IF(Transactions[[#This Row],[Sales Amount]]&lt;AVERAGE(Transactions[Sales Amount]),"Below Average","At/Above Average")</f>
        <v>Below Average</v>
      </c>
    </row>
    <row r="656" spans="4:17" x14ac:dyDescent="0.2">
      <c r="D656" t="s">
        <v>746</v>
      </c>
      <c r="E656" t="s">
        <v>87</v>
      </c>
      <c r="F656" t="s">
        <v>99</v>
      </c>
      <c r="G656">
        <v>139</v>
      </c>
      <c r="H656">
        <v>5</v>
      </c>
      <c r="I656">
        <v>57.99</v>
      </c>
      <c r="J656">
        <v>2</v>
      </c>
      <c r="K656" s="37">
        <v>45162</v>
      </c>
      <c r="L656" t="s">
        <v>102</v>
      </c>
      <c r="M656">
        <v>40.44</v>
      </c>
      <c r="N656">
        <v>7</v>
      </c>
      <c r="O656" t="str">
        <f>"Q"&amp;ROUNDUP(MONTH(Transactions[[#This Row],[Transaction Date]])/3,0)</f>
        <v>Q3</v>
      </c>
      <c r="P656">
        <f>YEAR(Transactions[[#This Row],[Transaction Date]])</f>
        <v>2023</v>
      </c>
      <c r="Q656" t="str">
        <f>IF(Transactions[[#This Row],[Sales Amount]]&lt;AVERAGE(Transactions[Sales Amount]),"Below Average","At/Above Average")</f>
        <v>Below Average</v>
      </c>
    </row>
    <row r="657" spans="4:17" x14ac:dyDescent="0.2">
      <c r="D657" t="s">
        <v>747</v>
      </c>
      <c r="E657" t="s">
        <v>75</v>
      </c>
      <c r="F657" t="s">
        <v>91</v>
      </c>
      <c r="G657">
        <v>130</v>
      </c>
      <c r="H657">
        <v>2</v>
      </c>
      <c r="I657">
        <v>49.02</v>
      </c>
      <c r="J657">
        <v>2</v>
      </c>
      <c r="K657" s="37">
        <v>44694</v>
      </c>
      <c r="L657" t="s">
        <v>109</v>
      </c>
      <c r="M657">
        <v>331.69</v>
      </c>
      <c r="N657">
        <v>45</v>
      </c>
      <c r="O657" t="str">
        <f>"Q"&amp;ROUNDUP(MONTH(Transactions[[#This Row],[Transaction Date]])/3,0)</f>
        <v>Q2</v>
      </c>
      <c r="P657">
        <f>YEAR(Transactions[[#This Row],[Transaction Date]])</f>
        <v>2022</v>
      </c>
      <c r="Q657" t="str">
        <f>IF(Transactions[[#This Row],[Sales Amount]]&lt;AVERAGE(Transactions[Sales Amount]),"Below Average","At/Above Average")</f>
        <v>At/Above Average</v>
      </c>
    </row>
    <row r="658" spans="4:17" x14ac:dyDescent="0.2">
      <c r="D658" t="s">
        <v>748</v>
      </c>
      <c r="E658" t="s">
        <v>76</v>
      </c>
      <c r="F658" t="s">
        <v>94</v>
      </c>
      <c r="G658">
        <v>180</v>
      </c>
      <c r="H658">
        <v>7</v>
      </c>
      <c r="I658">
        <v>45.91</v>
      </c>
      <c r="J658">
        <v>8</v>
      </c>
      <c r="K658" s="37">
        <v>44821</v>
      </c>
      <c r="L658" t="s">
        <v>102</v>
      </c>
      <c r="M658">
        <v>379.73</v>
      </c>
      <c r="N658">
        <v>19</v>
      </c>
      <c r="O658" t="str">
        <f>"Q"&amp;ROUNDUP(MONTH(Transactions[[#This Row],[Transaction Date]])/3,0)</f>
        <v>Q3</v>
      </c>
      <c r="P658">
        <f>YEAR(Transactions[[#This Row],[Transaction Date]])</f>
        <v>2022</v>
      </c>
      <c r="Q658" t="str">
        <f>IF(Transactions[[#This Row],[Sales Amount]]&lt;AVERAGE(Transactions[Sales Amount]),"Below Average","At/Above Average")</f>
        <v>At/Above Average</v>
      </c>
    </row>
    <row r="659" spans="4:17" x14ac:dyDescent="0.2">
      <c r="D659" t="s">
        <v>749</v>
      </c>
      <c r="E659" t="s">
        <v>87</v>
      </c>
      <c r="F659" t="s">
        <v>91</v>
      </c>
      <c r="G659">
        <v>209</v>
      </c>
      <c r="H659">
        <v>4</v>
      </c>
      <c r="I659">
        <v>49.22</v>
      </c>
      <c r="J659">
        <v>7</v>
      </c>
      <c r="K659" s="37">
        <v>44693</v>
      </c>
      <c r="L659" t="s">
        <v>89</v>
      </c>
      <c r="M659">
        <v>387.21</v>
      </c>
      <c r="N659">
        <v>5</v>
      </c>
      <c r="O659" t="str">
        <f>"Q"&amp;ROUNDUP(MONTH(Transactions[[#This Row],[Transaction Date]])/3,0)</f>
        <v>Q2</v>
      </c>
      <c r="P659">
        <f>YEAR(Transactions[[#This Row],[Transaction Date]])</f>
        <v>2022</v>
      </c>
      <c r="Q659" t="str">
        <f>IF(Transactions[[#This Row],[Sales Amount]]&lt;AVERAGE(Transactions[Sales Amount]),"Below Average","At/Above Average")</f>
        <v>At/Above Average</v>
      </c>
    </row>
    <row r="660" spans="4:17" x14ac:dyDescent="0.2">
      <c r="D660" t="s">
        <v>750</v>
      </c>
      <c r="E660" t="s">
        <v>74</v>
      </c>
      <c r="F660" t="s">
        <v>108</v>
      </c>
      <c r="G660">
        <v>229</v>
      </c>
      <c r="H660">
        <v>7</v>
      </c>
      <c r="I660">
        <v>50.76</v>
      </c>
      <c r="J660">
        <v>1</v>
      </c>
      <c r="K660" s="37">
        <v>44983</v>
      </c>
      <c r="L660" t="s">
        <v>92</v>
      </c>
      <c r="M660">
        <v>73.349999999999994</v>
      </c>
      <c r="N660">
        <v>42</v>
      </c>
      <c r="O660" t="str">
        <f>"Q"&amp;ROUNDUP(MONTH(Transactions[[#This Row],[Transaction Date]])/3,0)</f>
        <v>Q1</v>
      </c>
      <c r="P660">
        <f>YEAR(Transactions[[#This Row],[Transaction Date]])</f>
        <v>2023</v>
      </c>
      <c r="Q660" t="str">
        <f>IF(Transactions[[#This Row],[Sales Amount]]&lt;AVERAGE(Transactions[Sales Amount]),"Below Average","At/Above Average")</f>
        <v>Below Average</v>
      </c>
    </row>
    <row r="661" spans="4:17" x14ac:dyDescent="0.2">
      <c r="D661" t="s">
        <v>751</v>
      </c>
      <c r="E661" t="s">
        <v>74</v>
      </c>
      <c r="F661" t="s">
        <v>88</v>
      </c>
      <c r="G661">
        <v>222</v>
      </c>
      <c r="H661">
        <v>3</v>
      </c>
      <c r="I661">
        <v>57.88</v>
      </c>
      <c r="J661">
        <v>10</v>
      </c>
      <c r="K661" s="37">
        <v>45292</v>
      </c>
      <c r="L661" t="s">
        <v>89</v>
      </c>
      <c r="M661">
        <v>292.63</v>
      </c>
      <c r="N661">
        <v>13</v>
      </c>
      <c r="O661" t="str">
        <f>"Q"&amp;ROUNDUP(MONTH(Transactions[[#This Row],[Transaction Date]])/3,0)</f>
        <v>Q1</v>
      </c>
      <c r="P661">
        <f>YEAR(Transactions[[#This Row],[Transaction Date]])</f>
        <v>2024</v>
      </c>
      <c r="Q661" t="str">
        <f>IF(Transactions[[#This Row],[Sales Amount]]&lt;AVERAGE(Transactions[Sales Amount]),"Below Average","At/Above Average")</f>
        <v>At/Above Average</v>
      </c>
    </row>
    <row r="662" spans="4:17" x14ac:dyDescent="0.2">
      <c r="D662" t="s">
        <v>752</v>
      </c>
      <c r="E662" t="s">
        <v>77</v>
      </c>
      <c r="F662" t="s">
        <v>105</v>
      </c>
      <c r="G662">
        <v>140</v>
      </c>
      <c r="H662">
        <v>6</v>
      </c>
      <c r="I662">
        <v>45</v>
      </c>
      <c r="J662">
        <v>8</v>
      </c>
      <c r="K662" s="37">
        <v>45141</v>
      </c>
      <c r="L662" t="s">
        <v>89</v>
      </c>
      <c r="M662">
        <v>456.6</v>
      </c>
      <c r="N662">
        <v>12</v>
      </c>
      <c r="O662" t="str">
        <f>"Q"&amp;ROUNDUP(MONTH(Transactions[[#This Row],[Transaction Date]])/3,0)</f>
        <v>Q3</v>
      </c>
      <c r="P662">
        <f>YEAR(Transactions[[#This Row],[Transaction Date]])</f>
        <v>2023</v>
      </c>
      <c r="Q662" t="str">
        <f>IF(Transactions[[#This Row],[Sales Amount]]&lt;AVERAGE(Transactions[Sales Amount]),"Below Average","At/Above Average")</f>
        <v>At/Above Average</v>
      </c>
    </row>
    <row r="663" spans="4:17" x14ac:dyDescent="0.2">
      <c r="D663" t="s">
        <v>753</v>
      </c>
      <c r="E663" t="s">
        <v>77</v>
      </c>
      <c r="F663" t="s">
        <v>96</v>
      </c>
      <c r="G663">
        <v>176</v>
      </c>
      <c r="H663">
        <v>7</v>
      </c>
      <c r="I663">
        <v>47.96</v>
      </c>
      <c r="J663">
        <v>5</v>
      </c>
      <c r="K663" s="37">
        <v>45068</v>
      </c>
      <c r="L663" t="s">
        <v>92</v>
      </c>
      <c r="M663">
        <v>224.83</v>
      </c>
      <c r="N663">
        <v>10</v>
      </c>
      <c r="O663" t="str">
        <f>"Q"&amp;ROUNDUP(MONTH(Transactions[[#This Row],[Transaction Date]])/3,0)</f>
        <v>Q2</v>
      </c>
      <c r="P663">
        <f>YEAR(Transactions[[#This Row],[Transaction Date]])</f>
        <v>2023</v>
      </c>
      <c r="Q663" t="str">
        <f>IF(Transactions[[#This Row],[Sales Amount]]&lt;AVERAGE(Transactions[Sales Amount]),"Below Average","At/Above Average")</f>
        <v>Below Average</v>
      </c>
    </row>
    <row r="664" spans="4:17" x14ac:dyDescent="0.2">
      <c r="D664" t="s">
        <v>754</v>
      </c>
      <c r="E664" t="s">
        <v>75</v>
      </c>
      <c r="F664" t="s">
        <v>108</v>
      </c>
      <c r="G664">
        <v>197</v>
      </c>
      <c r="H664">
        <v>2</v>
      </c>
      <c r="I664">
        <v>48.76</v>
      </c>
      <c r="J664">
        <v>2</v>
      </c>
      <c r="K664" s="37">
        <v>44621</v>
      </c>
      <c r="L664" t="s">
        <v>109</v>
      </c>
      <c r="M664">
        <v>24.48</v>
      </c>
      <c r="N664">
        <v>32</v>
      </c>
      <c r="O664" t="str">
        <f>"Q"&amp;ROUNDUP(MONTH(Transactions[[#This Row],[Transaction Date]])/3,0)</f>
        <v>Q1</v>
      </c>
      <c r="P664">
        <f>YEAR(Transactions[[#This Row],[Transaction Date]])</f>
        <v>2022</v>
      </c>
      <c r="Q664" t="str">
        <f>IF(Transactions[[#This Row],[Sales Amount]]&lt;AVERAGE(Transactions[Sales Amount]),"Below Average","At/Above Average")</f>
        <v>Below Average</v>
      </c>
    </row>
    <row r="665" spans="4:17" x14ac:dyDescent="0.2">
      <c r="D665" t="s">
        <v>755</v>
      </c>
      <c r="E665" t="s">
        <v>78</v>
      </c>
      <c r="F665" t="s">
        <v>108</v>
      </c>
      <c r="G665">
        <v>273</v>
      </c>
      <c r="H665">
        <v>9</v>
      </c>
      <c r="I665">
        <v>56.64</v>
      </c>
      <c r="J665">
        <v>5</v>
      </c>
      <c r="K665" s="37">
        <v>44634</v>
      </c>
      <c r="L665" t="s">
        <v>102</v>
      </c>
      <c r="M665">
        <v>350.33</v>
      </c>
      <c r="N665">
        <v>19</v>
      </c>
      <c r="O665" t="str">
        <f>"Q"&amp;ROUNDUP(MONTH(Transactions[[#This Row],[Transaction Date]])/3,0)</f>
        <v>Q1</v>
      </c>
      <c r="P665">
        <f>YEAR(Transactions[[#This Row],[Transaction Date]])</f>
        <v>2022</v>
      </c>
      <c r="Q665" t="str">
        <f>IF(Transactions[[#This Row],[Sales Amount]]&lt;AVERAGE(Transactions[Sales Amount]),"Below Average","At/Above Average")</f>
        <v>At/Above Average</v>
      </c>
    </row>
    <row r="666" spans="4:17" x14ac:dyDescent="0.2">
      <c r="D666" t="s">
        <v>756</v>
      </c>
      <c r="E666" t="s">
        <v>78</v>
      </c>
      <c r="F666" t="s">
        <v>94</v>
      </c>
      <c r="G666">
        <v>244</v>
      </c>
      <c r="H666">
        <v>8</v>
      </c>
      <c r="I666">
        <v>50.68</v>
      </c>
      <c r="J666">
        <v>3</v>
      </c>
      <c r="K666" s="37">
        <v>45295</v>
      </c>
      <c r="L666" t="s">
        <v>89</v>
      </c>
      <c r="M666">
        <v>407.01</v>
      </c>
      <c r="N666">
        <v>45</v>
      </c>
      <c r="O666" t="str">
        <f>"Q"&amp;ROUNDUP(MONTH(Transactions[[#This Row],[Transaction Date]])/3,0)</f>
        <v>Q1</v>
      </c>
      <c r="P666">
        <f>YEAR(Transactions[[#This Row],[Transaction Date]])</f>
        <v>2024</v>
      </c>
      <c r="Q666" t="str">
        <f>IF(Transactions[[#This Row],[Sales Amount]]&lt;AVERAGE(Transactions[Sales Amount]),"Below Average","At/Above Average")</f>
        <v>At/Above Average</v>
      </c>
    </row>
    <row r="667" spans="4:17" x14ac:dyDescent="0.2">
      <c r="D667" t="s">
        <v>757</v>
      </c>
      <c r="E667" t="s">
        <v>77</v>
      </c>
      <c r="F667" t="s">
        <v>99</v>
      </c>
      <c r="G667">
        <v>230</v>
      </c>
      <c r="H667">
        <v>8</v>
      </c>
      <c r="I667">
        <v>47.55</v>
      </c>
      <c r="J667">
        <v>3</v>
      </c>
      <c r="K667" s="37">
        <v>45159</v>
      </c>
      <c r="L667" t="s">
        <v>109</v>
      </c>
      <c r="M667">
        <v>203.33</v>
      </c>
      <c r="N667">
        <v>46</v>
      </c>
      <c r="O667" t="str">
        <f>"Q"&amp;ROUNDUP(MONTH(Transactions[[#This Row],[Transaction Date]])/3,0)</f>
        <v>Q3</v>
      </c>
      <c r="P667">
        <f>YEAR(Transactions[[#This Row],[Transaction Date]])</f>
        <v>2023</v>
      </c>
      <c r="Q667" t="str">
        <f>IF(Transactions[[#This Row],[Sales Amount]]&lt;AVERAGE(Transactions[Sales Amount]),"Below Average","At/Above Average")</f>
        <v>Below Average</v>
      </c>
    </row>
    <row r="668" spans="4:17" x14ac:dyDescent="0.2">
      <c r="D668" t="s">
        <v>758</v>
      </c>
      <c r="E668" t="s">
        <v>77</v>
      </c>
      <c r="F668" t="s">
        <v>94</v>
      </c>
      <c r="G668">
        <v>149</v>
      </c>
      <c r="H668">
        <v>5</v>
      </c>
      <c r="I668">
        <v>52.75</v>
      </c>
      <c r="J668">
        <v>6</v>
      </c>
      <c r="K668" s="37">
        <v>45645</v>
      </c>
      <c r="L668" t="s">
        <v>109</v>
      </c>
      <c r="M668">
        <v>387.29</v>
      </c>
      <c r="N668">
        <v>35</v>
      </c>
      <c r="O668" t="str">
        <f>"Q"&amp;ROUNDUP(MONTH(Transactions[[#This Row],[Transaction Date]])/3,0)</f>
        <v>Q4</v>
      </c>
      <c r="P668">
        <f>YEAR(Transactions[[#This Row],[Transaction Date]])</f>
        <v>2024</v>
      </c>
      <c r="Q668" t="str">
        <f>IF(Transactions[[#This Row],[Sales Amount]]&lt;AVERAGE(Transactions[Sales Amount]),"Below Average","At/Above Average")</f>
        <v>At/Above Average</v>
      </c>
    </row>
    <row r="669" spans="4:17" x14ac:dyDescent="0.2">
      <c r="D669" t="s">
        <v>759</v>
      </c>
      <c r="E669" t="s">
        <v>78</v>
      </c>
      <c r="F669" t="s">
        <v>129</v>
      </c>
      <c r="G669">
        <v>110</v>
      </c>
      <c r="H669">
        <v>2</v>
      </c>
      <c r="I669">
        <v>53.66</v>
      </c>
      <c r="J669">
        <v>10</v>
      </c>
      <c r="K669" s="37">
        <v>44727</v>
      </c>
      <c r="L669" t="s">
        <v>89</v>
      </c>
      <c r="M669">
        <v>308.95999999999998</v>
      </c>
      <c r="N669">
        <v>42</v>
      </c>
      <c r="O669" t="str">
        <f>"Q"&amp;ROUNDUP(MONTH(Transactions[[#This Row],[Transaction Date]])/3,0)</f>
        <v>Q2</v>
      </c>
      <c r="P669">
        <f>YEAR(Transactions[[#This Row],[Transaction Date]])</f>
        <v>2022</v>
      </c>
      <c r="Q669" t="str">
        <f>IF(Transactions[[#This Row],[Sales Amount]]&lt;AVERAGE(Transactions[Sales Amount]),"Below Average","At/Above Average")</f>
        <v>At/Above Average</v>
      </c>
    </row>
    <row r="670" spans="4:17" x14ac:dyDescent="0.2">
      <c r="D670" t="s">
        <v>760</v>
      </c>
      <c r="E670" t="s">
        <v>87</v>
      </c>
      <c r="F670" t="s">
        <v>94</v>
      </c>
      <c r="G670">
        <v>253</v>
      </c>
      <c r="H670">
        <v>1</v>
      </c>
      <c r="I670">
        <v>56.92</v>
      </c>
      <c r="J670">
        <v>3</v>
      </c>
      <c r="K670" s="37">
        <v>45506</v>
      </c>
      <c r="L670" t="s">
        <v>102</v>
      </c>
      <c r="M670">
        <v>299.37</v>
      </c>
      <c r="N670">
        <v>10</v>
      </c>
      <c r="O670" t="str">
        <f>"Q"&amp;ROUNDUP(MONTH(Transactions[[#This Row],[Transaction Date]])/3,0)</f>
        <v>Q3</v>
      </c>
      <c r="P670">
        <f>YEAR(Transactions[[#This Row],[Transaction Date]])</f>
        <v>2024</v>
      </c>
      <c r="Q670" t="str">
        <f>IF(Transactions[[#This Row],[Sales Amount]]&lt;AVERAGE(Transactions[Sales Amount]),"Below Average","At/Above Average")</f>
        <v>At/Above Average</v>
      </c>
    </row>
    <row r="671" spans="4:17" x14ac:dyDescent="0.2">
      <c r="D671" t="s">
        <v>761</v>
      </c>
      <c r="E671" t="s">
        <v>87</v>
      </c>
      <c r="F671" t="s">
        <v>96</v>
      </c>
      <c r="G671">
        <v>114</v>
      </c>
      <c r="H671">
        <v>10</v>
      </c>
      <c r="I671">
        <v>53.24</v>
      </c>
      <c r="J671">
        <v>9</v>
      </c>
      <c r="K671" s="37">
        <v>44598</v>
      </c>
      <c r="L671" t="s">
        <v>109</v>
      </c>
      <c r="M671">
        <v>210.75</v>
      </c>
      <c r="N671">
        <v>14</v>
      </c>
      <c r="O671" t="str">
        <f>"Q"&amp;ROUNDUP(MONTH(Transactions[[#This Row],[Transaction Date]])/3,0)</f>
        <v>Q1</v>
      </c>
      <c r="P671">
        <f>YEAR(Transactions[[#This Row],[Transaction Date]])</f>
        <v>2022</v>
      </c>
      <c r="Q671" t="str">
        <f>IF(Transactions[[#This Row],[Sales Amount]]&lt;AVERAGE(Transactions[Sales Amount]),"Below Average","At/Above Average")</f>
        <v>Below Average</v>
      </c>
    </row>
    <row r="672" spans="4:17" x14ac:dyDescent="0.2">
      <c r="D672" t="s">
        <v>762</v>
      </c>
      <c r="E672" t="s">
        <v>76</v>
      </c>
      <c r="F672" t="s">
        <v>96</v>
      </c>
      <c r="G672">
        <v>152</v>
      </c>
      <c r="H672">
        <v>9</v>
      </c>
      <c r="I672">
        <v>58.07</v>
      </c>
      <c r="J672">
        <v>2</v>
      </c>
      <c r="K672" s="37">
        <v>45443</v>
      </c>
      <c r="L672" t="s">
        <v>97</v>
      </c>
      <c r="M672">
        <v>385.89</v>
      </c>
      <c r="N672">
        <v>28</v>
      </c>
      <c r="O672" t="str">
        <f>"Q"&amp;ROUNDUP(MONTH(Transactions[[#This Row],[Transaction Date]])/3,0)</f>
        <v>Q2</v>
      </c>
      <c r="P672">
        <f>YEAR(Transactions[[#This Row],[Transaction Date]])</f>
        <v>2024</v>
      </c>
      <c r="Q672" t="str">
        <f>IF(Transactions[[#This Row],[Sales Amount]]&lt;AVERAGE(Transactions[Sales Amount]),"Below Average","At/Above Average")</f>
        <v>At/Above Average</v>
      </c>
    </row>
    <row r="673" spans="4:17" x14ac:dyDescent="0.2">
      <c r="D673" t="s">
        <v>763</v>
      </c>
      <c r="E673" t="s">
        <v>74</v>
      </c>
      <c r="F673" t="s">
        <v>91</v>
      </c>
      <c r="G673">
        <v>298</v>
      </c>
      <c r="H673">
        <v>1</v>
      </c>
      <c r="I673">
        <v>54.11</v>
      </c>
      <c r="J673">
        <v>7</v>
      </c>
      <c r="K673" s="37">
        <v>45583</v>
      </c>
      <c r="L673" t="s">
        <v>102</v>
      </c>
      <c r="M673">
        <v>424.94</v>
      </c>
      <c r="N673">
        <v>21</v>
      </c>
      <c r="O673" t="str">
        <f>"Q"&amp;ROUNDUP(MONTH(Transactions[[#This Row],[Transaction Date]])/3,0)</f>
        <v>Q4</v>
      </c>
      <c r="P673">
        <f>YEAR(Transactions[[#This Row],[Transaction Date]])</f>
        <v>2024</v>
      </c>
      <c r="Q673" t="str">
        <f>IF(Transactions[[#This Row],[Sales Amount]]&lt;AVERAGE(Transactions[Sales Amount]),"Below Average","At/Above Average")</f>
        <v>At/Above Average</v>
      </c>
    </row>
    <row r="674" spans="4:17" x14ac:dyDescent="0.2">
      <c r="D674" t="s">
        <v>764</v>
      </c>
      <c r="E674" t="s">
        <v>87</v>
      </c>
      <c r="F674" t="s">
        <v>99</v>
      </c>
      <c r="G674">
        <v>170</v>
      </c>
      <c r="H674">
        <v>10</v>
      </c>
      <c r="I674">
        <v>51.65</v>
      </c>
      <c r="J674">
        <v>2</v>
      </c>
      <c r="K674" s="37">
        <v>45108</v>
      </c>
      <c r="L674" t="s">
        <v>89</v>
      </c>
      <c r="M674">
        <v>312.19</v>
      </c>
      <c r="N674">
        <v>21</v>
      </c>
      <c r="O674" t="str">
        <f>"Q"&amp;ROUNDUP(MONTH(Transactions[[#This Row],[Transaction Date]])/3,0)</f>
        <v>Q3</v>
      </c>
      <c r="P674">
        <f>YEAR(Transactions[[#This Row],[Transaction Date]])</f>
        <v>2023</v>
      </c>
      <c r="Q674" t="str">
        <f>IF(Transactions[[#This Row],[Sales Amount]]&lt;AVERAGE(Transactions[Sales Amount]),"Below Average","At/Above Average")</f>
        <v>At/Above Average</v>
      </c>
    </row>
    <row r="675" spans="4:17" x14ac:dyDescent="0.2">
      <c r="D675" t="s">
        <v>765</v>
      </c>
      <c r="E675" t="s">
        <v>87</v>
      </c>
      <c r="F675" t="s">
        <v>108</v>
      </c>
      <c r="G675">
        <v>187</v>
      </c>
      <c r="H675">
        <v>9</v>
      </c>
      <c r="I675">
        <v>50.87</v>
      </c>
      <c r="J675">
        <v>9</v>
      </c>
      <c r="K675" s="37">
        <v>45500</v>
      </c>
      <c r="L675" t="s">
        <v>124</v>
      </c>
      <c r="M675">
        <v>394.22</v>
      </c>
      <c r="N675">
        <v>1</v>
      </c>
      <c r="O675" t="str">
        <f>"Q"&amp;ROUNDUP(MONTH(Transactions[[#This Row],[Transaction Date]])/3,0)</f>
        <v>Q3</v>
      </c>
      <c r="P675">
        <f>YEAR(Transactions[[#This Row],[Transaction Date]])</f>
        <v>2024</v>
      </c>
      <c r="Q675" t="str">
        <f>IF(Transactions[[#This Row],[Sales Amount]]&lt;AVERAGE(Transactions[Sales Amount]),"Below Average","At/Above Average")</f>
        <v>At/Above Average</v>
      </c>
    </row>
    <row r="676" spans="4:17" x14ac:dyDescent="0.2">
      <c r="D676" t="s">
        <v>766</v>
      </c>
      <c r="E676" t="s">
        <v>87</v>
      </c>
      <c r="F676" t="s">
        <v>91</v>
      </c>
      <c r="G676">
        <v>232</v>
      </c>
      <c r="H676">
        <v>4</v>
      </c>
      <c r="I676">
        <v>46.58</v>
      </c>
      <c r="J676">
        <v>7</v>
      </c>
      <c r="K676" s="37">
        <v>44690</v>
      </c>
      <c r="L676" t="s">
        <v>109</v>
      </c>
      <c r="M676">
        <v>412.58</v>
      </c>
      <c r="N676">
        <v>10</v>
      </c>
      <c r="O676" t="str">
        <f>"Q"&amp;ROUNDUP(MONTH(Transactions[[#This Row],[Transaction Date]])/3,0)</f>
        <v>Q2</v>
      </c>
      <c r="P676">
        <f>YEAR(Transactions[[#This Row],[Transaction Date]])</f>
        <v>2022</v>
      </c>
      <c r="Q676" t="str">
        <f>IF(Transactions[[#This Row],[Sales Amount]]&lt;AVERAGE(Transactions[Sales Amount]),"Below Average","At/Above Average")</f>
        <v>At/Above Average</v>
      </c>
    </row>
    <row r="677" spans="4:17" x14ac:dyDescent="0.2">
      <c r="D677" t="s">
        <v>767</v>
      </c>
      <c r="E677" t="s">
        <v>77</v>
      </c>
      <c r="F677" t="s">
        <v>129</v>
      </c>
      <c r="G677">
        <v>159</v>
      </c>
      <c r="H677">
        <v>6</v>
      </c>
      <c r="I677">
        <v>54.33</v>
      </c>
      <c r="J677">
        <v>7</v>
      </c>
      <c r="K677" s="37">
        <v>45085</v>
      </c>
      <c r="L677" t="s">
        <v>97</v>
      </c>
      <c r="M677">
        <v>357.65</v>
      </c>
      <c r="N677">
        <v>50</v>
      </c>
      <c r="O677" t="str">
        <f>"Q"&amp;ROUNDUP(MONTH(Transactions[[#This Row],[Transaction Date]])/3,0)</f>
        <v>Q2</v>
      </c>
      <c r="P677">
        <f>YEAR(Transactions[[#This Row],[Transaction Date]])</f>
        <v>2023</v>
      </c>
      <c r="Q677" t="str">
        <f>IF(Transactions[[#This Row],[Sales Amount]]&lt;AVERAGE(Transactions[Sales Amount]),"Below Average","At/Above Average")</f>
        <v>At/Above Average</v>
      </c>
    </row>
    <row r="678" spans="4:17" x14ac:dyDescent="0.2">
      <c r="D678" t="s">
        <v>768</v>
      </c>
      <c r="E678" t="s">
        <v>77</v>
      </c>
      <c r="F678" t="s">
        <v>88</v>
      </c>
      <c r="G678">
        <v>222</v>
      </c>
      <c r="H678">
        <v>9</v>
      </c>
      <c r="I678">
        <v>51.51</v>
      </c>
      <c r="J678">
        <v>8</v>
      </c>
      <c r="K678" s="37">
        <v>44893</v>
      </c>
      <c r="L678" t="s">
        <v>89</v>
      </c>
      <c r="M678">
        <v>170.23</v>
      </c>
      <c r="N678">
        <v>21</v>
      </c>
      <c r="O678" t="str">
        <f>"Q"&amp;ROUNDUP(MONTH(Transactions[[#This Row],[Transaction Date]])/3,0)</f>
        <v>Q4</v>
      </c>
      <c r="P678">
        <f>YEAR(Transactions[[#This Row],[Transaction Date]])</f>
        <v>2022</v>
      </c>
      <c r="Q678" t="str">
        <f>IF(Transactions[[#This Row],[Sales Amount]]&lt;AVERAGE(Transactions[Sales Amount]),"Below Average","At/Above Average")</f>
        <v>Below Average</v>
      </c>
    </row>
    <row r="679" spans="4:17" x14ac:dyDescent="0.2">
      <c r="D679" t="s">
        <v>769</v>
      </c>
      <c r="E679" t="s">
        <v>87</v>
      </c>
      <c r="F679" t="s">
        <v>91</v>
      </c>
      <c r="G679">
        <v>110</v>
      </c>
      <c r="H679">
        <v>10</v>
      </c>
      <c r="I679">
        <v>55.12</v>
      </c>
      <c r="J679">
        <v>8</v>
      </c>
      <c r="K679" s="37">
        <v>45211</v>
      </c>
      <c r="L679" t="s">
        <v>89</v>
      </c>
      <c r="M679">
        <v>240.25</v>
      </c>
      <c r="N679">
        <v>3</v>
      </c>
      <c r="O679" t="str">
        <f>"Q"&amp;ROUNDUP(MONTH(Transactions[[#This Row],[Transaction Date]])/3,0)</f>
        <v>Q4</v>
      </c>
      <c r="P679">
        <f>YEAR(Transactions[[#This Row],[Transaction Date]])</f>
        <v>2023</v>
      </c>
      <c r="Q679" t="str">
        <f>IF(Transactions[[#This Row],[Sales Amount]]&lt;AVERAGE(Transactions[Sales Amount]),"Below Average","At/Above Average")</f>
        <v>Below Average</v>
      </c>
    </row>
    <row r="680" spans="4:17" x14ac:dyDescent="0.2">
      <c r="D680" t="s">
        <v>770</v>
      </c>
      <c r="E680" t="s">
        <v>74</v>
      </c>
      <c r="F680" t="s">
        <v>108</v>
      </c>
      <c r="G680">
        <v>145</v>
      </c>
      <c r="H680">
        <v>5</v>
      </c>
      <c r="I680">
        <v>56.77</v>
      </c>
      <c r="J680">
        <v>5</v>
      </c>
      <c r="K680" s="37">
        <v>44935</v>
      </c>
      <c r="L680" t="s">
        <v>102</v>
      </c>
      <c r="M680">
        <v>434.28</v>
      </c>
      <c r="N680">
        <v>30</v>
      </c>
      <c r="O680" t="str">
        <f>"Q"&amp;ROUNDUP(MONTH(Transactions[[#This Row],[Transaction Date]])/3,0)</f>
        <v>Q1</v>
      </c>
      <c r="P680">
        <f>YEAR(Transactions[[#This Row],[Transaction Date]])</f>
        <v>2023</v>
      </c>
      <c r="Q680" t="str">
        <f>IF(Transactions[[#This Row],[Sales Amount]]&lt;AVERAGE(Transactions[Sales Amount]),"Below Average","At/Above Average")</f>
        <v>At/Above Average</v>
      </c>
    </row>
    <row r="681" spans="4:17" x14ac:dyDescent="0.2">
      <c r="D681" t="s">
        <v>771</v>
      </c>
      <c r="E681" t="s">
        <v>78</v>
      </c>
      <c r="F681" t="s">
        <v>99</v>
      </c>
      <c r="G681">
        <v>299</v>
      </c>
      <c r="H681">
        <v>1</v>
      </c>
      <c r="I681">
        <v>57.2</v>
      </c>
      <c r="J681">
        <v>3</v>
      </c>
      <c r="K681" s="37">
        <v>45387</v>
      </c>
      <c r="L681" t="s">
        <v>109</v>
      </c>
      <c r="M681">
        <v>138.78</v>
      </c>
      <c r="N681">
        <v>10</v>
      </c>
      <c r="O681" t="str">
        <f>"Q"&amp;ROUNDUP(MONTH(Transactions[[#This Row],[Transaction Date]])/3,0)</f>
        <v>Q2</v>
      </c>
      <c r="P681">
        <f>YEAR(Transactions[[#This Row],[Transaction Date]])</f>
        <v>2024</v>
      </c>
      <c r="Q681" t="str">
        <f>IF(Transactions[[#This Row],[Sales Amount]]&lt;AVERAGE(Transactions[Sales Amount]),"Below Average","At/Above Average")</f>
        <v>Below Average</v>
      </c>
    </row>
    <row r="682" spans="4:17" x14ac:dyDescent="0.2">
      <c r="D682" t="s">
        <v>772</v>
      </c>
      <c r="E682" t="s">
        <v>75</v>
      </c>
      <c r="F682" t="s">
        <v>88</v>
      </c>
      <c r="G682">
        <v>216</v>
      </c>
      <c r="H682">
        <v>8</v>
      </c>
      <c r="I682">
        <v>52.41</v>
      </c>
      <c r="J682">
        <v>7</v>
      </c>
      <c r="K682" s="37">
        <v>45040</v>
      </c>
      <c r="L682" t="s">
        <v>97</v>
      </c>
      <c r="M682">
        <v>301.57</v>
      </c>
      <c r="N682">
        <v>6</v>
      </c>
      <c r="O682" t="str">
        <f>"Q"&amp;ROUNDUP(MONTH(Transactions[[#This Row],[Transaction Date]])/3,0)</f>
        <v>Q2</v>
      </c>
      <c r="P682">
        <f>YEAR(Transactions[[#This Row],[Transaction Date]])</f>
        <v>2023</v>
      </c>
      <c r="Q682" t="str">
        <f>IF(Transactions[[#This Row],[Sales Amount]]&lt;AVERAGE(Transactions[Sales Amount]),"Below Average","At/Above Average")</f>
        <v>At/Above Average</v>
      </c>
    </row>
    <row r="683" spans="4:17" x14ac:dyDescent="0.2">
      <c r="D683" t="s">
        <v>773</v>
      </c>
      <c r="E683" t="s">
        <v>78</v>
      </c>
      <c r="F683" t="s">
        <v>96</v>
      </c>
      <c r="G683">
        <v>191</v>
      </c>
      <c r="H683">
        <v>9</v>
      </c>
      <c r="I683">
        <v>50.07</v>
      </c>
      <c r="J683">
        <v>7</v>
      </c>
      <c r="K683" s="37">
        <v>44896</v>
      </c>
      <c r="L683" t="s">
        <v>109</v>
      </c>
      <c r="M683">
        <v>33.9</v>
      </c>
      <c r="N683">
        <v>15</v>
      </c>
      <c r="O683" t="str">
        <f>"Q"&amp;ROUNDUP(MONTH(Transactions[[#This Row],[Transaction Date]])/3,0)</f>
        <v>Q4</v>
      </c>
      <c r="P683">
        <f>YEAR(Transactions[[#This Row],[Transaction Date]])</f>
        <v>2022</v>
      </c>
      <c r="Q683" t="str">
        <f>IF(Transactions[[#This Row],[Sales Amount]]&lt;AVERAGE(Transactions[Sales Amount]),"Below Average","At/Above Average")</f>
        <v>Below Average</v>
      </c>
    </row>
    <row r="684" spans="4:17" x14ac:dyDescent="0.2">
      <c r="D684" t="s">
        <v>774</v>
      </c>
      <c r="E684" t="s">
        <v>74</v>
      </c>
      <c r="F684" t="s">
        <v>99</v>
      </c>
      <c r="G684">
        <v>291</v>
      </c>
      <c r="H684">
        <v>5</v>
      </c>
      <c r="I684">
        <v>52.19</v>
      </c>
      <c r="J684">
        <v>6</v>
      </c>
      <c r="K684" s="37">
        <v>44891</v>
      </c>
      <c r="L684" t="s">
        <v>124</v>
      </c>
      <c r="M684">
        <v>476.32</v>
      </c>
      <c r="N684">
        <v>1</v>
      </c>
      <c r="O684" t="str">
        <f>"Q"&amp;ROUNDUP(MONTH(Transactions[[#This Row],[Transaction Date]])/3,0)</f>
        <v>Q4</v>
      </c>
      <c r="P684">
        <f>YEAR(Transactions[[#This Row],[Transaction Date]])</f>
        <v>2022</v>
      </c>
      <c r="Q684" t="str">
        <f>IF(Transactions[[#This Row],[Sales Amount]]&lt;AVERAGE(Transactions[Sales Amount]),"Below Average","At/Above Average")</f>
        <v>At/Above Average</v>
      </c>
    </row>
    <row r="685" spans="4:17" x14ac:dyDescent="0.2">
      <c r="D685" t="s">
        <v>775</v>
      </c>
      <c r="E685" t="s">
        <v>75</v>
      </c>
      <c r="F685" t="s">
        <v>99</v>
      </c>
      <c r="G685">
        <v>266</v>
      </c>
      <c r="H685">
        <v>4</v>
      </c>
      <c r="I685">
        <v>50.18</v>
      </c>
      <c r="J685">
        <v>6</v>
      </c>
      <c r="K685" s="37">
        <v>44780</v>
      </c>
      <c r="L685" t="s">
        <v>109</v>
      </c>
      <c r="M685">
        <v>473.85</v>
      </c>
      <c r="N685">
        <v>46</v>
      </c>
      <c r="O685" t="str">
        <f>"Q"&amp;ROUNDUP(MONTH(Transactions[[#This Row],[Transaction Date]])/3,0)</f>
        <v>Q3</v>
      </c>
      <c r="P685">
        <f>YEAR(Transactions[[#This Row],[Transaction Date]])</f>
        <v>2022</v>
      </c>
      <c r="Q685" t="str">
        <f>IF(Transactions[[#This Row],[Sales Amount]]&lt;AVERAGE(Transactions[Sales Amount]),"Below Average","At/Above Average")</f>
        <v>At/Above Average</v>
      </c>
    </row>
    <row r="686" spans="4:17" x14ac:dyDescent="0.2">
      <c r="D686" t="s">
        <v>776</v>
      </c>
      <c r="E686" t="s">
        <v>87</v>
      </c>
      <c r="F686" t="s">
        <v>94</v>
      </c>
      <c r="G686">
        <v>101</v>
      </c>
      <c r="H686">
        <v>5</v>
      </c>
      <c r="I686">
        <v>47.26</v>
      </c>
      <c r="J686">
        <v>1</v>
      </c>
      <c r="K686" s="37">
        <v>44872</v>
      </c>
      <c r="L686" t="s">
        <v>124</v>
      </c>
      <c r="M686">
        <v>256.19</v>
      </c>
      <c r="N686">
        <v>50</v>
      </c>
      <c r="O686" t="str">
        <f>"Q"&amp;ROUNDUP(MONTH(Transactions[[#This Row],[Transaction Date]])/3,0)</f>
        <v>Q4</v>
      </c>
      <c r="P686">
        <f>YEAR(Transactions[[#This Row],[Transaction Date]])</f>
        <v>2022</v>
      </c>
      <c r="Q686" t="str">
        <f>IF(Transactions[[#This Row],[Sales Amount]]&lt;AVERAGE(Transactions[Sales Amount]),"Below Average","At/Above Average")</f>
        <v>Below Average</v>
      </c>
    </row>
    <row r="687" spans="4:17" x14ac:dyDescent="0.2">
      <c r="D687" t="s">
        <v>777</v>
      </c>
      <c r="E687" t="s">
        <v>77</v>
      </c>
      <c r="F687" t="s">
        <v>129</v>
      </c>
      <c r="G687">
        <v>219</v>
      </c>
      <c r="H687">
        <v>2</v>
      </c>
      <c r="I687">
        <v>49.6</v>
      </c>
      <c r="J687">
        <v>5</v>
      </c>
      <c r="K687" s="37">
        <v>44916</v>
      </c>
      <c r="L687" t="s">
        <v>124</v>
      </c>
      <c r="M687">
        <v>432.85</v>
      </c>
      <c r="N687">
        <v>38</v>
      </c>
      <c r="O687" t="str">
        <f>"Q"&amp;ROUNDUP(MONTH(Transactions[[#This Row],[Transaction Date]])/3,0)</f>
        <v>Q4</v>
      </c>
      <c r="P687">
        <f>YEAR(Transactions[[#This Row],[Transaction Date]])</f>
        <v>2022</v>
      </c>
      <c r="Q687" t="str">
        <f>IF(Transactions[[#This Row],[Sales Amount]]&lt;AVERAGE(Transactions[Sales Amount]),"Below Average","At/Above Average")</f>
        <v>At/Above Average</v>
      </c>
    </row>
    <row r="688" spans="4:17" x14ac:dyDescent="0.2">
      <c r="D688" t="s">
        <v>778</v>
      </c>
      <c r="E688" t="s">
        <v>77</v>
      </c>
      <c r="F688" t="s">
        <v>99</v>
      </c>
      <c r="G688">
        <v>295</v>
      </c>
      <c r="H688">
        <v>9</v>
      </c>
      <c r="I688">
        <v>45.4</v>
      </c>
      <c r="J688">
        <v>2</v>
      </c>
      <c r="K688" s="37">
        <v>45093</v>
      </c>
      <c r="L688" t="s">
        <v>109</v>
      </c>
      <c r="M688">
        <v>460.8</v>
      </c>
      <c r="N688">
        <v>15</v>
      </c>
      <c r="O688" t="str">
        <f>"Q"&amp;ROUNDUP(MONTH(Transactions[[#This Row],[Transaction Date]])/3,0)</f>
        <v>Q2</v>
      </c>
      <c r="P688">
        <f>YEAR(Transactions[[#This Row],[Transaction Date]])</f>
        <v>2023</v>
      </c>
      <c r="Q688" t="str">
        <f>IF(Transactions[[#This Row],[Sales Amount]]&lt;AVERAGE(Transactions[Sales Amount]),"Below Average","At/Above Average")</f>
        <v>At/Above Average</v>
      </c>
    </row>
    <row r="689" spans="4:17" x14ac:dyDescent="0.2">
      <c r="D689" t="s">
        <v>779</v>
      </c>
      <c r="E689" t="s">
        <v>76</v>
      </c>
      <c r="F689" t="s">
        <v>99</v>
      </c>
      <c r="G689">
        <v>208</v>
      </c>
      <c r="H689">
        <v>3</v>
      </c>
      <c r="I689">
        <v>58.33</v>
      </c>
      <c r="J689">
        <v>9</v>
      </c>
      <c r="K689" s="37">
        <v>45473</v>
      </c>
      <c r="L689" t="s">
        <v>97</v>
      </c>
      <c r="M689">
        <v>441.56</v>
      </c>
      <c r="N689">
        <v>26</v>
      </c>
      <c r="O689" t="str">
        <f>"Q"&amp;ROUNDUP(MONTH(Transactions[[#This Row],[Transaction Date]])/3,0)</f>
        <v>Q2</v>
      </c>
      <c r="P689">
        <f>YEAR(Transactions[[#This Row],[Transaction Date]])</f>
        <v>2024</v>
      </c>
      <c r="Q689" t="str">
        <f>IF(Transactions[[#This Row],[Sales Amount]]&lt;AVERAGE(Transactions[Sales Amount]),"Below Average","At/Above Average")</f>
        <v>At/Above Average</v>
      </c>
    </row>
    <row r="690" spans="4:17" x14ac:dyDescent="0.2">
      <c r="D690" t="s">
        <v>780</v>
      </c>
      <c r="E690" t="s">
        <v>78</v>
      </c>
      <c r="F690" t="s">
        <v>99</v>
      </c>
      <c r="G690">
        <v>117</v>
      </c>
      <c r="H690">
        <v>3</v>
      </c>
      <c r="I690">
        <v>51.34</v>
      </c>
      <c r="J690">
        <v>8</v>
      </c>
      <c r="K690" s="37">
        <v>45279</v>
      </c>
      <c r="L690" t="s">
        <v>102</v>
      </c>
      <c r="M690">
        <v>318.99</v>
      </c>
      <c r="N690">
        <v>17</v>
      </c>
      <c r="O690" t="str">
        <f>"Q"&amp;ROUNDUP(MONTH(Transactions[[#This Row],[Transaction Date]])/3,0)</f>
        <v>Q4</v>
      </c>
      <c r="P690">
        <f>YEAR(Transactions[[#This Row],[Transaction Date]])</f>
        <v>2023</v>
      </c>
      <c r="Q690" t="str">
        <f>IF(Transactions[[#This Row],[Sales Amount]]&lt;AVERAGE(Transactions[Sales Amount]),"Below Average","At/Above Average")</f>
        <v>At/Above Average</v>
      </c>
    </row>
    <row r="691" spans="4:17" x14ac:dyDescent="0.2">
      <c r="D691" t="s">
        <v>781</v>
      </c>
      <c r="E691" t="s">
        <v>77</v>
      </c>
      <c r="F691" t="s">
        <v>129</v>
      </c>
      <c r="G691">
        <v>291</v>
      </c>
      <c r="H691">
        <v>5</v>
      </c>
      <c r="I691">
        <v>55.08</v>
      </c>
      <c r="J691">
        <v>8</v>
      </c>
      <c r="K691" s="37">
        <v>45395</v>
      </c>
      <c r="L691" t="s">
        <v>109</v>
      </c>
      <c r="M691">
        <v>57.92</v>
      </c>
      <c r="N691">
        <v>34</v>
      </c>
      <c r="O691" t="str">
        <f>"Q"&amp;ROUNDUP(MONTH(Transactions[[#This Row],[Transaction Date]])/3,0)</f>
        <v>Q2</v>
      </c>
      <c r="P691">
        <f>YEAR(Transactions[[#This Row],[Transaction Date]])</f>
        <v>2024</v>
      </c>
      <c r="Q691" t="str">
        <f>IF(Transactions[[#This Row],[Sales Amount]]&lt;AVERAGE(Transactions[Sales Amount]),"Below Average","At/Above Average")</f>
        <v>Below Average</v>
      </c>
    </row>
    <row r="692" spans="4:17" x14ac:dyDescent="0.2">
      <c r="D692" t="s">
        <v>782</v>
      </c>
      <c r="E692" t="s">
        <v>75</v>
      </c>
      <c r="F692" t="s">
        <v>94</v>
      </c>
      <c r="G692">
        <v>179</v>
      </c>
      <c r="H692">
        <v>1</v>
      </c>
      <c r="I692">
        <v>49.5</v>
      </c>
      <c r="J692">
        <v>10</v>
      </c>
      <c r="K692" s="37">
        <v>44706</v>
      </c>
      <c r="L692" t="s">
        <v>124</v>
      </c>
      <c r="M692">
        <v>358.56</v>
      </c>
      <c r="N692">
        <v>39</v>
      </c>
      <c r="O692" t="str">
        <f>"Q"&amp;ROUNDUP(MONTH(Transactions[[#This Row],[Transaction Date]])/3,0)</f>
        <v>Q2</v>
      </c>
      <c r="P692">
        <f>YEAR(Transactions[[#This Row],[Transaction Date]])</f>
        <v>2022</v>
      </c>
      <c r="Q692" t="str">
        <f>IF(Transactions[[#This Row],[Sales Amount]]&lt;AVERAGE(Transactions[Sales Amount]),"Below Average","At/Above Average")</f>
        <v>At/Above Average</v>
      </c>
    </row>
    <row r="693" spans="4:17" x14ac:dyDescent="0.2">
      <c r="D693" t="s">
        <v>783</v>
      </c>
      <c r="E693" t="s">
        <v>74</v>
      </c>
      <c r="F693" t="s">
        <v>99</v>
      </c>
      <c r="G693">
        <v>281</v>
      </c>
      <c r="H693">
        <v>8</v>
      </c>
      <c r="I693">
        <v>56.15</v>
      </c>
      <c r="J693">
        <v>6</v>
      </c>
      <c r="K693" s="37">
        <v>45509</v>
      </c>
      <c r="L693" t="s">
        <v>102</v>
      </c>
      <c r="M693">
        <v>356.3</v>
      </c>
      <c r="N693">
        <v>36</v>
      </c>
      <c r="O693" t="str">
        <f>"Q"&amp;ROUNDUP(MONTH(Transactions[[#This Row],[Transaction Date]])/3,0)</f>
        <v>Q3</v>
      </c>
      <c r="P693">
        <f>YEAR(Transactions[[#This Row],[Transaction Date]])</f>
        <v>2024</v>
      </c>
      <c r="Q693" t="str">
        <f>IF(Transactions[[#This Row],[Sales Amount]]&lt;AVERAGE(Transactions[Sales Amount]),"Below Average","At/Above Average")</f>
        <v>At/Above Average</v>
      </c>
    </row>
    <row r="694" spans="4:17" x14ac:dyDescent="0.2">
      <c r="D694" t="s">
        <v>784</v>
      </c>
      <c r="E694" t="s">
        <v>75</v>
      </c>
      <c r="F694" t="s">
        <v>96</v>
      </c>
      <c r="G694">
        <v>288</v>
      </c>
      <c r="H694">
        <v>3</v>
      </c>
      <c r="I694">
        <v>53.05</v>
      </c>
      <c r="J694">
        <v>2</v>
      </c>
      <c r="K694" s="37">
        <v>44721</v>
      </c>
      <c r="L694" t="s">
        <v>89</v>
      </c>
      <c r="M694">
        <v>21.36</v>
      </c>
      <c r="N694">
        <v>31</v>
      </c>
      <c r="O694" t="str">
        <f>"Q"&amp;ROUNDUP(MONTH(Transactions[[#This Row],[Transaction Date]])/3,0)</f>
        <v>Q2</v>
      </c>
      <c r="P694">
        <f>YEAR(Transactions[[#This Row],[Transaction Date]])</f>
        <v>2022</v>
      </c>
      <c r="Q694" t="str">
        <f>IF(Transactions[[#This Row],[Sales Amount]]&lt;AVERAGE(Transactions[Sales Amount]),"Below Average","At/Above Average")</f>
        <v>Below Average</v>
      </c>
    </row>
    <row r="695" spans="4:17" x14ac:dyDescent="0.2">
      <c r="D695" t="s">
        <v>785</v>
      </c>
      <c r="E695" t="s">
        <v>78</v>
      </c>
      <c r="F695" t="s">
        <v>129</v>
      </c>
      <c r="G695">
        <v>127</v>
      </c>
      <c r="H695">
        <v>10</v>
      </c>
      <c r="I695">
        <v>56.92</v>
      </c>
      <c r="J695">
        <v>7</v>
      </c>
      <c r="K695" s="37">
        <v>45388</v>
      </c>
      <c r="L695" t="s">
        <v>102</v>
      </c>
      <c r="M695">
        <v>153.32</v>
      </c>
      <c r="N695">
        <v>10</v>
      </c>
      <c r="O695" t="str">
        <f>"Q"&amp;ROUNDUP(MONTH(Transactions[[#This Row],[Transaction Date]])/3,0)</f>
        <v>Q2</v>
      </c>
      <c r="P695">
        <f>YEAR(Transactions[[#This Row],[Transaction Date]])</f>
        <v>2024</v>
      </c>
      <c r="Q695" t="str">
        <f>IF(Transactions[[#This Row],[Sales Amount]]&lt;AVERAGE(Transactions[Sales Amount]),"Below Average","At/Above Average")</f>
        <v>Below Average</v>
      </c>
    </row>
    <row r="696" spans="4:17" x14ac:dyDescent="0.2">
      <c r="D696" t="s">
        <v>786</v>
      </c>
      <c r="E696" t="s">
        <v>78</v>
      </c>
      <c r="F696" t="s">
        <v>91</v>
      </c>
      <c r="G696">
        <v>120</v>
      </c>
      <c r="H696">
        <v>9</v>
      </c>
      <c r="I696">
        <v>45.21</v>
      </c>
      <c r="J696">
        <v>9</v>
      </c>
      <c r="K696" s="37">
        <v>44901</v>
      </c>
      <c r="L696" t="s">
        <v>109</v>
      </c>
      <c r="M696">
        <v>387.74</v>
      </c>
      <c r="N696">
        <v>12</v>
      </c>
      <c r="O696" t="str">
        <f>"Q"&amp;ROUNDUP(MONTH(Transactions[[#This Row],[Transaction Date]])/3,0)</f>
        <v>Q4</v>
      </c>
      <c r="P696">
        <f>YEAR(Transactions[[#This Row],[Transaction Date]])</f>
        <v>2022</v>
      </c>
      <c r="Q696" t="str">
        <f>IF(Transactions[[#This Row],[Sales Amount]]&lt;AVERAGE(Transactions[Sales Amount]),"Below Average","At/Above Average")</f>
        <v>At/Above Average</v>
      </c>
    </row>
    <row r="697" spans="4:17" x14ac:dyDescent="0.2">
      <c r="D697" t="s">
        <v>787</v>
      </c>
      <c r="E697" t="s">
        <v>78</v>
      </c>
      <c r="F697" t="s">
        <v>88</v>
      </c>
      <c r="G697">
        <v>265</v>
      </c>
      <c r="H697">
        <v>1</v>
      </c>
      <c r="I697">
        <v>59.83</v>
      </c>
      <c r="J697">
        <v>3</v>
      </c>
      <c r="K697" s="37">
        <v>45381</v>
      </c>
      <c r="L697" t="s">
        <v>102</v>
      </c>
      <c r="M697">
        <v>159.74</v>
      </c>
      <c r="N697">
        <v>16</v>
      </c>
      <c r="O697" t="str">
        <f>"Q"&amp;ROUNDUP(MONTH(Transactions[[#This Row],[Transaction Date]])/3,0)</f>
        <v>Q1</v>
      </c>
      <c r="P697">
        <f>YEAR(Transactions[[#This Row],[Transaction Date]])</f>
        <v>2024</v>
      </c>
      <c r="Q697" t="str">
        <f>IF(Transactions[[#This Row],[Sales Amount]]&lt;AVERAGE(Transactions[Sales Amount]),"Below Average","At/Above Average")</f>
        <v>Below Average</v>
      </c>
    </row>
    <row r="698" spans="4:17" x14ac:dyDescent="0.2">
      <c r="D698" t="s">
        <v>788</v>
      </c>
      <c r="E698" t="s">
        <v>76</v>
      </c>
      <c r="F698" t="s">
        <v>105</v>
      </c>
      <c r="G698">
        <v>253</v>
      </c>
      <c r="H698">
        <v>8</v>
      </c>
      <c r="I698">
        <v>50.43</v>
      </c>
      <c r="J698">
        <v>10</v>
      </c>
      <c r="K698" s="37">
        <v>44791</v>
      </c>
      <c r="L698" t="s">
        <v>92</v>
      </c>
      <c r="M698">
        <v>408.09</v>
      </c>
      <c r="N698">
        <v>12</v>
      </c>
      <c r="O698" t="str">
        <f>"Q"&amp;ROUNDUP(MONTH(Transactions[[#This Row],[Transaction Date]])/3,0)</f>
        <v>Q3</v>
      </c>
      <c r="P698">
        <f>YEAR(Transactions[[#This Row],[Transaction Date]])</f>
        <v>2022</v>
      </c>
      <c r="Q698" t="str">
        <f>IF(Transactions[[#This Row],[Sales Amount]]&lt;AVERAGE(Transactions[Sales Amount]),"Below Average","At/Above Average")</f>
        <v>At/Above Average</v>
      </c>
    </row>
    <row r="699" spans="4:17" x14ac:dyDescent="0.2">
      <c r="D699" t="s">
        <v>789</v>
      </c>
      <c r="E699" t="s">
        <v>87</v>
      </c>
      <c r="F699" t="s">
        <v>99</v>
      </c>
      <c r="G699">
        <v>260</v>
      </c>
      <c r="H699">
        <v>1</v>
      </c>
      <c r="I699">
        <v>51.52</v>
      </c>
      <c r="J699">
        <v>10</v>
      </c>
      <c r="K699" s="37">
        <v>45264</v>
      </c>
      <c r="L699" t="s">
        <v>124</v>
      </c>
      <c r="M699">
        <v>109.68</v>
      </c>
      <c r="N699">
        <v>24</v>
      </c>
      <c r="O699" t="str">
        <f>"Q"&amp;ROUNDUP(MONTH(Transactions[[#This Row],[Transaction Date]])/3,0)</f>
        <v>Q4</v>
      </c>
      <c r="P699">
        <f>YEAR(Transactions[[#This Row],[Transaction Date]])</f>
        <v>2023</v>
      </c>
      <c r="Q699" t="str">
        <f>IF(Transactions[[#This Row],[Sales Amount]]&lt;AVERAGE(Transactions[Sales Amount]),"Below Average","At/Above Average")</f>
        <v>Below Average</v>
      </c>
    </row>
    <row r="700" spans="4:17" x14ac:dyDescent="0.2">
      <c r="D700" t="s">
        <v>790</v>
      </c>
      <c r="E700" t="s">
        <v>76</v>
      </c>
      <c r="F700" t="s">
        <v>105</v>
      </c>
      <c r="G700">
        <v>223</v>
      </c>
      <c r="H700">
        <v>3</v>
      </c>
      <c r="I700">
        <v>58.11</v>
      </c>
      <c r="J700">
        <v>5</v>
      </c>
      <c r="K700" s="37">
        <v>44931</v>
      </c>
      <c r="L700" t="s">
        <v>89</v>
      </c>
      <c r="M700">
        <v>396.96</v>
      </c>
      <c r="N700">
        <v>9</v>
      </c>
      <c r="O700" t="str">
        <f>"Q"&amp;ROUNDUP(MONTH(Transactions[[#This Row],[Transaction Date]])/3,0)</f>
        <v>Q1</v>
      </c>
      <c r="P700">
        <f>YEAR(Transactions[[#This Row],[Transaction Date]])</f>
        <v>2023</v>
      </c>
      <c r="Q700" t="str">
        <f>IF(Transactions[[#This Row],[Sales Amount]]&lt;AVERAGE(Transactions[Sales Amount]),"Below Average","At/Above Average")</f>
        <v>At/Above Average</v>
      </c>
    </row>
    <row r="701" spans="4:17" x14ac:dyDescent="0.2">
      <c r="D701" t="s">
        <v>791</v>
      </c>
      <c r="E701" t="s">
        <v>74</v>
      </c>
      <c r="F701" t="s">
        <v>96</v>
      </c>
      <c r="G701">
        <v>163</v>
      </c>
      <c r="H701">
        <v>10</v>
      </c>
      <c r="I701">
        <v>59.84</v>
      </c>
      <c r="J701">
        <v>8</v>
      </c>
      <c r="K701" s="37">
        <v>45182</v>
      </c>
      <c r="L701" t="s">
        <v>97</v>
      </c>
      <c r="M701">
        <v>80.08</v>
      </c>
      <c r="N701">
        <v>28</v>
      </c>
      <c r="O701" t="str">
        <f>"Q"&amp;ROUNDUP(MONTH(Transactions[[#This Row],[Transaction Date]])/3,0)</f>
        <v>Q3</v>
      </c>
      <c r="P701">
        <f>YEAR(Transactions[[#This Row],[Transaction Date]])</f>
        <v>2023</v>
      </c>
      <c r="Q701" t="str">
        <f>IF(Transactions[[#This Row],[Sales Amount]]&lt;AVERAGE(Transactions[Sales Amount]),"Below Average","At/Above Average")</f>
        <v>Below Average</v>
      </c>
    </row>
    <row r="702" spans="4:17" x14ac:dyDescent="0.2">
      <c r="D702" t="s">
        <v>792</v>
      </c>
      <c r="E702" t="s">
        <v>78</v>
      </c>
      <c r="F702" t="s">
        <v>108</v>
      </c>
      <c r="G702">
        <v>135</v>
      </c>
      <c r="H702">
        <v>8</v>
      </c>
      <c r="I702">
        <v>48.13</v>
      </c>
      <c r="J702">
        <v>10</v>
      </c>
      <c r="K702" s="37">
        <v>45411</v>
      </c>
      <c r="L702" t="s">
        <v>124</v>
      </c>
      <c r="M702">
        <v>493.99</v>
      </c>
      <c r="N702">
        <v>37</v>
      </c>
      <c r="O702" t="str">
        <f>"Q"&amp;ROUNDUP(MONTH(Transactions[[#This Row],[Transaction Date]])/3,0)</f>
        <v>Q2</v>
      </c>
      <c r="P702">
        <f>YEAR(Transactions[[#This Row],[Transaction Date]])</f>
        <v>2024</v>
      </c>
      <c r="Q702" t="str">
        <f>IF(Transactions[[#This Row],[Sales Amount]]&lt;AVERAGE(Transactions[Sales Amount]),"Below Average","At/Above Average")</f>
        <v>At/Above Average</v>
      </c>
    </row>
    <row r="703" spans="4:17" x14ac:dyDescent="0.2">
      <c r="D703" t="s">
        <v>793</v>
      </c>
      <c r="E703" t="s">
        <v>74</v>
      </c>
      <c r="F703" t="s">
        <v>96</v>
      </c>
      <c r="G703">
        <v>158</v>
      </c>
      <c r="H703">
        <v>6</v>
      </c>
      <c r="I703">
        <v>49.27</v>
      </c>
      <c r="J703">
        <v>9</v>
      </c>
      <c r="K703" s="37">
        <v>45018</v>
      </c>
      <c r="L703" t="s">
        <v>89</v>
      </c>
      <c r="M703">
        <v>129.32</v>
      </c>
      <c r="N703">
        <v>33</v>
      </c>
      <c r="O703" t="str">
        <f>"Q"&amp;ROUNDUP(MONTH(Transactions[[#This Row],[Transaction Date]])/3,0)</f>
        <v>Q2</v>
      </c>
      <c r="P703">
        <f>YEAR(Transactions[[#This Row],[Transaction Date]])</f>
        <v>2023</v>
      </c>
      <c r="Q703" t="str">
        <f>IF(Transactions[[#This Row],[Sales Amount]]&lt;AVERAGE(Transactions[Sales Amount]),"Below Average","At/Above Average")</f>
        <v>Below Average</v>
      </c>
    </row>
    <row r="704" spans="4:17" x14ac:dyDescent="0.2">
      <c r="D704" t="s">
        <v>794</v>
      </c>
      <c r="E704" t="s">
        <v>75</v>
      </c>
      <c r="F704" t="s">
        <v>88</v>
      </c>
      <c r="G704">
        <v>247</v>
      </c>
      <c r="H704">
        <v>9</v>
      </c>
      <c r="I704">
        <v>46.2</v>
      </c>
      <c r="J704">
        <v>7</v>
      </c>
      <c r="K704" s="37">
        <v>45313</v>
      </c>
      <c r="L704" t="s">
        <v>97</v>
      </c>
      <c r="M704">
        <v>422.18</v>
      </c>
      <c r="N704">
        <v>15</v>
      </c>
      <c r="O704" t="str">
        <f>"Q"&amp;ROUNDUP(MONTH(Transactions[[#This Row],[Transaction Date]])/3,0)</f>
        <v>Q1</v>
      </c>
      <c r="P704">
        <f>YEAR(Transactions[[#This Row],[Transaction Date]])</f>
        <v>2024</v>
      </c>
      <c r="Q704" t="str">
        <f>IF(Transactions[[#This Row],[Sales Amount]]&lt;AVERAGE(Transactions[Sales Amount]),"Below Average","At/Above Average")</f>
        <v>At/Above Average</v>
      </c>
    </row>
    <row r="705" spans="4:17" x14ac:dyDescent="0.2">
      <c r="D705" t="s">
        <v>795</v>
      </c>
      <c r="E705" t="s">
        <v>78</v>
      </c>
      <c r="F705" t="s">
        <v>105</v>
      </c>
      <c r="G705">
        <v>199</v>
      </c>
      <c r="H705">
        <v>10</v>
      </c>
      <c r="I705">
        <v>53.75</v>
      </c>
      <c r="J705">
        <v>9</v>
      </c>
      <c r="K705" s="37">
        <v>45014</v>
      </c>
      <c r="L705" t="s">
        <v>102</v>
      </c>
      <c r="M705">
        <v>201.55</v>
      </c>
      <c r="N705">
        <v>11</v>
      </c>
      <c r="O705" t="str">
        <f>"Q"&amp;ROUNDUP(MONTH(Transactions[[#This Row],[Transaction Date]])/3,0)</f>
        <v>Q1</v>
      </c>
      <c r="P705">
        <f>YEAR(Transactions[[#This Row],[Transaction Date]])</f>
        <v>2023</v>
      </c>
      <c r="Q705" t="str">
        <f>IF(Transactions[[#This Row],[Sales Amount]]&lt;AVERAGE(Transactions[Sales Amount]),"Below Average","At/Above Average")</f>
        <v>Below Average</v>
      </c>
    </row>
    <row r="706" spans="4:17" x14ac:dyDescent="0.2">
      <c r="D706" t="s">
        <v>796</v>
      </c>
      <c r="E706" t="s">
        <v>75</v>
      </c>
      <c r="F706" t="s">
        <v>96</v>
      </c>
      <c r="G706">
        <v>214</v>
      </c>
      <c r="H706">
        <v>5</v>
      </c>
      <c r="I706">
        <v>53.23</v>
      </c>
      <c r="J706">
        <v>2</v>
      </c>
      <c r="K706" s="37">
        <v>44746</v>
      </c>
      <c r="L706" t="s">
        <v>109</v>
      </c>
      <c r="M706">
        <v>229.95</v>
      </c>
      <c r="N706">
        <v>32</v>
      </c>
      <c r="O706" t="str">
        <f>"Q"&amp;ROUNDUP(MONTH(Transactions[[#This Row],[Transaction Date]])/3,0)</f>
        <v>Q3</v>
      </c>
      <c r="P706">
        <f>YEAR(Transactions[[#This Row],[Transaction Date]])</f>
        <v>2022</v>
      </c>
      <c r="Q706" t="str">
        <f>IF(Transactions[[#This Row],[Sales Amount]]&lt;AVERAGE(Transactions[Sales Amount]),"Below Average","At/Above Average")</f>
        <v>Below Average</v>
      </c>
    </row>
    <row r="707" spans="4:17" x14ac:dyDescent="0.2">
      <c r="D707" t="s">
        <v>797</v>
      </c>
      <c r="E707" t="s">
        <v>75</v>
      </c>
      <c r="F707" t="s">
        <v>129</v>
      </c>
      <c r="G707">
        <v>221</v>
      </c>
      <c r="H707">
        <v>10</v>
      </c>
      <c r="I707">
        <v>45.61</v>
      </c>
      <c r="J707">
        <v>6</v>
      </c>
      <c r="K707" s="37">
        <v>44564</v>
      </c>
      <c r="L707" t="s">
        <v>92</v>
      </c>
      <c r="M707">
        <v>77.739999999999995</v>
      </c>
      <c r="N707">
        <v>19</v>
      </c>
      <c r="O707" t="str">
        <f>"Q"&amp;ROUNDUP(MONTH(Transactions[[#This Row],[Transaction Date]])/3,0)</f>
        <v>Q1</v>
      </c>
      <c r="P707">
        <f>YEAR(Transactions[[#This Row],[Transaction Date]])</f>
        <v>2022</v>
      </c>
      <c r="Q707" t="str">
        <f>IF(Transactions[[#This Row],[Sales Amount]]&lt;AVERAGE(Transactions[Sales Amount]),"Below Average","At/Above Average")</f>
        <v>Below Average</v>
      </c>
    </row>
    <row r="708" spans="4:17" x14ac:dyDescent="0.2">
      <c r="D708" t="s">
        <v>798</v>
      </c>
      <c r="E708" t="s">
        <v>87</v>
      </c>
      <c r="F708" t="s">
        <v>108</v>
      </c>
      <c r="G708">
        <v>247</v>
      </c>
      <c r="H708">
        <v>5</v>
      </c>
      <c r="I708">
        <v>53.67</v>
      </c>
      <c r="J708">
        <v>6</v>
      </c>
      <c r="K708" s="37">
        <v>44594</v>
      </c>
      <c r="L708" t="s">
        <v>97</v>
      </c>
      <c r="M708">
        <v>179.81</v>
      </c>
      <c r="N708">
        <v>7</v>
      </c>
      <c r="O708" t="str">
        <f>"Q"&amp;ROUNDUP(MONTH(Transactions[[#This Row],[Transaction Date]])/3,0)</f>
        <v>Q1</v>
      </c>
      <c r="P708">
        <f>YEAR(Transactions[[#This Row],[Transaction Date]])</f>
        <v>2022</v>
      </c>
      <c r="Q708" t="str">
        <f>IF(Transactions[[#This Row],[Sales Amount]]&lt;AVERAGE(Transactions[Sales Amount]),"Below Average","At/Above Average")</f>
        <v>Below Average</v>
      </c>
    </row>
    <row r="709" spans="4:17" x14ac:dyDescent="0.2">
      <c r="D709" t="s">
        <v>799</v>
      </c>
      <c r="E709" t="s">
        <v>77</v>
      </c>
      <c r="F709" t="s">
        <v>105</v>
      </c>
      <c r="G709">
        <v>296</v>
      </c>
      <c r="H709">
        <v>5</v>
      </c>
      <c r="I709">
        <v>55.23</v>
      </c>
      <c r="J709">
        <v>8</v>
      </c>
      <c r="K709" s="37">
        <v>44681</v>
      </c>
      <c r="L709" t="s">
        <v>102</v>
      </c>
      <c r="M709">
        <v>33.19</v>
      </c>
      <c r="N709">
        <v>10</v>
      </c>
      <c r="O709" t="str">
        <f>"Q"&amp;ROUNDUP(MONTH(Transactions[[#This Row],[Transaction Date]])/3,0)</f>
        <v>Q2</v>
      </c>
      <c r="P709">
        <f>YEAR(Transactions[[#This Row],[Transaction Date]])</f>
        <v>2022</v>
      </c>
      <c r="Q709" t="str">
        <f>IF(Transactions[[#This Row],[Sales Amount]]&lt;AVERAGE(Transactions[Sales Amount]),"Below Average","At/Above Average")</f>
        <v>Below Average</v>
      </c>
    </row>
    <row r="710" spans="4:17" x14ac:dyDescent="0.2">
      <c r="D710" t="s">
        <v>800</v>
      </c>
      <c r="E710" t="s">
        <v>87</v>
      </c>
      <c r="F710" t="s">
        <v>96</v>
      </c>
      <c r="G710">
        <v>256</v>
      </c>
      <c r="H710">
        <v>8</v>
      </c>
      <c r="I710">
        <v>55.47</v>
      </c>
      <c r="J710">
        <v>4</v>
      </c>
      <c r="K710" s="37">
        <v>45150</v>
      </c>
      <c r="L710" t="s">
        <v>124</v>
      </c>
      <c r="M710">
        <v>204.9</v>
      </c>
      <c r="N710">
        <v>12</v>
      </c>
      <c r="O710" t="str">
        <f>"Q"&amp;ROUNDUP(MONTH(Transactions[[#This Row],[Transaction Date]])/3,0)</f>
        <v>Q3</v>
      </c>
      <c r="P710">
        <f>YEAR(Transactions[[#This Row],[Transaction Date]])</f>
        <v>2023</v>
      </c>
      <c r="Q710" t="str">
        <f>IF(Transactions[[#This Row],[Sales Amount]]&lt;AVERAGE(Transactions[Sales Amount]),"Below Average","At/Above Average")</f>
        <v>Below Average</v>
      </c>
    </row>
    <row r="711" spans="4:17" x14ac:dyDescent="0.2">
      <c r="D711" t="s">
        <v>801</v>
      </c>
      <c r="E711" t="s">
        <v>87</v>
      </c>
      <c r="F711" t="s">
        <v>105</v>
      </c>
      <c r="G711">
        <v>248</v>
      </c>
      <c r="H711">
        <v>10</v>
      </c>
      <c r="I711">
        <v>55.26</v>
      </c>
      <c r="J711">
        <v>1</v>
      </c>
      <c r="K711" s="37">
        <v>44877</v>
      </c>
      <c r="L711" t="s">
        <v>124</v>
      </c>
      <c r="M711">
        <v>238.32</v>
      </c>
      <c r="N711">
        <v>2</v>
      </c>
      <c r="O711" t="str">
        <f>"Q"&amp;ROUNDUP(MONTH(Transactions[[#This Row],[Transaction Date]])/3,0)</f>
        <v>Q4</v>
      </c>
      <c r="P711">
        <f>YEAR(Transactions[[#This Row],[Transaction Date]])</f>
        <v>2022</v>
      </c>
      <c r="Q711" t="str">
        <f>IF(Transactions[[#This Row],[Sales Amount]]&lt;AVERAGE(Transactions[Sales Amount]),"Below Average","At/Above Average")</f>
        <v>Below Average</v>
      </c>
    </row>
    <row r="712" spans="4:17" x14ac:dyDescent="0.2">
      <c r="D712" t="s">
        <v>802</v>
      </c>
      <c r="E712" t="s">
        <v>87</v>
      </c>
      <c r="F712" t="s">
        <v>129</v>
      </c>
      <c r="G712">
        <v>218</v>
      </c>
      <c r="H712">
        <v>2</v>
      </c>
      <c r="I712">
        <v>49.64</v>
      </c>
      <c r="J712">
        <v>10</v>
      </c>
      <c r="K712" s="37">
        <v>45526</v>
      </c>
      <c r="L712" t="s">
        <v>89</v>
      </c>
      <c r="M712">
        <v>369.99</v>
      </c>
      <c r="N712">
        <v>2</v>
      </c>
      <c r="O712" t="str">
        <f>"Q"&amp;ROUNDUP(MONTH(Transactions[[#This Row],[Transaction Date]])/3,0)</f>
        <v>Q3</v>
      </c>
      <c r="P712">
        <f>YEAR(Transactions[[#This Row],[Transaction Date]])</f>
        <v>2024</v>
      </c>
      <c r="Q712" t="str">
        <f>IF(Transactions[[#This Row],[Sales Amount]]&lt;AVERAGE(Transactions[Sales Amount]),"Below Average","At/Above Average")</f>
        <v>At/Above Average</v>
      </c>
    </row>
    <row r="713" spans="4:17" x14ac:dyDescent="0.2">
      <c r="D713" t="s">
        <v>803</v>
      </c>
      <c r="E713" t="s">
        <v>74</v>
      </c>
      <c r="F713" t="s">
        <v>94</v>
      </c>
      <c r="G713">
        <v>295</v>
      </c>
      <c r="H713">
        <v>6</v>
      </c>
      <c r="I713">
        <v>59.86</v>
      </c>
      <c r="J713">
        <v>1</v>
      </c>
      <c r="K713" s="37">
        <v>45105</v>
      </c>
      <c r="L713" t="s">
        <v>102</v>
      </c>
      <c r="M713">
        <v>363.23</v>
      </c>
      <c r="N713">
        <v>46</v>
      </c>
      <c r="O713" t="str">
        <f>"Q"&amp;ROUNDUP(MONTH(Transactions[[#This Row],[Transaction Date]])/3,0)</f>
        <v>Q2</v>
      </c>
      <c r="P713">
        <f>YEAR(Transactions[[#This Row],[Transaction Date]])</f>
        <v>2023</v>
      </c>
      <c r="Q713" t="str">
        <f>IF(Transactions[[#This Row],[Sales Amount]]&lt;AVERAGE(Transactions[Sales Amount]),"Below Average","At/Above Average")</f>
        <v>At/Above Average</v>
      </c>
    </row>
    <row r="714" spans="4:17" x14ac:dyDescent="0.2">
      <c r="D714" t="s">
        <v>804</v>
      </c>
      <c r="E714" t="s">
        <v>87</v>
      </c>
      <c r="F714" t="s">
        <v>105</v>
      </c>
      <c r="G714">
        <v>266</v>
      </c>
      <c r="H714">
        <v>7</v>
      </c>
      <c r="I714">
        <v>48.85</v>
      </c>
      <c r="J714">
        <v>8</v>
      </c>
      <c r="K714" s="37">
        <v>45098</v>
      </c>
      <c r="L714" t="s">
        <v>124</v>
      </c>
      <c r="M714">
        <v>251.81</v>
      </c>
      <c r="N714">
        <v>4</v>
      </c>
      <c r="O714" t="str">
        <f>"Q"&amp;ROUNDUP(MONTH(Transactions[[#This Row],[Transaction Date]])/3,0)</f>
        <v>Q2</v>
      </c>
      <c r="P714">
        <f>YEAR(Transactions[[#This Row],[Transaction Date]])</f>
        <v>2023</v>
      </c>
      <c r="Q714" t="str">
        <f>IF(Transactions[[#This Row],[Sales Amount]]&lt;AVERAGE(Transactions[Sales Amount]),"Below Average","At/Above Average")</f>
        <v>Below Average</v>
      </c>
    </row>
    <row r="715" spans="4:17" x14ac:dyDescent="0.2">
      <c r="D715" t="s">
        <v>805</v>
      </c>
      <c r="E715" t="s">
        <v>87</v>
      </c>
      <c r="F715" t="s">
        <v>129</v>
      </c>
      <c r="G715">
        <v>190</v>
      </c>
      <c r="H715">
        <v>9</v>
      </c>
      <c r="I715">
        <v>55.44</v>
      </c>
      <c r="J715">
        <v>2</v>
      </c>
      <c r="K715" s="37">
        <v>44938</v>
      </c>
      <c r="L715" t="s">
        <v>89</v>
      </c>
      <c r="M715">
        <v>228.6</v>
      </c>
      <c r="N715">
        <v>33</v>
      </c>
      <c r="O715" t="str">
        <f>"Q"&amp;ROUNDUP(MONTH(Transactions[[#This Row],[Transaction Date]])/3,0)</f>
        <v>Q1</v>
      </c>
      <c r="P715">
        <f>YEAR(Transactions[[#This Row],[Transaction Date]])</f>
        <v>2023</v>
      </c>
      <c r="Q715" t="str">
        <f>IF(Transactions[[#This Row],[Sales Amount]]&lt;AVERAGE(Transactions[Sales Amount]),"Below Average","At/Above Average")</f>
        <v>Below Average</v>
      </c>
    </row>
    <row r="716" spans="4:17" x14ac:dyDescent="0.2">
      <c r="D716" t="s">
        <v>806</v>
      </c>
      <c r="E716" t="s">
        <v>87</v>
      </c>
      <c r="F716" t="s">
        <v>88</v>
      </c>
      <c r="G716">
        <v>187</v>
      </c>
      <c r="H716">
        <v>4</v>
      </c>
      <c r="I716">
        <v>49.08</v>
      </c>
      <c r="J716">
        <v>4</v>
      </c>
      <c r="K716" s="37">
        <v>45057</v>
      </c>
      <c r="L716" t="s">
        <v>102</v>
      </c>
      <c r="M716">
        <v>416.29</v>
      </c>
      <c r="N716">
        <v>27</v>
      </c>
      <c r="O716" t="str">
        <f>"Q"&amp;ROUNDUP(MONTH(Transactions[[#This Row],[Transaction Date]])/3,0)</f>
        <v>Q2</v>
      </c>
      <c r="P716">
        <f>YEAR(Transactions[[#This Row],[Transaction Date]])</f>
        <v>2023</v>
      </c>
      <c r="Q716" t="str">
        <f>IF(Transactions[[#This Row],[Sales Amount]]&lt;AVERAGE(Transactions[Sales Amount]),"Below Average","At/Above Average")</f>
        <v>At/Above Average</v>
      </c>
    </row>
    <row r="717" spans="4:17" x14ac:dyDescent="0.2">
      <c r="D717" t="s">
        <v>807</v>
      </c>
      <c r="E717" t="s">
        <v>77</v>
      </c>
      <c r="F717" t="s">
        <v>96</v>
      </c>
      <c r="G717">
        <v>231</v>
      </c>
      <c r="H717">
        <v>2</v>
      </c>
      <c r="I717">
        <v>54.93</v>
      </c>
      <c r="J717">
        <v>9</v>
      </c>
      <c r="K717" s="37">
        <v>45473</v>
      </c>
      <c r="L717" t="s">
        <v>92</v>
      </c>
      <c r="M717">
        <v>125.82</v>
      </c>
      <c r="N717">
        <v>25</v>
      </c>
      <c r="O717" t="str">
        <f>"Q"&amp;ROUNDUP(MONTH(Transactions[[#This Row],[Transaction Date]])/3,0)</f>
        <v>Q2</v>
      </c>
      <c r="P717">
        <f>YEAR(Transactions[[#This Row],[Transaction Date]])</f>
        <v>2024</v>
      </c>
      <c r="Q717" t="str">
        <f>IF(Transactions[[#This Row],[Sales Amount]]&lt;AVERAGE(Transactions[Sales Amount]),"Below Average","At/Above Average")</f>
        <v>Below Average</v>
      </c>
    </row>
    <row r="718" spans="4:17" x14ac:dyDescent="0.2">
      <c r="D718" t="s">
        <v>808</v>
      </c>
      <c r="E718" t="s">
        <v>78</v>
      </c>
      <c r="F718" t="s">
        <v>88</v>
      </c>
      <c r="G718">
        <v>223</v>
      </c>
      <c r="H718">
        <v>2</v>
      </c>
      <c r="I718">
        <v>50.11</v>
      </c>
      <c r="J718">
        <v>5</v>
      </c>
      <c r="K718" s="37">
        <v>45231</v>
      </c>
      <c r="L718" t="s">
        <v>97</v>
      </c>
      <c r="M718">
        <v>209.77</v>
      </c>
      <c r="N718">
        <v>21</v>
      </c>
      <c r="O718" t="str">
        <f>"Q"&amp;ROUNDUP(MONTH(Transactions[[#This Row],[Transaction Date]])/3,0)</f>
        <v>Q4</v>
      </c>
      <c r="P718">
        <f>YEAR(Transactions[[#This Row],[Transaction Date]])</f>
        <v>2023</v>
      </c>
      <c r="Q718" t="str">
        <f>IF(Transactions[[#This Row],[Sales Amount]]&lt;AVERAGE(Transactions[Sales Amount]),"Below Average","At/Above Average")</f>
        <v>Below Average</v>
      </c>
    </row>
    <row r="719" spans="4:17" x14ac:dyDescent="0.2">
      <c r="D719" t="s">
        <v>809</v>
      </c>
      <c r="E719" t="s">
        <v>87</v>
      </c>
      <c r="F719" t="s">
        <v>99</v>
      </c>
      <c r="G719">
        <v>207</v>
      </c>
      <c r="H719">
        <v>2</v>
      </c>
      <c r="I719">
        <v>54.43</v>
      </c>
      <c r="J719">
        <v>9</v>
      </c>
      <c r="K719" s="37">
        <v>45104</v>
      </c>
      <c r="L719" t="s">
        <v>92</v>
      </c>
      <c r="M719">
        <v>92.04</v>
      </c>
      <c r="N719">
        <v>27</v>
      </c>
      <c r="O719" t="str">
        <f>"Q"&amp;ROUNDUP(MONTH(Transactions[[#This Row],[Transaction Date]])/3,0)</f>
        <v>Q2</v>
      </c>
      <c r="P719">
        <f>YEAR(Transactions[[#This Row],[Transaction Date]])</f>
        <v>2023</v>
      </c>
      <c r="Q719" t="str">
        <f>IF(Transactions[[#This Row],[Sales Amount]]&lt;AVERAGE(Transactions[Sales Amount]),"Below Average","At/Above Average")</f>
        <v>Below Average</v>
      </c>
    </row>
    <row r="720" spans="4:17" x14ac:dyDescent="0.2">
      <c r="D720" t="s">
        <v>810</v>
      </c>
      <c r="E720" t="s">
        <v>77</v>
      </c>
      <c r="F720" t="s">
        <v>91</v>
      </c>
      <c r="G720">
        <v>115</v>
      </c>
      <c r="H720">
        <v>4</v>
      </c>
      <c r="I720">
        <v>57.68</v>
      </c>
      <c r="J720">
        <v>4</v>
      </c>
      <c r="K720" s="37">
        <v>44658</v>
      </c>
      <c r="L720" t="s">
        <v>89</v>
      </c>
      <c r="M720">
        <v>225.12</v>
      </c>
      <c r="N720">
        <v>22</v>
      </c>
      <c r="O720" t="str">
        <f>"Q"&amp;ROUNDUP(MONTH(Transactions[[#This Row],[Transaction Date]])/3,0)</f>
        <v>Q2</v>
      </c>
      <c r="P720">
        <f>YEAR(Transactions[[#This Row],[Transaction Date]])</f>
        <v>2022</v>
      </c>
      <c r="Q720" t="str">
        <f>IF(Transactions[[#This Row],[Sales Amount]]&lt;AVERAGE(Transactions[Sales Amount]),"Below Average","At/Above Average")</f>
        <v>Below Average</v>
      </c>
    </row>
    <row r="721" spans="4:17" x14ac:dyDescent="0.2">
      <c r="D721" t="s">
        <v>811</v>
      </c>
      <c r="E721" t="s">
        <v>76</v>
      </c>
      <c r="F721" t="s">
        <v>94</v>
      </c>
      <c r="G721">
        <v>254</v>
      </c>
      <c r="H721">
        <v>3</v>
      </c>
      <c r="I721">
        <v>51.05</v>
      </c>
      <c r="J721">
        <v>6</v>
      </c>
      <c r="K721" s="37">
        <v>44855</v>
      </c>
      <c r="L721" t="s">
        <v>102</v>
      </c>
      <c r="M721">
        <v>198.42</v>
      </c>
      <c r="N721">
        <v>2</v>
      </c>
      <c r="O721" t="str">
        <f>"Q"&amp;ROUNDUP(MONTH(Transactions[[#This Row],[Transaction Date]])/3,0)</f>
        <v>Q4</v>
      </c>
      <c r="P721">
        <f>YEAR(Transactions[[#This Row],[Transaction Date]])</f>
        <v>2022</v>
      </c>
      <c r="Q721" t="str">
        <f>IF(Transactions[[#This Row],[Sales Amount]]&lt;AVERAGE(Transactions[Sales Amount]),"Below Average","At/Above Average")</f>
        <v>Below Average</v>
      </c>
    </row>
    <row r="722" spans="4:17" x14ac:dyDescent="0.2">
      <c r="D722" t="s">
        <v>812</v>
      </c>
      <c r="E722" t="s">
        <v>87</v>
      </c>
      <c r="F722" t="s">
        <v>99</v>
      </c>
      <c r="G722">
        <v>268</v>
      </c>
      <c r="H722">
        <v>7</v>
      </c>
      <c r="I722">
        <v>58.67</v>
      </c>
      <c r="J722">
        <v>6</v>
      </c>
      <c r="K722" s="37">
        <v>45642</v>
      </c>
      <c r="L722" t="s">
        <v>89</v>
      </c>
      <c r="M722">
        <v>363.24</v>
      </c>
      <c r="N722">
        <v>28</v>
      </c>
      <c r="O722" t="str">
        <f>"Q"&amp;ROUNDUP(MONTH(Transactions[[#This Row],[Transaction Date]])/3,0)</f>
        <v>Q4</v>
      </c>
      <c r="P722">
        <f>YEAR(Transactions[[#This Row],[Transaction Date]])</f>
        <v>2024</v>
      </c>
      <c r="Q722" t="str">
        <f>IF(Transactions[[#This Row],[Sales Amount]]&lt;AVERAGE(Transactions[Sales Amount]),"Below Average","At/Above Average")</f>
        <v>At/Above Average</v>
      </c>
    </row>
    <row r="723" spans="4:17" x14ac:dyDescent="0.2">
      <c r="D723" t="s">
        <v>813</v>
      </c>
      <c r="E723" t="s">
        <v>87</v>
      </c>
      <c r="F723" t="s">
        <v>88</v>
      </c>
      <c r="G723">
        <v>178</v>
      </c>
      <c r="H723">
        <v>6</v>
      </c>
      <c r="I723">
        <v>58.15</v>
      </c>
      <c r="J723">
        <v>4</v>
      </c>
      <c r="K723" s="37">
        <v>44926</v>
      </c>
      <c r="L723" t="s">
        <v>109</v>
      </c>
      <c r="M723">
        <v>426.25</v>
      </c>
      <c r="N723">
        <v>18</v>
      </c>
      <c r="O723" t="str">
        <f>"Q"&amp;ROUNDUP(MONTH(Transactions[[#This Row],[Transaction Date]])/3,0)</f>
        <v>Q4</v>
      </c>
      <c r="P723">
        <f>YEAR(Transactions[[#This Row],[Transaction Date]])</f>
        <v>2022</v>
      </c>
      <c r="Q723" t="str">
        <f>IF(Transactions[[#This Row],[Sales Amount]]&lt;AVERAGE(Transactions[Sales Amount]),"Below Average","At/Above Average")</f>
        <v>At/Above Average</v>
      </c>
    </row>
    <row r="724" spans="4:17" x14ac:dyDescent="0.2">
      <c r="D724" t="s">
        <v>814</v>
      </c>
      <c r="E724" t="s">
        <v>77</v>
      </c>
      <c r="F724" t="s">
        <v>94</v>
      </c>
      <c r="G724">
        <v>253</v>
      </c>
      <c r="H724">
        <v>4</v>
      </c>
      <c r="I724">
        <v>59.32</v>
      </c>
      <c r="J724">
        <v>3</v>
      </c>
      <c r="K724" s="37">
        <v>44863</v>
      </c>
      <c r="L724" t="s">
        <v>89</v>
      </c>
      <c r="M724">
        <v>252.99</v>
      </c>
      <c r="N724">
        <v>37</v>
      </c>
      <c r="O724" t="str">
        <f>"Q"&amp;ROUNDUP(MONTH(Transactions[[#This Row],[Transaction Date]])/3,0)</f>
        <v>Q4</v>
      </c>
      <c r="P724">
        <f>YEAR(Transactions[[#This Row],[Transaction Date]])</f>
        <v>2022</v>
      </c>
      <c r="Q724" t="str">
        <f>IF(Transactions[[#This Row],[Sales Amount]]&lt;AVERAGE(Transactions[Sales Amount]),"Below Average","At/Above Average")</f>
        <v>Below Average</v>
      </c>
    </row>
    <row r="725" spans="4:17" x14ac:dyDescent="0.2">
      <c r="D725" t="s">
        <v>815</v>
      </c>
      <c r="E725" t="s">
        <v>76</v>
      </c>
      <c r="F725" t="s">
        <v>94</v>
      </c>
      <c r="G725">
        <v>277</v>
      </c>
      <c r="H725">
        <v>3</v>
      </c>
      <c r="I725">
        <v>47.71</v>
      </c>
      <c r="J725">
        <v>5</v>
      </c>
      <c r="K725" s="37">
        <v>44760</v>
      </c>
      <c r="L725" t="s">
        <v>97</v>
      </c>
      <c r="M725">
        <v>112.94</v>
      </c>
      <c r="N725">
        <v>46</v>
      </c>
      <c r="O725" t="str">
        <f>"Q"&amp;ROUNDUP(MONTH(Transactions[[#This Row],[Transaction Date]])/3,0)</f>
        <v>Q3</v>
      </c>
      <c r="P725">
        <f>YEAR(Transactions[[#This Row],[Transaction Date]])</f>
        <v>2022</v>
      </c>
      <c r="Q725" t="str">
        <f>IF(Transactions[[#This Row],[Sales Amount]]&lt;AVERAGE(Transactions[Sales Amount]),"Below Average","At/Above Average")</f>
        <v>Below Average</v>
      </c>
    </row>
    <row r="726" spans="4:17" x14ac:dyDescent="0.2">
      <c r="D726" t="s">
        <v>816</v>
      </c>
      <c r="E726" t="s">
        <v>76</v>
      </c>
      <c r="F726" t="s">
        <v>88</v>
      </c>
      <c r="G726">
        <v>207</v>
      </c>
      <c r="H726">
        <v>5</v>
      </c>
      <c r="I726">
        <v>48.99</v>
      </c>
      <c r="J726">
        <v>2</v>
      </c>
      <c r="K726" s="37">
        <v>44614</v>
      </c>
      <c r="L726" t="s">
        <v>92</v>
      </c>
      <c r="M726">
        <v>68.47</v>
      </c>
      <c r="N726">
        <v>3</v>
      </c>
      <c r="O726" t="str">
        <f>"Q"&amp;ROUNDUP(MONTH(Transactions[[#This Row],[Transaction Date]])/3,0)</f>
        <v>Q1</v>
      </c>
      <c r="P726">
        <f>YEAR(Transactions[[#This Row],[Transaction Date]])</f>
        <v>2022</v>
      </c>
      <c r="Q726" t="str">
        <f>IF(Transactions[[#This Row],[Sales Amount]]&lt;AVERAGE(Transactions[Sales Amount]),"Below Average","At/Above Average")</f>
        <v>Below Average</v>
      </c>
    </row>
    <row r="727" spans="4:17" x14ac:dyDescent="0.2">
      <c r="D727" t="s">
        <v>817</v>
      </c>
      <c r="E727" t="s">
        <v>75</v>
      </c>
      <c r="F727" t="s">
        <v>99</v>
      </c>
      <c r="G727">
        <v>300</v>
      </c>
      <c r="H727">
        <v>10</v>
      </c>
      <c r="I727">
        <v>48.16</v>
      </c>
      <c r="J727">
        <v>4</v>
      </c>
      <c r="K727" s="37">
        <v>44732</v>
      </c>
      <c r="L727" t="s">
        <v>89</v>
      </c>
      <c r="M727">
        <v>379.69</v>
      </c>
      <c r="N727">
        <v>22</v>
      </c>
      <c r="O727" t="str">
        <f>"Q"&amp;ROUNDUP(MONTH(Transactions[[#This Row],[Transaction Date]])/3,0)</f>
        <v>Q2</v>
      </c>
      <c r="P727">
        <f>YEAR(Transactions[[#This Row],[Transaction Date]])</f>
        <v>2022</v>
      </c>
      <c r="Q727" t="str">
        <f>IF(Transactions[[#This Row],[Sales Amount]]&lt;AVERAGE(Transactions[Sales Amount]),"Below Average","At/Above Average")</f>
        <v>At/Above Average</v>
      </c>
    </row>
    <row r="728" spans="4:17" x14ac:dyDescent="0.2">
      <c r="D728" t="s">
        <v>818</v>
      </c>
      <c r="E728" t="s">
        <v>77</v>
      </c>
      <c r="F728" t="s">
        <v>99</v>
      </c>
      <c r="G728">
        <v>183</v>
      </c>
      <c r="H728">
        <v>6</v>
      </c>
      <c r="I728">
        <v>46.97</v>
      </c>
      <c r="J728">
        <v>4</v>
      </c>
      <c r="K728" s="37">
        <v>44848</v>
      </c>
      <c r="L728" t="s">
        <v>89</v>
      </c>
      <c r="M728">
        <v>225.19</v>
      </c>
      <c r="N728">
        <v>21</v>
      </c>
      <c r="O728" t="str">
        <f>"Q"&amp;ROUNDUP(MONTH(Transactions[[#This Row],[Transaction Date]])/3,0)</f>
        <v>Q4</v>
      </c>
      <c r="P728">
        <f>YEAR(Transactions[[#This Row],[Transaction Date]])</f>
        <v>2022</v>
      </c>
      <c r="Q728" t="str">
        <f>IF(Transactions[[#This Row],[Sales Amount]]&lt;AVERAGE(Transactions[Sales Amount]),"Below Average","At/Above Average")</f>
        <v>Below Average</v>
      </c>
    </row>
    <row r="729" spans="4:17" x14ac:dyDescent="0.2">
      <c r="D729" t="s">
        <v>819</v>
      </c>
      <c r="E729" t="s">
        <v>74</v>
      </c>
      <c r="F729" t="s">
        <v>105</v>
      </c>
      <c r="G729">
        <v>295</v>
      </c>
      <c r="H729">
        <v>3</v>
      </c>
      <c r="I729">
        <v>46.55</v>
      </c>
      <c r="J729">
        <v>1</v>
      </c>
      <c r="K729" s="37">
        <v>45181</v>
      </c>
      <c r="L729" t="s">
        <v>102</v>
      </c>
      <c r="M729">
        <v>197.43</v>
      </c>
      <c r="N729">
        <v>5</v>
      </c>
      <c r="O729" t="str">
        <f>"Q"&amp;ROUNDUP(MONTH(Transactions[[#This Row],[Transaction Date]])/3,0)</f>
        <v>Q3</v>
      </c>
      <c r="P729">
        <f>YEAR(Transactions[[#This Row],[Transaction Date]])</f>
        <v>2023</v>
      </c>
      <c r="Q729" t="str">
        <f>IF(Transactions[[#This Row],[Sales Amount]]&lt;AVERAGE(Transactions[Sales Amount]),"Below Average","At/Above Average")</f>
        <v>Below Average</v>
      </c>
    </row>
    <row r="730" spans="4:17" x14ac:dyDescent="0.2">
      <c r="D730" t="s">
        <v>820</v>
      </c>
      <c r="E730" t="s">
        <v>77</v>
      </c>
      <c r="F730" t="s">
        <v>88</v>
      </c>
      <c r="G730">
        <v>253</v>
      </c>
      <c r="H730">
        <v>9</v>
      </c>
      <c r="I730">
        <v>47.87</v>
      </c>
      <c r="J730">
        <v>4</v>
      </c>
      <c r="K730" s="37">
        <v>45644</v>
      </c>
      <c r="L730" t="s">
        <v>102</v>
      </c>
      <c r="M730">
        <v>254.43</v>
      </c>
      <c r="N730">
        <v>8</v>
      </c>
      <c r="O730" t="str">
        <f>"Q"&amp;ROUNDUP(MONTH(Transactions[[#This Row],[Transaction Date]])/3,0)</f>
        <v>Q4</v>
      </c>
      <c r="P730">
        <f>YEAR(Transactions[[#This Row],[Transaction Date]])</f>
        <v>2024</v>
      </c>
      <c r="Q730" t="str">
        <f>IF(Transactions[[#This Row],[Sales Amount]]&lt;AVERAGE(Transactions[Sales Amount]),"Below Average","At/Above Average")</f>
        <v>Below Average</v>
      </c>
    </row>
    <row r="731" spans="4:17" x14ac:dyDescent="0.2">
      <c r="D731" t="s">
        <v>821</v>
      </c>
      <c r="E731" t="s">
        <v>74</v>
      </c>
      <c r="F731" t="s">
        <v>88</v>
      </c>
      <c r="G731">
        <v>142</v>
      </c>
      <c r="H731">
        <v>10</v>
      </c>
      <c r="I731">
        <v>47.35</v>
      </c>
      <c r="J731">
        <v>6</v>
      </c>
      <c r="K731" s="37">
        <v>45070</v>
      </c>
      <c r="L731" t="s">
        <v>109</v>
      </c>
      <c r="M731">
        <v>488.39</v>
      </c>
      <c r="N731">
        <v>29</v>
      </c>
      <c r="O731" t="str">
        <f>"Q"&amp;ROUNDUP(MONTH(Transactions[[#This Row],[Transaction Date]])/3,0)</f>
        <v>Q2</v>
      </c>
      <c r="P731">
        <f>YEAR(Transactions[[#This Row],[Transaction Date]])</f>
        <v>2023</v>
      </c>
      <c r="Q731" t="str">
        <f>IF(Transactions[[#This Row],[Sales Amount]]&lt;AVERAGE(Transactions[Sales Amount]),"Below Average","At/Above Average")</f>
        <v>At/Above Average</v>
      </c>
    </row>
    <row r="732" spans="4:17" x14ac:dyDescent="0.2">
      <c r="D732" t="s">
        <v>822</v>
      </c>
      <c r="E732" t="s">
        <v>87</v>
      </c>
      <c r="F732" t="s">
        <v>96</v>
      </c>
      <c r="G732">
        <v>291</v>
      </c>
      <c r="H732">
        <v>7</v>
      </c>
      <c r="I732">
        <v>45.18</v>
      </c>
      <c r="J732">
        <v>4</v>
      </c>
      <c r="K732" s="37">
        <v>44791</v>
      </c>
      <c r="L732" t="s">
        <v>109</v>
      </c>
      <c r="M732">
        <v>420.14</v>
      </c>
      <c r="N732">
        <v>27</v>
      </c>
      <c r="O732" t="str">
        <f>"Q"&amp;ROUNDUP(MONTH(Transactions[[#This Row],[Transaction Date]])/3,0)</f>
        <v>Q3</v>
      </c>
      <c r="P732">
        <f>YEAR(Transactions[[#This Row],[Transaction Date]])</f>
        <v>2022</v>
      </c>
      <c r="Q732" t="str">
        <f>IF(Transactions[[#This Row],[Sales Amount]]&lt;AVERAGE(Transactions[Sales Amount]),"Below Average","At/Above Average")</f>
        <v>At/Above Average</v>
      </c>
    </row>
    <row r="733" spans="4:17" x14ac:dyDescent="0.2">
      <c r="D733" t="s">
        <v>823</v>
      </c>
      <c r="E733" t="s">
        <v>76</v>
      </c>
      <c r="F733" t="s">
        <v>99</v>
      </c>
      <c r="G733">
        <v>288</v>
      </c>
      <c r="H733">
        <v>9</v>
      </c>
      <c r="I733">
        <v>46.54</v>
      </c>
      <c r="J733">
        <v>6</v>
      </c>
      <c r="K733" s="37">
        <v>44804</v>
      </c>
      <c r="L733" t="s">
        <v>124</v>
      </c>
      <c r="M733">
        <v>197.74</v>
      </c>
      <c r="N733">
        <v>17</v>
      </c>
      <c r="O733" t="str">
        <f>"Q"&amp;ROUNDUP(MONTH(Transactions[[#This Row],[Transaction Date]])/3,0)</f>
        <v>Q3</v>
      </c>
      <c r="P733">
        <f>YEAR(Transactions[[#This Row],[Transaction Date]])</f>
        <v>2022</v>
      </c>
      <c r="Q733" t="str">
        <f>IF(Transactions[[#This Row],[Sales Amount]]&lt;AVERAGE(Transactions[Sales Amount]),"Below Average","At/Above Average")</f>
        <v>Below Average</v>
      </c>
    </row>
    <row r="734" spans="4:17" x14ac:dyDescent="0.2">
      <c r="D734" t="s">
        <v>824</v>
      </c>
      <c r="E734" t="s">
        <v>78</v>
      </c>
      <c r="F734" t="s">
        <v>91</v>
      </c>
      <c r="G734">
        <v>206</v>
      </c>
      <c r="H734">
        <v>3</v>
      </c>
      <c r="I734">
        <v>55.15</v>
      </c>
      <c r="J734">
        <v>1</v>
      </c>
      <c r="K734" s="37">
        <v>44909</v>
      </c>
      <c r="L734" t="s">
        <v>89</v>
      </c>
      <c r="M734">
        <v>437.36</v>
      </c>
      <c r="N734">
        <v>37</v>
      </c>
      <c r="O734" t="str">
        <f>"Q"&amp;ROUNDUP(MONTH(Transactions[[#This Row],[Transaction Date]])/3,0)</f>
        <v>Q4</v>
      </c>
      <c r="P734">
        <f>YEAR(Transactions[[#This Row],[Transaction Date]])</f>
        <v>2022</v>
      </c>
      <c r="Q734" t="str">
        <f>IF(Transactions[[#This Row],[Sales Amount]]&lt;AVERAGE(Transactions[Sales Amount]),"Below Average","At/Above Average")</f>
        <v>At/Above Average</v>
      </c>
    </row>
    <row r="735" spans="4:17" x14ac:dyDescent="0.2">
      <c r="D735" t="s">
        <v>825</v>
      </c>
      <c r="E735" t="s">
        <v>78</v>
      </c>
      <c r="F735" t="s">
        <v>91</v>
      </c>
      <c r="G735">
        <v>273</v>
      </c>
      <c r="H735">
        <v>1</v>
      </c>
      <c r="I735">
        <v>49.34</v>
      </c>
      <c r="J735">
        <v>5</v>
      </c>
      <c r="K735" s="37">
        <v>45044</v>
      </c>
      <c r="L735" t="s">
        <v>89</v>
      </c>
      <c r="M735">
        <v>284.58999999999997</v>
      </c>
      <c r="N735">
        <v>42</v>
      </c>
      <c r="O735" t="str">
        <f>"Q"&amp;ROUNDUP(MONTH(Transactions[[#This Row],[Transaction Date]])/3,0)</f>
        <v>Q2</v>
      </c>
      <c r="P735">
        <f>YEAR(Transactions[[#This Row],[Transaction Date]])</f>
        <v>2023</v>
      </c>
      <c r="Q735" t="str">
        <f>IF(Transactions[[#This Row],[Sales Amount]]&lt;AVERAGE(Transactions[Sales Amount]),"Below Average","At/Above Average")</f>
        <v>At/Above Average</v>
      </c>
    </row>
    <row r="736" spans="4:17" x14ac:dyDescent="0.2">
      <c r="D736" t="s">
        <v>826</v>
      </c>
      <c r="E736" t="s">
        <v>78</v>
      </c>
      <c r="F736" t="s">
        <v>88</v>
      </c>
      <c r="G736">
        <v>261</v>
      </c>
      <c r="H736">
        <v>2</v>
      </c>
      <c r="I736">
        <v>46.69</v>
      </c>
      <c r="J736">
        <v>7</v>
      </c>
      <c r="K736" s="37">
        <v>45253</v>
      </c>
      <c r="L736" t="s">
        <v>89</v>
      </c>
      <c r="M736">
        <v>79.13</v>
      </c>
      <c r="N736">
        <v>19</v>
      </c>
      <c r="O736" t="str">
        <f>"Q"&amp;ROUNDUP(MONTH(Transactions[[#This Row],[Transaction Date]])/3,0)</f>
        <v>Q4</v>
      </c>
      <c r="P736">
        <f>YEAR(Transactions[[#This Row],[Transaction Date]])</f>
        <v>2023</v>
      </c>
      <c r="Q736" t="str">
        <f>IF(Transactions[[#This Row],[Sales Amount]]&lt;AVERAGE(Transactions[Sales Amount]),"Below Average","At/Above Average")</f>
        <v>Below Average</v>
      </c>
    </row>
    <row r="737" spans="4:17" x14ac:dyDescent="0.2">
      <c r="D737" t="s">
        <v>827</v>
      </c>
      <c r="E737" t="s">
        <v>78</v>
      </c>
      <c r="F737" t="s">
        <v>94</v>
      </c>
      <c r="G737">
        <v>193</v>
      </c>
      <c r="H737">
        <v>6</v>
      </c>
      <c r="I737">
        <v>48.93</v>
      </c>
      <c r="J737">
        <v>5</v>
      </c>
      <c r="K737" s="37">
        <v>44834</v>
      </c>
      <c r="L737" t="s">
        <v>102</v>
      </c>
      <c r="M737">
        <v>138.4</v>
      </c>
      <c r="N737">
        <v>29</v>
      </c>
      <c r="O737" t="str">
        <f>"Q"&amp;ROUNDUP(MONTH(Transactions[[#This Row],[Transaction Date]])/3,0)</f>
        <v>Q3</v>
      </c>
      <c r="P737">
        <f>YEAR(Transactions[[#This Row],[Transaction Date]])</f>
        <v>2022</v>
      </c>
      <c r="Q737" t="str">
        <f>IF(Transactions[[#This Row],[Sales Amount]]&lt;AVERAGE(Transactions[Sales Amount]),"Below Average","At/Above Average")</f>
        <v>Below Average</v>
      </c>
    </row>
    <row r="738" spans="4:17" x14ac:dyDescent="0.2">
      <c r="D738" t="s">
        <v>828</v>
      </c>
      <c r="E738" t="s">
        <v>78</v>
      </c>
      <c r="F738" t="s">
        <v>94</v>
      </c>
      <c r="G738">
        <v>267</v>
      </c>
      <c r="H738">
        <v>8</v>
      </c>
      <c r="I738">
        <v>46.12</v>
      </c>
      <c r="J738">
        <v>6</v>
      </c>
      <c r="K738" s="37">
        <v>45545</v>
      </c>
      <c r="L738" t="s">
        <v>109</v>
      </c>
      <c r="M738">
        <v>444.9</v>
      </c>
      <c r="N738">
        <v>12</v>
      </c>
      <c r="O738" t="str">
        <f>"Q"&amp;ROUNDUP(MONTH(Transactions[[#This Row],[Transaction Date]])/3,0)</f>
        <v>Q3</v>
      </c>
      <c r="P738">
        <f>YEAR(Transactions[[#This Row],[Transaction Date]])</f>
        <v>2024</v>
      </c>
      <c r="Q738" t="str">
        <f>IF(Transactions[[#This Row],[Sales Amount]]&lt;AVERAGE(Transactions[Sales Amount]),"Below Average","At/Above Average")</f>
        <v>At/Above Average</v>
      </c>
    </row>
    <row r="739" spans="4:17" x14ac:dyDescent="0.2">
      <c r="D739" t="s">
        <v>829</v>
      </c>
      <c r="E739" t="s">
        <v>78</v>
      </c>
      <c r="F739" t="s">
        <v>108</v>
      </c>
      <c r="G739">
        <v>267</v>
      </c>
      <c r="H739">
        <v>2</v>
      </c>
      <c r="I739">
        <v>53.88</v>
      </c>
      <c r="J739">
        <v>10</v>
      </c>
      <c r="K739" s="37">
        <v>45627</v>
      </c>
      <c r="L739" t="s">
        <v>124</v>
      </c>
      <c r="M739">
        <v>203.75</v>
      </c>
      <c r="N739">
        <v>33</v>
      </c>
      <c r="O739" t="str">
        <f>"Q"&amp;ROUNDUP(MONTH(Transactions[[#This Row],[Transaction Date]])/3,0)</f>
        <v>Q4</v>
      </c>
      <c r="P739">
        <f>YEAR(Transactions[[#This Row],[Transaction Date]])</f>
        <v>2024</v>
      </c>
      <c r="Q739" t="str">
        <f>IF(Transactions[[#This Row],[Sales Amount]]&lt;AVERAGE(Transactions[Sales Amount]),"Below Average","At/Above Average")</f>
        <v>Below Average</v>
      </c>
    </row>
    <row r="740" spans="4:17" x14ac:dyDescent="0.2">
      <c r="D740" t="s">
        <v>830</v>
      </c>
      <c r="E740" t="s">
        <v>78</v>
      </c>
      <c r="F740" t="s">
        <v>91</v>
      </c>
      <c r="G740">
        <v>164</v>
      </c>
      <c r="H740">
        <v>3</v>
      </c>
      <c r="I740">
        <v>47.85</v>
      </c>
      <c r="J740">
        <v>7</v>
      </c>
      <c r="K740" s="37">
        <v>45565</v>
      </c>
      <c r="L740" t="s">
        <v>89</v>
      </c>
      <c r="M740">
        <v>35.880000000000003</v>
      </c>
      <c r="N740">
        <v>7</v>
      </c>
      <c r="O740" t="str">
        <f>"Q"&amp;ROUNDUP(MONTH(Transactions[[#This Row],[Transaction Date]])/3,0)</f>
        <v>Q3</v>
      </c>
      <c r="P740">
        <f>YEAR(Transactions[[#This Row],[Transaction Date]])</f>
        <v>2024</v>
      </c>
      <c r="Q740" t="str">
        <f>IF(Transactions[[#This Row],[Sales Amount]]&lt;AVERAGE(Transactions[Sales Amount]),"Below Average","At/Above Average")</f>
        <v>Below Average</v>
      </c>
    </row>
    <row r="741" spans="4:17" x14ac:dyDescent="0.2">
      <c r="D741" t="s">
        <v>831</v>
      </c>
      <c r="E741" t="s">
        <v>78</v>
      </c>
      <c r="F741" t="s">
        <v>96</v>
      </c>
      <c r="G741">
        <v>236</v>
      </c>
      <c r="H741">
        <v>9</v>
      </c>
      <c r="I741">
        <v>59.08</v>
      </c>
      <c r="J741">
        <v>5</v>
      </c>
      <c r="K741" s="37">
        <v>44999</v>
      </c>
      <c r="L741" t="s">
        <v>97</v>
      </c>
      <c r="M741">
        <v>111.29</v>
      </c>
      <c r="N741">
        <v>46</v>
      </c>
      <c r="O741" t="str">
        <f>"Q"&amp;ROUNDUP(MONTH(Transactions[[#This Row],[Transaction Date]])/3,0)</f>
        <v>Q1</v>
      </c>
      <c r="P741">
        <f>YEAR(Transactions[[#This Row],[Transaction Date]])</f>
        <v>2023</v>
      </c>
      <c r="Q741" t="str">
        <f>IF(Transactions[[#This Row],[Sales Amount]]&lt;AVERAGE(Transactions[Sales Amount]),"Below Average","At/Above Average")</f>
        <v>Below Average</v>
      </c>
    </row>
    <row r="742" spans="4:17" x14ac:dyDescent="0.2">
      <c r="D742" t="s">
        <v>832</v>
      </c>
      <c r="E742" t="s">
        <v>77</v>
      </c>
      <c r="F742" t="s">
        <v>108</v>
      </c>
      <c r="G742">
        <v>157</v>
      </c>
      <c r="H742">
        <v>9</v>
      </c>
      <c r="I742">
        <v>53.74</v>
      </c>
      <c r="J742">
        <v>2</v>
      </c>
      <c r="K742" s="37">
        <v>45248</v>
      </c>
      <c r="L742" t="s">
        <v>97</v>
      </c>
      <c r="M742">
        <v>416.76</v>
      </c>
      <c r="N742">
        <v>27</v>
      </c>
      <c r="O742" t="str">
        <f>"Q"&amp;ROUNDUP(MONTH(Transactions[[#This Row],[Transaction Date]])/3,0)</f>
        <v>Q4</v>
      </c>
      <c r="P742">
        <f>YEAR(Transactions[[#This Row],[Transaction Date]])</f>
        <v>2023</v>
      </c>
      <c r="Q742" t="str">
        <f>IF(Transactions[[#This Row],[Sales Amount]]&lt;AVERAGE(Transactions[Sales Amount]),"Below Average","At/Above Average")</f>
        <v>At/Above Average</v>
      </c>
    </row>
    <row r="743" spans="4:17" x14ac:dyDescent="0.2">
      <c r="D743" t="s">
        <v>833</v>
      </c>
      <c r="E743" t="s">
        <v>76</v>
      </c>
      <c r="F743" t="s">
        <v>105</v>
      </c>
      <c r="G743">
        <v>202</v>
      </c>
      <c r="H743">
        <v>6</v>
      </c>
      <c r="I743">
        <v>56.27</v>
      </c>
      <c r="J743">
        <v>9</v>
      </c>
      <c r="K743" s="37">
        <v>45206</v>
      </c>
      <c r="L743" t="s">
        <v>97</v>
      </c>
      <c r="M743">
        <v>103.01</v>
      </c>
      <c r="N743">
        <v>9</v>
      </c>
      <c r="O743" t="str">
        <f>"Q"&amp;ROUNDUP(MONTH(Transactions[[#This Row],[Transaction Date]])/3,0)</f>
        <v>Q4</v>
      </c>
      <c r="P743">
        <f>YEAR(Transactions[[#This Row],[Transaction Date]])</f>
        <v>2023</v>
      </c>
      <c r="Q743" t="str">
        <f>IF(Transactions[[#This Row],[Sales Amount]]&lt;AVERAGE(Transactions[Sales Amount]),"Below Average","At/Above Average")</f>
        <v>Below Average</v>
      </c>
    </row>
    <row r="744" spans="4:17" x14ac:dyDescent="0.2">
      <c r="D744" t="s">
        <v>834</v>
      </c>
      <c r="E744" t="s">
        <v>76</v>
      </c>
      <c r="F744" t="s">
        <v>91</v>
      </c>
      <c r="G744">
        <v>125</v>
      </c>
      <c r="H744">
        <v>10</v>
      </c>
      <c r="I744">
        <v>50.06</v>
      </c>
      <c r="J744">
        <v>10</v>
      </c>
      <c r="K744" s="37">
        <v>45586</v>
      </c>
      <c r="L744" t="s">
        <v>124</v>
      </c>
      <c r="M744">
        <v>307.42</v>
      </c>
      <c r="N744">
        <v>42</v>
      </c>
      <c r="O744" t="str">
        <f>"Q"&amp;ROUNDUP(MONTH(Transactions[[#This Row],[Transaction Date]])/3,0)</f>
        <v>Q4</v>
      </c>
      <c r="P744">
        <f>YEAR(Transactions[[#This Row],[Transaction Date]])</f>
        <v>2024</v>
      </c>
      <c r="Q744" t="str">
        <f>IF(Transactions[[#This Row],[Sales Amount]]&lt;AVERAGE(Transactions[Sales Amount]),"Below Average","At/Above Average")</f>
        <v>At/Above Average</v>
      </c>
    </row>
    <row r="745" spans="4:17" x14ac:dyDescent="0.2">
      <c r="D745" t="s">
        <v>835</v>
      </c>
      <c r="E745" t="s">
        <v>75</v>
      </c>
      <c r="F745" t="s">
        <v>91</v>
      </c>
      <c r="G745">
        <v>129</v>
      </c>
      <c r="H745">
        <v>4</v>
      </c>
      <c r="I745">
        <v>58.17</v>
      </c>
      <c r="J745">
        <v>9</v>
      </c>
      <c r="K745" s="37">
        <v>45378</v>
      </c>
      <c r="L745" t="s">
        <v>102</v>
      </c>
      <c r="M745">
        <v>486.85</v>
      </c>
      <c r="N745">
        <v>48</v>
      </c>
      <c r="O745" t="str">
        <f>"Q"&amp;ROUNDUP(MONTH(Transactions[[#This Row],[Transaction Date]])/3,0)</f>
        <v>Q1</v>
      </c>
      <c r="P745">
        <f>YEAR(Transactions[[#This Row],[Transaction Date]])</f>
        <v>2024</v>
      </c>
      <c r="Q745" t="str">
        <f>IF(Transactions[[#This Row],[Sales Amount]]&lt;AVERAGE(Transactions[Sales Amount]),"Below Average","At/Above Average")</f>
        <v>At/Above Average</v>
      </c>
    </row>
    <row r="746" spans="4:17" x14ac:dyDescent="0.2">
      <c r="D746" t="s">
        <v>836</v>
      </c>
      <c r="E746" t="s">
        <v>74</v>
      </c>
      <c r="F746" t="s">
        <v>88</v>
      </c>
      <c r="G746">
        <v>193</v>
      </c>
      <c r="H746">
        <v>3</v>
      </c>
      <c r="I746">
        <v>53.73</v>
      </c>
      <c r="J746">
        <v>3</v>
      </c>
      <c r="K746" s="37">
        <v>44914</v>
      </c>
      <c r="L746" t="s">
        <v>124</v>
      </c>
      <c r="M746">
        <v>152.35</v>
      </c>
      <c r="N746">
        <v>40</v>
      </c>
      <c r="O746" t="str">
        <f>"Q"&amp;ROUNDUP(MONTH(Transactions[[#This Row],[Transaction Date]])/3,0)</f>
        <v>Q4</v>
      </c>
      <c r="P746">
        <f>YEAR(Transactions[[#This Row],[Transaction Date]])</f>
        <v>2022</v>
      </c>
      <c r="Q746" t="str">
        <f>IF(Transactions[[#This Row],[Sales Amount]]&lt;AVERAGE(Transactions[Sales Amount]),"Below Average","At/Above Average")</f>
        <v>Below Average</v>
      </c>
    </row>
    <row r="747" spans="4:17" x14ac:dyDescent="0.2">
      <c r="D747" t="s">
        <v>837</v>
      </c>
      <c r="E747" t="s">
        <v>87</v>
      </c>
      <c r="F747" t="s">
        <v>94</v>
      </c>
      <c r="G747">
        <v>123</v>
      </c>
      <c r="H747">
        <v>1</v>
      </c>
      <c r="I747">
        <v>59.79</v>
      </c>
      <c r="J747">
        <v>8</v>
      </c>
      <c r="K747" s="37">
        <v>44726</v>
      </c>
      <c r="L747" t="s">
        <v>97</v>
      </c>
      <c r="M747">
        <v>246.53</v>
      </c>
      <c r="N747">
        <v>16</v>
      </c>
      <c r="O747" t="str">
        <f>"Q"&amp;ROUNDUP(MONTH(Transactions[[#This Row],[Transaction Date]])/3,0)</f>
        <v>Q2</v>
      </c>
      <c r="P747">
        <f>YEAR(Transactions[[#This Row],[Transaction Date]])</f>
        <v>2022</v>
      </c>
      <c r="Q747" t="str">
        <f>IF(Transactions[[#This Row],[Sales Amount]]&lt;AVERAGE(Transactions[Sales Amount]),"Below Average","At/Above Average")</f>
        <v>Below Average</v>
      </c>
    </row>
    <row r="748" spans="4:17" x14ac:dyDescent="0.2">
      <c r="D748" t="s">
        <v>838</v>
      </c>
      <c r="E748" t="s">
        <v>87</v>
      </c>
      <c r="F748" t="s">
        <v>94</v>
      </c>
      <c r="G748">
        <v>120</v>
      </c>
      <c r="H748">
        <v>4</v>
      </c>
      <c r="I748">
        <v>54.48</v>
      </c>
      <c r="J748">
        <v>10</v>
      </c>
      <c r="K748" s="37">
        <v>45078</v>
      </c>
      <c r="L748" t="s">
        <v>102</v>
      </c>
      <c r="M748">
        <v>315.47000000000003</v>
      </c>
      <c r="N748">
        <v>12</v>
      </c>
      <c r="O748" t="str">
        <f>"Q"&amp;ROUNDUP(MONTH(Transactions[[#This Row],[Transaction Date]])/3,0)</f>
        <v>Q2</v>
      </c>
      <c r="P748">
        <f>YEAR(Transactions[[#This Row],[Transaction Date]])</f>
        <v>2023</v>
      </c>
      <c r="Q748" t="str">
        <f>IF(Transactions[[#This Row],[Sales Amount]]&lt;AVERAGE(Transactions[Sales Amount]),"Below Average","At/Above Average")</f>
        <v>At/Above Average</v>
      </c>
    </row>
    <row r="749" spans="4:17" x14ac:dyDescent="0.2">
      <c r="D749" t="s">
        <v>839</v>
      </c>
      <c r="E749" t="s">
        <v>77</v>
      </c>
      <c r="F749" t="s">
        <v>99</v>
      </c>
      <c r="G749">
        <v>257</v>
      </c>
      <c r="H749">
        <v>8</v>
      </c>
      <c r="I749">
        <v>46.73</v>
      </c>
      <c r="J749">
        <v>8</v>
      </c>
      <c r="K749" s="37">
        <v>45310</v>
      </c>
      <c r="L749" t="s">
        <v>109</v>
      </c>
      <c r="M749">
        <v>80.739999999999995</v>
      </c>
      <c r="N749">
        <v>31</v>
      </c>
      <c r="O749" t="str">
        <f>"Q"&amp;ROUNDUP(MONTH(Transactions[[#This Row],[Transaction Date]])/3,0)</f>
        <v>Q1</v>
      </c>
      <c r="P749">
        <f>YEAR(Transactions[[#This Row],[Transaction Date]])</f>
        <v>2024</v>
      </c>
      <c r="Q749" t="str">
        <f>IF(Transactions[[#This Row],[Sales Amount]]&lt;AVERAGE(Transactions[Sales Amount]),"Below Average","At/Above Average")</f>
        <v>Below Average</v>
      </c>
    </row>
    <row r="750" spans="4:17" x14ac:dyDescent="0.2">
      <c r="D750" t="s">
        <v>840</v>
      </c>
      <c r="E750" t="s">
        <v>75</v>
      </c>
      <c r="F750" t="s">
        <v>88</v>
      </c>
      <c r="G750">
        <v>125</v>
      </c>
      <c r="H750">
        <v>9</v>
      </c>
      <c r="I750">
        <v>50.01</v>
      </c>
      <c r="J750">
        <v>5</v>
      </c>
      <c r="K750" s="37">
        <v>45653</v>
      </c>
      <c r="L750" t="s">
        <v>89</v>
      </c>
      <c r="M750">
        <v>30.88</v>
      </c>
      <c r="N750">
        <v>32</v>
      </c>
      <c r="O750" t="str">
        <f>"Q"&amp;ROUNDUP(MONTH(Transactions[[#This Row],[Transaction Date]])/3,0)</f>
        <v>Q4</v>
      </c>
      <c r="P750">
        <f>YEAR(Transactions[[#This Row],[Transaction Date]])</f>
        <v>2024</v>
      </c>
      <c r="Q750" t="str">
        <f>IF(Transactions[[#This Row],[Sales Amount]]&lt;AVERAGE(Transactions[Sales Amount]),"Below Average","At/Above Average")</f>
        <v>Below Average</v>
      </c>
    </row>
    <row r="751" spans="4:17" x14ac:dyDescent="0.2">
      <c r="D751" t="s">
        <v>841</v>
      </c>
      <c r="E751" t="s">
        <v>78</v>
      </c>
      <c r="F751" t="s">
        <v>91</v>
      </c>
      <c r="G751">
        <v>167</v>
      </c>
      <c r="H751">
        <v>10</v>
      </c>
      <c r="I751">
        <v>45.82</v>
      </c>
      <c r="J751">
        <v>1</v>
      </c>
      <c r="K751" s="37">
        <v>45438</v>
      </c>
      <c r="L751" t="s">
        <v>89</v>
      </c>
      <c r="M751">
        <v>238.2</v>
      </c>
      <c r="N751">
        <v>10</v>
      </c>
      <c r="O751" t="str">
        <f>"Q"&amp;ROUNDUP(MONTH(Transactions[[#This Row],[Transaction Date]])/3,0)</f>
        <v>Q2</v>
      </c>
      <c r="P751">
        <f>YEAR(Transactions[[#This Row],[Transaction Date]])</f>
        <v>2024</v>
      </c>
      <c r="Q751" t="str">
        <f>IF(Transactions[[#This Row],[Sales Amount]]&lt;AVERAGE(Transactions[Sales Amount]),"Below Average","At/Above Average")</f>
        <v>Below Average</v>
      </c>
    </row>
    <row r="752" spans="4:17" x14ac:dyDescent="0.2">
      <c r="D752" t="s">
        <v>842</v>
      </c>
      <c r="E752" t="s">
        <v>78</v>
      </c>
      <c r="F752" t="s">
        <v>108</v>
      </c>
      <c r="G752">
        <v>101</v>
      </c>
      <c r="H752">
        <v>10</v>
      </c>
      <c r="I752">
        <v>55.99</v>
      </c>
      <c r="J752">
        <v>4</v>
      </c>
      <c r="K752" s="37">
        <v>45485</v>
      </c>
      <c r="L752" t="s">
        <v>124</v>
      </c>
      <c r="M752">
        <v>245.63</v>
      </c>
      <c r="N752">
        <v>5</v>
      </c>
      <c r="O752" t="str">
        <f>"Q"&amp;ROUNDUP(MONTH(Transactions[[#This Row],[Transaction Date]])/3,0)</f>
        <v>Q3</v>
      </c>
      <c r="P752">
        <f>YEAR(Transactions[[#This Row],[Transaction Date]])</f>
        <v>2024</v>
      </c>
      <c r="Q752" t="str">
        <f>IF(Transactions[[#This Row],[Sales Amount]]&lt;AVERAGE(Transactions[Sales Amount]),"Below Average","At/Above Average")</f>
        <v>Below Average</v>
      </c>
    </row>
    <row r="753" spans="4:17" x14ac:dyDescent="0.2">
      <c r="D753" t="s">
        <v>843</v>
      </c>
      <c r="E753" t="s">
        <v>78</v>
      </c>
      <c r="F753" t="s">
        <v>108</v>
      </c>
      <c r="G753">
        <v>118</v>
      </c>
      <c r="H753">
        <v>8</v>
      </c>
      <c r="I753">
        <v>45.27</v>
      </c>
      <c r="J753">
        <v>1</v>
      </c>
      <c r="K753" s="37">
        <v>44936</v>
      </c>
      <c r="L753" t="s">
        <v>102</v>
      </c>
      <c r="M753">
        <v>78.680000000000007</v>
      </c>
      <c r="N753">
        <v>16</v>
      </c>
      <c r="O753" t="str">
        <f>"Q"&amp;ROUNDUP(MONTH(Transactions[[#This Row],[Transaction Date]])/3,0)</f>
        <v>Q1</v>
      </c>
      <c r="P753">
        <f>YEAR(Transactions[[#This Row],[Transaction Date]])</f>
        <v>2023</v>
      </c>
      <c r="Q753" t="str">
        <f>IF(Transactions[[#This Row],[Sales Amount]]&lt;AVERAGE(Transactions[Sales Amount]),"Below Average","At/Above Average")</f>
        <v>Below Average</v>
      </c>
    </row>
    <row r="754" spans="4:17" x14ac:dyDescent="0.2">
      <c r="D754" t="s">
        <v>844</v>
      </c>
      <c r="E754" t="s">
        <v>75</v>
      </c>
      <c r="F754" t="s">
        <v>94</v>
      </c>
      <c r="G754">
        <v>277</v>
      </c>
      <c r="H754">
        <v>3</v>
      </c>
      <c r="I754">
        <v>56.76</v>
      </c>
      <c r="J754">
        <v>10</v>
      </c>
      <c r="K754" s="37">
        <v>44565</v>
      </c>
      <c r="L754" t="s">
        <v>97</v>
      </c>
      <c r="M754">
        <v>18.59</v>
      </c>
      <c r="N754">
        <v>1</v>
      </c>
      <c r="O754" t="str">
        <f>"Q"&amp;ROUNDUP(MONTH(Transactions[[#This Row],[Transaction Date]])/3,0)</f>
        <v>Q1</v>
      </c>
      <c r="P754">
        <f>YEAR(Transactions[[#This Row],[Transaction Date]])</f>
        <v>2022</v>
      </c>
      <c r="Q754" t="str">
        <f>IF(Transactions[[#This Row],[Sales Amount]]&lt;AVERAGE(Transactions[Sales Amount]),"Below Average","At/Above Average")</f>
        <v>Below Average</v>
      </c>
    </row>
    <row r="755" spans="4:17" x14ac:dyDescent="0.2">
      <c r="D755" t="s">
        <v>845</v>
      </c>
      <c r="E755" t="s">
        <v>77</v>
      </c>
      <c r="F755" t="s">
        <v>88</v>
      </c>
      <c r="G755">
        <v>181</v>
      </c>
      <c r="H755">
        <v>9</v>
      </c>
      <c r="I755">
        <v>56.58</v>
      </c>
      <c r="J755">
        <v>9</v>
      </c>
      <c r="K755" s="37">
        <v>45516</v>
      </c>
      <c r="L755" t="s">
        <v>109</v>
      </c>
      <c r="M755">
        <v>184.71</v>
      </c>
      <c r="N755">
        <v>1</v>
      </c>
      <c r="O755" t="str">
        <f>"Q"&amp;ROUNDUP(MONTH(Transactions[[#This Row],[Transaction Date]])/3,0)</f>
        <v>Q3</v>
      </c>
      <c r="P755">
        <f>YEAR(Transactions[[#This Row],[Transaction Date]])</f>
        <v>2024</v>
      </c>
      <c r="Q755" t="str">
        <f>IF(Transactions[[#This Row],[Sales Amount]]&lt;AVERAGE(Transactions[Sales Amount]),"Below Average","At/Above Average")</f>
        <v>Below Average</v>
      </c>
    </row>
    <row r="756" spans="4:17" x14ac:dyDescent="0.2">
      <c r="D756" t="s">
        <v>846</v>
      </c>
      <c r="E756" t="s">
        <v>76</v>
      </c>
      <c r="F756" t="s">
        <v>88</v>
      </c>
      <c r="G756">
        <v>126</v>
      </c>
      <c r="H756">
        <v>5</v>
      </c>
      <c r="I756">
        <v>58.35</v>
      </c>
      <c r="J756">
        <v>2</v>
      </c>
      <c r="K756" s="37">
        <v>45111</v>
      </c>
      <c r="L756" t="s">
        <v>109</v>
      </c>
      <c r="M756">
        <v>417.41</v>
      </c>
      <c r="N756">
        <v>50</v>
      </c>
      <c r="O756" t="str">
        <f>"Q"&amp;ROUNDUP(MONTH(Transactions[[#This Row],[Transaction Date]])/3,0)</f>
        <v>Q3</v>
      </c>
      <c r="P756">
        <f>YEAR(Transactions[[#This Row],[Transaction Date]])</f>
        <v>2023</v>
      </c>
      <c r="Q756" t="str">
        <f>IF(Transactions[[#This Row],[Sales Amount]]&lt;AVERAGE(Transactions[Sales Amount]),"Below Average","At/Above Average")</f>
        <v>At/Above Average</v>
      </c>
    </row>
    <row r="757" spans="4:17" x14ac:dyDescent="0.2">
      <c r="D757" t="s">
        <v>847</v>
      </c>
      <c r="E757" t="s">
        <v>78</v>
      </c>
      <c r="F757" t="s">
        <v>96</v>
      </c>
      <c r="G757">
        <v>179</v>
      </c>
      <c r="H757">
        <v>4</v>
      </c>
      <c r="I757">
        <v>50.04</v>
      </c>
      <c r="J757">
        <v>5</v>
      </c>
      <c r="K757" s="37">
        <v>45478</v>
      </c>
      <c r="L757" t="s">
        <v>97</v>
      </c>
      <c r="M757">
        <v>427.25</v>
      </c>
      <c r="N757">
        <v>25</v>
      </c>
      <c r="O757" t="str">
        <f>"Q"&amp;ROUNDUP(MONTH(Transactions[[#This Row],[Transaction Date]])/3,0)</f>
        <v>Q3</v>
      </c>
      <c r="P757">
        <f>YEAR(Transactions[[#This Row],[Transaction Date]])</f>
        <v>2024</v>
      </c>
      <c r="Q757" t="str">
        <f>IF(Transactions[[#This Row],[Sales Amount]]&lt;AVERAGE(Transactions[Sales Amount]),"Below Average","At/Above Average")</f>
        <v>At/Above Average</v>
      </c>
    </row>
    <row r="758" spans="4:17" x14ac:dyDescent="0.2">
      <c r="D758" t="s">
        <v>848</v>
      </c>
      <c r="E758" t="s">
        <v>75</v>
      </c>
      <c r="F758" t="s">
        <v>88</v>
      </c>
      <c r="G758">
        <v>286</v>
      </c>
      <c r="H758">
        <v>3</v>
      </c>
      <c r="I758">
        <v>58.92</v>
      </c>
      <c r="J758">
        <v>3</v>
      </c>
      <c r="K758" s="37">
        <v>45518</v>
      </c>
      <c r="L758" t="s">
        <v>89</v>
      </c>
      <c r="M758">
        <v>388</v>
      </c>
      <c r="N758">
        <v>39</v>
      </c>
      <c r="O758" t="str">
        <f>"Q"&amp;ROUNDUP(MONTH(Transactions[[#This Row],[Transaction Date]])/3,0)</f>
        <v>Q3</v>
      </c>
      <c r="P758">
        <f>YEAR(Transactions[[#This Row],[Transaction Date]])</f>
        <v>2024</v>
      </c>
      <c r="Q758" t="str">
        <f>IF(Transactions[[#This Row],[Sales Amount]]&lt;AVERAGE(Transactions[Sales Amount]),"Below Average","At/Above Average")</f>
        <v>At/Above Average</v>
      </c>
    </row>
    <row r="759" spans="4:17" x14ac:dyDescent="0.2">
      <c r="D759" t="s">
        <v>849</v>
      </c>
      <c r="E759" t="s">
        <v>75</v>
      </c>
      <c r="F759" t="s">
        <v>105</v>
      </c>
      <c r="G759">
        <v>188</v>
      </c>
      <c r="H759">
        <v>5</v>
      </c>
      <c r="I759">
        <v>58.3</v>
      </c>
      <c r="J759">
        <v>4</v>
      </c>
      <c r="K759" s="37">
        <v>45108</v>
      </c>
      <c r="L759" t="s">
        <v>89</v>
      </c>
      <c r="M759">
        <v>428.68</v>
      </c>
      <c r="N759">
        <v>20</v>
      </c>
      <c r="O759" t="str">
        <f>"Q"&amp;ROUNDUP(MONTH(Transactions[[#This Row],[Transaction Date]])/3,0)</f>
        <v>Q3</v>
      </c>
      <c r="P759">
        <f>YEAR(Transactions[[#This Row],[Transaction Date]])</f>
        <v>2023</v>
      </c>
      <c r="Q759" t="str">
        <f>IF(Transactions[[#This Row],[Sales Amount]]&lt;AVERAGE(Transactions[Sales Amount]),"Below Average","At/Above Average")</f>
        <v>At/Above Average</v>
      </c>
    </row>
    <row r="760" spans="4:17" x14ac:dyDescent="0.2">
      <c r="D760" t="s">
        <v>850</v>
      </c>
      <c r="E760" t="s">
        <v>75</v>
      </c>
      <c r="F760" t="s">
        <v>108</v>
      </c>
      <c r="G760">
        <v>229</v>
      </c>
      <c r="H760">
        <v>3</v>
      </c>
      <c r="I760">
        <v>59.98</v>
      </c>
      <c r="J760">
        <v>1</v>
      </c>
      <c r="K760" s="37">
        <v>44644</v>
      </c>
      <c r="L760" t="s">
        <v>89</v>
      </c>
      <c r="M760">
        <v>182.98</v>
      </c>
      <c r="N760">
        <v>6</v>
      </c>
      <c r="O760" t="str">
        <f>"Q"&amp;ROUNDUP(MONTH(Transactions[[#This Row],[Transaction Date]])/3,0)</f>
        <v>Q1</v>
      </c>
      <c r="P760">
        <f>YEAR(Transactions[[#This Row],[Transaction Date]])</f>
        <v>2022</v>
      </c>
      <c r="Q760" t="str">
        <f>IF(Transactions[[#This Row],[Sales Amount]]&lt;AVERAGE(Transactions[Sales Amount]),"Below Average","At/Above Average")</f>
        <v>Below Average</v>
      </c>
    </row>
    <row r="761" spans="4:17" x14ac:dyDescent="0.2">
      <c r="D761" t="s">
        <v>851</v>
      </c>
      <c r="E761" t="s">
        <v>78</v>
      </c>
      <c r="F761" t="s">
        <v>88</v>
      </c>
      <c r="G761">
        <v>193</v>
      </c>
      <c r="H761">
        <v>10</v>
      </c>
      <c r="I761">
        <v>47.95</v>
      </c>
      <c r="J761">
        <v>9</v>
      </c>
      <c r="K761" s="37">
        <v>45505</v>
      </c>
      <c r="L761" t="s">
        <v>109</v>
      </c>
      <c r="M761">
        <v>374.24</v>
      </c>
      <c r="N761">
        <v>38</v>
      </c>
      <c r="O761" t="str">
        <f>"Q"&amp;ROUNDUP(MONTH(Transactions[[#This Row],[Transaction Date]])/3,0)</f>
        <v>Q3</v>
      </c>
      <c r="P761">
        <f>YEAR(Transactions[[#This Row],[Transaction Date]])</f>
        <v>2024</v>
      </c>
      <c r="Q761" t="str">
        <f>IF(Transactions[[#This Row],[Sales Amount]]&lt;AVERAGE(Transactions[Sales Amount]),"Below Average","At/Above Average")</f>
        <v>At/Above Average</v>
      </c>
    </row>
    <row r="762" spans="4:17" x14ac:dyDescent="0.2">
      <c r="D762" t="s">
        <v>852</v>
      </c>
      <c r="E762" t="s">
        <v>87</v>
      </c>
      <c r="F762" t="s">
        <v>129</v>
      </c>
      <c r="G762">
        <v>196</v>
      </c>
      <c r="H762">
        <v>5</v>
      </c>
      <c r="I762">
        <v>49.49</v>
      </c>
      <c r="J762">
        <v>7</v>
      </c>
      <c r="K762" s="37">
        <v>44658</v>
      </c>
      <c r="L762" t="s">
        <v>109</v>
      </c>
      <c r="M762">
        <v>111.31</v>
      </c>
      <c r="N762">
        <v>45</v>
      </c>
      <c r="O762" t="str">
        <f>"Q"&amp;ROUNDUP(MONTH(Transactions[[#This Row],[Transaction Date]])/3,0)</f>
        <v>Q2</v>
      </c>
      <c r="P762">
        <f>YEAR(Transactions[[#This Row],[Transaction Date]])</f>
        <v>2022</v>
      </c>
      <c r="Q762" t="str">
        <f>IF(Transactions[[#This Row],[Sales Amount]]&lt;AVERAGE(Transactions[Sales Amount]),"Below Average","At/Above Average")</f>
        <v>Below Average</v>
      </c>
    </row>
    <row r="763" spans="4:17" x14ac:dyDescent="0.2">
      <c r="D763" t="s">
        <v>853</v>
      </c>
      <c r="E763" t="s">
        <v>76</v>
      </c>
      <c r="F763" t="s">
        <v>99</v>
      </c>
      <c r="G763">
        <v>109</v>
      </c>
      <c r="H763">
        <v>8</v>
      </c>
      <c r="I763">
        <v>50.59</v>
      </c>
      <c r="J763">
        <v>2</v>
      </c>
      <c r="K763" s="37">
        <v>45495</v>
      </c>
      <c r="L763" t="s">
        <v>97</v>
      </c>
      <c r="M763">
        <v>83.75</v>
      </c>
      <c r="N763">
        <v>38</v>
      </c>
      <c r="O763" t="str">
        <f>"Q"&amp;ROUNDUP(MONTH(Transactions[[#This Row],[Transaction Date]])/3,0)</f>
        <v>Q3</v>
      </c>
      <c r="P763">
        <f>YEAR(Transactions[[#This Row],[Transaction Date]])</f>
        <v>2024</v>
      </c>
      <c r="Q763" t="str">
        <f>IF(Transactions[[#This Row],[Sales Amount]]&lt;AVERAGE(Transactions[Sales Amount]),"Below Average","At/Above Average")</f>
        <v>Below Average</v>
      </c>
    </row>
    <row r="764" spans="4:17" x14ac:dyDescent="0.2">
      <c r="D764" t="s">
        <v>854</v>
      </c>
      <c r="E764" t="s">
        <v>75</v>
      </c>
      <c r="F764" t="s">
        <v>96</v>
      </c>
      <c r="G764">
        <v>102</v>
      </c>
      <c r="H764">
        <v>5</v>
      </c>
      <c r="I764">
        <v>56.47</v>
      </c>
      <c r="J764">
        <v>5</v>
      </c>
      <c r="K764" s="37">
        <v>44946</v>
      </c>
      <c r="L764" t="s">
        <v>124</v>
      </c>
      <c r="M764">
        <v>178.27</v>
      </c>
      <c r="N764">
        <v>26</v>
      </c>
      <c r="O764" t="str">
        <f>"Q"&amp;ROUNDUP(MONTH(Transactions[[#This Row],[Transaction Date]])/3,0)</f>
        <v>Q1</v>
      </c>
      <c r="P764">
        <f>YEAR(Transactions[[#This Row],[Transaction Date]])</f>
        <v>2023</v>
      </c>
      <c r="Q764" t="str">
        <f>IF(Transactions[[#This Row],[Sales Amount]]&lt;AVERAGE(Transactions[Sales Amount]),"Below Average","At/Above Average")</f>
        <v>Below Average</v>
      </c>
    </row>
    <row r="765" spans="4:17" x14ac:dyDescent="0.2">
      <c r="D765" t="s">
        <v>855</v>
      </c>
      <c r="E765" t="s">
        <v>74</v>
      </c>
      <c r="F765" t="s">
        <v>91</v>
      </c>
      <c r="G765">
        <v>133</v>
      </c>
      <c r="H765">
        <v>4</v>
      </c>
      <c r="I765">
        <v>55.07</v>
      </c>
      <c r="J765">
        <v>3</v>
      </c>
      <c r="K765" s="37">
        <v>45428</v>
      </c>
      <c r="L765" t="s">
        <v>102</v>
      </c>
      <c r="M765">
        <v>422.8</v>
      </c>
      <c r="N765">
        <v>3</v>
      </c>
      <c r="O765" t="str">
        <f>"Q"&amp;ROUNDUP(MONTH(Transactions[[#This Row],[Transaction Date]])/3,0)</f>
        <v>Q2</v>
      </c>
      <c r="P765">
        <f>YEAR(Transactions[[#This Row],[Transaction Date]])</f>
        <v>2024</v>
      </c>
      <c r="Q765" t="str">
        <f>IF(Transactions[[#This Row],[Sales Amount]]&lt;AVERAGE(Transactions[Sales Amount]),"Below Average","At/Above Average")</f>
        <v>At/Above Average</v>
      </c>
    </row>
    <row r="766" spans="4:17" x14ac:dyDescent="0.2">
      <c r="D766" t="s">
        <v>856</v>
      </c>
      <c r="E766" t="s">
        <v>77</v>
      </c>
      <c r="F766" t="s">
        <v>108</v>
      </c>
      <c r="G766">
        <v>154</v>
      </c>
      <c r="H766">
        <v>10</v>
      </c>
      <c r="I766">
        <v>48.17</v>
      </c>
      <c r="J766">
        <v>4</v>
      </c>
      <c r="K766" s="37">
        <v>45529</v>
      </c>
      <c r="L766" t="s">
        <v>102</v>
      </c>
      <c r="M766">
        <v>324.44</v>
      </c>
      <c r="N766">
        <v>45</v>
      </c>
      <c r="O766" t="str">
        <f>"Q"&amp;ROUNDUP(MONTH(Transactions[[#This Row],[Transaction Date]])/3,0)</f>
        <v>Q3</v>
      </c>
      <c r="P766">
        <f>YEAR(Transactions[[#This Row],[Transaction Date]])</f>
        <v>2024</v>
      </c>
      <c r="Q766" t="str">
        <f>IF(Transactions[[#This Row],[Sales Amount]]&lt;AVERAGE(Transactions[Sales Amount]),"Below Average","At/Above Average")</f>
        <v>At/Above Average</v>
      </c>
    </row>
    <row r="767" spans="4:17" x14ac:dyDescent="0.2">
      <c r="D767" t="s">
        <v>857</v>
      </c>
      <c r="E767" t="s">
        <v>87</v>
      </c>
      <c r="F767" t="s">
        <v>91</v>
      </c>
      <c r="G767">
        <v>160</v>
      </c>
      <c r="H767">
        <v>5</v>
      </c>
      <c r="I767">
        <v>55.77</v>
      </c>
      <c r="J767">
        <v>10</v>
      </c>
      <c r="K767" s="37">
        <v>45494</v>
      </c>
      <c r="L767" t="s">
        <v>97</v>
      </c>
      <c r="M767">
        <v>183.28</v>
      </c>
      <c r="N767">
        <v>20</v>
      </c>
      <c r="O767" t="str">
        <f>"Q"&amp;ROUNDUP(MONTH(Transactions[[#This Row],[Transaction Date]])/3,0)</f>
        <v>Q3</v>
      </c>
      <c r="P767">
        <f>YEAR(Transactions[[#This Row],[Transaction Date]])</f>
        <v>2024</v>
      </c>
      <c r="Q767" t="str">
        <f>IF(Transactions[[#This Row],[Sales Amount]]&lt;AVERAGE(Transactions[Sales Amount]),"Below Average","At/Above Average")</f>
        <v>Below Average</v>
      </c>
    </row>
    <row r="768" spans="4:17" x14ac:dyDescent="0.2">
      <c r="D768" t="s">
        <v>858</v>
      </c>
      <c r="E768" t="s">
        <v>75</v>
      </c>
      <c r="F768" t="s">
        <v>129</v>
      </c>
      <c r="G768">
        <v>191</v>
      </c>
      <c r="H768">
        <v>5</v>
      </c>
      <c r="I768">
        <v>50.56</v>
      </c>
      <c r="J768">
        <v>2</v>
      </c>
      <c r="K768" s="37">
        <v>45163</v>
      </c>
      <c r="L768" t="s">
        <v>92</v>
      </c>
      <c r="M768">
        <v>497.04</v>
      </c>
      <c r="N768">
        <v>18</v>
      </c>
      <c r="O768" t="str">
        <f>"Q"&amp;ROUNDUP(MONTH(Transactions[[#This Row],[Transaction Date]])/3,0)</f>
        <v>Q3</v>
      </c>
      <c r="P768">
        <f>YEAR(Transactions[[#This Row],[Transaction Date]])</f>
        <v>2023</v>
      </c>
      <c r="Q768" t="str">
        <f>IF(Transactions[[#This Row],[Sales Amount]]&lt;AVERAGE(Transactions[Sales Amount]),"Below Average","At/Above Average")</f>
        <v>At/Above Average</v>
      </c>
    </row>
    <row r="769" spans="4:17" x14ac:dyDescent="0.2">
      <c r="D769" t="s">
        <v>859</v>
      </c>
      <c r="E769" t="s">
        <v>74</v>
      </c>
      <c r="F769" t="s">
        <v>96</v>
      </c>
      <c r="G769">
        <v>161</v>
      </c>
      <c r="H769">
        <v>9</v>
      </c>
      <c r="I769">
        <v>50.31</v>
      </c>
      <c r="J769">
        <v>5</v>
      </c>
      <c r="K769" s="37">
        <v>45179</v>
      </c>
      <c r="L769" t="s">
        <v>124</v>
      </c>
      <c r="M769">
        <v>413.68</v>
      </c>
      <c r="N769">
        <v>41</v>
      </c>
      <c r="O769" t="str">
        <f>"Q"&amp;ROUNDUP(MONTH(Transactions[[#This Row],[Transaction Date]])/3,0)</f>
        <v>Q3</v>
      </c>
      <c r="P769">
        <f>YEAR(Transactions[[#This Row],[Transaction Date]])</f>
        <v>2023</v>
      </c>
      <c r="Q769" t="str">
        <f>IF(Transactions[[#This Row],[Sales Amount]]&lt;AVERAGE(Transactions[Sales Amount]),"Below Average","At/Above Average")</f>
        <v>At/Above Average</v>
      </c>
    </row>
    <row r="770" spans="4:17" x14ac:dyDescent="0.2">
      <c r="D770" t="s">
        <v>860</v>
      </c>
      <c r="E770" t="s">
        <v>74</v>
      </c>
      <c r="F770" t="s">
        <v>129</v>
      </c>
      <c r="G770">
        <v>271</v>
      </c>
      <c r="H770">
        <v>10</v>
      </c>
      <c r="I770">
        <v>52.08</v>
      </c>
      <c r="J770">
        <v>7</v>
      </c>
      <c r="K770" s="37">
        <v>45172</v>
      </c>
      <c r="L770" t="s">
        <v>124</v>
      </c>
      <c r="M770">
        <v>179.92</v>
      </c>
      <c r="N770">
        <v>12</v>
      </c>
      <c r="O770" t="str">
        <f>"Q"&amp;ROUNDUP(MONTH(Transactions[[#This Row],[Transaction Date]])/3,0)</f>
        <v>Q3</v>
      </c>
      <c r="P770">
        <f>YEAR(Transactions[[#This Row],[Transaction Date]])</f>
        <v>2023</v>
      </c>
      <c r="Q770" t="str">
        <f>IF(Transactions[[#This Row],[Sales Amount]]&lt;AVERAGE(Transactions[Sales Amount]),"Below Average","At/Above Average")</f>
        <v>Below Average</v>
      </c>
    </row>
    <row r="771" spans="4:17" x14ac:dyDescent="0.2">
      <c r="D771" t="s">
        <v>861</v>
      </c>
      <c r="E771" t="s">
        <v>77</v>
      </c>
      <c r="F771" t="s">
        <v>108</v>
      </c>
      <c r="G771">
        <v>240</v>
      </c>
      <c r="H771">
        <v>5</v>
      </c>
      <c r="I771">
        <v>49.1</v>
      </c>
      <c r="J771">
        <v>3</v>
      </c>
      <c r="K771" s="37">
        <v>44618</v>
      </c>
      <c r="L771" t="s">
        <v>92</v>
      </c>
      <c r="M771">
        <v>331.42</v>
      </c>
      <c r="N771">
        <v>38</v>
      </c>
      <c r="O771" t="str">
        <f>"Q"&amp;ROUNDUP(MONTH(Transactions[[#This Row],[Transaction Date]])/3,0)</f>
        <v>Q1</v>
      </c>
      <c r="P771">
        <f>YEAR(Transactions[[#This Row],[Transaction Date]])</f>
        <v>2022</v>
      </c>
      <c r="Q771" t="str">
        <f>IF(Transactions[[#This Row],[Sales Amount]]&lt;AVERAGE(Transactions[Sales Amount]),"Below Average","At/Above Average")</f>
        <v>At/Above Average</v>
      </c>
    </row>
    <row r="772" spans="4:17" x14ac:dyDescent="0.2">
      <c r="D772" t="s">
        <v>862</v>
      </c>
      <c r="E772" t="s">
        <v>77</v>
      </c>
      <c r="F772" t="s">
        <v>105</v>
      </c>
      <c r="G772">
        <v>166</v>
      </c>
      <c r="H772">
        <v>9</v>
      </c>
      <c r="I772">
        <v>47.16</v>
      </c>
      <c r="J772">
        <v>1</v>
      </c>
      <c r="K772" s="37">
        <v>45026</v>
      </c>
      <c r="L772" t="s">
        <v>124</v>
      </c>
      <c r="M772">
        <v>272.74</v>
      </c>
      <c r="N772">
        <v>47</v>
      </c>
      <c r="O772" t="str">
        <f>"Q"&amp;ROUNDUP(MONTH(Transactions[[#This Row],[Transaction Date]])/3,0)</f>
        <v>Q2</v>
      </c>
      <c r="P772">
        <f>YEAR(Transactions[[#This Row],[Transaction Date]])</f>
        <v>2023</v>
      </c>
      <c r="Q772" t="str">
        <f>IF(Transactions[[#This Row],[Sales Amount]]&lt;AVERAGE(Transactions[Sales Amount]),"Below Average","At/Above Average")</f>
        <v>At/Above Average</v>
      </c>
    </row>
    <row r="773" spans="4:17" x14ac:dyDescent="0.2">
      <c r="D773" t="s">
        <v>863</v>
      </c>
      <c r="E773" t="s">
        <v>77</v>
      </c>
      <c r="F773" t="s">
        <v>99</v>
      </c>
      <c r="G773">
        <v>253</v>
      </c>
      <c r="H773">
        <v>9</v>
      </c>
      <c r="I773">
        <v>48.18</v>
      </c>
      <c r="J773">
        <v>6</v>
      </c>
      <c r="K773" s="37">
        <v>44867</v>
      </c>
      <c r="L773" t="s">
        <v>97</v>
      </c>
      <c r="M773">
        <v>238.72</v>
      </c>
      <c r="N773">
        <v>31</v>
      </c>
      <c r="O773" t="str">
        <f>"Q"&amp;ROUNDUP(MONTH(Transactions[[#This Row],[Transaction Date]])/3,0)</f>
        <v>Q4</v>
      </c>
      <c r="P773">
        <f>YEAR(Transactions[[#This Row],[Transaction Date]])</f>
        <v>2022</v>
      </c>
      <c r="Q773" t="str">
        <f>IF(Transactions[[#This Row],[Sales Amount]]&lt;AVERAGE(Transactions[Sales Amount]),"Below Average","At/Above Average")</f>
        <v>Below Average</v>
      </c>
    </row>
    <row r="774" spans="4:17" x14ac:dyDescent="0.2">
      <c r="D774" t="s">
        <v>864</v>
      </c>
      <c r="E774" t="s">
        <v>77</v>
      </c>
      <c r="F774" t="s">
        <v>88</v>
      </c>
      <c r="G774">
        <v>238</v>
      </c>
      <c r="H774">
        <v>5</v>
      </c>
      <c r="I774">
        <v>51.51</v>
      </c>
      <c r="J774">
        <v>3</v>
      </c>
      <c r="K774" s="37">
        <v>44799</v>
      </c>
      <c r="L774" t="s">
        <v>102</v>
      </c>
      <c r="M774">
        <v>275.27</v>
      </c>
      <c r="N774">
        <v>37</v>
      </c>
      <c r="O774" t="str">
        <f>"Q"&amp;ROUNDUP(MONTH(Transactions[[#This Row],[Transaction Date]])/3,0)</f>
        <v>Q3</v>
      </c>
      <c r="P774">
        <f>YEAR(Transactions[[#This Row],[Transaction Date]])</f>
        <v>2022</v>
      </c>
      <c r="Q774" t="str">
        <f>IF(Transactions[[#This Row],[Sales Amount]]&lt;AVERAGE(Transactions[Sales Amount]),"Below Average","At/Above Average")</f>
        <v>At/Above Average</v>
      </c>
    </row>
    <row r="775" spans="4:17" x14ac:dyDescent="0.2">
      <c r="D775" t="s">
        <v>865</v>
      </c>
      <c r="E775" t="s">
        <v>77</v>
      </c>
      <c r="F775" t="s">
        <v>88</v>
      </c>
      <c r="G775">
        <v>250</v>
      </c>
      <c r="H775">
        <v>9</v>
      </c>
      <c r="I775">
        <v>58.05</v>
      </c>
      <c r="J775">
        <v>5</v>
      </c>
      <c r="K775" s="37">
        <v>44587</v>
      </c>
      <c r="L775" t="s">
        <v>92</v>
      </c>
      <c r="M775">
        <v>310.56</v>
      </c>
      <c r="N775">
        <v>24</v>
      </c>
      <c r="O775" t="str">
        <f>"Q"&amp;ROUNDUP(MONTH(Transactions[[#This Row],[Transaction Date]])/3,0)</f>
        <v>Q1</v>
      </c>
      <c r="P775">
        <f>YEAR(Transactions[[#This Row],[Transaction Date]])</f>
        <v>2022</v>
      </c>
      <c r="Q775" t="str">
        <f>IF(Transactions[[#This Row],[Sales Amount]]&lt;AVERAGE(Transactions[Sales Amount]),"Below Average","At/Above Average")</f>
        <v>At/Above Average</v>
      </c>
    </row>
    <row r="776" spans="4:17" x14ac:dyDescent="0.2">
      <c r="D776" t="s">
        <v>866</v>
      </c>
      <c r="E776" t="s">
        <v>75</v>
      </c>
      <c r="F776" t="s">
        <v>129</v>
      </c>
      <c r="G776">
        <v>281</v>
      </c>
      <c r="H776">
        <v>6</v>
      </c>
      <c r="I776">
        <v>51.77</v>
      </c>
      <c r="J776">
        <v>9</v>
      </c>
      <c r="K776" s="37">
        <v>45392</v>
      </c>
      <c r="L776" t="s">
        <v>92</v>
      </c>
      <c r="M776">
        <v>316</v>
      </c>
      <c r="N776">
        <v>42</v>
      </c>
      <c r="O776" t="str">
        <f>"Q"&amp;ROUNDUP(MONTH(Transactions[[#This Row],[Transaction Date]])/3,0)</f>
        <v>Q2</v>
      </c>
      <c r="P776">
        <f>YEAR(Transactions[[#This Row],[Transaction Date]])</f>
        <v>2024</v>
      </c>
      <c r="Q776" t="str">
        <f>IF(Transactions[[#This Row],[Sales Amount]]&lt;AVERAGE(Transactions[Sales Amount]),"Below Average","At/Above Average")</f>
        <v>At/Above Average</v>
      </c>
    </row>
    <row r="777" spans="4:17" x14ac:dyDescent="0.2">
      <c r="D777" t="s">
        <v>867</v>
      </c>
      <c r="E777" t="s">
        <v>75</v>
      </c>
      <c r="F777" t="s">
        <v>105</v>
      </c>
      <c r="G777">
        <v>288</v>
      </c>
      <c r="H777">
        <v>9</v>
      </c>
      <c r="I777">
        <v>59.16</v>
      </c>
      <c r="J777">
        <v>5</v>
      </c>
      <c r="K777" s="37">
        <v>44818</v>
      </c>
      <c r="L777" t="s">
        <v>92</v>
      </c>
      <c r="M777">
        <v>79.36</v>
      </c>
      <c r="N777">
        <v>37</v>
      </c>
      <c r="O777" t="str">
        <f>"Q"&amp;ROUNDUP(MONTH(Transactions[[#This Row],[Transaction Date]])/3,0)</f>
        <v>Q3</v>
      </c>
      <c r="P777">
        <f>YEAR(Transactions[[#This Row],[Transaction Date]])</f>
        <v>2022</v>
      </c>
      <c r="Q777" t="str">
        <f>IF(Transactions[[#This Row],[Sales Amount]]&lt;AVERAGE(Transactions[Sales Amount]),"Below Average","At/Above Average")</f>
        <v>Below Average</v>
      </c>
    </row>
    <row r="778" spans="4:17" x14ac:dyDescent="0.2">
      <c r="D778" t="s">
        <v>868</v>
      </c>
      <c r="E778" t="s">
        <v>77</v>
      </c>
      <c r="F778" t="s">
        <v>105</v>
      </c>
      <c r="G778">
        <v>167</v>
      </c>
      <c r="H778">
        <v>9</v>
      </c>
      <c r="I778">
        <v>48.96</v>
      </c>
      <c r="J778">
        <v>6</v>
      </c>
      <c r="K778" s="37">
        <v>44619</v>
      </c>
      <c r="L778" t="s">
        <v>89</v>
      </c>
      <c r="M778">
        <v>465.5</v>
      </c>
      <c r="N778">
        <v>17</v>
      </c>
      <c r="O778" t="str">
        <f>"Q"&amp;ROUNDUP(MONTH(Transactions[[#This Row],[Transaction Date]])/3,0)</f>
        <v>Q1</v>
      </c>
      <c r="P778">
        <f>YEAR(Transactions[[#This Row],[Transaction Date]])</f>
        <v>2022</v>
      </c>
      <c r="Q778" t="str">
        <f>IF(Transactions[[#This Row],[Sales Amount]]&lt;AVERAGE(Transactions[Sales Amount]),"Below Average","At/Above Average")</f>
        <v>At/Above Average</v>
      </c>
    </row>
    <row r="779" spans="4:17" x14ac:dyDescent="0.2">
      <c r="D779" t="s">
        <v>869</v>
      </c>
      <c r="E779" t="s">
        <v>74</v>
      </c>
      <c r="F779" t="s">
        <v>105</v>
      </c>
      <c r="G779">
        <v>209</v>
      </c>
      <c r="H779">
        <v>6</v>
      </c>
      <c r="I779">
        <v>55.69</v>
      </c>
      <c r="J779">
        <v>10</v>
      </c>
      <c r="K779" s="37">
        <v>45535</v>
      </c>
      <c r="L779" t="s">
        <v>102</v>
      </c>
      <c r="M779">
        <v>195</v>
      </c>
      <c r="N779">
        <v>30</v>
      </c>
      <c r="O779" t="str">
        <f>"Q"&amp;ROUNDUP(MONTH(Transactions[[#This Row],[Transaction Date]])/3,0)</f>
        <v>Q3</v>
      </c>
      <c r="P779">
        <f>YEAR(Transactions[[#This Row],[Transaction Date]])</f>
        <v>2024</v>
      </c>
      <c r="Q779" t="str">
        <f>IF(Transactions[[#This Row],[Sales Amount]]&lt;AVERAGE(Transactions[Sales Amount]),"Below Average","At/Above Average")</f>
        <v>Below Average</v>
      </c>
    </row>
    <row r="780" spans="4:17" x14ac:dyDescent="0.2">
      <c r="D780" t="s">
        <v>870</v>
      </c>
      <c r="E780" t="s">
        <v>78</v>
      </c>
      <c r="F780" t="s">
        <v>99</v>
      </c>
      <c r="G780">
        <v>119</v>
      </c>
      <c r="H780">
        <v>3</v>
      </c>
      <c r="I780">
        <v>53.74</v>
      </c>
      <c r="J780">
        <v>2</v>
      </c>
      <c r="K780" s="37">
        <v>45343</v>
      </c>
      <c r="L780" t="s">
        <v>89</v>
      </c>
      <c r="M780">
        <v>448.49</v>
      </c>
      <c r="N780">
        <v>40</v>
      </c>
      <c r="O780" t="str">
        <f>"Q"&amp;ROUNDUP(MONTH(Transactions[[#This Row],[Transaction Date]])/3,0)</f>
        <v>Q1</v>
      </c>
      <c r="P780">
        <f>YEAR(Transactions[[#This Row],[Transaction Date]])</f>
        <v>2024</v>
      </c>
      <c r="Q780" t="str">
        <f>IF(Transactions[[#This Row],[Sales Amount]]&lt;AVERAGE(Transactions[Sales Amount]),"Below Average","At/Above Average")</f>
        <v>At/Above Average</v>
      </c>
    </row>
    <row r="781" spans="4:17" x14ac:dyDescent="0.2">
      <c r="D781" t="s">
        <v>871</v>
      </c>
      <c r="E781" t="s">
        <v>74</v>
      </c>
      <c r="F781" t="s">
        <v>99</v>
      </c>
      <c r="G781">
        <v>176</v>
      </c>
      <c r="H781">
        <v>8</v>
      </c>
      <c r="I781">
        <v>48.73</v>
      </c>
      <c r="J781">
        <v>7</v>
      </c>
      <c r="K781" s="37">
        <v>45163</v>
      </c>
      <c r="L781" t="s">
        <v>124</v>
      </c>
      <c r="M781">
        <v>33.130000000000003</v>
      </c>
      <c r="N781">
        <v>33</v>
      </c>
      <c r="O781" t="str">
        <f>"Q"&amp;ROUNDUP(MONTH(Transactions[[#This Row],[Transaction Date]])/3,0)</f>
        <v>Q3</v>
      </c>
      <c r="P781">
        <f>YEAR(Transactions[[#This Row],[Transaction Date]])</f>
        <v>2023</v>
      </c>
      <c r="Q781" t="str">
        <f>IF(Transactions[[#This Row],[Sales Amount]]&lt;AVERAGE(Transactions[Sales Amount]),"Below Average","At/Above Average")</f>
        <v>Below Average</v>
      </c>
    </row>
    <row r="782" spans="4:17" x14ac:dyDescent="0.2">
      <c r="D782" t="s">
        <v>872</v>
      </c>
      <c r="E782" t="s">
        <v>76</v>
      </c>
      <c r="F782" t="s">
        <v>94</v>
      </c>
      <c r="G782">
        <v>178</v>
      </c>
      <c r="H782">
        <v>3</v>
      </c>
      <c r="I782">
        <v>55.91</v>
      </c>
      <c r="J782">
        <v>1</v>
      </c>
      <c r="K782" s="37">
        <v>44595</v>
      </c>
      <c r="L782" t="s">
        <v>109</v>
      </c>
      <c r="M782">
        <v>448.62</v>
      </c>
      <c r="N782">
        <v>24</v>
      </c>
      <c r="O782" t="str">
        <f>"Q"&amp;ROUNDUP(MONTH(Transactions[[#This Row],[Transaction Date]])/3,0)</f>
        <v>Q1</v>
      </c>
      <c r="P782">
        <f>YEAR(Transactions[[#This Row],[Transaction Date]])</f>
        <v>2022</v>
      </c>
      <c r="Q782" t="str">
        <f>IF(Transactions[[#This Row],[Sales Amount]]&lt;AVERAGE(Transactions[Sales Amount]),"Below Average","At/Above Average")</f>
        <v>At/Above Average</v>
      </c>
    </row>
    <row r="783" spans="4:17" x14ac:dyDescent="0.2">
      <c r="D783" t="s">
        <v>873</v>
      </c>
      <c r="E783" t="s">
        <v>76</v>
      </c>
      <c r="F783" t="s">
        <v>96</v>
      </c>
      <c r="G783">
        <v>164</v>
      </c>
      <c r="H783">
        <v>10</v>
      </c>
      <c r="I783">
        <v>59.73</v>
      </c>
      <c r="J783">
        <v>4</v>
      </c>
      <c r="K783" s="37">
        <v>44817</v>
      </c>
      <c r="L783" t="s">
        <v>124</v>
      </c>
      <c r="M783">
        <v>98.8</v>
      </c>
      <c r="N783">
        <v>2</v>
      </c>
      <c r="O783" t="str">
        <f>"Q"&amp;ROUNDUP(MONTH(Transactions[[#This Row],[Transaction Date]])/3,0)</f>
        <v>Q3</v>
      </c>
      <c r="P783">
        <f>YEAR(Transactions[[#This Row],[Transaction Date]])</f>
        <v>2022</v>
      </c>
      <c r="Q783" t="str">
        <f>IF(Transactions[[#This Row],[Sales Amount]]&lt;AVERAGE(Transactions[Sales Amount]),"Below Average","At/Above Average")</f>
        <v>Below Average</v>
      </c>
    </row>
    <row r="784" spans="4:17" x14ac:dyDescent="0.2">
      <c r="D784" t="s">
        <v>874</v>
      </c>
      <c r="E784" t="s">
        <v>76</v>
      </c>
      <c r="F784" t="s">
        <v>91</v>
      </c>
      <c r="G784">
        <v>270</v>
      </c>
      <c r="H784">
        <v>1</v>
      </c>
      <c r="I784">
        <v>55</v>
      </c>
      <c r="J784">
        <v>4</v>
      </c>
      <c r="K784" s="37">
        <v>45556</v>
      </c>
      <c r="L784" t="s">
        <v>97</v>
      </c>
      <c r="M784">
        <v>204.42</v>
      </c>
      <c r="N784">
        <v>30</v>
      </c>
      <c r="O784" t="str">
        <f>"Q"&amp;ROUNDUP(MONTH(Transactions[[#This Row],[Transaction Date]])/3,0)</f>
        <v>Q3</v>
      </c>
      <c r="P784">
        <f>YEAR(Transactions[[#This Row],[Transaction Date]])</f>
        <v>2024</v>
      </c>
      <c r="Q784" t="str">
        <f>IF(Transactions[[#This Row],[Sales Amount]]&lt;AVERAGE(Transactions[Sales Amount]),"Below Average","At/Above Average")</f>
        <v>Below Average</v>
      </c>
    </row>
    <row r="785" spans="4:17" x14ac:dyDescent="0.2">
      <c r="D785" t="s">
        <v>875</v>
      </c>
      <c r="E785" t="s">
        <v>74</v>
      </c>
      <c r="F785" t="s">
        <v>108</v>
      </c>
      <c r="G785">
        <v>236</v>
      </c>
      <c r="H785">
        <v>2</v>
      </c>
      <c r="I785">
        <v>53.23</v>
      </c>
      <c r="J785">
        <v>1</v>
      </c>
      <c r="K785" s="37">
        <v>44799</v>
      </c>
      <c r="L785" t="s">
        <v>89</v>
      </c>
      <c r="M785">
        <v>292.41000000000003</v>
      </c>
      <c r="N785">
        <v>46</v>
      </c>
      <c r="O785" t="str">
        <f>"Q"&amp;ROUNDUP(MONTH(Transactions[[#This Row],[Transaction Date]])/3,0)</f>
        <v>Q3</v>
      </c>
      <c r="P785">
        <f>YEAR(Transactions[[#This Row],[Transaction Date]])</f>
        <v>2022</v>
      </c>
      <c r="Q785" t="str">
        <f>IF(Transactions[[#This Row],[Sales Amount]]&lt;AVERAGE(Transactions[Sales Amount]),"Below Average","At/Above Average")</f>
        <v>At/Above Average</v>
      </c>
    </row>
    <row r="786" spans="4:17" x14ac:dyDescent="0.2">
      <c r="D786" t="s">
        <v>876</v>
      </c>
      <c r="E786" t="s">
        <v>75</v>
      </c>
      <c r="F786" t="s">
        <v>129</v>
      </c>
      <c r="G786">
        <v>294</v>
      </c>
      <c r="H786">
        <v>10</v>
      </c>
      <c r="I786">
        <v>55.96</v>
      </c>
      <c r="J786">
        <v>4</v>
      </c>
      <c r="K786" s="37">
        <v>45480</v>
      </c>
      <c r="L786" t="s">
        <v>109</v>
      </c>
      <c r="M786">
        <v>265.51</v>
      </c>
      <c r="N786">
        <v>22</v>
      </c>
      <c r="O786" t="str">
        <f>"Q"&amp;ROUNDUP(MONTH(Transactions[[#This Row],[Transaction Date]])/3,0)</f>
        <v>Q3</v>
      </c>
      <c r="P786">
        <f>YEAR(Transactions[[#This Row],[Transaction Date]])</f>
        <v>2024</v>
      </c>
      <c r="Q786" t="str">
        <f>IF(Transactions[[#This Row],[Sales Amount]]&lt;AVERAGE(Transactions[Sales Amount]),"Below Average","At/Above Average")</f>
        <v>At/Above Average</v>
      </c>
    </row>
    <row r="787" spans="4:17" x14ac:dyDescent="0.2">
      <c r="D787" t="s">
        <v>877</v>
      </c>
      <c r="E787" t="s">
        <v>77</v>
      </c>
      <c r="F787" t="s">
        <v>99</v>
      </c>
      <c r="G787">
        <v>245</v>
      </c>
      <c r="H787">
        <v>3</v>
      </c>
      <c r="I787">
        <v>53.95</v>
      </c>
      <c r="J787">
        <v>6</v>
      </c>
      <c r="K787" s="37">
        <v>45298</v>
      </c>
      <c r="L787" t="s">
        <v>124</v>
      </c>
      <c r="M787">
        <v>172.35</v>
      </c>
      <c r="N787">
        <v>22</v>
      </c>
      <c r="O787" t="str">
        <f>"Q"&amp;ROUNDUP(MONTH(Transactions[[#This Row],[Transaction Date]])/3,0)</f>
        <v>Q1</v>
      </c>
      <c r="P787">
        <f>YEAR(Transactions[[#This Row],[Transaction Date]])</f>
        <v>2024</v>
      </c>
      <c r="Q787" t="str">
        <f>IF(Transactions[[#This Row],[Sales Amount]]&lt;AVERAGE(Transactions[Sales Amount]),"Below Average","At/Above Average")</f>
        <v>Below Average</v>
      </c>
    </row>
    <row r="788" spans="4:17" x14ac:dyDescent="0.2">
      <c r="D788" t="s">
        <v>878</v>
      </c>
      <c r="E788" t="s">
        <v>74</v>
      </c>
      <c r="F788" t="s">
        <v>99</v>
      </c>
      <c r="G788">
        <v>256</v>
      </c>
      <c r="H788">
        <v>6</v>
      </c>
      <c r="I788">
        <v>51.99</v>
      </c>
      <c r="J788">
        <v>3</v>
      </c>
      <c r="K788" s="37">
        <v>45592</v>
      </c>
      <c r="L788" t="s">
        <v>102</v>
      </c>
      <c r="M788">
        <v>123.17</v>
      </c>
      <c r="N788">
        <v>17</v>
      </c>
      <c r="O788" t="str">
        <f>"Q"&amp;ROUNDUP(MONTH(Transactions[[#This Row],[Transaction Date]])/3,0)</f>
        <v>Q4</v>
      </c>
      <c r="P788">
        <f>YEAR(Transactions[[#This Row],[Transaction Date]])</f>
        <v>2024</v>
      </c>
      <c r="Q788" t="str">
        <f>IF(Transactions[[#This Row],[Sales Amount]]&lt;AVERAGE(Transactions[Sales Amount]),"Below Average","At/Above Average")</f>
        <v>Below Average</v>
      </c>
    </row>
    <row r="789" spans="4:17" x14ac:dyDescent="0.2">
      <c r="D789" t="s">
        <v>879</v>
      </c>
      <c r="E789" t="s">
        <v>77</v>
      </c>
      <c r="F789" t="s">
        <v>96</v>
      </c>
      <c r="G789">
        <v>224</v>
      </c>
      <c r="H789">
        <v>6</v>
      </c>
      <c r="I789">
        <v>52.38</v>
      </c>
      <c r="J789">
        <v>1</v>
      </c>
      <c r="K789" s="37">
        <v>45346</v>
      </c>
      <c r="L789" t="s">
        <v>124</v>
      </c>
      <c r="M789">
        <v>238.87</v>
      </c>
      <c r="N789">
        <v>3</v>
      </c>
      <c r="O789" t="str">
        <f>"Q"&amp;ROUNDUP(MONTH(Transactions[[#This Row],[Transaction Date]])/3,0)</f>
        <v>Q1</v>
      </c>
      <c r="P789">
        <f>YEAR(Transactions[[#This Row],[Transaction Date]])</f>
        <v>2024</v>
      </c>
      <c r="Q789" t="str">
        <f>IF(Transactions[[#This Row],[Sales Amount]]&lt;AVERAGE(Transactions[Sales Amount]),"Below Average","At/Above Average")</f>
        <v>Below Average</v>
      </c>
    </row>
    <row r="790" spans="4:17" x14ac:dyDescent="0.2">
      <c r="D790" t="s">
        <v>880</v>
      </c>
      <c r="E790" t="s">
        <v>78</v>
      </c>
      <c r="F790" t="s">
        <v>129</v>
      </c>
      <c r="G790">
        <v>204</v>
      </c>
      <c r="H790">
        <v>7</v>
      </c>
      <c r="I790">
        <v>48.52</v>
      </c>
      <c r="J790">
        <v>6</v>
      </c>
      <c r="K790" s="37">
        <v>45325</v>
      </c>
      <c r="L790" t="s">
        <v>92</v>
      </c>
      <c r="M790">
        <v>80.55</v>
      </c>
      <c r="N790">
        <v>15</v>
      </c>
      <c r="O790" t="str">
        <f>"Q"&amp;ROUNDUP(MONTH(Transactions[[#This Row],[Transaction Date]])/3,0)</f>
        <v>Q1</v>
      </c>
      <c r="P790">
        <f>YEAR(Transactions[[#This Row],[Transaction Date]])</f>
        <v>2024</v>
      </c>
      <c r="Q790" t="str">
        <f>IF(Transactions[[#This Row],[Sales Amount]]&lt;AVERAGE(Transactions[Sales Amount]),"Below Average","At/Above Average")</f>
        <v>Below Average</v>
      </c>
    </row>
    <row r="791" spans="4:17" x14ac:dyDescent="0.2">
      <c r="D791" t="s">
        <v>881</v>
      </c>
      <c r="E791" t="s">
        <v>76</v>
      </c>
      <c r="F791" t="s">
        <v>94</v>
      </c>
      <c r="G791">
        <v>270</v>
      </c>
      <c r="H791">
        <v>10</v>
      </c>
      <c r="I791">
        <v>47.23</v>
      </c>
      <c r="J791">
        <v>6</v>
      </c>
      <c r="K791" s="37">
        <v>44892</v>
      </c>
      <c r="L791" t="s">
        <v>124</v>
      </c>
      <c r="M791">
        <v>94.07</v>
      </c>
      <c r="N791">
        <v>36</v>
      </c>
      <c r="O791" t="str">
        <f>"Q"&amp;ROUNDUP(MONTH(Transactions[[#This Row],[Transaction Date]])/3,0)</f>
        <v>Q4</v>
      </c>
      <c r="P791">
        <f>YEAR(Transactions[[#This Row],[Transaction Date]])</f>
        <v>2022</v>
      </c>
      <c r="Q791" t="str">
        <f>IF(Transactions[[#This Row],[Sales Amount]]&lt;AVERAGE(Transactions[Sales Amount]),"Below Average","At/Above Average")</f>
        <v>Below Average</v>
      </c>
    </row>
    <row r="792" spans="4:17" x14ac:dyDescent="0.2">
      <c r="D792" t="s">
        <v>882</v>
      </c>
      <c r="E792" t="s">
        <v>74</v>
      </c>
      <c r="F792" t="s">
        <v>94</v>
      </c>
      <c r="G792">
        <v>129</v>
      </c>
      <c r="H792">
        <v>10</v>
      </c>
      <c r="I792">
        <v>57.22</v>
      </c>
      <c r="J792">
        <v>3</v>
      </c>
      <c r="K792" s="37">
        <v>44623</v>
      </c>
      <c r="L792" t="s">
        <v>102</v>
      </c>
      <c r="M792">
        <v>442.94</v>
      </c>
      <c r="N792">
        <v>1</v>
      </c>
      <c r="O792" t="str">
        <f>"Q"&amp;ROUNDUP(MONTH(Transactions[[#This Row],[Transaction Date]])/3,0)</f>
        <v>Q1</v>
      </c>
      <c r="P792">
        <f>YEAR(Transactions[[#This Row],[Transaction Date]])</f>
        <v>2022</v>
      </c>
      <c r="Q792" t="str">
        <f>IF(Transactions[[#This Row],[Sales Amount]]&lt;AVERAGE(Transactions[Sales Amount]),"Below Average","At/Above Average")</f>
        <v>At/Above Average</v>
      </c>
    </row>
    <row r="793" spans="4:17" x14ac:dyDescent="0.2">
      <c r="D793" t="s">
        <v>883</v>
      </c>
      <c r="E793" t="s">
        <v>74</v>
      </c>
      <c r="F793" t="s">
        <v>108</v>
      </c>
      <c r="G793">
        <v>245</v>
      </c>
      <c r="H793">
        <v>4</v>
      </c>
      <c r="I793">
        <v>48.85</v>
      </c>
      <c r="J793">
        <v>6</v>
      </c>
      <c r="K793" s="37">
        <v>45533</v>
      </c>
      <c r="L793" t="s">
        <v>102</v>
      </c>
      <c r="M793">
        <v>397.37</v>
      </c>
      <c r="N793">
        <v>25</v>
      </c>
      <c r="O793" t="str">
        <f>"Q"&amp;ROUNDUP(MONTH(Transactions[[#This Row],[Transaction Date]])/3,0)</f>
        <v>Q3</v>
      </c>
      <c r="P793">
        <f>YEAR(Transactions[[#This Row],[Transaction Date]])</f>
        <v>2024</v>
      </c>
      <c r="Q793" t="str">
        <f>IF(Transactions[[#This Row],[Sales Amount]]&lt;AVERAGE(Transactions[Sales Amount]),"Below Average","At/Above Average")</f>
        <v>At/Above Average</v>
      </c>
    </row>
    <row r="794" spans="4:17" x14ac:dyDescent="0.2">
      <c r="D794" t="s">
        <v>884</v>
      </c>
      <c r="E794" t="s">
        <v>78</v>
      </c>
      <c r="F794" t="s">
        <v>105</v>
      </c>
      <c r="G794">
        <v>197</v>
      </c>
      <c r="H794">
        <v>8</v>
      </c>
      <c r="I794">
        <v>58.69</v>
      </c>
      <c r="J794">
        <v>2</v>
      </c>
      <c r="K794" s="37">
        <v>45655</v>
      </c>
      <c r="L794" t="s">
        <v>102</v>
      </c>
      <c r="M794">
        <v>329.37</v>
      </c>
      <c r="N794">
        <v>22</v>
      </c>
      <c r="O794" t="str">
        <f>"Q"&amp;ROUNDUP(MONTH(Transactions[[#This Row],[Transaction Date]])/3,0)</f>
        <v>Q4</v>
      </c>
      <c r="P794">
        <f>YEAR(Transactions[[#This Row],[Transaction Date]])</f>
        <v>2024</v>
      </c>
      <c r="Q794" t="str">
        <f>IF(Transactions[[#This Row],[Sales Amount]]&lt;AVERAGE(Transactions[Sales Amount]),"Below Average","At/Above Average")</f>
        <v>At/Above Average</v>
      </c>
    </row>
    <row r="795" spans="4:17" x14ac:dyDescent="0.2">
      <c r="D795" t="s">
        <v>885</v>
      </c>
      <c r="E795" t="s">
        <v>87</v>
      </c>
      <c r="F795" t="s">
        <v>96</v>
      </c>
      <c r="G795">
        <v>136</v>
      </c>
      <c r="H795">
        <v>3</v>
      </c>
      <c r="I795">
        <v>57.91</v>
      </c>
      <c r="J795">
        <v>3</v>
      </c>
      <c r="K795" s="37">
        <v>45291</v>
      </c>
      <c r="L795" t="s">
        <v>109</v>
      </c>
      <c r="M795">
        <v>205.38</v>
      </c>
      <c r="N795">
        <v>15</v>
      </c>
      <c r="O795" t="str">
        <f>"Q"&amp;ROUNDUP(MONTH(Transactions[[#This Row],[Transaction Date]])/3,0)</f>
        <v>Q4</v>
      </c>
      <c r="P795">
        <f>YEAR(Transactions[[#This Row],[Transaction Date]])</f>
        <v>2023</v>
      </c>
      <c r="Q795" t="str">
        <f>IF(Transactions[[#This Row],[Sales Amount]]&lt;AVERAGE(Transactions[Sales Amount]),"Below Average","At/Above Average")</f>
        <v>Below Average</v>
      </c>
    </row>
    <row r="796" spans="4:17" x14ac:dyDescent="0.2">
      <c r="D796" t="s">
        <v>886</v>
      </c>
      <c r="E796" t="s">
        <v>74</v>
      </c>
      <c r="F796" t="s">
        <v>105</v>
      </c>
      <c r="G796">
        <v>140</v>
      </c>
      <c r="H796">
        <v>8</v>
      </c>
      <c r="I796">
        <v>55.6</v>
      </c>
      <c r="J796">
        <v>9</v>
      </c>
      <c r="K796" s="37">
        <v>45151</v>
      </c>
      <c r="L796" t="s">
        <v>109</v>
      </c>
      <c r="M796">
        <v>160.43</v>
      </c>
      <c r="N796">
        <v>45</v>
      </c>
      <c r="O796" t="str">
        <f>"Q"&amp;ROUNDUP(MONTH(Transactions[[#This Row],[Transaction Date]])/3,0)</f>
        <v>Q3</v>
      </c>
      <c r="P796">
        <f>YEAR(Transactions[[#This Row],[Transaction Date]])</f>
        <v>2023</v>
      </c>
      <c r="Q796" t="str">
        <f>IF(Transactions[[#This Row],[Sales Amount]]&lt;AVERAGE(Transactions[Sales Amount]),"Below Average","At/Above Average")</f>
        <v>Below Average</v>
      </c>
    </row>
    <row r="797" spans="4:17" x14ac:dyDescent="0.2">
      <c r="D797" t="s">
        <v>887</v>
      </c>
      <c r="E797" t="s">
        <v>78</v>
      </c>
      <c r="F797" t="s">
        <v>88</v>
      </c>
      <c r="G797">
        <v>143</v>
      </c>
      <c r="H797">
        <v>3</v>
      </c>
      <c r="I797">
        <v>45.77</v>
      </c>
      <c r="J797">
        <v>8</v>
      </c>
      <c r="K797" s="37">
        <v>45631</v>
      </c>
      <c r="L797" t="s">
        <v>109</v>
      </c>
      <c r="M797">
        <v>359.63</v>
      </c>
      <c r="N797">
        <v>20</v>
      </c>
      <c r="O797" t="str">
        <f>"Q"&amp;ROUNDUP(MONTH(Transactions[[#This Row],[Transaction Date]])/3,0)</f>
        <v>Q4</v>
      </c>
      <c r="P797">
        <f>YEAR(Transactions[[#This Row],[Transaction Date]])</f>
        <v>2024</v>
      </c>
      <c r="Q797" t="str">
        <f>IF(Transactions[[#This Row],[Sales Amount]]&lt;AVERAGE(Transactions[Sales Amount]),"Below Average","At/Above Average")</f>
        <v>At/Above Average</v>
      </c>
    </row>
    <row r="798" spans="4:17" x14ac:dyDescent="0.2">
      <c r="D798" t="s">
        <v>888</v>
      </c>
      <c r="E798" t="s">
        <v>74</v>
      </c>
      <c r="F798" t="s">
        <v>91</v>
      </c>
      <c r="G798">
        <v>203</v>
      </c>
      <c r="H798">
        <v>4</v>
      </c>
      <c r="I798">
        <v>53.53</v>
      </c>
      <c r="J798">
        <v>1</v>
      </c>
      <c r="K798" s="37">
        <v>44868</v>
      </c>
      <c r="L798" t="s">
        <v>109</v>
      </c>
      <c r="M798">
        <v>354.02</v>
      </c>
      <c r="N798">
        <v>9</v>
      </c>
      <c r="O798" t="str">
        <f>"Q"&amp;ROUNDUP(MONTH(Transactions[[#This Row],[Transaction Date]])/3,0)</f>
        <v>Q4</v>
      </c>
      <c r="P798">
        <f>YEAR(Transactions[[#This Row],[Transaction Date]])</f>
        <v>2022</v>
      </c>
      <c r="Q798" t="str">
        <f>IF(Transactions[[#This Row],[Sales Amount]]&lt;AVERAGE(Transactions[Sales Amount]),"Below Average","At/Above Average")</f>
        <v>At/Above Average</v>
      </c>
    </row>
    <row r="799" spans="4:17" x14ac:dyDescent="0.2">
      <c r="D799" t="s">
        <v>889</v>
      </c>
      <c r="E799" t="s">
        <v>75</v>
      </c>
      <c r="F799" t="s">
        <v>96</v>
      </c>
      <c r="G799">
        <v>139</v>
      </c>
      <c r="H799">
        <v>10</v>
      </c>
      <c r="I799">
        <v>48.03</v>
      </c>
      <c r="J799">
        <v>9</v>
      </c>
      <c r="K799" s="37">
        <v>45164</v>
      </c>
      <c r="L799" t="s">
        <v>89</v>
      </c>
      <c r="M799">
        <v>388.57</v>
      </c>
      <c r="N799">
        <v>18</v>
      </c>
      <c r="O799" t="str">
        <f>"Q"&amp;ROUNDUP(MONTH(Transactions[[#This Row],[Transaction Date]])/3,0)</f>
        <v>Q3</v>
      </c>
      <c r="P799">
        <f>YEAR(Transactions[[#This Row],[Transaction Date]])</f>
        <v>2023</v>
      </c>
      <c r="Q799" t="str">
        <f>IF(Transactions[[#This Row],[Sales Amount]]&lt;AVERAGE(Transactions[Sales Amount]),"Below Average","At/Above Average")</f>
        <v>At/Above Average</v>
      </c>
    </row>
    <row r="800" spans="4:17" x14ac:dyDescent="0.2">
      <c r="D800" t="s">
        <v>890</v>
      </c>
      <c r="E800" t="s">
        <v>76</v>
      </c>
      <c r="F800" t="s">
        <v>99</v>
      </c>
      <c r="G800">
        <v>182</v>
      </c>
      <c r="H800">
        <v>10</v>
      </c>
      <c r="I800">
        <v>45.21</v>
      </c>
      <c r="J800">
        <v>1</v>
      </c>
      <c r="K800" s="37">
        <v>45580</v>
      </c>
      <c r="L800" t="s">
        <v>102</v>
      </c>
      <c r="M800">
        <v>282.27999999999997</v>
      </c>
      <c r="N800">
        <v>20</v>
      </c>
      <c r="O800" t="str">
        <f>"Q"&amp;ROUNDUP(MONTH(Transactions[[#This Row],[Transaction Date]])/3,0)</f>
        <v>Q4</v>
      </c>
      <c r="P800">
        <f>YEAR(Transactions[[#This Row],[Transaction Date]])</f>
        <v>2024</v>
      </c>
      <c r="Q800" t="str">
        <f>IF(Transactions[[#This Row],[Sales Amount]]&lt;AVERAGE(Transactions[Sales Amount]),"Below Average","At/Above Average")</f>
        <v>At/Above Average</v>
      </c>
    </row>
    <row r="801" spans="4:17" x14ac:dyDescent="0.2">
      <c r="D801" t="s">
        <v>891</v>
      </c>
      <c r="E801" t="s">
        <v>78</v>
      </c>
      <c r="F801" t="s">
        <v>88</v>
      </c>
      <c r="G801">
        <v>138</v>
      </c>
      <c r="H801">
        <v>5</v>
      </c>
      <c r="I801">
        <v>51.09</v>
      </c>
      <c r="J801">
        <v>3</v>
      </c>
      <c r="K801" s="37">
        <v>44594</v>
      </c>
      <c r="L801" t="s">
        <v>97</v>
      </c>
      <c r="M801">
        <v>473.23</v>
      </c>
      <c r="N801">
        <v>10</v>
      </c>
      <c r="O801" t="str">
        <f>"Q"&amp;ROUNDUP(MONTH(Transactions[[#This Row],[Transaction Date]])/3,0)</f>
        <v>Q1</v>
      </c>
      <c r="P801">
        <f>YEAR(Transactions[[#This Row],[Transaction Date]])</f>
        <v>2022</v>
      </c>
      <c r="Q801" t="str">
        <f>IF(Transactions[[#This Row],[Sales Amount]]&lt;AVERAGE(Transactions[Sales Amount]),"Below Average","At/Above Average")</f>
        <v>At/Above Average</v>
      </c>
    </row>
    <row r="802" spans="4:17" x14ac:dyDescent="0.2">
      <c r="D802" t="s">
        <v>892</v>
      </c>
      <c r="E802" t="s">
        <v>87</v>
      </c>
      <c r="F802" t="s">
        <v>88</v>
      </c>
      <c r="G802">
        <v>291</v>
      </c>
      <c r="H802">
        <v>10</v>
      </c>
      <c r="I802">
        <v>59.4</v>
      </c>
      <c r="J802">
        <v>1</v>
      </c>
      <c r="K802" s="37">
        <v>45404</v>
      </c>
      <c r="L802" t="s">
        <v>89</v>
      </c>
      <c r="M802">
        <v>273.93</v>
      </c>
      <c r="N802">
        <v>25</v>
      </c>
      <c r="O802" t="str">
        <f>"Q"&amp;ROUNDUP(MONTH(Transactions[[#This Row],[Transaction Date]])/3,0)</f>
        <v>Q2</v>
      </c>
      <c r="P802">
        <f>YEAR(Transactions[[#This Row],[Transaction Date]])</f>
        <v>2024</v>
      </c>
      <c r="Q802" t="str">
        <f>IF(Transactions[[#This Row],[Sales Amount]]&lt;AVERAGE(Transactions[Sales Amount]),"Below Average","At/Above Average")</f>
        <v>At/Above Average</v>
      </c>
    </row>
    <row r="803" spans="4:17" x14ac:dyDescent="0.2">
      <c r="D803" t="s">
        <v>893</v>
      </c>
      <c r="E803" t="s">
        <v>77</v>
      </c>
      <c r="F803" t="s">
        <v>91</v>
      </c>
      <c r="G803">
        <v>251</v>
      </c>
      <c r="H803">
        <v>1</v>
      </c>
      <c r="I803">
        <v>52.04</v>
      </c>
      <c r="J803">
        <v>9</v>
      </c>
      <c r="K803" s="37">
        <v>45570</v>
      </c>
      <c r="L803" t="s">
        <v>89</v>
      </c>
      <c r="M803">
        <v>421.78</v>
      </c>
      <c r="N803">
        <v>41</v>
      </c>
      <c r="O803" t="str">
        <f>"Q"&amp;ROUNDUP(MONTH(Transactions[[#This Row],[Transaction Date]])/3,0)</f>
        <v>Q4</v>
      </c>
      <c r="P803">
        <f>YEAR(Transactions[[#This Row],[Transaction Date]])</f>
        <v>2024</v>
      </c>
      <c r="Q803" t="str">
        <f>IF(Transactions[[#This Row],[Sales Amount]]&lt;AVERAGE(Transactions[Sales Amount]),"Below Average","At/Above Average")</f>
        <v>At/Above Average</v>
      </c>
    </row>
    <row r="804" spans="4:17" x14ac:dyDescent="0.2">
      <c r="D804" t="s">
        <v>894</v>
      </c>
      <c r="E804" t="s">
        <v>75</v>
      </c>
      <c r="F804" t="s">
        <v>94</v>
      </c>
      <c r="G804">
        <v>120</v>
      </c>
      <c r="H804">
        <v>8</v>
      </c>
      <c r="I804">
        <v>52.56</v>
      </c>
      <c r="J804">
        <v>2</v>
      </c>
      <c r="K804" s="37">
        <v>45399</v>
      </c>
      <c r="L804" t="s">
        <v>102</v>
      </c>
      <c r="M804">
        <v>494.34</v>
      </c>
      <c r="N804">
        <v>37</v>
      </c>
      <c r="O804" t="str">
        <f>"Q"&amp;ROUNDUP(MONTH(Transactions[[#This Row],[Transaction Date]])/3,0)</f>
        <v>Q2</v>
      </c>
      <c r="P804">
        <f>YEAR(Transactions[[#This Row],[Transaction Date]])</f>
        <v>2024</v>
      </c>
      <c r="Q804" t="str">
        <f>IF(Transactions[[#This Row],[Sales Amount]]&lt;AVERAGE(Transactions[Sales Amount]),"Below Average","At/Above Average")</f>
        <v>At/Above Average</v>
      </c>
    </row>
    <row r="805" spans="4:17" x14ac:dyDescent="0.2">
      <c r="D805" t="s">
        <v>895</v>
      </c>
      <c r="E805" t="s">
        <v>77</v>
      </c>
      <c r="F805" t="s">
        <v>99</v>
      </c>
      <c r="G805">
        <v>296</v>
      </c>
      <c r="H805">
        <v>9</v>
      </c>
      <c r="I805">
        <v>49.76</v>
      </c>
      <c r="J805">
        <v>8</v>
      </c>
      <c r="K805" s="37">
        <v>45554</v>
      </c>
      <c r="L805" t="s">
        <v>102</v>
      </c>
      <c r="M805">
        <v>74.44</v>
      </c>
      <c r="N805">
        <v>42</v>
      </c>
      <c r="O805" t="str">
        <f>"Q"&amp;ROUNDUP(MONTH(Transactions[[#This Row],[Transaction Date]])/3,0)</f>
        <v>Q3</v>
      </c>
      <c r="P805">
        <f>YEAR(Transactions[[#This Row],[Transaction Date]])</f>
        <v>2024</v>
      </c>
      <c r="Q805" t="str">
        <f>IF(Transactions[[#This Row],[Sales Amount]]&lt;AVERAGE(Transactions[Sales Amount]),"Below Average","At/Above Average")</f>
        <v>Below Average</v>
      </c>
    </row>
    <row r="806" spans="4:17" x14ac:dyDescent="0.2">
      <c r="D806" t="s">
        <v>896</v>
      </c>
      <c r="E806" t="s">
        <v>77</v>
      </c>
      <c r="F806" t="s">
        <v>96</v>
      </c>
      <c r="G806">
        <v>236</v>
      </c>
      <c r="H806">
        <v>10</v>
      </c>
      <c r="I806">
        <v>46.19</v>
      </c>
      <c r="J806">
        <v>4</v>
      </c>
      <c r="K806" s="37">
        <v>45138</v>
      </c>
      <c r="L806" t="s">
        <v>89</v>
      </c>
      <c r="M806">
        <v>61.07</v>
      </c>
      <c r="N806">
        <v>32</v>
      </c>
      <c r="O806" t="str">
        <f>"Q"&amp;ROUNDUP(MONTH(Transactions[[#This Row],[Transaction Date]])/3,0)</f>
        <v>Q3</v>
      </c>
      <c r="P806">
        <f>YEAR(Transactions[[#This Row],[Transaction Date]])</f>
        <v>2023</v>
      </c>
      <c r="Q806" t="str">
        <f>IF(Transactions[[#This Row],[Sales Amount]]&lt;AVERAGE(Transactions[Sales Amount]),"Below Average","At/Above Average")</f>
        <v>Below Average</v>
      </c>
    </row>
    <row r="807" spans="4:17" x14ac:dyDescent="0.2">
      <c r="D807" t="s">
        <v>897</v>
      </c>
      <c r="E807" t="s">
        <v>77</v>
      </c>
      <c r="F807" t="s">
        <v>88</v>
      </c>
      <c r="G807">
        <v>241</v>
      </c>
      <c r="H807">
        <v>3</v>
      </c>
      <c r="I807">
        <v>58.35</v>
      </c>
      <c r="J807">
        <v>6</v>
      </c>
      <c r="K807" s="37">
        <v>44830</v>
      </c>
      <c r="L807" t="s">
        <v>89</v>
      </c>
      <c r="M807">
        <v>347.69</v>
      </c>
      <c r="N807">
        <v>31</v>
      </c>
      <c r="O807" t="str">
        <f>"Q"&amp;ROUNDUP(MONTH(Transactions[[#This Row],[Transaction Date]])/3,0)</f>
        <v>Q3</v>
      </c>
      <c r="P807">
        <f>YEAR(Transactions[[#This Row],[Transaction Date]])</f>
        <v>2022</v>
      </c>
      <c r="Q807" t="str">
        <f>IF(Transactions[[#This Row],[Sales Amount]]&lt;AVERAGE(Transactions[Sales Amount]),"Below Average","At/Above Average")</f>
        <v>At/Above Average</v>
      </c>
    </row>
    <row r="808" spans="4:17" x14ac:dyDescent="0.2">
      <c r="D808" t="s">
        <v>898</v>
      </c>
      <c r="E808" t="s">
        <v>76</v>
      </c>
      <c r="F808" t="s">
        <v>94</v>
      </c>
      <c r="G808">
        <v>145</v>
      </c>
      <c r="H808">
        <v>8</v>
      </c>
      <c r="I808">
        <v>59.45</v>
      </c>
      <c r="J808">
        <v>3</v>
      </c>
      <c r="K808" s="37">
        <v>45322</v>
      </c>
      <c r="L808" t="s">
        <v>102</v>
      </c>
      <c r="M808">
        <v>466.22</v>
      </c>
      <c r="N808">
        <v>31</v>
      </c>
      <c r="O808" t="str">
        <f>"Q"&amp;ROUNDUP(MONTH(Transactions[[#This Row],[Transaction Date]])/3,0)</f>
        <v>Q1</v>
      </c>
      <c r="P808">
        <f>YEAR(Transactions[[#This Row],[Transaction Date]])</f>
        <v>2024</v>
      </c>
      <c r="Q808" t="str">
        <f>IF(Transactions[[#This Row],[Sales Amount]]&lt;AVERAGE(Transactions[Sales Amount]),"Below Average","At/Above Average")</f>
        <v>At/Above Average</v>
      </c>
    </row>
    <row r="809" spans="4:17" x14ac:dyDescent="0.2">
      <c r="D809" t="s">
        <v>899</v>
      </c>
      <c r="E809" t="s">
        <v>78</v>
      </c>
      <c r="F809" t="s">
        <v>129</v>
      </c>
      <c r="G809">
        <v>217</v>
      </c>
      <c r="H809">
        <v>8</v>
      </c>
      <c r="I809">
        <v>59.75</v>
      </c>
      <c r="J809">
        <v>2</v>
      </c>
      <c r="K809" s="37">
        <v>45482</v>
      </c>
      <c r="L809" t="s">
        <v>92</v>
      </c>
      <c r="M809">
        <v>17.2</v>
      </c>
      <c r="N809">
        <v>44</v>
      </c>
      <c r="O809" t="str">
        <f>"Q"&amp;ROUNDUP(MONTH(Transactions[[#This Row],[Transaction Date]])/3,0)</f>
        <v>Q3</v>
      </c>
      <c r="P809">
        <f>YEAR(Transactions[[#This Row],[Transaction Date]])</f>
        <v>2024</v>
      </c>
      <c r="Q809" t="str">
        <f>IF(Transactions[[#This Row],[Sales Amount]]&lt;AVERAGE(Transactions[Sales Amount]),"Below Average","At/Above Average")</f>
        <v>Below Average</v>
      </c>
    </row>
    <row r="810" spans="4:17" x14ac:dyDescent="0.2">
      <c r="D810" t="s">
        <v>900</v>
      </c>
      <c r="E810" t="s">
        <v>76</v>
      </c>
      <c r="F810" t="s">
        <v>94</v>
      </c>
      <c r="G810">
        <v>231</v>
      </c>
      <c r="H810">
        <v>5</v>
      </c>
      <c r="I810">
        <v>55.84</v>
      </c>
      <c r="J810">
        <v>4</v>
      </c>
      <c r="K810" s="37">
        <v>44702</v>
      </c>
      <c r="L810" t="s">
        <v>92</v>
      </c>
      <c r="M810">
        <v>136.34</v>
      </c>
      <c r="N810">
        <v>18</v>
      </c>
      <c r="O810" t="str">
        <f>"Q"&amp;ROUNDUP(MONTH(Transactions[[#This Row],[Transaction Date]])/3,0)</f>
        <v>Q2</v>
      </c>
      <c r="P810">
        <f>YEAR(Transactions[[#This Row],[Transaction Date]])</f>
        <v>2022</v>
      </c>
      <c r="Q810" t="str">
        <f>IF(Transactions[[#This Row],[Sales Amount]]&lt;AVERAGE(Transactions[Sales Amount]),"Below Average","At/Above Average")</f>
        <v>Below Average</v>
      </c>
    </row>
    <row r="811" spans="4:17" x14ac:dyDescent="0.2">
      <c r="D811" t="s">
        <v>901</v>
      </c>
      <c r="E811" t="s">
        <v>87</v>
      </c>
      <c r="F811" t="s">
        <v>91</v>
      </c>
      <c r="G811">
        <v>138</v>
      </c>
      <c r="H811">
        <v>5</v>
      </c>
      <c r="I811">
        <v>49.92</v>
      </c>
      <c r="J811">
        <v>6</v>
      </c>
      <c r="K811" s="37">
        <v>44968</v>
      </c>
      <c r="L811" t="s">
        <v>109</v>
      </c>
      <c r="M811">
        <v>111.4</v>
      </c>
      <c r="N811">
        <v>32</v>
      </c>
      <c r="O811" t="str">
        <f>"Q"&amp;ROUNDUP(MONTH(Transactions[[#This Row],[Transaction Date]])/3,0)</f>
        <v>Q1</v>
      </c>
      <c r="P811">
        <f>YEAR(Transactions[[#This Row],[Transaction Date]])</f>
        <v>2023</v>
      </c>
      <c r="Q811" t="str">
        <f>IF(Transactions[[#This Row],[Sales Amount]]&lt;AVERAGE(Transactions[Sales Amount]),"Below Average","At/Above Average")</f>
        <v>Below Average</v>
      </c>
    </row>
    <row r="812" spans="4:17" x14ac:dyDescent="0.2">
      <c r="D812" t="s">
        <v>902</v>
      </c>
      <c r="E812" t="s">
        <v>74</v>
      </c>
      <c r="F812" t="s">
        <v>108</v>
      </c>
      <c r="G812">
        <v>227</v>
      </c>
      <c r="H812">
        <v>2</v>
      </c>
      <c r="I812">
        <v>56.4</v>
      </c>
      <c r="J812">
        <v>10</v>
      </c>
      <c r="K812" s="37">
        <v>44607</v>
      </c>
      <c r="L812" t="s">
        <v>92</v>
      </c>
      <c r="M812">
        <v>206.43</v>
      </c>
      <c r="N812">
        <v>45</v>
      </c>
      <c r="O812" t="str">
        <f>"Q"&amp;ROUNDUP(MONTH(Transactions[[#This Row],[Transaction Date]])/3,0)</f>
        <v>Q1</v>
      </c>
      <c r="P812">
        <f>YEAR(Transactions[[#This Row],[Transaction Date]])</f>
        <v>2022</v>
      </c>
      <c r="Q812" t="str">
        <f>IF(Transactions[[#This Row],[Sales Amount]]&lt;AVERAGE(Transactions[Sales Amount]),"Below Average","At/Above Average")</f>
        <v>Below Average</v>
      </c>
    </row>
    <row r="813" spans="4:17" x14ac:dyDescent="0.2">
      <c r="D813" t="s">
        <v>903</v>
      </c>
      <c r="E813" t="s">
        <v>77</v>
      </c>
      <c r="F813" t="s">
        <v>108</v>
      </c>
      <c r="G813">
        <v>135</v>
      </c>
      <c r="H813">
        <v>3</v>
      </c>
      <c r="I813">
        <v>55.58</v>
      </c>
      <c r="J813">
        <v>2</v>
      </c>
      <c r="K813" s="37">
        <v>44833</v>
      </c>
      <c r="L813" t="s">
        <v>89</v>
      </c>
      <c r="M813">
        <v>487.46</v>
      </c>
      <c r="N813">
        <v>12</v>
      </c>
      <c r="O813" t="str">
        <f>"Q"&amp;ROUNDUP(MONTH(Transactions[[#This Row],[Transaction Date]])/3,0)</f>
        <v>Q3</v>
      </c>
      <c r="P813">
        <f>YEAR(Transactions[[#This Row],[Transaction Date]])</f>
        <v>2022</v>
      </c>
      <c r="Q813" t="str">
        <f>IF(Transactions[[#This Row],[Sales Amount]]&lt;AVERAGE(Transactions[Sales Amount]),"Below Average","At/Above Average")</f>
        <v>At/Above Average</v>
      </c>
    </row>
    <row r="814" spans="4:17" x14ac:dyDescent="0.2">
      <c r="D814" t="s">
        <v>904</v>
      </c>
      <c r="E814" t="s">
        <v>87</v>
      </c>
      <c r="F814" t="s">
        <v>88</v>
      </c>
      <c r="G814">
        <v>259</v>
      </c>
      <c r="H814">
        <v>2</v>
      </c>
      <c r="I814">
        <v>58.09</v>
      </c>
      <c r="J814">
        <v>8</v>
      </c>
      <c r="K814" s="37">
        <v>45262</v>
      </c>
      <c r="L814" t="s">
        <v>92</v>
      </c>
      <c r="M814">
        <v>309.08999999999997</v>
      </c>
      <c r="N814">
        <v>11</v>
      </c>
      <c r="O814" t="str">
        <f>"Q"&amp;ROUNDUP(MONTH(Transactions[[#This Row],[Transaction Date]])/3,0)</f>
        <v>Q4</v>
      </c>
      <c r="P814">
        <f>YEAR(Transactions[[#This Row],[Transaction Date]])</f>
        <v>2023</v>
      </c>
      <c r="Q814" t="str">
        <f>IF(Transactions[[#This Row],[Sales Amount]]&lt;AVERAGE(Transactions[Sales Amount]),"Below Average","At/Above Average")</f>
        <v>At/Above Average</v>
      </c>
    </row>
    <row r="815" spans="4:17" x14ac:dyDescent="0.2">
      <c r="D815" t="s">
        <v>905</v>
      </c>
      <c r="E815" t="s">
        <v>75</v>
      </c>
      <c r="F815" t="s">
        <v>91</v>
      </c>
      <c r="G815">
        <v>187</v>
      </c>
      <c r="H815">
        <v>8</v>
      </c>
      <c r="I815">
        <v>58.68</v>
      </c>
      <c r="J815">
        <v>1</v>
      </c>
      <c r="K815" s="37">
        <v>45513</v>
      </c>
      <c r="L815" t="s">
        <v>109</v>
      </c>
      <c r="M815">
        <v>180.61</v>
      </c>
      <c r="N815">
        <v>11</v>
      </c>
      <c r="O815" t="str">
        <f>"Q"&amp;ROUNDUP(MONTH(Transactions[[#This Row],[Transaction Date]])/3,0)</f>
        <v>Q3</v>
      </c>
      <c r="P815">
        <f>YEAR(Transactions[[#This Row],[Transaction Date]])</f>
        <v>2024</v>
      </c>
      <c r="Q815" t="str">
        <f>IF(Transactions[[#This Row],[Sales Amount]]&lt;AVERAGE(Transactions[Sales Amount]),"Below Average","At/Above Average")</f>
        <v>Below Average</v>
      </c>
    </row>
    <row r="816" spans="4:17" x14ac:dyDescent="0.2">
      <c r="D816" t="s">
        <v>906</v>
      </c>
      <c r="E816" t="s">
        <v>77</v>
      </c>
      <c r="F816" t="s">
        <v>99</v>
      </c>
      <c r="G816">
        <v>152</v>
      </c>
      <c r="H816">
        <v>9</v>
      </c>
      <c r="I816">
        <v>48.11</v>
      </c>
      <c r="J816">
        <v>7</v>
      </c>
      <c r="K816" s="37">
        <v>45361</v>
      </c>
      <c r="L816" t="s">
        <v>97</v>
      </c>
      <c r="M816">
        <v>136.08000000000001</v>
      </c>
      <c r="N816">
        <v>36</v>
      </c>
      <c r="O816" t="str">
        <f>"Q"&amp;ROUNDUP(MONTH(Transactions[[#This Row],[Transaction Date]])/3,0)</f>
        <v>Q1</v>
      </c>
      <c r="P816">
        <f>YEAR(Transactions[[#This Row],[Transaction Date]])</f>
        <v>2024</v>
      </c>
      <c r="Q816" t="str">
        <f>IF(Transactions[[#This Row],[Sales Amount]]&lt;AVERAGE(Transactions[Sales Amount]),"Below Average","At/Above Average")</f>
        <v>Below Average</v>
      </c>
    </row>
    <row r="817" spans="4:17" x14ac:dyDescent="0.2">
      <c r="D817" t="s">
        <v>907</v>
      </c>
      <c r="E817" t="s">
        <v>76</v>
      </c>
      <c r="F817" t="s">
        <v>105</v>
      </c>
      <c r="G817">
        <v>276</v>
      </c>
      <c r="H817">
        <v>9</v>
      </c>
      <c r="I817">
        <v>56.07</v>
      </c>
      <c r="J817">
        <v>9</v>
      </c>
      <c r="K817" s="37">
        <v>45363</v>
      </c>
      <c r="L817" t="s">
        <v>89</v>
      </c>
      <c r="M817">
        <v>380.98</v>
      </c>
      <c r="N817">
        <v>45</v>
      </c>
      <c r="O817" t="str">
        <f>"Q"&amp;ROUNDUP(MONTH(Transactions[[#This Row],[Transaction Date]])/3,0)</f>
        <v>Q1</v>
      </c>
      <c r="P817">
        <f>YEAR(Transactions[[#This Row],[Transaction Date]])</f>
        <v>2024</v>
      </c>
      <c r="Q817" t="str">
        <f>IF(Transactions[[#This Row],[Sales Amount]]&lt;AVERAGE(Transactions[Sales Amount]),"Below Average","At/Above Average")</f>
        <v>At/Above Average</v>
      </c>
    </row>
    <row r="818" spans="4:17" x14ac:dyDescent="0.2">
      <c r="D818" t="s">
        <v>908</v>
      </c>
      <c r="E818" t="s">
        <v>74</v>
      </c>
      <c r="F818" t="s">
        <v>99</v>
      </c>
      <c r="G818">
        <v>140</v>
      </c>
      <c r="H818">
        <v>7</v>
      </c>
      <c r="I818">
        <v>48.34</v>
      </c>
      <c r="J818">
        <v>5</v>
      </c>
      <c r="K818" s="37">
        <v>45442</v>
      </c>
      <c r="L818" t="s">
        <v>97</v>
      </c>
      <c r="M818">
        <v>369.36</v>
      </c>
      <c r="N818">
        <v>49</v>
      </c>
      <c r="O818" t="str">
        <f>"Q"&amp;ROUNDUP(MONTH(Transactions[[#This Row],[Transaction Date]])/3,0)</f>
        <v>Q2</v>
      </c>
      <c r="P818">
        <f>YEAR(Transactions[[#This Row],[Transaction Date]])</f>
        <v>2024</v>
      </c>
      <c r="Q818" t="str">
        <f>IF(Transactions[[#This Row],[Sales Amount]]&lt;AVERAGE(Transactions[Sales Amount]),"Below Average","At/Above Average")</f>
        <v>At/Above Average</v>
      </c>
    </row>
    <row r="819" spans="4:17" x14ac:dyDescent="0.2">
      <c r="D819" t="s">
        <v>909</v>
      </c>
      <c r="E819" t="s">
        <v>87</v>
      </c>
      <c r="F819" t="s">
        <v>108</v>
      </c>
      <c r="G819">
        <v>275</v>
      </c>
      <c r="H819">
        <v>3</v>
      </c>
      <c r="I819">
        <v>59.87</v>
      </c>
      <c r="J819">
        <v>3</v>
      </c>
      <c r="K819" s="37">
        <v>44925</v>
      </c>
      <c r="L819" t="s">
        <v>124</v>
      </c>
      <c r="M819">
        <v>285.98</v>
      </c>
      <c r="N819">
        <v>20</v>
      </c>
      <c r="O819" t="str">
        <f>"Q"&amp;ROUNDUP(MONTH(Transactions[[#This Row],[Transaction Date]])/3,0)</f>
        <v>Q4</v>
      </c>
      <c r="P819">
        <f>YEAR(Transactions[[#This Row],[Transaction Date]])</f>
        <v>2022</v>
      </c>
      <c r="Q819" t="str">
        <f>IF(Transactions[[#This Row],[Sales Amount]]&lt;AVERAGE(Transactions[Sales Amount]),"Below Average","At/Above Average")</f>
        <v>At/Above Average</v>
      </c>
    </row>
    <row r="820" spans="4:17" x14ac:dyDescent="0.2">
      <c r="D820" t="s">
        <v>910</v>
      </c>
      <c r="E820" t="s">
        <v>77</v>
      </c>
      <c r="F820" t="s">
        <v>108</v>
      </c>
      <c r="G820">
        <v>122</v>
      </c>
      <c r="H820">
        <v>5</v>
      </c>
      <c r="I820">
        <v>45.18</v>
      </c>
      <c r="J820">
        <v>1</v>
      </c>
      <c r="K820" s="37">
        <v>44992</v>
      </c>
      <c r="L820" t="s">
        <v>102</v>
      </c>
      <c r="M820">
        <v>382.46</v>
      </c>
      <c r="N820">
        <v>10</v>
      </c>
      <c r="O820" t="str">
        <f>"Q"&amp;ROUNDUP(MONTH(Transactions[[#This Row],[Transaction Date]])/3,0)</f>
        <v>Q1</v>
      </c>
      <c r="P820">
        <f>YEAR(Transactions[[#This Row],[Transaction Date]])</f>
        <v>2023</v>
      </c>
      <c r="Q820" t="str">
        <f>IF(Transactions[[#This Row],[Sales Amount]]&lt;AVERAGE(Transactions[Sales Amount]),"Below Average","At/Above Average")</f>
        <v>At/Above Average</v>
      </c>
    </row>
    <row r="821" spans="4:17" x14ac:dyDescent="0.2">
      <c r="D821" t="s">
        <v>911</v>
      </c>
      <c r="E821" t="s">
        <v>74</v>
      </c>
      <c r="F821" t="s">
        <v>91</v>
      </c>
      <c r="G821">
        <v>255</v>
      </c>
      <c r="H821">
        <v>3</v>
      </c>
      <c r="I821">
        <v>56.26</v>
      </c>
      <c r="J821">
        <v>8</v>
      </c>
      <c r="K821" s="37">
        <v>45553</v>
      </c>
      <c r="L821" t="s">
        <v>92</v>
      </c>
      <c r="M821">
        <v>216.95</v>
      </c>
      <c r="N821">
        <v>32</v>
      </c>
      <c r="O821" t="str">
        <f>"Q"&amp;ROUNDUP(MONTH(Transactions[[#This Row],[Transaction Date]])/3,0)</f>
        <v>Q3</v>
      </c>
      <c r="P821">
        <f>YEAR(Transactions[[#This Row],[Transaction Date]])</f>
        <v>2024</v>
      </c>
      <c r="Q821" t="str">
        <f>IF(Transactions[[#This Row],[Sales Amount]]&lt;AVERAGE(Transactions[Sales Amount]),"Below Average","At/Above Average")</f>
        <v>Below Average</v>
      </c>
    </row>
    <row r="822" spans="4:17" x14ac:dyDescent="0.2">
      <c r="D822" t="s">
        <v>912</v>
      </c>
      <c r="E822" t="s">
        <v>87</v>
      </c>
      <c r="F822" t="s">
        <v>88</v>
      </c>
      <c r="G822">
        <v>123</v>
      </c>
      <c r="H822">
        <v>2</v>
      </c>
      <c r="I822">
        <v>57.05</v>
      </c>
      <c r="J822">
        <v>3</v>
      </c>
      <c r="K822" s="37">
        <v>45610</v>
      </c>
      <c r="L822" t="s">
        <v>109</v>
      </c>
      <c r="M822">
        <v>200.22</v>
      </c>
      <c r="N822">
        <v>4</v>
      </c>
      <c r="O822" t="str">
        <f>"Q"&amp;ROUNDUP(MONTH(Transactions[[#This Row],[Transaction Date]])/3,0)</f>
        <v>Q4</v>
      </c>
      <c r="P822">
        <f>YEAR(Transactions[[#This Row],[Transaction Date]])</f>
        <v>2024</v>
      </c>
      <c r="Q822" t="str">
        <f>IF(Transactions[[#This Row],[Sales Amount]]&lt;AVERAGE(Transactions[Sales Amount]),"Below Average","At/Above Average")</f>
        <v>Below Average</v>
      </c>
    </row>
    <row r="823" spans="4:17" x14ac:dyDescent="0.2">
      <c r="D823" t="s">
        <v>913</v>
      </c>
      <c r="E823" t="s">
        <v>78</v>
      </c>
      <c r="F823" t="s">
        <v>105</v>
      </c>
      <c r="G823">
        <v>288</v>
      </c>
      <c r="H823">
        <v>1</v>
      </c>
      <c r="I823">
        <v>49.03</v>
      </c>
      <c r="J823">
        <v>6</v>
      </c>
      <c r="K823" s="37">
        <v>45101</v>
      </c>
      <c r="L823" t="s">
        <v>102</v>
      </c>
      <c r="M823">
        <v>49.56</v>
      </c>
      <c r="N823">
        <v>34</v>
      </c>
      <c r="O823" t="str">
        <f>"Q"&amp;ROUNDUP(MONTH(Transactions[[#This Row],[Transaction Date]])/3,0)</f>
        <v>Q2</v>
      </c>
      <c r="P823">
        <f>YEAR(Transactions[[#This Row],[Transaction Date]])</f>
        <v>2023</v>
      </c>
      <c r="Q823" t="str">
        <f>IF(Transactions[[#This Row],[Sales Amount]]&lt;AVERAGE(Transactions[Sales Amount]),"Below Average","At/Above Average")</f>
        <v>Below Average</v>
      </c>
    </row>
    <row r="824" spans="4:17" x14ac:dyDescent="0.2">
      <c r="D824" t="s">
        <v>914</v>
      </c>
      <c r="E824" t="s">
        <v>87</v>
      </c>
      <c r="F824" t="s">
        <v>129</v>
      </c>
      <c r="G824">
        <v>204</v>
      </c>
      <c r="H824">
        <v>3</v>
      </c>
      <c r="I824">
        <v>51.51</v>
      </c>
      <c r="J824">
        <v>3</v>
      </c>
      <c r="K824" s="37">
        <v>45069</v>
      </c>
      <c r="L824" t="s">
        <v>89</v>
      </c>
      <c r="M824">
        <v>16.59</v>
      </c>
      <c r="N824">
        <v>15</v>
      </c>
      <c r="O824" t="str">
        <f>"Q"&amp;ROUNDUP(MONTH(Transactions[[#This Row],[Transaction Date]])/3,0)</f>
        <v>Q2</v>
      </c>
      <c r="P824">
        <f>YEAR(Transactions[[#This Row],[Transaction Date]])</f>
        <v>2023</v>
      </c>
      <c r="Q824" t="str">
        <f>IF(Transactions[[#This Row],[Sales Amount]]&lt;AVERAGE(Transactions[Sales Amount]),"Below Average","At/Above Average")</f>
        <v>Below Average</v>
      </c>
    </row>
    <row r="825" spans="4:17" x14ac:dyDescent="0.2">
      <c r="D825" t="s">
        <v>915</v>
      </c>
      <c r="E825" t="s">
        <v>75</v>
      </c>
      <c r="F825" t="s">
        <v>129</v>
      </c>
      <c r="G825">
        <v>167</v>
      </c>
      <c r="H825">
        <v>2</v>
      </c>
      <c r="I825">
        <v>45.73</v>
      </c>
      <c r="J825">
        <v>1</v>
      </c>
      <c r="K825" s="37">
        <v>44880</v>
      </c>
      <c r="L825" t="s">
        <v>109</v>
      </c>
      <c r="M825">
        <v>233.09</v>
      </c>
      <c r="N825">
        <v>23</v>
      </c>
      <c r="O825" t="str">
        <f>"Q"&amp;ROUNDUP(MONTH(Transactions[[#This Row],[Transaction Date]])/3,0)</f>
        <v>Q4</v>
      </c>
      <c r="P825">
        <f>YEAR(Transactions[[#This Row],[Transaction Date]])</f>
        <v>2022</v>
      </c>
      <c r="Q825" t="str">
        <f>IF(Transactions[[#This Row],[Sales Amount]]&lt;AVERAGE(Transactions[Sales Amount]),"Below Average","At/Above Average")</f>
        <v>Below Average</v>
      </c>
    </row>
    <row r="826" spans="4:17" x14ac:dyDescent="0.2">
      <c r="D826" t="s">
        <v>916</v>
      </c>
      <c r="E826" t="s">
        <v>75</v>
      </c>
      <c r="F826" t="s">
        <v>99</v>
      </c>
      <c r="G826">
        <v>125</v>
      </c>
      <c r="H826">
        <v>9</v>
      </c>
      <c r="I826">
        <v>50.61</v>
      </c>
      <c r="J826">
        <v>9</v>
      </c>
      <c r="K826" s="37">
        <v>44786</v>
      </c>
      <c r="L826" t="s">
        <v>97</v>
      </c>
      <c r="M826">
        <v>398.12</v>
      </c>
      <c r="N826">
        <v>9</v>
      </c>
      <c r="O826" t="str">
        <f>"Q"&amp;ROUNDUP(MONTH(Transactions[[#This Row],[Transaction Date]])/3,0)</f>
        <v>Q3</v>
      </c>
      <c r="P826">
        <f>YEAR(Transactions[[#This Row],[Transaction Date]])</f>
        <v>2022</v>
      </c>
      <c r="Q826" t="str">
        <f>IF(Transactions[[#This Row],[Sales Amount]]&lt;AVERAGE(Transactions[Sales Amount]),"Below Average","At/Above Average")</f>
        <v>At/Above Average</v>
      </c>
    </row>
    <row r="827" spans="4:17" x14ac:dyDescent="0.2">
      <c r="D827" t="s">
        <v>917</v>
      </c>
      <c r="E827" t="s">
        <v>74</v>
      </c>
      <c r="F827" t="s">
        <v>94</v>
      </c>
      <c r="G827">
        <v>253</v>
      </c>
      <c r="H827">
        <v>2</v>
      </c>
      <c r="I827">
        <v>51.42</v>
      </c>
      <c r="J827">
        <v>10</v>
      </c>
      <c r="K827" s="37">
        <v>45221</v>
      </c>
      <c r="L827" t="s">
        <v>109</v>
      </c>
      <c r="M827">
        <v>255.62</v>
      </c>
      <c r="N827">
        <v>33</v>
      </c>
      <c r="O827" t="str">
        <f>"Q"&amp;ROUNDUP(MONTH(Transactions[[#This Row],[Transaction Date]])/3,0)</f>
        <v>Q4</v>
      </c>
      <c r="P827">
        <f>YEAR(Transactions[[#This Row],[Transaction Date]])</f>
        <v>2023</v>
      </c>
      <c r="Q827" t="str">
        <f>IF(Transactions[[#This Row],[Sales Amount]]&lt;AVERAGE(Transactions[Sales Amount]),"Below Average","At/Above Average")</f>
        <v>Below Average</v>
      </c>
    </row>
    <row r="828" spans="4:17" x14ac:dyDescent="0.2">
      <c r="D828" t="s">
        <v>918</v>
      </c>
      <c r="E828" t="s">
        <v>77</v>
      </c>
      <c r="F828" t="s">
        <v>99</v>
      </c>
      <c r="G828">
        <v>228</v>
      </c>
      <c r="H828">
        <v>8</v>
      </c>
      <c r="I828">
        <v>53.65</v>
      </c>
      <c r="J828">
        <v>7</v>
      </c>
      <c r="K828" s="37">
        <v>45458</v>
      </c>
      <c r="L828" t="s">
        <v>89</v>
      </c>
      <c r="M828">
        <v>347.28</v>
      </c>
      <c r="N828">
        <v>41</v>
      </c>
      <c r="O828" t="str">
        <f>"Q"&amp;ROUNDUP(MONTH(Transactions[[#This Row],[Transaction Date]])/3,0)</f>
        <v>Q2</v>
      </c>
      <c r="P828">
        <f>YEAR(Transactions[[#This Row],[Transaction Date]])</f>
        <v>2024</v>
      </c>
      <c r="Q828" t="str">
        <f>IF(Transactions[[#This Row],[Sales Amount]]&lt;AVERAGE(Transactions[Sales Amount]),"Below Average","At/Above Average")</f>
        <v>At/Above Average</v>
      </c>
    </row>
    <row r="829" spans="4:17" x14ac:dyDescent="0.2">
      <c r="D829" t="s">
        <v>919</v>
      </c>
      <c r="E829" t="s">
        <v>78</v>
      </c>
      <c r="F829" t="s">
        <v>105</v>
      </c>
      <c r="G829">
        <v>113</v>
      </c>
      <c r="H829">
        <v>8</v>
      </c>
      <c r="I829">
        <v>54.21</v>
      </c>
      <c r="J829">
        <v>1</v>
      </c>
      <c r="K829" s="37">
        <v>44582</v>
      </c>
      <c r="L829" t="s">
        <v>89</v>
      </c>
      <c r="M829">
        <v>272.51</v>
      </c>
      <c r="N829">
        <v>17</v>
      </c>
      <c r="O829" t="str">
        <f>"Q"&amp;ROUNDUP(MONTH(Transactions[[#This Row],[Transaction Date]])/3,0)</f>
        <v>Q1</v>
      </c>
      <c r="P829">
        <f>YEAR(Transactions[[#This Row],[Transaction Date]])</f>
        <v>2022</v>
      </c>
      <c r="Q829" t="str">
        <f>IF(Transactions[[#This Row],[Sales Amount]]&lt;AVERAGE(Transactions[Sales Amount]),"Below Average","At/Above Average")</f>
        <v>At/Above Average</v>
      </c>
    </row>
    <row r="830" spans="4:17" x14ac:dyDescent="0.2">
      <c r="D830" t="s">
        <v>920</v>
      </c>
      <c r="E830" t="s">
        <v>75</v>
      </c>
      <c r="F830" t="s">
        <v>94</v>
      </c>
      <c r="G830">
        <v>112</v>
      </c>
      <c r="H830">
        <v>9</v>
      </c>
      <c r="I830">
        <v>59.66</v>
      </c>
      <c r="J830">
        <v>5</v>
      </c>
      <c r="K830" s="37">
        <v>45652</v>
      </c>
      <c r="L830" t="s">
        <v>92</v>
      </c>
      <c r="M830">
        <v>416.99</v>
      </c>
      <c r="N830">
        <v>3</v>
      </c>
      <c r="O830" t="str">
        <f>"Q"&amp;ROUNDUP(MONTH(Transactions[[#This Row],[Transaction Date]])/3,0)</f>
        <v>Q4</v>
      </c>
      <c r="P830">
        <f>YEAR(Transactions[[#This Row],[Transaction Date]])</f>
        <v>2024</v>
      </c>
      <c r="Q830" t="str">
        <f>IF(Transactions[[#This Row],[Sales Amount]]&lt;AVERAGE(Transactions[Sales Amount]),"Below Average","At/Above Average")</f>
        <v>At/Above Average</v>
      </c>
    </row>
    <row r="831" spans="4:17" x14ac:dyDescent="0.2">
      <c r="D831" t="s">
        <v>921</v>
      </c>
      <c r="E831" t="s">
        <v>75</v>
      </c>
      <c r="F831" t="s">
        <v>129</v>
      </c>
      <c r="G831">
        <v>156</v>
      </c>
      <c r="H831">
        <v>8</v>
      </c>
      <c r="I831">
        <v>57.48</v>
      </c>
      <c r="J831">
        <v>5</v>
      </c>
      <c r="K831" s="37">
        <v>44690</v>
      </c>
      <c r="L831" t="s">
        <v>97</v>
      </c>
      <c r="M831">
        <v>184.7</v>
      </c>
      <c r="N831">
        <v>33</v>
      </c>
      <c r="O831" t="str">
        <f>"Q"&amp;ROUNDUP(MONTH(Transactions[[#This Row],[Transaction Date]])/3,0)</f>
        <v>Q2</v>
      </c>
      <c r="P831">
        <f>YEAR(Transactions[[#This Row],[Transaction Date]])</f>
        <v>2022</v>
      </c>
      <c r="Q831" t="str">
        <f>IF(Transactions[[#This Row],[Sales Amount]]&lt;AVERAGE(Transactions[Sales Amount]),"Below Average","At/Above Average")</f>
        <v>Below Average</v>
      </c>
    </row>
    <row r="832" spans="4:17" x14ac:dyDescent="0.2">
      <c r="D832" t="s">
        <v>922</v>
      </c>
      <c r="E832" t="s">
        <v>75</v>
      </c>
      <c r="F832" t="s">
        <v>108</v>
      </c>
      <c r="G832">
        <v>202</v>
      </c>
      <c r="H832">
        <v>8</v>
      </c>
      <c r="I832">
        <v>55.74</v>
      </c>
      <c r="J832">
        <v>3</v>
      </c>
      <c r="K832" s="37">
        <v>45390</v>
      </c>
      <c r="L832" t="s">
        <v>89</v>
      </c>
      <c r="M832">
        <v>196.65</v>
      </c>
      <c r="N832">
        <v>8</v>
      </c>
      <c r="O832" t="str">
        <f>"Q"&amp;ROUNDUP(MONTH(Transactions[[#This Row],[Transaction Date]])/3,0)</f>
        <v>Q2</v>
      </c>
      <c r="P832">
        <f>YEAR(Transactions[[#This Row],[Transaction Date]])</f>
        <v>2024</v>
      </c>
      <c r="Q832" t="str">
        <f>IF(Transactions[[#This Row],[Sales Amount]]&lt;AVERAGE(Transactions[Sales Amount]),"Below Average","At/Above Average")</f>
        <v>Below Average</v>
      </c>
    </row>
    <row r="833" spans="4:17" x14ac:dyDescent="0.2">
      <c r="D833" t="s">
        <v>923</v>
      </c>
      <c r="E833" t="s">
        <v>76</v>
      </c>
      <c r="F833" t="s">
        <v>129</v>
      </c>
      <c r="G833">
        <v>183</v>
      </c>
      <c r="H833">
        <v>1</v>
      </c>
      <c r="I833">
        <v>51.57</v>
      </c>
      <c r="J833">
        <v>9</v>
      </c>
      <c r="K833" s="37">
        <v>45611</v>
      </c>
      <c r="L833" t="s">
        <v>109</v>
      </c>
      <c r="M833">
        <v>365.04</v>
      </c>
      <c r="N833">
        <v>7</v>
      </c>
      <c r="O833" t="str">
        <f>"Q"&amp;ROUNDUP(MONTH(Transactions[[#This Row],[Transaction Date]])/3,0)</f>
        <v>Q4</v>
      </c>
      <c r="P833">
        <f>YEAR(Transactions[[#This Row],[Transaction Date]])</f>
        <v>2024</v>
      </c>
      <c r="Q833" t="str">
        <f>IF(Transactions[[#This Row],[Sales Amount]]&lt;AVERAGE(Transactions[Sales Amount]),"Below Average","At/Above Average")</f>
        <v>At/Above Average</v>
      </c>
    </row>
    <row r="834" spans="4:17" x14ac:dyDescent="0.2">
      <c r="D834" t="s">
        <v>924</v>
      </c>
      <c r="E834" t="s">
        <v>75</v>
      </c>
      <c r="F834" t="s">
        <v>129</v>
      </c>
      <c r="G834">
        <v>275</v>
      </c>
      <c r="H834">
        <v>6</v>
      </c>
      <c r="I834">
        <v>52.08</v>
      </c>
      <c r="J834">
        <v>3</v>
      </c>
      <c r="K834" s="37">
        <v>44760</v>
      </c>
      <c r="L834" t="s">
        <v>102</v>
      </c>
      <c r="M834">
        <v>412.21</v>
      </c>
      <c r="N834">
        <v>25</v>
      </c>
      <c r="O834" t="str">
        <f>"Q"&amp;ROUNDUP(MONTH(Transactions[[#This Row],[Transaction Date]])/3,0)</f>
        <v>Q3</v>
      </c>
      <c r="P834">
        <f>YEAR(Transactions[[#This Row],[Transaction Date]])</f>
        <v>2022</v>
      </c>
      <c r="Q834" t="str">
        <f>IF(Transactions[[#This Row],[Sales Amount]]&lt;AVERAGE(Transactions[Sales Amount]),"Below Average","At/Above Average")</f>
        <v>At/Above Average</v>
      </c>
    </row>
    <row r="835" spans="4:17" x14ac:dyDescent="0.2">
      <c r="D835" t="s">
        <v>925</v>
      </c>
      <c r="E835" t="s">
        <v>77</v>
      </c>
      <c r="F835" t="s">
        <v>129</v>
      </c>
      <c r="G835">
        <v>206</v>
      </c>
      <c r="H835">
        <v>8</v>
      </c>
      <c r="I835">
        <v>57.34</v>
      </c>
      <c r="J835">
        <v>9</v>
      </c>
      <c r="K835" s="37">
        <v>44731</v>
      </c>
      <c r="L835" t="s">
        <v>92</v>
      </c>
      <c r="M835">
        <v>293.55</v>
      </c>
      <c r="N835">
        <v>1</v>
      </c>
      <c r="O835" t="str">
        <f>"Q"&amp;ROUNDUP(MONTH(Transactions[[#This Row],[Transaction Date]])/3,0)</f>
        <v>Q2</v>
      </c>
      <c r="P835">
        <f>YEAR(Transactions[[#This Row],[Transaction Date]])</f>
        <v>2022</v>
      </c>
      <c r="Q835" t="str">
        <f>IF(Transactions[[#This Row],[Sales Amount]]&lt;AVERAGE(Transactions[Sales Amount]),"Below Average","At/Above Average")</f>
        <v>At/Above Average</v>
      </c>
    </row>
    <row r="836" spans="4:17" x14ac:dyDescent="0.2">
      <c r="D836" t="s">
        <v>926</v>
      </c>
      <c r="E836" t="s">
        <v>87</v>
      </c>
      <c r="F836" t="s">
        <v>88</v>
      </c>
      <c r="G836">
        <v>261</v>
      </c>
      <c r="H836">
        <v>9</v>
      </c>
      <c r="I836">
        <v>52.01</v>
      </c>
      <c r="J836">
        <v>10</v>
      </c>
      <c r="K836" s="37">
        <v>44987</v>
      </c>
      <c r="L836" t="s">
        <v>124</v>
      </c>
      <c r="M836">
        <v>230.18</v>
      </c>
      <c r="N836">
        <v>35</v>
      </c>
      <c r="O836" t="str">
        <f>"Q"&amp;ROUNDUP(MONTH(Transactions[[#This Row],[Transaction Date]])/3,0)</f>
        <v>Q1</v>
      </c>
      <c r="P836">
        <f>YEAR(Transactions[[#This Row],[Transaction Date]])</f>
        <v>2023</v>
      </c>
      <c r="Q836" t="str">
        <f>IF(Transactions[[#This Row],[Sales Amount]]&lt;AVERAGE(Transactions[Sales Amount]),"Below Average","At/Above Average")</f>
        <v>Below Average</v>
      </c>
    </row>
    <row r="837" spans="4:17" x14ac:dyDescent="0.2">
      <c r="D837" t="s">
        <v>927</v>
      </c>
      <c r="E837" t="s">
        <v>74</v>
      </c>
      <c r="F837" t="s">
        <v>96</v>
      </c>
      <c r="G837">
        <v>118</v>
      </c>
      <c r="H837">
        <v>7</v>
      </c>
      <c r="I837">
        <v>57.31</v>
      </c>
      <c r="J837">
        <v>10</v>
      </c>
      <c r="K837" s="37">
        <v>45236</v>
      </c>
      <c r="L837" t="s">
        <v>109</v>
      </c>
      <c r="M837">
        <v>138.58000000000001</v>
      </c>
      <c r="N837">
        <v>10</v>
      </c>
      <c r="O837" t="str">
        <f>"Q"&amp;ROUNDUP(MONTH(Transactions[[#This Row],[Transaction Date]])/3,0)</f>
        <v>Q4</v>
      </c>
      <c r="P837">
        <f>YEAR(Transactions[[#This Row],[Transaction Date]])</f>
        <v>2023</v>
      </c>
      <c r="Q837" t="str">
        <f>IF(Transactions[[#This Row],[Sales Amount]]&lt;AVERAGE(Transactions[Sales Amount]),"Below Average","At/Above Average")</f>
        <v>Below Average</v>
      </c>
    </row>
    <row r="838" spans="4:17" x14ac:dyDescent="0.2">
      <c r="D838" t="s">
        <v>928</v>
      </c>
      <c r="E838" t="s">
        <v>87</v>
      </c>
      <c r="F838" t="s">
        <v>99</v>
      </c>
      <c r="G838">
        <v>297</v>
      </c>
      <c r="H838">
        <v>5</v>
      </c>
      <c r="I838">
        <v>46.14</v>
      </c>
      <c r="J838">
        <v>5</v>
      </c>
      <c r="K838" s="37">
        <v>45428</v>
      </c>
      <c r="L838" t="s">
        <v>92</v>
      </c>
      <c r="M838">
        <v>109.06</v>
      </c>
      <c r="N838">
        <v>21</v>
      </c>
      <c r="O838" t="str">
        <f>"Q"&amp;ROUNDUP(MONTH(Transactions[[#This Row],[Transaction Date]])/3,0)</f>
        <v>Q2</v>
      </c>
      <c r="P838">
        <f>YEAR(Transactions[[#This Row],[Transaction Date]])</f>
        <v>2024</v>
      </c>
      <c r="Q838" t="str">
        <f>IF(Transactions[[#This Row],[Sales Amount]]&lt;AVERAGE(Transactions[Sales Amount]),"Below Average","At/Above Average")</f>
        <v>Below Average</v>
      </c>
    </row>
    <row r="839" spans="4:17" x14ac:dyDescent="0.2">
      <c r="D839" t="s">
        <v>929</v>
      </c>
      <c r="E839" t="s">
        <v>74</v>
      </c>
      <c r="F839" t="s">
        <v>99</v>
      </c>
      <c r="G839">
        <v>219</v>
      </c>
      <c r="H839">
        <v>6</v>
      </c>
      <c r="I839">
        <v>49.59</v>
      </c>
      <c r="J839">
        <v>7</v>
      </c>
      <c r="K839" s="37">
        <v>45196</v>
      </c>
      <c r="L839" t="s">
        <v>124</v>
      </c>
      <c r="M839">
        <v>196.63</v>
      </c>
      <c r="N839">
        <v>45</v>
      </c>
      <c r="O839" t="str">
        <f>"Q"&amp;ROUNDUP(MONTH(Transactions[[#This Row],[Transaction Date]])/3,0)</f>
        <v>Q3</v>
      </c>
      <c r="P839">
        <f>YEAR(Transactions[[#This Row],[Transaction Date]])</f>
        <v>2023</v>
      </c>
      <c r="Q839" t="str">
        <f>IF(Transactions[[#This Row],[Sales Amount]]&lt;AVERAGE(Transactions[Sales Amount]),"Below Average","At/Above Average")</f>
        <v>Below Average</v>
      </c>
    </row>
    <row r="840" spans="4:17" x14ac:dyDescent="0.2">
      <c r="D840" t="s">
        <v>930</v>
      </c>
      <c r="E840" t="s">
        <v>76</v>
      </c>
      <c r="F840" t="s">
        <v>91</v>
      </c>
      <c r="G840">
        <v>137</v>
      </c>
      <c r="H840">
        <v>8</v>
      </c>
      <c r="I840">
        <v>48</v>
      </c>
      <c r="J840">
        <v>7</v>
      </c>
      <c r="K840" s="37">
        <v>44941</v>
      </c>
      <c r="L840" t="s">
        <v>89</v>
      </c>
      <c r="M840">
        <v>416.14</v>
      </c>
      <c r="N840">
        <v>1</v>
      </c>
      <c r="O840" t="str">
        <f>"Q"&amp;ROUNDUP(MONTH(Transactions[[#This Row],[Transaction Date]])/3,0)</f>
        <v>Q1</v>
      </c>
      <c r="P840">
        <f>YEAR(Transactions[[#This Row],[Transaction Date]])</f>
        <v>2023</v>
      </c>
      <c r="Q840" t="str">
        <f>IF(Transactions[[#This Row],[Sales Amount]]&lt;AVERAGE(Transactions[Sales Amount]),"Below Average","At/Above Average")</f>
        <v>At/Above Average</v>
      </c>
    </row>
    <row r="841" spans="4:17" x14ac:dyDescent="0.2">
      <c r="D841" t="s">
        <v>931</v>
      </c>
      <c r="E841" t="s">
        <v>75</v>
      </c>
      <c r="F841" t="s">
        <v>129</v>
      </c>
      <c r="G841">
        <v>154</v>
      </c>
      <c r="H841">
        <v>4</v>
      </c>
      <c r="I841">
        <v>51.07</v>
      </c>
      <c r="J841">
        <v>8</v>
      </c>
      <c r="K841" s="37">
        <v>45460</v>
      </c>
      <c r="L841" t="s">
        <v>97</v>
      </c>
      <c r="M841">
        <v>167.01</v>
      </c>
      <c r="N841">
        <v>1</v>
      </c>
      <c r="O841" t="str">
        <f>"Q"&amp;ROUNDUP(MONTH(Transactions[[#This Row],[Transaction Date]])/3,0)</f>
        <v>Q2</v>
      </c>
      <c r="P841">
        <f>YEAR(Transactions[[#This Row],[Transaction Date]])</f>
        <v>2024</v>
      </c>
      <c r="Q841" t="str">
        <f>IF(Transactions[[#This Row],[Sales Amount]]&lt;AVERAGE(Transactions[Sales Amount]),"Below Average","At/Above Average")</f>
        <v>Below Average</v>
      </c>
    </row>
    <row r="842" spans="4:17" x14ac:dyDescent="0.2">
      <c r="D842" t="s">
        <v>932</v>
      </c>
      <c r="E842" t="s">
        <v>87</v>
      </c>
      <c r="F842" t="s">
        <v>96</v>
      </c>
      <c r="G842">
        <v>143</v>
      </c>
      <c r="H842">
        <v>2</v>
      </c>
      <c r="I842">
        <v>59.08</v>
      </c>
      <c r="J842">
        <v>6</v>
      </c>
      <c r="K842" s="37">
        <v>44739</v>
      </c>
      <c r="L842" t="s">
        <v>97</v>
      </c>
      <c r="M842">
        <v>262.85000000000002</v>
      </c>
      <c r="N842">
        <v>45</v>
      </c>
      <c r="O842" t="str">
        <f>"Q"&amp;ROUNDUP(MONTH(Transactions[[#This Row],[Transaction Date]])/3,0)</f>
        <v>Q2</v>
      </c>
      <c r="P842">
        <f>YEAR(Transactions[[#This Row],[Transaction Date]])</f>
        <v>2022</v>
      </c>
      <c r="Q842" t="str">
        <f>IF(Transactions[[#This Row],[Sales Amount]]&lt;AVERAGE(Transactions[Sales Amount]),"Below Average","At/Above Average")</f>
        <v>At/Above Average</v>
      </c>
    </row>
    <row r="843" spans="4:17" x14ac:dyDescent="0.2">
      <c r="D843" t="s">
        <v>933</v>
      </c>
      <c r="E843" t="s">
        <v>76</v>
      </c>
      <c r="F843" t="s">
        <v>94</v>
      </c>
      <c r="G843">
        <v>214</v>
      </c>
      <c r="H843">
        <v>7</v>
      </c>
      <c r="I843">
        <v>46.38</v>
      </c>
      <c r="J843">
        <v>1</v>
      </c>
      <c r="K843" s="37">
        <v>44608</v>
      </c>
      <c r="L843" t="s">
        <v>102</v>
      </c>
      <c r="M843">
        <v>472.67</v>
      </c>
      <c r="N843">
        <v>12</v>
      </c>
      <c r="O843" t="str">
        <f>"Q"&amp;ROUNDUP(MONTH(Transactions[[#This Row],[Transaction Date]])/3,0)</f>
        <v>Q1</v>
      </c>
      <c r="P843">
        <f>YEAR(Transactions[[#This Row],[Transaction Date]])</f>
        <v>2022</v>
      </c>
      <c r="Q843" t="str">
        <f>IF(Transactions[[#This Row],[Sales Amount]]&lt;AVERAGE(Transactions[Sales Amount]),"Below Average","At/Above Average")</f>
        <v>At/Above Average</v>
      </c>
    </row>
    <row r="844" spans="4:17" x14ac:dyDescent="0.2">
      <c r="D844" t="s">
        <v>934</v>
      </c>
      <c r="E844" t="s">
        <v>87</v>
      </c>
      <c r="F844" t="s">
        <v>96</v>
      </c>
      <c r="G844">
        <v>234</v>
      </c>
      <c r="H844">
        <v>6</v>
      </c>
      <c r="I844">
        <v>58.06</v>
      </c>
      <c r="J844">
        <v>6</v>
      </c>
      <c r="K844" s="37">
        <v>45411</v>
      </c>
      <c r="L844" t="s">
        <v>109</v>
      </c>
      <c r="M844">
        <v>24.98</v>
      </c>
      <c r="N844">
        <v>18</v>
      </c>
      <c r="O844" t="str">
        <f>"Q"&amp;ROUNDUP(MONTH(Transactions[[#This Row],[Transaction Date]])/3,0)</f>
        <v>Q2</v>
      </c>
      <c r="P844">
        <f>YEAR(Transactions[[#This Row],[Transaction Date]])</f>
        <v>2024</v>
      </c>
      <c r="Q844" t="str">
        <f>IF(Transactions[[#This Row],[Sales Amount]]&lt;AVERAGE(Transactions[Sales Amount]),"Below Average","At/Above Average")</f>
        <v>Below Average</v>
      </c>
    </row>
    <row r="845" spans="4:17" x14ac:dyDescent="0.2">
      <c r="D845" t="s">
        <v>935</v>
      </c>
      <c r="E845" t="s">
        <v>77</v>
      </c>
      <c r="F845" t="s">
        <v>108</v>
      </c>
      <c r="G845">
        <v>180</v>
      </c>
      <c r="H845">
        <v>3</v>
      </c>
      <c r="I845">
        <v>54.67</v>
      </c>
      <c r="J845">
        <v>4</v>
      </c>
      <c r="K845" s="37">
        <v>44988</v>
      </c>
      <c r="L845" t="s">
        <v>97</v>
      </c>
      <c r="M845">
        <v>420.89</v>
      </c>
      <c r="N845">
        <v>30</v>
      </c>
      <c r="O845" t="str">
        <f>"Q"&amp;ROUNDUP(MONTH(Transactions[[#This Row],[Transaction Date]])/3,0)</f>
        <v>Q1</v>
      </c>
      <c r="P845">
        <f>YEAR(Transactions[[#This Row],[Transaction Date]])</f>
        <v>2023</v>
      </c>
      <c r="Q845" t="str">
        <f>IF(Transactions[[#This Row],[Sales Amount]]&lt;AVERAGE(Transactions[Sales Amount]),"Below Average","At/Above Average")</f>
        <v>At/Above Average</v>
      </c>
    </row>
    <row r="846" spans="4:17" x14ac:dyDescent="0.2">
      <c r="D846" t="s">
        <v>936</v>
      </c>
      <c r="E846" t="s">
        <v>76</v>
      </c>
      <c r="F846" t="s">
        <v>108</v>
      </c>
      <c r="G846">
        <v>161</v>
      </c>
      <c r="H846">
        <v>4</v>
      </c>
      <c r="I846">
        <v>51.66</v>
      </c>
      <c r="J846">
        <v>2</v>
      </c>
      <c r="K846" s="37">
        <v>44831</v>
      </c>
      <c r="L846" t="s">
        <v>124</v>
      </c>
      <c r="M846">
        <v>185.45</v>
      </c>
      <c r="N846">
        <v>15</v>
      </c>
      <c r="O846" t="str">
        <f>"Q"&amp;ROUNDUP(MONTH(Transactions[[#This Row],[Transaction Date]])/3,0)</f>
        <v>Q3</v>
      </c>
      <c r="P846">
        <f>YEAR(Transactions[[#This Row],[Transaction Date]])</f>
        <v>2022</v>
      </c>
      <c r="Q846" t="str">
        <f>IF(Transactions[[#This Row],[Sales Amount]]&lt;AVERAGE(Transactions[Sales Amount]),"Below Average","At/Above Average")</f>
        <v>Below Average</v>
      </c>
    </row>
    <row r="847" spans="4:17" x14ac:dyDescent="0.2">
      <c r="D847" t="s">
        <v>937</v>
      </c>
      <c r="E847" t="s">
        <v>78</v>
      </c>
      <c r="F847" t="s">
        <v>108</v>
      </c>
      <c r="G847">
        <v>221</v>
      </c>
      <c r="H847">
        <v>9</v>
      </c>
      <c r="I847">
        <v>52.31</v>
      </c>
      <c r="J847">
        <v>10</v>
      </c>
      <c r="K847" s="37">
        <v>45548</v>
      </c>
      <c r="L847" t="s">
        <v>89</v>
      </c>
      <c r="M847">
        <v>99.89</v>
      </c>
      <c r="N847">
        <v>32</v>
      </c>
      <c r="O847" t="str">
        <f>"Q"&amp;ROUNDUP(MONTH(Transactions[[#This Row],[Transaction Date]])/3,0)</f>
        <v>Q3</v>
      </c>
      <c r="P847">
        <f>YEAR(Transactions[[#This Row],[Transaction Date]])</f>
        <v>2024</v>
      </c>
      <c r="Q847" t="str">
        <f>IF(Transactions[[#This Row],[Sales Amount]]&lt;AVERAGE(Transactions[Sales Amount]),"Below Average","At/Above Average")</f>
        <v>Below Average</v>
      </c>
    </row>
    <row r="848" spans="4:17" x14ac:dyDescent="0.2">
      <c r="D848" t="s">
        <v>938</v>
      </c>
      <c r="E848" t="s">
        <v>87</v>
      </c>
      <c r="F848" t="s">
        <v>99</v>
      </c>
      <c r="G848">
        <v>131</v>
      </c>
      <c r="H848">
        <v>4</v>
      </c>
      <c r="I848">
        <v>58.95</v>
      </c>
      <c r="J848">
        <v>7</v>
      </c>
      <c r="K848" s="37">
        <v>44855</v>
      </c>
      <c r="L848" t="s">
        <v>102</v>
      </c>
      <c r="M848">
        <v>454.94</v>
      </c>
      <c r="N848">
        <v>29</v>
      </c>
      <c r="O848" t="str">
        <f>"Q"&amp;ROUNDUP(MONTH(Transactions[[#This Row],[Transaction Date]])/3,0)</f>
        <v>Q4</v>
      </c>
      <c r="P848">
        <f>YEAR(Transactions[[#This Row],[Transaction Date]])</f>
        <v>2022</v>
      </c>
      <c r="Q848" t="str">
        <f>IF(Transactions[[#This Row],[Sales Amount]]&lt;AVERAGE(Transactions[Sales Amount]),"Below Average","At/Above Average")</f>
        <v>At/Above Average</v>
      </c>
    </row>
    <row r="849" spans="4:17" x14ac:dyDescent="0.2">
      <c r="D849" t="s">
        <v>939</v>
      </c>
      <c r="E849" t="s">
        <v>74</v>
      </c>
      <c r="F849" t="s">
        <v>91</v>
      </c>
      <c r="G849">
        <v>238</v>
      </c>
      <c r="H849">
        <v>10</v>
      </c>
      <c r="I849">
        <v>56.82</v>
      </c>
      <c r="J849">
        <v>2</v>
      </c>
      <c r="K849" s="37">
        <v>44574</v>
      </c>
      <c r="L849" t="s">
        <v>124</v>
      </c>
      <c r="M849">
        <v>243.22</v>
      </c>
      <c r="N849">
        <v>27</v>
      </c>
      <c r="O849" t="str">
        <f>"Q"&amp;ROUNDUP(MONTH(Transactions[[#This Row],[Transaction Date]])/3,0)</f>
        <v>Q1</v>
      </c>
      <c r="P849">
        <f>YEAR(Transactions[[#This Row],[Transaction Date]])</f>
        <v>2022</v>
      </c>
      <c r="Q849" t="str">
        <f>IF(Transactions[[#This Row],[Sales Amount]]&lt;AVERAGE(Transactions[Sales Amount]),"Below Average","At/Above Average")</f>
        <v>Below Average</v>
      </c>
    </row>
    <row r="850" spans="4:17" x14ac:dyDescent="0.2">
      <c r="D850" t="s">
        <v>940</v>
      </c>
      <c r="E850" t="s">
        <v>74</v>
      </c>
      <c r="F850" t="s">
        <v>99</v>
      </c>
      <c r="G850">
        <v>164</v>
      </c>
      <c r="H850">
        <v>6</v>
      </c>
      <c r="I850">
        <v>51.41</v>
      </c>
      <c r="J850">
        <v>6</v>
      </c>
      <c r="K850" s="37">
        <v>45585</v>
      </c>
      <c r="L850" t="s">
        <v>109</v>
      </c>
      <c r="M850">
        <v>477.64</v>
      </c>
      <c r="N850">
        <v>27</v>
      </c>
      <c r="O850" t="str">
        <f>"Q"&amp;ROUNDUP(MONTH(Transactions[[#This Row],[Transaction Date]])/3,0)</f>
        <v>Q4</v>
      </c>
      <c r="P850">
        <f>YEAR(Transactions[[#This Row],[Transaction Date]])</f>
        <v>2024</v>
      </c>
      <c r="Q850" t="str">
        <f>IF(Transactions[[#This Row],[Sales Amount]]&lt;AVERAGE(Transactions[Sales Amount]),"Below Average","At/Above Average")</f>
        <v>At/Above Average</v>
      </c>
    </row>
    <row r="851" spans="4:17" x14ac:dyDescent="0.2">
      <c r="D851" t="s">
        <v>941</v>
      </c>
      <c r="E851" t="s">
        <v>75</v>
      </c>
      <c r="F851" t="s">
        <v>105</v>
      </c>
      <c r="G851">
        <v>171</v>
      </c>
      <c r="H851">
        <v>1</v>
      </c>
      <c r="I851">
        <v>58.57</v>
      </c>
      <c r="J851">
        <v>6</v>
      </c>
      <c r="K851" s="37">
        <v>45072</v>
      </c>
      <c r="L851" t="s">
        <v>109</v>
      </c>
      <c r="M851">
        <v>168.91</v>
      </c>
      <c r="N851">
        <v>11</v>
      </c>
      <c r="O851" t="str">
        <f>"Q"&amp;ROUNDUP(MONTH(Transactions[[#This Row],[Transaction Date]])/3,0)</f>
        <v>Q2</v>
      </c>
      <c r="P851">
        <f>YEAR(Transactions[[#This Row],[Transaction Date]])</f>
        <v>2023</v>
      </c>
      <c r="Q851" t="str">
        <f>IF(Transactions[[#This Row],[Sales Amount]]&lt;AVERAGE(Transactions[Sales Amount]),"Below Average","At/Above Average")</f>
        <v>Below Average</v>
      </c>
    </row>
    <row r="852" spans="4:17" x14ac:dyDescent="0.2">
      <c r="D852" t="s">
        <v>942</v>
      </c>
      <c r="E852" t="s">
        <v>87</v>
      </c>
      <c r="F852" t="s">
        <v>108</v>
      </c>
      <c r="G852">
        <v>159</v>
      </c>
      <c r="H852">
        <v>3</v>
      </c>
      <c r="I852">
        <v>49.78</v>
      </c>
      <c r="J852">
        <v>7</v>
      </c>
      <c r="K852" s="37">
        <v>44656</v>
      </c>
      <c r="L852" t="s">
        <v>92</v>
      </c>
      <c r="M852">
        <v>346.11</v>
      </c>
      <c r="N852">
        <v>4</v>
      </c>
      <c r="O852" t="str">
        <f>"Q"&amp;ROUNDUP(MONTH(Transactions[[#This Row],[Transaction Date]])/3,0)</f>
        <v>Q2</v>
      </c>
      <c r="P852">
        <f>YEAR(Transactions[[#This Row],[Transaction Date]])</f>
        <v>2022</v>
      </c>
      <c r="Q852" t="str">
        <f>IF(Transactions[[#This Row],[Sales Amount]]&lt;AVERAGE(Transactions[Sales Amount]),"Below Average","At/Above Average")</f>
        <v>At/Above Average</v>
      </c>
    </row>
    <row r="853" spans="4:17" x14ac:dyDescent="0.2">
      <c r="D853" t="s">
        <v>943</v>
      </c>
      <c r="E853" t="s">
        <v>75</v>
      </c>
      <c r="F853" t="s">
        <v>99</v>
      </c>
      <c r="G853">
        <v>277</v>
      </c>
      <c r="H853">
        <v>1</v>
      </c>
      <c r="I853">
        <v>51.21</v>
      </c>
      <c r="J853">
        <v>6</v>
      </c>
      <c r="K853" s="37">
        <v>45443</v>
      </c>
      <c r="L853" t="s">
        <v>124</v>
      </c>
      <c r="M853">
        <v>337.43</v>
      </c>
      <c r="N853">
        <v>36</v>
      </c>
      <c r="O853" t="str">
        <f>"Q"&amp;ROUNDUP(MONTH(Transactions[[#This Row],[Transaction Date]])/3,0)</f>
        <v>Q2</v>
      </c>
      <c r="P853">
        <f>YEAR(Transactions[[#This Row],[Transaction Date]])</f>
        <v>2024</v>
      </c>
      <c r="Q853" t="str">
        <f>IF(Transactions[[#This Row],[Sales Amount]]&lt;AVERAGE(Transactions[Sales Amount]),"Below Average","At/Above Average")</f>
        <v>At/Above Average</v>
      </c>
    </row>
    <row r="854" spans="4:17" x14ac:dyDescent="0.2">
      <c r="D854" t="s">
        <v>944</v>
      </c>
      <c r="E854" t="s">
        <v>78</v>
      </c>
      <c r="F854" t="s">
        <v>99</v>
      </c>
      <c r="G854">
        <v>166</v>
      </c>
      <c r="H854">
        <v>10</v>
      </c>
      <c r="I854">
        <v>54.2</v>
      </c>
      <c r="J854">
        <v>9</v>
      </c>
      <c r="K854" s="37">
        <v>45052</v>
      </c>
      <c r="L854" t="s">
        <v>124</v>
      </c>
      <c r="M854">
        <v>335.79</v>
      </c>
      <c r="N854">
        <v>7</v>
      </c>
      <c r="O854" t="str">
        <f>"Q"&amp;ROUNDUP(MONTH(Transactions[[#This Row],[Transaction Date]])/3,0)</f>
        <v>Q2</v>
      </c>
      <c r="P854">
        <f>YEAR(Transactions[[#This Row],[Transaction Date]])</f>
        <v>2023</v>
      </c>
      <c r="Q854" t="str">
        <f>IF(Transactions[[#This Row],[Sales Amount]]&lt;AVERAGE(Transactions[Sales Amount]),"Below Average","At/Above Average")</f>
        <v>At/Above Average</v>
      </c>
    </row>
    <row r="855" spans="4:17" x14ac:dyDescent="0.2">
      <c r="D855" t="s">
        <v>945</v>
      </c>
      <c r="E855" t="s">
        <v>74</v>
      </c>
      <c r="F855" t="s">
        <v>91</v>
      </c>
      <c r="G855">
        <v>122</v>
      </c>
      <c r="H855">
        <v>4</v>
      </c>
      <c r="I855">
        <v>56.25</v>
      </c>
      <c r="J855">
        <v>6</v>
      </c>
      <c r="K855" s="37">
        <v>44903</v>
      </c>
      <c r="L855" t="s">
        <v>124</v>
      </c>
      <c r="M855">
        <v>42.67</v>
      </c>
      <c r="N855">
        <v>38</v>
      </c>
      <c r="O855" t="str">
        <f>"Q"&amp;ROUNDUP(MONTH(Transactions[[#This Row],[Transaction Date]])/3,0)</f>
        <v>Q4</v>
      </c>
      <c r="P855">
        <f>YEAR(Transactions[[#This Row],[Transaction Date]])</f>
        <v>2022</v>
      </c>
      <c r="Q855" t="str">
        <f>IF(Transactions[[#This Row],[Sales Amount]]&lt;AVERAGE(Transactions[Sales Amount]),"Below Average","At/Above Average")</f>
        <v>Below Average</v>
      </c>
    </row>
    <row r="856" spans="4:17" x14ac:dyDescent="0.2">
      <c r="D856" t="s">
        <v>946</v>
      </c>
      <c r="E856" t="s">
        <v>87</v>
      </c>
      <c r="F856" t="s">
        <v>108</v>
      </c>
      <c r="G856">
        <v>176</v>
      </c>
      <c r="H856">
        <v>2</v>
      </c>
      <c r="I856">
        <v>56.49</v>
      </c>
      <c r="J856">
        <v>10</v>
      </c>
      <c r="K856" s="37">
        <v>44844</v>
      </c>
      <c r="L856" t="s">
        <v>92</v>
      </c>
      <c r="M856">
        <v>288.13</v>
      </c>
      <c r="N856">
        <v>7</v>
      </c>
      <c r="O856" t="str">
        <f>"Q"&amp;ROUNDUP(MONTH(Transactions[[#This Row],[Transaction Date]])/3,0)</f>
        <v>Q4</v>
      </c>
      <c r="P856">
        <f>YEAR(Transactions[[#This Row],[Transaction Date]])</f>
        <v>2022</v>
      </c>
      <c r="Q856" t="str">
        <f>IF(Transactions[[#This Row],[Sales Amount]]&lt;AVERAGE(Transactions[Sales Amount]),"Below Average","At/Above Average")</f>
        <v>At/Above Average</v>
      </c>
    </row>
    <row r="857" spans="4:17" x14ac:dyDescent="0.2">
      <c r="D857" t="s">
        <v>947</v>
      </c>
      <c r="E857" t="s">
        <v>74</v>
      </c>
      <c r="F857" t="s">
        <v>91</v>
      </c>
      <c r="G857">
        <v>277</v>
      </c>
      <c r="H857">
        <v>6</v>
      </c>
      <c r="I857">
        <v>52.14</v>
      </c>
      <c r="J857">
        <v>6</v>
      </c>
      <c r="K857" s="37">
        <v>44921</v>
      </c>
      <c r="L857" t="s">
        <v>109</v>
      </c>
      <c r="M857">
        <v>239.2</v>
      </c>
      <c r="N857">
        <v>6</v>
      </c>
      <c r="O857" t="str">
        <f>"Q"&amp;ROUNDUP(MONTH(Transactions[[#This Row],[Transaction Date]])/3,0)</f>
        <v>Q4</v>
      </c>
      <c r="P857">
        <f>YEAR(Transactions[[#This Row],[Transaction Date]])</f>
        <v>2022</v>
      </c>
      <c r="Q857" t="str">
        <f>IF(Transactions[[#This Row],[Sales Amount]]&lt;AVERAGE(Transactions[Sales Amount]),"Below Average","At/Above Average")</f>
        <v>Below Average</v>
      </c>
    </row>
    <row r="858" spans="4:17" x14ac:dyDescent="0.2">
      <c r="D858" t="s">
        <v>948</v>
      </c>
      <c r="E858" t="s">
        <v>74</v>
      </c>
      <c r="F858" t="s">
        <v>94</v>
      </c>
      <c r="G858">
        <v>215</v>
      </c>
      <c r="H858">
        <v>5</v>
      </c>
      <c r="I858">
        <v>57.79</v>
      </c>
      <c r="J858">
        <v>2</v>
      </c>
      <c r="K858" s="37">
        <v>45146</v>
      </c>
      <c r="L858" t="s">
        <v>124</v>
      </c>
      <c r="M858">
        <v>298.91000000000003</v>
      </c>
      <c r="N858">
        <v>26</v>
      </c>
      <c r="O858" t="str">
        <f>"Q"&amp;ROUNDUP(MONTH(Transactions[[#This Row],[Transaction Date]])/3,0)</f>
        <v>Q3</v>
      </c>
      <c r="P858">
        <f>YEAR(Transactions[[#This Row],[Transaction Date]])</f>
        <v>2023</v>
      </c>
      <c r="Q858" t="str">
        <f>IF(Transactions[[#This Row],[Sales Amount]]&lt;AVERAGE(Transactions[Sales Amount]),"Below Average","At/Above Average")</f>
        <v>At/Above Average</v>
      </c>
    </row>
    <row r="859" spans="4:17" x14ac:dyDescent="0.2">
      <c r="D859" t="s">
        <v>949</v>
      </c>
      <c r="E859" t="s">
        <v>77</v>
      </c>
      <c r="F859" t="s">
        <v>91</v>
      </c>
      <c r="G859">
        <v>127</v>
      </c>
      <c r="H859">
        <v>4</v>
      </c>
      <c r="I859">
        <v>50.6</v>
      </c>
      <c r="J859">
        <v>5</v>
      </c>
      <c r="K859" s="37">
        <v>45214</v>
      </c>
      <c r="L859" t="s">
        <v>109</v>
      </c>
      <c r="M859">
        <v>473.7</v>
      </c>
      <c r="N859">
        <v>20</v>
      </c>
      <c r="O859" t="str">
        <f>"Q"&amp;ROUNDUP(MONTH(Transactions[[#This Row],[Transaction Date]])/3,0)</f>
        <v>Q4</v>
      </c>
      <c r="P859">
        <f>YEAR(Transactions[[#This Row],[Transaction Date]])</f>
        <v>2023</v>
      </c>
      <c r="Q859" t="str">
        <f>IF(Transactions[[#This Row],[Sales Amount]]&lt;AVERAGE(Transactions[Sales Amount]),"Below Average","At/Above Average")</f>
        <v>At/Above Average</v>
      </c>
    </row>
    <row r="860" spans="4:17" x14ac:dyDescent="0.2">
      <c r="D860" t="s">
        <v>950</v>
      </c>
      <c r="E860" t="s">
        <v>75</v>
      </c>
      <c r="F860" t="s">
        <v>94</v>
      </c>
      <c r="G860">
        <v>240</v>
      </c>
      <c r="H860">
        <v>9</v>
      </c>
      <c r="I860">
        <v>59.55</v>
      </c>
      <c r="J860">
        <v>8</v>
      </c>
      <c r="K860" s="37">
        <v>45534</v>
      </c>
      <c r="L860" t="s">
        <v>102</v>
      </c>
      <c r="M860">
        <v>337.31</v>
      </c>
      <c r="N860">
        <v>7</v>
      </c>
      <c r="O860" t="str">
        <f>"Q"&amp;ROUNDUP(MONTH(Transactions[[#This Row],[Transaction Date]])/3,0)</f>
        <v>Q3</v>
      </c>
      <c r="P860">
        <f>YEAR(Transactions[[#This Row],[Transaction Date]])</f>
        <v>2024</v>
      </c>
      <c r="Q860" t="str">
        <f>IF(Transactions[[#This Row],[Sales Amount]]&lt;AVERAGE(Transactions[Sales Amount]),"Below Average","At/Above Average")</f>
        <v>At/Above Average</v>
      </c>
    </row>
    <row r="861" spans="4:17" x14ac:dyDescent="0.2">
      <c r="D861" t="s">
        <v>951</v>
      </c>
      <c r="E861" t="s">
        <v>76</v>
      </c>
      <c r="F861" t="s">
        <v>129</v>
      </c>
      <c r="G861">
        <v>115</v>
      </c>
      <c r="H861">
        <v>3</v>
      </c>
      <c r="I861">
        <v>45.85</v>
      </c>
      <c r="J861">
        <v>5</v>
      </c>
      <c r="K861" s="37">
        <v>44857</v>
      </c>
      <c r="L861" t="s">
        <v>89</v>
      </c>
      <c r="M861">
        <v>191.22</v>
      </c>
      <c r="N861">
        <v>44</v>
      </c>
      <c r="O861" t="str">
        <f>"Q"&amp;ROUNDUP(MONTH(Transactions[[#This Row],[Transaction Date]])/3,0)</f>
        <v>Q4</v>
      </c>
      <c r="P861">
        <f>YEAR(Transactions[[#This Row],[Transaction Date]])</f>
        <v>2022</v>
      </c>
      <c r="Q861" t="str">
        <f>IF(Transactions[[#This Row],[Sales Amount]]&lt;AVERAGE(Transactions[Sales Amount]),"Below Average","At/Above Average")</f>
        <v>Below Average</v>
      </c>
    </row>
    <row r="862" spans="4:17" x14ac:dyDescent="0.2">
      <c r="D862" t="s">
        <v>952</v>
      </c>
      <c r="E862" t="s">
        <v>87</v>
      </c>
      <c r="F862" t="s">
        <v>88</v>
      </c>
      <c r="G862">
        <v>110</v>
      </c>
      <c r="H862">
        <v>10</v>
      </c>
      <c r="I862">
        <v>52.39</v>
      </c>
      <c r="J862">
        <v>3</v>
      </c>
      <c r="K862" s="37">
        <v>45161</v>
      </c>
      <c r="L862" t="s">
        <v>92</v>
      </c>
      <c r="M862">
        <v>193.42</v>
      </c>
      <c r="N862">
        <v>23</v>
      </c>
      <c r="O862" t="str">
        <f>"Q"&amp;ROUNDUP(MONTH(Transactions[[#This Row],[Transaction Date]])/3,0)</f>
        <v>Q3</v>
      </c>
      <c r="P862">
        <f>YEAR(Transactions[[#This Row],[Transaction Date]])</f>
        <v>2023</v>
      </c>
      <c r="Q862" t="str">
        <f>IF(Transactions[[#This Row],[Sales Amount]]&lt;AVERAGE(Transactions[Sales Amount]),"Below Average","At/Above Average")</f>
        <v>Below Average</v>
      </c>
    </row>
    <row r="863" spans="4:17" x14ac:dyDescent="0.2">
      <c r="D863" t="s">
        <v>953</v>
      </c>
      <c r="E863" t="s">
        <v>77</v>
      </c>
      <c r="F863" t="s">
        <v>129</v>
      </c>
      <c r="G863">
        <v>282</v>
      </c>
      <c r="H863">
        <v>5</v>
      </c>
      <c r="I863">
        <v>52.1</v>
      </c>
      <c r="J863">
        <v>9</v>
      </c>
      <c r="K863" s="37">
        <v>45271</v>
      </c>
      <c r="L863" t="s">
        <v>92</v>
      </c>
      <c r="M863">
        <v>88.94</v>
      </c>
      <c r="N863">
        <v>40</v>
      </c>
      <c r="O863" t="str">
        <f>"Q"&amp;ROUNDUP(MONTH(Transactions[[#This Row],[Transaction Date]])/3,0)</f>
        <v>Q4</v>
      </c>
      <c r="P863">
        <f>YEAR(Transactions[[#This Row],[Transaction Date]])</f>
        <v>2023</v>
      </c>
      <c r="Q863" t="str">
        <f>IF(Transactions[[#This Row],[Sales Amount]]&lt;AVERAGE(Transactions[Sales Amount]),"Below Average","At/Above Average")</f>
        <v>Below Average</v>
      </c>
    </row>
    <row r="864" spans="4:17" x14ac:dyDescent="0.2">
      <c r="D864" t="s">
        <v>954</v>
      </c>
      <c r="E864" t="s">
        <v>78</v>
      </c>
      <c r="F864" t="s">
        <v>91</v>
      </c>
      <c r="G864">
        <v>275</v>
      </c>
      <c r="H864">
        <v>10</v>
      </c>
      <c r="I864">
        <v>51.44</v>
      </c>
      <c r="J864">
        <v>8</v>
      </c>
      <c r="K864" s="37">
        <v>45070</v>
      </c>
      <c r="L864" t="s">
        <v>102</v>
      </c>
      <c r="M864">
        <v>25.85</v>
      </c>
      <c r="N864">
        <v>25</v>
      </c>
      <c r="O864" t="str">
        <f>"Q"&amp;ROUNDUP(MONTH(Transactions[[#This Row],[Transaction Date]])/3,0)</f>
        <v>Q2</v>
      </c>
      <c r="P864">
        <f>YEAR(Transactions[[#This Row],[Transaction Date]])</f>
        <v>2023</v>
      </c>
      <c r="Q864" t="str">
        <f>IF(Transactions[[#This Row],[Sales Amount]]&lt;AVERAGE(Transactions[Sales Amount]),"Below Average","At/Above Average")</f>
        <v>Below Average</v>
      </c>
    </row>
    <row r="865" spans="4:17" x14ac:dyDescent="0.2">
      <c r="D865" t="s">
        <v>955</v>
      </c>
      <c r="E865" t="s">
        <v>75</v>
      </c>
      <c r="F865" t="s">
        <v>91</v>
      </c>
      <c r="G865">
        <v>252</v>
      </c>
      <c r="H865">
        <v>3</v>
      </c>
      <c r="I865">
        <v>58.45</v>
      </c>
      <c r="J865">
        <v>7</v>
      </c>
      <c r="K865" s="37">
        <v>45104</v>
      </c>
      <c r="L865" t="s">
        <v>97</v>
      </c>
      <c r="M865">
        <v>41.62</v>
      </c>
      <c r="N865">
        <v>11</v>
      </c>
      <c r="O865" t="str">
        <f>"Q"&amp;ROUNDUP(MONTH(Transactions[[#This Row],[Transaction Date]])/3,0)</f>
        <v>Q2</v>
      </c>
      <c r="P865">
        <f>YEAR(Transactions[[#This Row],[Transaction Date]])</f>
        <v>2023</v>
      </c>
      <c r="Q865" t="str">
        <f>IF(Transactions[[#This Row],[Sales Amount]]&lt;AVERAGE(Transactions[Sales Amount]),"Below Average","At/Above Average")</f>
        <v>Below Average</v>
      </c>
    </row>
    <row r="866" spans="4:17" x14ac:dyDescent="0.2">
      <c r="D866" t="s">
        <v>956</v>
      </c>
      <c r="E866" t="s">
        <v>76</v>
      </c>
      <c r="F866" t="s">
        <v>99</v>
      </c>
      <c r="G866">
        <v>106</v>
      </c>
      <c r="H866">
        <v>4</v>
      </c>
      <c r="I866">
        <v>46.5</v>
      </c>
      <c r="J866">
        <v>6</v>
      </c>
      <c r="K866" s="37">
        <v>44694</v>
      </c>
      <c r="L866" t="s">
        <v>124</v>
      </c>
      <c r="M866">
        <v>239.72</v>
      </c>
      <c r="N866">
        <v>32</v>
      </c>
      <c r="O866" t="str">
        <f>"Q"&amp;ROUNDUP(MONTH(Transactions[[#This Row],[Transaction Date]])/3,0)</f>
        <v>Q2</v>
      </c>
      <c r="P866">
        <f>YEAR(Transactions[[#This Row],[Transaction Date]])</f>
        <v>2022</v>
      </c>
      <c r="Q866" t="str">
        <f>IF(Transactions[[#This Row],[Sales Amount]]&lt;AVERAGE(Transactions[Sales Amount]),"Below Average","At/Above Average")</f>
        <v>Below Average</v>
      </c>
    </row>
    <row r="867" spans="4:17" x14ac:dyDescent="0.2">
      <c r="D867" t="s">
        <v>957</v>
      </c>
      <c r="E867" t="s">
        <v>78</v>
      </c>
      <c r="F867" t="s">
        <v>91</v>
      </c>
      <c r="G867">
        <v>194</v>
      </c>
      <c r="H867">
        <v>9</v>
      </c>
      <c r="I867">
        <v>58.84</v>
      </c>
      <c r="J867">
        <v>4</v>
      </c>
      <c r="K867" s="37">
        <v>45618</v>
      </c>
      <c r="L867" t="s">
        <v>102</v>
      </c>
      <c r="M867">
        <v>378.82</v>
      </c>
      <c r="N867">
        <v>34</v>
      </c>
      <c r="O867" t="str">
        <f>"Q"&amp;ROUNDUP(MONTH(Transactions[[#This Row],[Transaction Date]])/3,0)</f>
        <v>Q4</v>
      </c>
      <c r="P867">
        <f>YEAR(Transactions[[#This Row],[Transaction Date]])</f>
        <v>2024</v>
      </c>
      <c r="Q867" t="str">
        <f>IF(Transactions[[#This Row],[Sales Amount]]&lt;AVERAGE(Transactions[Sales Amount]),"Below Average","At/Above Average")</f>
        <v>At/Above Average</v>
      </c>
    </row>
    <row r="868" spans="4:17" x14ac:dyDescent="0.2">
      <c r="D868" t="s">
        <v>958</v>
      </c>
      <c r="E868" t="s">
        <v>77</v>
      </c>
      <c r="F868" t="s">
        <v>129</v>
      </c>
      <c r="G868">
        <v>185</v>
      </c>
      <c r="H868">
        <v>8</v>
      </c>
      <c r="I868">
        <v>48.19</v>
      </c>
      <c r="J868">
        <v>8</v>
      </c>
      <c r="K868" s="37">
        <v>45647</v>
      </c>
      <c r="L868" t="s">
        <v>109</v>
      </c>
      <c r="M868">
        <v>13.91</v>
      </c>
      <c r="N868">
        <v>1</v>
      </c>
      <c r="O868" t="str">
        <f>"Q"&amp;ROUNDUP(MONTH(Transactions[[#This Row],[Transaction Date]])/3,0)</f>
        <v>Q4</v>
      </c>
      <c r="P868">
        <f>YEAR(Transactions[[#This Row],[Transaction Date]])</f>
        <v>2024</v>
      </c>
      <c r="Q868" t="str">
        <f>IF(Transactions[[#This Row],[Sales Amount]]&lt;AVERAGE(Transactions[Sales Amount]),"Below Average","At/Above Average")</f>
        <v>Below Average</v>
      </c>
    </row>
    <row r="869" spans="4:17" x14ac:dyDescent="0.2">
      <c r="D869" t="s">
        <v>959</v>
      </c>
      <c r="E869" t="s">
        <v>78</v>
      </c>
      <c r="F869" t="s">
        <v>105</v>
      </c>
      <c r="G869">
        <v>128</v>
      </c>
      <c r="H869">
        <v>2</v>
      </c>
      <c r="I869">
        <v>59.97</v>
      </c>
      <c r="J869">
        <v>4</v>
      </c>
      <c r="K869" s="37">
        <v>45046</v>
      </c>
      <c r="L869" t="s">
        <v>97</v>
      </c>
      <c r="M869">
        <v>29.98</v>
      </c>
      <c r="N869">
        <v>13</v>
      </c>
      <c r="O869" t="str">
        <f>"Q"&amp;ROUNDUP(MONTH(Transactions[[#This Row],[Transaction Date]])/3,0)</f>
        <v>Q2</v>
      </c>
      <c r="P869">
        <f>YEAR(Transactions[[#This Row],[Transaction Date]])</f>
        <v>2023</v>
      </c>
      <c r="Q869" t="str">
        <f>IF(Transactions[[#This Row],[Sales Amount]]&lt;AVERAGE(Transactions[Sales Amount]),"Below Average","At/Above Average")</f>
        <v>Below Average</v>
      </c>
    </row>
    <row r="870" spans="4:17" x14ac:dyDescent="0.2">
      <c r="D870" t="s">
        <v>960</v>
      </c>
      <c r="E870" t="s">
        <v>87</v>
      </c>
      <c r="F870" t="s">
        <v>105</v>
      </c>
      <c r="G870">
        <v>182</v>
      </c>
      <c r="H870">
        <v>8</v>
      </c>
      <c r="I870">
        <v>56.46</v>
      </c>
      <c r="J870">
        <v>2</v>
      </c>
      <c r="K870" s="37">
        <v>45188</v>
      </c>
      <c r="L870" t="s">
        <v>97</v>
      </c>
      <c r="M870">
        <v>10.45</v>
      </c>
      <c r="N870">
        <v>4</v>
      </c>
      <c r="O870" t="str">
        <f>"Q"&amp;ROUNDUP(MONTH(Transactions[[#This Row],[Transaction Date]])/3,0)</f>
        <v>Q3</v>
      </c>
      <c r="P870">
        <f>YEAR(Transactions[[#This Row],[Transaction Date]])</f>
        <v>2023</v>
      </c>
      <c r="Q870" t="str">
        <f>IF(Transactions[[#This Row],[Sales Amount]]&lt;AVERAGE(Transactions[Sales Amount]),"Below Average","At/Above Average")</f>
        <v>Below Average</v>
      </c>
    </row>
    <row r="871" spans="4:17" x14ac:dyDescent="0.2">
      <c r="D871" t="s">
        <v>961</v>
      </c>
      <c r="E871" t="s">
        <v>87</v>
      </c>
      <c r="F871" t="s">
        <v>105</v>
      </c>
      <c r="G871">
        <v>165</v>
      </c>
      <c r="H871">
        <v>4</v>
      </c>
      <c r="I871">
        <v>55.53</v>
      </c>
      <c r="J871">
        <v>8</v>
      </c>
      <c r="K871" s="37">
        <v>44910</v>
      </c>
      <c r="L871" t="s">
        <v>97</v>
      </c>
      <c r="M871">
        <v>167.44</v>
      </c>
      <c r="N871">
        <v>23</v>
      </c>
      <c r="O871" t="str">
        <f>"Q"&amp;ROUNDUP(MONTH(Transactions[[#This Row],[Transaction Date]])/3,0)</f>
        <v>Q4</v>
      </c>
      <c r="P871">
        <f>YEAR(Transactions[[#This Row],[Transaction Date]])</f>
        <v>2022</v>
      </c>
      <c r="Q871" t="str">
        <f>IF(Transactions[[#This Row],[Sales Amount]]&lt;AVERAGE(Transactions[Sales Amount]),"Below Average","At/Above Average")</f>
        <v>Below Average</v>
      </c>
    </row>
    <row r="872" spans="4:17" x14ac:dyDescent="0.2">
      <c r="D872" t="s">
        <v>962</v>
      </c>
      <c r="E872" t="s">
        <v>87</v>
      </c>
      <c r="F872" t="s">
        <v>99</v>
      </c>
      <c r="G872">
        <v>263</v>
      </c>
      <c r="H872">
        <v>4</v>
      </c>
      <c r="I872">
        <v>56.93</v>
      </c>
      <c r="J872">
        <v>5</v>
      </c>
      <c r="K872" s="37">
        <v>45549</v>
      </c>
      <c r="L872" t="s">
        <v>124</v>
      </c>
      <c r="M872">
        <v>58.64</v>
      </c>
      <c r="N872">
        <v>17</v>
      </c>
      <c r="O872" t="str">
        <f>"Q"&amp;ROUNDUP(MONTH(Transactions[[#This Row],[Transaction Date]])/3,0)</f>
        <v>Q3</v>
      </c>
      <c r="P872">
        <f>YEAR(Transactions[[#This Row],[Transaction Date]])</f>
        <v>2024</v>
      </c>
      <c r="Q872" t="str">
        <f>IF(Transactions[[#This Row],[Sales Amount]]&lt;AVERAGE(Transactions[Sales Amount]),"Below Average","At/Above Average")</f>
        <v>Below Average</v>
      </c>
    </row>
    <row r="873" spans="4:17" x14ac:dyDescent="0.2">
      <c r="D873" t="s">
        <v>963</v>
      </c>
      <c r="E873" t="s">
        <v>76</v>
      </c>
      <c r="F873" t="s">
        <v>129</v>
      </c>
      <c r="G873">
        <v>187</v>
      </c>
      <c r="H873">
        <v>3</v>
      </c>
      <c r="I873">
        <v>57.11</v>
      </c>
      <c r="J873">
        <v>2</v>
      </c>
      <c r="K873" s="37">
        <v>45286</v>
      </c>
      <c r="L873" t="s">
        <v>97</v>
      </c>
      <c r="M873">
        <v>116.89</v>
      </c>
      <c r="N873">
        <v>30</v>
      </c>
      <c r="O873" t="str">
        <f>"Q"&amp;ROUNDUP(MONTH(Transactions[[#This Row],[Transaction Date]])/3,0)</f>
        <v>Q4</v>
      </c>
      <c r="P873">
        <f>YEAR(Transactions[[#This Row],[Transaction Date]])</f>
        <v>2023</v>
      </c>
      <c r="Q873" t="str">
        <f>IF(Transactions[[#This Row],[Sales Amount]]&lt;AVERAGE(Transactions[Sales Amount]),"Below Average","At/Above Average")</f>
        <v>Below Average</v>
      </c>
    </row>
    <row r="874" spans="4:17" x14ac:dyDescent="0.2">
      <c r="D874" t="s">
        <v>964</v>
      </c>
      <c r="E874" t="s">
        <v>76</v>
      </c>
      <c r="F874" t="s">
        <v>88</v>
      </c>
      <c r="G874">
        <v>236</v>
      </c>
      <c r="H874">
        <v>10</v>
      </c>
      <c r="I874">
        <v>56.53</v>
      </c>
      <c r="J874">
        <v>7</v>
      </c>
      <c r="K874" s="37">
        <v>44576</v>
      </c>
      <c r="L874" t="s">
        <v>109</v>
      </c>
      <c r="M874">
        <v>252.5</v>
      </c>
      <c r="N874">
        <v>44</v>
      </c>
      <c r="O874" t="str">
        <f>"Q"&amp;ROUNDUP(MONTH(Transactions[[#This Row],[Transaction Date]])/3,0)</f>
        <v>Q1</v>
      </c>
      <c r="P874">
        <f>YEAR(Transactions[[#This Row],[Transaction Date]])</f>
        <v>2022</v>
      </c>
      <c r="Q874" t="str">
        <f>IF(Transactions[[#This Row],[Sales Amount]]&lt;AVERAGE(Transactions[Sales Amount]),"Below Average","At/Above Average")</f>
        <v>Below Average</v>
      </c>
    </row>
    <row r="875" spans="4:17" x14ac:dyDescent="0.2">
      <c r="D875" t="s">
        <v>965</v>
      </c>
      <c r="E875" t="s">
        <v>87</v>
      </c>
      <c r="F875" t="s">
        <v>91</v>
      </c>
      <c r="G875">
        <v>189</v>
      </c>
      <c r="H875">
        <v>10</v>
      </c>
      <c r="I875">
        <v>53.41</v>
      </c>
      <c r="J875">
        <v>1</v>
      </c>
      <c r="K875" s="37">
        <v>45508</v>
      </c>
      <c r="L875" t="s">
        <v>89</v>
      </c>
      <c r="M875">
        <v>389.1</v>
      </c>
      <c r="N875">
        <v>7</v>
      </c>
      <c r="O875" t="str">
        <f>"Q"&amp;ROUNDUP(MONTH(Transactions[[#This Row],[Transaction Date]])/3,0)</f>
        <v>Q3</v>
      </c>
      <c r="P875">
        <f>YEAR(Transactions[[#This Row],[Transaction Date]])</f>
        <v>2024</v>
      </c>
      <c r="Q875" t="str">
        <f>IF(Transactions[[#This Row],[Sales Amount]]&lt;AVERAGE(Transactions[Sales Amount]),"Below Average","At/Above Average")</f>
        <v>At/Above Average</v>
      </c>
    </row>
    <row r="876" spans="4:17" x14ac:dyDescent="0.2">
      <c r="D876" t="s">
        <v>966</v>
      </c>
      <c r="E876" t="s">
        <v>77</v>
      </c>
      <c r="F876" t="s">
        <v>91</v>
      </c>
      <c r="G876">
        <v>179</v>
      </c>
      <c r="H876">
        <v>7</v>
      </c>
      <c r="I876">
        <v>58.06</v>
      </c>
      <c r="J876">
        <v>4</v>
      </c>
      <c r="K876" s="37">
        <v>45365</v>
      </c>
      <c r="L876" t="s">
        <v>89</v>
      </c>
      <c r="M876">
        <v>87.68</v>
      </c>
      <c r="N876">
        <v>26</v>
      </c>
      <c r="O876" t="str">
        <f>"Q"&amp;ROUNDUP(MONTH(Transactions[[#This Row],[Transaction Date]])/3,0)</f>
        <v>Q1</v>
      </c>
      <c r="P876">
        <f>YEAR(Transactions[[#This Row],[Transaction Date]])</f>
        <v>2024</v>
      </c>
      <c r="Q876" t="str">
        <f>IF(Transactions[[#This Row],[Sales Amount]]&lt;AVERAGE(Transactions[Sales Amount]),"Below Average","At/Above Average")</f>
        <v>Below Average</v>
      </c>
    </row>
    <row r="877" spans="4:17" x14ac:dyDescent="0.2">
      <c r="D877" t="s">
        <v>967</v>
      </c>
      <c r="E877" t="s">
        <v>74</v>
      </c>
      <c r="F877" t="s">
        <v>96</v>
      </c>
      <c r="G877">
        <v>292</v>
      </c>
      <c r="H877">
        <v>8</v>
      </c>
      <c r="I877">
        <v>50.74</v>
      </c>
      <c r="J877">
        <v>4</v>
      </c>
      <c r="K877" s="37">
        <v>44647</v>
      </c>
      <c r="L877" t="s">
        <v>102</v>
      </c>
      <c r="M877">
        <v>101.61</v>
      </c>
      <c r="N877">
        <v>16</v>
      </c>
      <c r="O877" t="str">
        <f>"Q"&amp;ROUNDUP(MONTH(Transactions[[#This Row],[Transaction Date]])/3,0)</f>
        <v>Q1</v>
      </c>
      <c r="P877">
        <f>YEAR(Transactions[[#This Row],[Transaction Date]])</f>
        <v>2022</v>
      </c>
      <c r="Q877" t="str">
        <f>IF(Transactions[[#This Row],[Sales Amount]]&lt;AVERAGE(Transactions[Sales Amount]),"Below Average","At/Above Average")</f>
        <v>Below Average</v>
      </c>
    </row>
    <row r="878" spans="4:17" x14ac:dyDescent="0.2">
      <c r="D878" t="s">
        <v>968</v>
      </c>
      <c r="E878" t="s">
        <v>87</v>
      </c>
      <c r="F878" t="s">
        <v>94</v>
      </c>
      <c r="G878">
        <v>269</v>
      </c>
      <c r="H878">
        <v>9</v>
      </c>
      <c r="I878">
        <v>59.13</v>
      </c>
      <c r="J878">
        <v>10</v>
      </c>
      <c r="K878" s="37">
        <v>44837</v>
      </c>
      <c r="L878" t="s">
        <v>102</v>
      </c>
      <c r="M878">
        <v>298.75</v>
      </c>
      <c r="N878">
        <v>5</v>
      </c>
      <c r="O878" t="str">
        <f>"Q"&amp;ROUNDUP(MONTH(Transactions[[#This Row],[Transaction Date]])/3,0)</f>
        <v>Q4</v>
      </c>
      <c r="P878">
        <f>YEAR(Transactions[[#This Row],[Transaction Date]])</f>
        <v>2022</v>
      </c>
      <c r="Q878" t="str">
        <f>IF(Transactions[[#This Row],[Sales Amount]]&lt;AVERAGE(Transactions[Sales Amount]),"Below Average","At/Above Average")</f>
        <v>At/Above Average</v>
      </c>
    </row>
    <row r="879" spans="4:17" x14ac:dyDescent="0.2">
      <c r="D879" t="s">
        <v>969</v>
      </c>
      <c r="E879" t="s">
        <v>75</v>
      </c>
      <c r="F879" t="s">
        <v>99</v>
      </c>
      <c r="G879">
        <v>281</v>
      </c>
      <c r="H879">
        <v>2</v>
      </c>
      <c r="I879">
        <v>52.72</v>
      </c>
      <c r="J879">
        <v>9</v>
      </c>
      <c r="K879" s="37">
        <v>45026</v>
      </c>
      <c r="L879" t="s">
        <v>124</v>
      </c>
      <c r="M879">
        <v>63.99</v>
      </c>
      <c r="N879">
        <v>13</v>
      </c>
      <c r="O879" t="str">
        <f>"Q"&amp;ROUNDUP(MONTH(Transactions[[#This Row],[Transaction Date]])/3,0)</f>
        <v>Q2</v>
      </c>
      <c r="P879">
        <f>YEAR(Transactions[[#This Row],[Transaction Date]])</f>
        <v>2023</v>
      </c>
      <c r="Q879" t="str">
        <f>IF(Transactions[[#This Row],[Sales Amount]]&lt;AVERAGE(Transactions[Sales Amount]),"Below Average","At/Above Average")</f>
        <v>Below Average</v>
      </c>
    </row>
    <row r="880" spans="4:17" x14ac:dyDescent="0.2">
      <c r="D880" t="s">
        <v>970</v>
      </c>
      <c r="E880" t="s">
        <v>76</v>
      </c>
      <c r="F880" t="s">
        <v>99</v>
      </c>
      <c r="G880">
        <v>159</v>
      </c>
      <c r="H880">
        <v>9</v>
      </c>
      <c r="I880">
        <v>45.46</v>
      </c>
      <c r="J880">
        <v>10</v>
      </c>
      <c r="K880" s="37">
        <v>45476</v>
      </c>
      <c r="L880" t="s">
        <v>97</v>
      </c>
      <c r="M880">
        <v>472.2</v>
      </c>
      <c r="N880">
        <v>36</v>
      </c>
      <c r="O880" t="str">
        <f>"Q"&amp;ROUNDUP(MONTH(Transactions[[#This Row],[Transaction Date]])/3,0)</f>
        <v>Q3</v>
      </c>
      <c r="P880">
        <f>YEAR(Transactions[[#This Row],[Transaction Date]])</f>
        <v>2024</v>
      </c>
      <c r="Q880" t="str">
        <f>IF(Transactions[[#This Row],[Sales Amount]]&lt;AVERAGE(Transactions[Sales Amount]),"Below Average","At/Above Average")</f>
        <v>At/Above Average</v>
      </c>
    </row>
    <row r="881" spans="4:17" x14ac:dyDescent="0.2">
      <c r="D881" t="s">
        <v>971</v>
      </c>
      <c r="E881" t="s">
        <v>87</v>
      </c>
      <c r="F881" t="s">
        <v>88</v>
      </c>
      <c r="G881">
        <v>153</v>
      </c>
      <c r="H881">
        <v>3</v>
      </c>
      <c r="I881">
        <v>57.88</v>
      </c>
      <c r="J881">
        <v>7</v>
      </c>
      <c r="K881" s="37">
        <v>45650</v>
      </c>
      <c r="L881" t="s">
        <v>124</v>
      </c>
      <c r="M881">
        <v>165.96</v>
      </c>
      <c r="N881">
        <v>41</v>
      </c>
      <c r="O881" t="str">
        <f>"Q"&amp;ROUNDUP(MONTH(Transactions[[#This Row],[Transaction Date]])/3,0)</f>
        <v>Q4</v>
      </c>
      <c r="P881">
        <f>YEAR(Transactions[[#This Row],[Transaction Date]])</f>
        <v>2024</v>
      </c>
      <c r="Q881" t="str">
        <f>IF(Transactions[[#This Row],[Sales Amount]]&lt;AVERAGE(Transactions[Sales Amount]),"Below Average","At/Above Average")</f>
        <v>Below Average</v>
      </c>
    </row>
    <row r="882" spans="4:17" x14ac:dyDescent="0.2">
      <c r="D882" t="s">
        <v>972</v>
      </c>
      <c r="E882" t="s">
        <v>78</v>
      </c>
      <c r="F882" t="s">
        <v>88</v>
      </c>
      <c r="G882">
        <v>142</v>
      </c>
      <c r="H882">
        <v>1</v>
      </c>
      <c r="I882">
        <v>46.46</v>
      </c>
      <c r="J882">
        <v>4</v>
      </c>
      <c r="K882" s="37">
        <v>45143</v>
      </c>
      <c r="L882" t="s">
        <v>102</v>
      </c>
      <c r="M882">
        <v>262.32</v>
      </c>
      <c r="N882">
        <v>21</v>
      </c>
      <c r="O882" t="str">
        <f>"Q"&amp;ROUNDUP(MONTH(Transactions[[#This Row],[Transaction Date]])/3,0)</f>
        <v>Q3</v>
      </c>
      <c r="P882">
        <f>YEAR(Transactions[[#This Row],[Transaction Date]])</f>
        <v>2023</v>
      </c>
      <c r="Q882" t="str">
        <f>IF(Transactions[[#This Row],[Sales Amount]]&lt;AVERAGE(Transactions[Sales Amount]),"Below Average","At/Above Average")</f>
        <v>At/Above Average</v>
      </c>
    </row>
    <row r="883" spans="4:17" x14ac:dyDescent="0.2">
      <c r="D883" t="s">
        <v>973</v>
      </c>
      <c r="E883" t="s">
        <v>74</v>
      </c>
      <c r="F883" t="s">
        <v>99</v>
      </c>
      <c r="G883">
        <v>261</v>
      </c>
      <c r="H883">
        <v>1</v>
      </c>
      <c r="I883">
        <v>50.5</v>
      </c>
      <c r="J883">
        <v>3</v>
      </c>
      <c r="K883" s="37">
        <v>44942</v>
      </c>
      <c r="L883" t="s">
        <v>102</v>
      </c>
      <c r="M883">
        <v>181.11</v>
      </c>
      <c r="N883">
        <v>12</v>
      </c>
      <c r="O883" t="str">
        <f>"Q"&amp;ROUNDUP(MONTH(Transactions[[#This Row],[Transaction Date]])/3,0)</f>
        <v>Q1</v>
      </c>
      <c r="P883">
        <f>YEAR(Transactions[[#This Row],[Transaction Date]])</f>
        <v>2023</v>
      </c>
      <c r="Q883" t="str">
        <f>IF(Transactions[[#This Row],[Sales Amount]]&lt;AVERAGE(Transactions[Sales Amount]),"Below Average","At/Above Average")</f>
        <v>Below Average</v>
      </c>
    </row>
    <row r="884" spans="4:17" x14ac:dyDescent="0.2">
      <c r="D884" t="s">
        <v>974</v>
      </c>
      <c r="E884" t="s">
        <v>87</v>
      </c>
      <c r="F884" t="s">
        <v>105</v>
      </c>
      <c r="G884">
        <v>102</v>
      </c>
      <c r="H884">
        <v>7</v>
      </c>
      <c r="I884">
        <v>57.67</v>
      </c>
      <c r="J884">
        <v>7</v>
      </c>
      <c r="K884" s="37">
        <v>45021</v>
      </c>
      <c r="L884" t="s">
        <v>89</v>
      </c>
      <c r="M884">
        <v>422.46</v>
      </c>
      <c r="N884">
        <v>18</v>
      </c>
      <c r="O884" t="str">
        <f>"Q"&amp;ROUNDUP(MONTH(Transactions[[#This Row],[Transaction Date]])/3,0)</f>
        <v>Q2</v>
      </c>
      <c r="P884">
        <f>YEAR(Transactions[[#This Row],[Transaction Date]])</f>
        <v>2023</v>
      </c>
      <c r="Q884" t="str">
        <f>IF(Transactions[[#This Row],[Sales Amount]]&lt;AVERAGE(Transactions[Sales Amount]),"Below Average","At/Above Average")</f>
        <v>At/Above Average</v>
      </c>
    </row>
    <row r="885" spans="4:17" x14ac:dyDescent="0.2">
      <c r="D885" t="s">
        <v>975</v>
      </c>
      <c r="E885" t="s">
        <v>87</v>
      </c>
      <c r="F885" t="s">
        <v>129</v>
      </c>
      <c r="G885">
        <v>237</v>
      </c>
      <c r="H885">
        <v>5</v>
      </c>
      <c r="I885">
        <v>45.49</v>
      </c>
      <c r="J885">
        <v>2</v>
      </c>
      <c r="K885" s="37">
        <v>45166</v>
      </c>
      <c r="L885" t="s">
        <v>97</v>
      </c>
      <c r="M885">
        <v>18.07</v>
      </c>
      <c r="N885">
        <v>32</v>
      </c>
      <c r="O885" t="str">
        <f>"Q"&amp;ROUNDUP(MONTH(Transactions[[#This Row],[Transaction Date]])/3,0)</f>
        <v>Q3</v>
      </c>
      <c r="P885">
        <f>YEAR(Transactions[[#This Row],[Transaction Date]])</f>
        <v>2023</v>
      </c>
      <c r="Q885" t="str">
        <f>IF(Transactions[[#This Row],[Sales Amount]]&lt;AVERAGE(Transactions[Sales Amount]),"Below Average","At/Above Average")</f>
        <v>Below Average</v>
      </c>
    </row>
    <row r="886" spans="4:17" x14ac:dyDescent="0.2">
      <c r="D886" t="s">
        <v>976</v>
      </c>
      <c r="E886" t="s">
        <v>77</v>
      </c>
      <c r="F886" t="s">
        <v>99</v>
      </c>
      <c r="G886">
        <v>179</v>
      </c>
      <c r="H886">
        <v>7</v>
      </c>
      <c r="I886">
        <v>52.24</v>
      </c>
      <c r="J886">
        <v>7</v>
      </c>
      <c r="K886" s="37">
        <v>45242</v>
      </c>
      <c r="L886" t="s">
        <v>102</v>
      </c>
      <c r="M886">
        <v>50.64</v>
      </c>
      <c r="N886">
        <v>25</v>
      </c>
      <c r="O886" t="str">
        <f>"Q"&amp;ROUNDUP(MONTH(Transactions[[#This Row],[Transaction Date]])/3,0)</f>
        <v>Q4</v>
      </c>
      <c r="P886">
        <f>YEAR(Transactions[[#This Row],[Transaction Date]])</f>
        <v>2023</v>
      </c>
      <c r="Q886" t="str">
        <f>IF(Transactions[[#This Row],[Sales Amount]]&lt;AVERAGE(Transactions[Sales Amount]),"Below Average","At/Above Average")</f>
        <v>Below Average</v>
      </c>
    </row>
    <row r="887" spans="4:17" x14ac:dyDescent="0.2">
      <c r="D887" t="s">
        <v>977</v>
      </c>
      <c r="E887" t="s">
        <v>87</v>
      </c>
      <c r="F887" t="s">
        <v>129</v>
      </c>
      <c r="G887">
        <v>185</v>
      </c>
      <c r="H887">
        <v>6</v>
      </c>
      <c r="I887">
        <v>59.59</v>
      </c>
      <c r="J887">
        <v>6</v>
      </c>
      <c r="K887" s="37">
        <v>45212</v>
      </c>
      <c r="L887" t="s">
        <v>124</v>
      </c>
      <c r="M887">
        <v>58.44</v>
      </c>
      <c r="N887">
        <v>40</v>
      </c>
      <c r="O887" t="str">
        <f>"Q"&amp;ROUNDUP(MONTH(Transactions[[#This Row],[Transaction Date]])/3,0)</f>
        <v>Q4</v>
      </c>
      <c r="P887">
        <f>YEAR(Transactions[[#This Row],[Transaction Date]])</f>
        <v>2023</v>
      </c>
      <c r="Q887" t="str">
        <f>IF(Transactions[[#This Row],[Sales Amount]]&lt;AVERAGE(Transactions[Sales Amount]),"Below Average","At/Above Average")</f>
        <v>Below Average</v>
      </c>
    </row>
    <row r="888" spans="4:17" x14ac:dyDescent="0.2">
      <c r="D888" t="s">
        <v>978</v>
      </c>
      <c r="E888" t="s">
        <v>78</v>
      </c>
      <c r="F888" t="s">
        <v>96</v>
      </c>
      <c r="G888">
        <v>170</v>
      </c>
      <c r="H888">
        <v>1</v>
      </c>
      <c r="I888">
        <v>54.36</v>
      </c>
      <c r="J888">
        <v>5</v>
      </c>
      <c r="K888" s="37">
        <v>45426</v>
      </c>
      <c r="L888" t="s">
        <v>109</v>
      </c>
      <c r="M888">
        <v>300.35000000000002</v>
      </c>
      <c r="N888">
        <v>16</v>
      </c>
      <c r="O888" t="str">
        <f>"Q"&amp;ROUNDUP(MONTH(Transactions[[#This Row],[Transaction Date]])/3,0)</f>
        <v>Q2</v>
      </c>
      <c r="P888">
        <f>YEAR(Transactions[[#This Row],[Transaction Date]])</f>
        <v>2024</v>
      </c>
      <c r="Q888" t="str">
        <f>IF(Transactions[[#This Row],[Sales Amount]]&lt;AVERAGE(Transactions[Sales Amount]),"Below Average","At/Above Average")</f>
        <v>At/Above Average</v>
      </c>
    </row>
    <row r="889" spans="4:17" x14ac:dyDescent="0.2">
      <c r="D889" t="s">
        <v>979</v>
      </c>
      <c r="E889" t="s">
        <v>76</v>
      </c>
      <c r="F889" t="s">
        <v>99</v>
      </c>
      <c r="G889">
        <v>159</v>
      </c>
      <c r="H889">
        <v>8</v>
      </c>
      <c r="I889">
        <v>53.47</v>
      </c>
      <c r="J889">
        <v>1</v>
      </c>
      <c r="K889" s="37">
        <v>45044</v>
      </c>
      <c r="L889" t="s">
        <v>102</v>
      </c>
      <c r="M889">
        <v>213.03</v>
      </c>
      <c r="N889">
        <v>17</v>
      </c>
      <c r="O889" t="str">
        <f>"Q"&amp;ROUNDUP(MONTH(Transactions[[#This Row],[Transaction Date]])/3,0)</f>
        <v>Q2</v>
      </c>
      <c r="P889">
        <f>YEAR(Transactions[[#This Row],[Transaction Date]])</f>
        <v>2023</v>
      </c>
      <c r="Q889" t="str">
        <f>IF(Transactions[[#This Row],[Sales Amount]]&lt;AVERAGE(Transactions[Sales Amount]),"Below Average","At/Above Average")</f>
        <v>Below Average</v>
      </c>
    </row>
    <row r="890" spans="4:17" x14ac:dyDescent="0.2">
      <c r="D890" t="s">
        <v>980</v>
      </c>
      <c r="E890" t="s">
        <v>77</v>
      </c>
      <c r="F890" t="s">
        <v>88</v>
      </c>
      <c r="G890">
        <v>140</v>
      </c>
      <c r="H890">
        <v>6</v>
      </c>
      <c r="I890">
        <v>50.28</v>
      </c>
      <c r="J890">
        <v>3</v>
      </c>
      <c r="K890" s="37">
        <v>44600</v>
      </c>
      <c r="L890" t="s">
        <v>89</v>
      </c>
      <c r="M890">
        <v>333.94</v>
      </c>
      <c r="N890">
        <v>19</v>
      </c>
      <c r="O890" t="str">
        <f>"Q"&amp;ROUNDUP(MONTH(Transactions[[#This Row],[Transaction Date]])/3,0)</f>
        <v>Q1</v>
      </c>
      <c r="P890">
        <f>YEAR(Transactions[[#This Row],[Transaction Date]])</f>
        <v>2022</v>
      </c>
      <c r="Q890" t="str">
        <f>IF(Transactions[[#This Row],[Sales Amount]]&lt;AVERAGE(Transactions[Sales Amount]),"Below Average","At/Above Average")</f>
        <v>At/Above Average</v>
      </c>
    </row>
    <row r="891" spans="4:17" x14ac:dyDescent="0.2">
      <c r="D891" t="s">
        <v>981</v>
      </c>
      <c r="E891" t="s">
        <v>76</v>
      </c>
      <c r="F891" t="s">
        <v>94</v>
      </c>
      <c r="G891">
        <v>114</v>
      </c>
      <c r="H891">
        <v>7</v>
      </c>
      <c r="I891">
        <v>47.54</v>
      </c>
      <c r="J891">
        <v>6</v>
      </c>
      <c r="K891" s="37">
        <v>45338</v>
      </c>
      <c r="L891" t="s">
        <v>109</v>
      </c>
      <c r="M891">
        <v>366.03</v>
      </c>
      <c r="N891">
        <v>19</v>
      </c>
      <c r="O891" t="str">
        <f>"Q"&amp;ROUNDUP(MONTH(Transactions[[#This Row],[Transaction Date]])/3,0)</f>
        <v>Q1</v>
      </c>
      <c r="P891">
        <f>YEAR(Transactions[[#This Row],[Transaction Date]])</f>
        <v>2024</v>
      </c>
      <c r="Q891" t="str">
        <f>IF(Transactions[[#This Row],[Sales Amount]]&lt;AVERAGE(Transactions[Sales Amount]),"Below Average","At/Above Average")</f>
        <v>At/Above Average</v>
      </c>
    </row>
    <row r="892" spans="4:17" x14ac:dyDescent="0.2">
      <c r="D892" t="s">
        <v>982</v>
      </c>
      <c r="E892" t="s">
        <v>77</v>
      </c>
      <c r="F892" t="s">
        <v>129</v>
      </c>
      <c r="G892">
        <v>242</v>
      </c>
      <c r="H892">
        <v>3</v>
      </c>
      <c r="I892">
        <v>50.27</v>
      </c>
      <c r="J892">
        <v>3</v>
      </c>
      <c r="K892" s="37">
        <v>45180</v>
      </c>
      <c r="L892" t="s">
        <v>102</v>
      </c>
      <c r="M892">
        <v>402.97</v>
      </c>
      <c r="N892">
        <v>4</v>
      </c>
      <c r="O892" t="str">
        <f>"Q"&amp;ROUNDUP(MONTH(Transactions[[#This Row],[Transaction Date]])/3,0)</f>
        <v>Q3</v>
      </c>
      <c r="P892">
        <f>YEAR(Transactions[[#This Row],[Transaction Date]])</f>
        <v>2023</v>
      </c>
      <c r="Q892" t="str">
        <f>IF(Transactions[[#This Row],[Sales Amount]]&lt;AVERAGE(Transactions[Sales Amount]),"Below Average","At/Above Average")</f>
        <v>At/Above Average</v>
      </c>
    </row>
    <row r="893" spans="4:17" x14ac:dyDescent="0.2">
      <c r="D893" t="s">
        <v>983</v>
      </c>
      <c r="E893" t="s">
        <v>74</v>
      </c>
      <c r="F893" t="s">
        <v>129</v>
      </c>
      <c r="G893">
        <v>222</v>
      </c>
      <c r="H893">
        <v>6</v>
      </c>
      <c r="I893">
        <v>56.91</v>
      </c>
      <c r="J893">
        <v>6</v>
      </c>
      <c r="K893" s="37">
        <v>44653</v>
      </c>
      <c r="L893" t="s">
        <v>92</v>
      </c>
      <c r="M893">
        <v>93.9</v>
      </c>
      <c r="N893">
        <v>34</v>
      </c>
      <c r="O893" t="str">
        <f>"Q"&amp;ROUNDUP(MONTH(Transactions[[#This Row],[Transaction Date]])/3,0)</f>
        <v>Q2</v>
      </c>
      <c r="P893">
        <f>YEAR(Transactions[[#This Row],[Transaction Date]])</f>
        <v>2022</v>
      </c>
      <c r="Q893" t="str">
        <f>IF(Transactions[[#This Row],[Sales Amount]]&lt;AVERAGE(Transactions[Sales Amount]),"Below Average","At/Above Average")</f>
        <v>Below Average</v>
      </c>
    </row>
    <row r="894" spans="4:17" x14ac:dyDescent="0.2">
      <c r="D894" t="s">
        <v>984</v>
      </c>
      <c r="E894" t="s">
        <v>75</v>
      </c>
      <c r="F894" t="s">
        <v>129</v>
      </c>
      <c r="G894">
        <v>272</v>
      </c>
      <c r="H894">
        <v>6</v>
      </c>
      <c r="I894">
        <v>49.45</v>
      </c>
      <c r="J894">
        <v>6</v>
      </c>
      <c r="K894" s="37">
        <v>44976</v>
      </c>
      <c r="L894" t="s">
        <v>92</v>
      </c>
      <c r="M894">
        <v>196.38</v>
      </c>
      <c r="N894">
        <v>20</v>
      </c>
      <c r="O894" t="str">
        <f>"Q"&amp;ROUNDUP(MONTH(Transactions[[#This Row],[Transaction Date]])/3,0)</f>
        <v>Q1</v>
      </c>
      <c r="P894">
        <f>YEAR(Transactions[[#This Row],[Transaction Date]])</f>
        <v>2023</v>
      </c>
      <c r="Q894" t="str">
        <f>IF(Transactions[[#This Row],[Sales Amount]]&lt;AVERAGE(Transactions[Sales Amount]),"Below Average","At/Above Average")</f>
        <v>Below Average</v>
      </c>
    </row>
    <row r="895" spans="4:17" x14ac:dyDescent="0.2">
      <c r="D895" t="s">
        <v>985</v>
      </c>
      <c r="E895" t="s">
        <v>78</v>
      </c>
      <c r="F895" t="s">
        <v>88</v>
      </c>
      <c r="G895">
        <v>285</v>
      </c>
      <c r="H895">
        <v>2</v>
      </c>
      <c r="I895">
        <v>51.47</v>
      </c>
      <c r="J895">
        <v>10</v>
      </c>
      <c r="K895" s="37">
        <v>44836</v>
      </c>
      <c r="L895" t="s">
        <v>124</v>
      </c>
      <c r="M895">
        <v>446.4</v>
      </c>
      <c r="N895">
        <v>5</v>
      </c>
      <c r="O895" t="str">
        <f>"Q"&amp;ROUNDUP(MONTH(Transactions[[#This Row],[Transaction Date]])/3,0)</f>
        <v>Q4</v>
      </c>
      <c r="P895">
        <f>YEAR(Transactions[[#This Row],[Transaction Date]])</f>
        <v>2022</v>
      </c>
      <c r="Q895" t="str">
        <f>IF(Transactions[[#This Row],[Sales Amount]]&lt;AVERAGE(Transactions[Sales Amount]),"Below Average","At/Above Average")</f>
        <v>At/Above Average</v>
      </c>
    </row>
    <row r="896" spans="4:17" x14ac:dyDescent="0.2">
      <c r="D896" t="s">
        <v>986</v>
      </c>
      <c r="E896" t="s">
        <v>75</v>
      </c>
      <c r="F896" t="s">
        <v>94</v>
      </c>
      <c r="G896">
        <v>135</v>
      </c>
      <c r="H896">
        <v>6</v>
      </c>
      <c r="I896">
        <v>48.31</v>
      </c>
      <c r="J896">
        <v>10</v>
      </c>
      <c r="K896" s="37">
        <v>45296</v>
      </c>
      <c r="L896" t="s">
        <v>89</v>
      </c>
      <c r="M896">
        <v>306.77999999999997</v>
      </c>
      <c r="N896">
        <v>1</v>
      </c>
      <c r="O896" t="str">
        <f>"Q"&amp;ROUNDUP(MONTH(Transactions[[#This Row],[Transaction Date]])/3,0)</f>
        <v>Q1</v>
      </c>
      <c r="P896">
        <f>YEAR(Transactions[[#This Row],[Transaction Date]])</f>
        <v>2024</v>
      </c>
      <c r="Q896" t="str">
        <f>IF(Transactions[[#This Row],[Sales Amount]]&lt;AVERAGE(Transactions[Sales Amount]),"Below Average","At/Above Average")</f>
        <v>At/Above Average</v>
      </c>
    </row>
    <row r="897" spans="4:17" x14ac:dyDescent="0.2">
      <c r="D897" t="s">
        <v>987</v>
      </c>
      <c r="E897" t="s">
        <v>75</v>
      </c>
      <c r="F897" t="s">
        <v>91</v>
      </c>
      <c r="G897">
        <v>199</v>
      </c>
      <c r="H897">
        <v>5</v>
      </c>
      <c r="I897">
        <v>59.65</v>
      </c>
      <c r="J897">
        <v>6</v>
      </c>
      <c r="K897" s="37">
        <v>45527</v>
      </c>
      <c r="L897" t="s">
        <v>92</v>
      </c>
      <c r="M897">
        <v>396.92</v>
      </c>
      <c r="N897">
        <v>37</v>
      </c>
      <c r="O897" t="str">
        <f>"Q"&amp;ROUNDUP(MONTH(Transactions[[#This Row],[Transaction Date]])/3,0)</f>
        <v>Q3</v>
      </c>
      <c r="P897">
        <f>YEAR(Transactions[[#This Row],[Transaction Date]])</f>
        <v>2024</v>
      </c>
      <c r="Q897" t="str">
        <f>IF(Transactions[[#This Row],[Sales Amount]]&lt;AVERAGE(Transactions[Sales Amount]),"Below Average","At/Above Average")</f>
        <v>At/Above Average</v>
      </c>
    </row>
    <row r="898" spans="4:17" x14ac:dyDescent="0.2">
      <c r="D898" t="s">
        <v>988</v>
      </c>
      <c r="E898" t="s">
        <v>74</v>
      </c>
      <c r="F898" t="s">
        <v>96</v>
      </c>
      <c r="G898">
        <v>269</v>
      </c>
      <c r="H898">
        <v>5</v>
      </c>
      <c r="I898">
        <v>45.85</v>
      </c>
      <c r="J898">
        <v>5</v>
      </c>
      <c r="K898" s="37">
        <v>44630</v>
      </c>
      <c r="L898" t="s">
        <v>97</v>
      </c>
      <c r="M898">
        <v>271.48</v>
      </c>
      <c r="N898">
        <v>30</v>
      </c>
      <c r="O898" t="str">
        <f>"Q"&amp;ROUNDUP(MONTH(Transactions[[#This Row],[Transaction Date]])/3,0)</f>
        <v>Q1</v>
      </c>
      <c r="P898">
        <f>YEAR(Transactions[[#This Row],[Transaction Date]])</f>
        <v>2022</v>
      </c>
      <c r="Q898" t="str">
        <f>IF(Transactions[[#This Row],[Sales Amount]]&lt;AVERAGE(Transactions[Sales Amount]),"Below Average","At/Above Average")</f>
        <v>At/Above Average</v>
      </c>
    </row>
    <row r="899" spans="4:17" x14ac:dyDescent="0.2">
      <c r="D899" t="s">
        <v>989</v>
      </c>
      <c r="E899" t="s">
        <v>87</v>
      </c>
      <c r="F899" t="s">
        <v>105</v>
      </c>
      <c r="G899">
        <v>248</v>
      </c>
      <c r="H899">
        <v>2</v>
      </c>
      <c r="I899">
        <v>57.44</v>
      </c>
      <c r="J899">
        <v>7</v>
      </c>
      <c r="K899" s="37">
        <v>44937</v>
      </c>
      <c r="L899" t="s">
        <v>102</v>
      </c>
      <c r="M899">
        <v>392.48</v>
      </c>
      <c r="N899">
        <v>41</v>
      </c>
      <c r="O899" t="str">
        <f>"Q"&amp;ROUNDUP(MONTH(Transactions[[#This Row],[Transaction Date]])/3,0)</f>
        <v>Q1</v>
      </c>
      <c r="P899">
        <f>YEAR(Transactions[[#This Row],[Transaction Date]])</f>
        <v>2023</v>
      </c>
      <c r="Q899" t="str">
        <f>IF(Transactions[[#This Row],[Sales Amount]]&lt;AVERAGE(Transactions[Sales Amount]),"Below Average","At/Above Average")</f>
        <v>At/Above Average</v>
      </c>
    </row>
    <row r="900" spans="4:17" x14ac:dyDescent="0.2">
      <c r="D900" t="s">
        <v>990</v>
      </c>
      <c r="E900" t="s">
        <v>77</v>
      </c>
      <c r="F900" t="s">
        <v>99</v>
      </c>
      <c r="G900">
        <v>152</v>
      </c>
      <c r="H900">
        <v>6</v>
      </c>
      <c r="I900">
        <v>56.94</v>
      </c>
      <c r="J900">
        <v>9</v>
      </c>
      <c r="K900" s="37">
        <v>44746</v>
      </c>
      <c r="L900" t="s">
        <v>92</v>
      </c>
      <c r="M900">
        <v>176.88</v>
      </c>
      <c r="N900">
        <v>10</v>
      </c>
      <c r="O900" t="str">
        <f>"Q"&amp;ROUNDUP(MONTH(Transactions[[#This Row],[Transaction Date]])/3,0)</f>
        <v>Q3</v>
      </c>
      <c r="P900">
        <f>YEAR(Transactions[[#This Row],[Transaction Date]])</f>
        <v>2022</v>
      </c>
      <c r="Q900" t="str">
        <f>IF(Transactions[[#This Row],[Sales Amount]]&lt;AVERAGE(Transactions[Sales Amount]),"Below Average","At/Above Average")</f>
        <v>Below Average</v>
      </c>
    </row>
    <row r="901" spans="4:17" x14ac:dyDescent="0.2">
      <c r="D901" t="s">
        <v>991</v>
      </c>
      <c r="E901" t="s">
        <v>75</v>
      </c>
      <c r="F901" t="s">
        <v>105</v>
      </c>
      <c r="G901">
        <v>224</v>
      </c>
      <c r="H901">
        <v>4</v>
      </c>
      <c r="I901">
        <v>45.04</v>
      </c>
      <c r="J901">
        <v>9</v>
      </c>
      <c r="K901" s="37">
        <v>45114</v>
      </c>
      <c r="L901" t="s">
        <v>89</v>
      </c>
      <c r="M901">
        <v>63.97</v>
      </c>
      <c r="N901">
        <v>30</v>
      </c>
      <c r="O901" t="str">
        <f>"Q"&amp;ROUNDUP(MONTH(Transactions[[#This Row],[Transaction Date]])/3,0)</f>
        <v>Q3</v>
      </c>
      <c r="P901">
        <f>YEAR(Transactions[[#This Row],[Transaction Date]])</f>
        <v>2023</v>
      </c>
      <c r="Q901" t="str">
        <f>IF(Transactions[[#This Row],[Sales Amount]]&lt;AVERAGE(Transactions[Sales Amount]),"Below Average","At/Above Average")</f>
        <v>Below Average</v>
      </c>
    </row>
    <row r="902" spans="4:17" x14ac:dyDescent="0.2">
      <c r="D902" t="s">
        <v>992</v>
      </c>
      <c r="E902" t="s">
        <v>75</v>
      </c>
      <c r="F902" t="s">
        <v>105</v>
      </c>
      <c r="G902">
        <v>152</v>
      </c>
      <c r="H902">
        <v>6</v>
      </c>
      <c r="I902">
        <v>45.79</v>
      </c>
      <c r="J902">
        <v>5</v>
      </c>
      <c r="K902" s="37">
        <v>45644</v>
      </c>
      <c r="L902" t="s">
        <v>109</v>
      </c>
      <c r="M902">
        <v>227.89</v>
      </c>
      <c r="N902">
        <v>9</v>
      </c>
      <c r="O902" t="str">
        <f>"Q"&amp;ROUNDUP(MONTH(Transactions[[#This Row],[Transaction Date]])/3,0)</f>
        <v>Q4</v>
      </c>
      <c r="P902">
        <f>YEAR(Transactions[[#This Row],[Transaction Date]])</f>
        <v>2024</v>
      </c>
      <c r="Q902" t="str">
        <f>IF(Transactions[[#This Row],[Sales Amount]]&lt;AVERAGE(Transactions[Sales Amount]),"Below Average","At/Above Average")</f>
        <v>Below Average</v>
      </c>
    </row>
    <row r="903" spans="4:17" x14ac:dyDescent="0.2">
      <c r="D903" t="s">
        <v>993</v>
      </c>
      <c r="E903" t="s">
        <v>74</v>
      </c>
      <c r="F903" t="s">
        <v>91</v>
      </c>
      <c r="G903">
        <v>255</v>
      </c>
      <c r="H903">
        <v>5</v>
      </c>
      <c r="I903">
        <v>53.67</v>
      </c>
      <c r="J903">
        <v>1</v>
      </c>
      <c r="K903" s="37">
        <v>45555</v>
      </c>
      <c r="L903" t="s">
        <v>109</v>
      </c>
      <c r="M903">
        <v>384.68</v>
      </c>
      <c r="N903">
        <v>30</v>
      </c>
      <c r="O903" t="str">
        <f>"Q"&amp;ROUNDUP(MONTH(Transactions[[#This Row],[Transaction Date]])/3,0)</f>
        <v>Q3</v>
      </c>
      <c r="P903">
        <f>YEAR(Transactions[[#This Row],[Transaction Date]])</f>
        <v>2024</v>
      </c>
      <c r="Q903" t="str">
        <f>IF(Transactions[[#This Row],[Sales Amount]]&lt;AVERAGE(Transactions[Sales Amount]),"Below Average","At/Above Average")</f>
        <v>At/Above Average</v>
      </c>
    </row>
    <row r="904" spans="4:17" x14ac:dyDescent="0.2">
      <c r="D904" t="s">
        <v>994</v>
      </c>
      <c r="E904" t="s">
        <v>74</v>
      </c>
      <c r="F904" t="s">
        <v>88</v>
      </c>
      <c r="G904">
        <v>145</v>
      </c>
      <c r="H904">
        <v>10</v>
      </c>
      <c r="I904">
        <v>45.57</v>
      </c>
      <c r="J904">
        <v>3</v>
      </c>
      <c r="K904" s="37">
        <v>45094</v>
      </c>
      <c r="L904" t="s">
        <v>109</v>
      </c>
      <c r="M904">
        <v>356.64</v>
      </c>
      <c r="N904">
        <v>24</v>
      </c>
      <c r="O904" t="str">
        <f>"Q"&amp;ROUNDUP(MONTH(Transactions[[#This Row],[Transaction Date]])/3,0)</f>
        <v>Q2</v>
      </c>
      <c r="P904">
        <f>YEAR(Transactions[[#This Row],[Transaction Date]])</f>
        <v>2023</v>
      </c>
      <c r="Q904" t="str">
        <f>IF(Transactions[[#This Row],[Sales Amount]]&lt;AVERAGE(Transactions[Sales Amount]),"Below Average","At/Above Average")</f>
        <v>At/Above Average</v>
      </c>
    </row>
    <row r="905" spans="4:17" x14ac:dyDescent="0.2">
      <c r="D905" t="s">
        <v>995</v>
      </c>
      <c r="E905" t="s">
        <v>74</v>
      </c>
      <c r="F905" t="s">
        <v>105</v>
      </c>
      <c r="G905">
        <v>251</v>
      </c>
      <c r="H905">
        <v>9</v>
      </c>
      <c r="I905">
        <v>51</v>
      </c>
      <c r="J905">
        <v>8</v>
      </c>
      <c r="K905" s="37">
        <v>44860</v>
      </c>
      <c r="L905" t="s">
        <v>89</v>
      </c>
      <c r="M905">
        <v>402.24</v>
      </c>
      <c r="N905">
        <v>46</v>
      </c>
      <c r="O905" t="str">
        <f>"Q"&amp;ROUNDUP(MONTH(Transactions[[#This Row],[Transaction Date]])/3,0)</f>
        <v>Q4</v>
      </c>
      <c r="P905">
        <f>YEAR(Transactions[[#This Row],[Transaction Date]])</f>
        <v>2022</v>
      </c>
      <c r="Q905" t="str">
        <f>IF(Transactions[[#This Row],[Sales Amount]]&lt;AVERAGE(Transactions[Sales Amount]),"Below Average","At/Above Average")</f>
        <v>At/Above Average</v>
      </c>
    </row>
    <row r="906" spans="4:17" x14ac:dyDescent="0.2">
      <c r="D906" t="s">
        <v>996</v>
      </c>
      <c r="E906" t="s">
        <v>87</v>
      </c>
      <c r="F906" t="s">
        <v>91</v>
      </c>
      <c r="G906">
        <v>176</v>
      </c>
      <c r="H906">
        <v>7</v>
      </c>
      <c r="I906">
        <v>53.7</v>
      </c>
      <c r="J906">
        <v>5</v>
      </c>
      <c r="K906" s="37">
        <v>45353</v>
      </c>
      <c r="L906" t="s">
        <v>97</v>
      </c>
      <c r="M906">
        <v>203.69</v>
      </c>
      <c r="N906">
        <v>17</v>
      </c>
      <c r="O906" t="str">
        <f>"Q"&amp;ROUNDUP(MONTH(Transactions[[#This Row],[Transaction Date]])/3,0)</f>
        <v>Q1</v>
      </c>
      <c r="P906">
        <f>YEAR(Transactions[[#This Row],[Transaction Date]])</f>
        <v>2024</v>
      </c>
      <c r="Q906" t="str">
        <f>IF(Transactions[[#This Row],[Sales Amount]]&lt;AVERAGE(Transactions[Sales Amount]),"Below Average","At/Above Average")</f>
        <v>Below Average</v>
      </c>
    </row>
    <row r="907" spans="4:17" x14ac:dyDescent="0.2">
      <c r="D907" t="s">
        <v>997</v>
      </c>
      <c r="E907" t="s">
        <v>87</v>
      </c>
      <c r="F907" t="s">
        <v>88</v>
      </c>
      <c r="G907">
        <v>182</v>
      </c>
      <c r="H907">
        <v>10</v>
      </c>
      <c r="I907">
        <v>59.22</v>
      </c>
      <c r="J907">
        <v>8</v>
      </c>
      <c r="K907" s="37">
        <v>45373</v>
      </c>
      <c r="L907" t="s">
        <v>97</v>
      </c>
      <c r="M907">
        <v>62.09</v>
      </c>
      <c r="N907">
        <v>35</v>
      </c>
      <c r="O907" t="str">
        <f>"Q"&amp;ROUNDUP(MONTH(Transactions[[#This Row],[Transaction Date]])/3,0)</f>
        <v>Q1</v>
      </c>
      <c r="P907">
        <f>YEAR(Transactions[[#This Row],[Transaction Date]])</f>
        <v>2024</v>
      </c>
      <c r="Q907" t="str">
        <f>IF(Transactions[[#This Row],[Sales Amount]]&lt;AVERAGE(Transactions[Sales Amount]),"Below Average","At/Above Average")</f>
        <v>Below Average</v>
      </c>
    </row>
    <row r="908" spans="4:17" x14ac:dyDescent="0.2">
      <c r="D908" t="s">
        <v>998</v>
      </c>
      <c r="E908" t="s">
        <v>77</v>
      </c>
      <c r="F908" t="s">
        <v>105</v>
      </c>
      <c r="G908">
        <v>124</v>
      </c>
      <c r="H908">
        <v>5</v>
      </c>
      <c r="I908">
        <v>50.73</v>
      </c>
      <c r="J908">
        <v>3</v>
      </c>
      <c r="K908" s="37">
        <v>45184</v>
      </c>
      <c r="L908" t="s">
        <v>89</v>
      </c>
      <c r="M908">
        <v>16.079999999999998</v>
      </c>
      <c r="N908">
        <v>12</v>
      </c>
      <c r="O908" t="str">
        <f>"Q"&amp;ROUNDUP(MONTH(Transactions[[#This Row],[Transaction Date]])/3,0)</f>
        <v>Q3</v>
      </c>
      <c r="P908">
        <f>YEAR(Transactions[[#This Row],[Transaction Date]])</f>
        <v>2023</v>
      </c>
      <c r="Q908" t="str">
        <f>IF(Transactions[[#This Row],[Sales Amount]]&lt;AVERAGE(Transactions[Sales Amount]),"Below Average","At/Above Average")</f>
        <v>Below Average</v>
      </c>
    </row>
    <row r="909" spans="4:17" x14ac:dyDescent="0.2">
      <c r="D909" t="s">
        <v>999</v>
      </c>
      <c r="E909" t="s">
        <v>87</v>
      </c>
      <c r="F909" t="s">
        <v>105</v>
      </c>
      <c r="G909">
        <v>129</v>
      </c>
      <c r="H909">
        <v>9</v>
      </c>
      <c r="I909">
        <v>53.6</v>
      </c>
      <c r="J909">
        <v>4</v>
      </c>
      <c r="K909" s="37">
        <v>45380</v>
      </c>
      <c r="L909" t="s">
        <v>92</v>
      </c>
      <c r="M909">
        <v>219.78</v>
      </c>
      <c r="N909">
        <v>30</v>
      </c>
      <c r="O909" t="str">
        <f>"Q"&amp;ROUNDUP(MONTH(Transactions[[#This Row],[Transaction Date]])/3,0)</f>
        <v>Q1</v>
      </c>
      <c r="P909">
        <f>YEAR(Transactions[[#This Row],[Transaction Date]])</f>
        <v>2024</v>
      </c>
      <c r="Q909" t="str">
        <f>IF(Transactions[[#This Row],[Sales Amount]]&lt;AVERAGE(Transactions[Sales Amount]),"Below Average","At/Above Average")</f>
        <v>Below Average</v>
      </c>
    </row>
    <row r="910" spans="4:17" x14ac:dyDescent="0.2">
      <c r="D910" t="s">
        <v>1000</v>
      </c>
      <c r="E910" t="s">
        <v>75</v>
      </c>
      <c r="F910" t="s">
        <v>108</v>
      </c>
      <c r="G910">
        <v>136</v>
      </c>
      <c r="H910">
        <v>9</v>
      </c>
      <c r="I910">
        <v>51.34</v>
      </c>
      <c r="J910">
        <v>1</v>
      </c>
      <c r="K910" s="37">
        <v>45058</v>
      </c>
      <c r="L910" t="s">
        <v>109</v>
      </c>
      <c r="M910">
        <v>496.01</v>
      </c>
      <c r="N910">
        <v>28</v>
      </c>
      <c r="O910" t="str">
        <f>"Q"&amp;ROUNDUP(MONTH(Transactions[[#This Row],[Transaction Date]])/3,0)</f>
        <v>Q2</v>
      </c>
      <c r="P910">
        <f>YEAR(Transactions[[#This Row],[Transaction Date]])</f>
        <v>2023</v>
      </c>
      <c r="Q910" t="str">
        <f>IF(Transactions[[#This Row],[Sales Amount]]&lt;AVERAGE(Transactions[Sales Amount]),"Below Average","At/Above Average")</f>
        <v>At/Above Average</v>
      </c>
    </row>
    <row r="911" spans="4:17" x14ac:dyDescent="0.2">
      <c r="D911" t="s">
        <v>1001</v>
      </c>
      <c r="E911" t="s">
        <v>74</v>
      </c>
      <c r="F911" t="s">
        <v>96</v>
      </c>
      <c r="G911">
        <v>171</v>
      </c>
      <c r="H911">
        <v>1</v>
      </c>
      <c r="I911">
        <v>51.65</v>
      </c>
      <c r="J911">
        <v>3</v>
      </c>
      <c r="K911" s="37">
        <v>45495</v>
      </c>
      <c r="L911" t="s">
        <v>97</v>
      </c>
      <c r="M911">
        <v>282.48</v>
      </c>
      <c r="N911">
        <v>47</v>
      </c>
      <c r="O911" t="str">
        <f>"Q"&amp;ROUNDUP(MONTH(Transactions[[#This Row],[Transaction Date]])/3,0)</f>
        <v>Q3</v>
      </c>
      <c r="P911">
        <f>YEAR(Transactions[[#This Row],[Transaction Date]])</f>
        <v>2024</v>
      </c>
      <c r="Q911" t="str">
        <f>IF(Transactions[[#This Row],[Sales Amount]]&lt;AVERAGE(Transactions[Sales Amount]),"Below Average","At/Above Average")</f>
        <v>At/Above Average</v>
      </c>
    </row>
    <row r="912" spans="4:17" x14ac:dyDescent="0.2">
      <c r="D912" t="s">
        <v>1002</v>
      </c>
      <c r="E912" t="s">
        <v>76</v>
      </c>
      <c r="F912" t="s">
        <v>94</v>
      </c>
      <c r="G912">
        <v>300</v>
      </c>
      <c r="H912">
        <v>10</v>
      </c>
      <c r="I912">
        <v>53.12</v>
      </c>
      <c r="J912">
        <v>7</v>
      </c>
      <c r="K912" s="37">
        <v>44833</v>
      </c>
      <c r="L912" t="s">
        <v>89</v>
      </c>
      <c r="M912">
        <v>351</v>
      </c>
      <c r="N912">
        <v>3</v>
      </c>
      <c r="O912" t="str">
        <f>"Q"&amp;ROUNDUP(MONTH(Transactions[[#This Row],[Transaction Date]])/3,0)</f>
        <v>Q3</v>
      </c>
      <c r="P912">
        <f>YEAR(Transactions[[#This Row],[Transaction Date]])</f>
        <v>2022</v>
      </c>
      <c r="Q912" t="str">
        <f>IF(Transactions[[#This Row],[Sales Amount]]&lt;AVERAGE(Transactions[Sales Amount]),"Below Average","At/Above Average")</f>
        <v>At/Above Average</v>
      </c>
    </row>
    <row r="913" spans="4:17" x14ac:dyDescent="0.2">
      <c r="D913" t="s">
        <v>1003</v>
      </c>
      <c r="E913" t="s">
        <v>76</v>
      </c>
      <c r="F913" t="s">
        <v>108</v>
      </c>
      <c r="G913">
        <v>236</v>
      </c>
      <c r="H913">
        <v>10</v>
      </c>
      <c r="I913">
        <v>50.12</v>
      </c>
      <c r="J913">
        <v>2</v>
      </c>
      <c r="K913" s="37">
        <v>44772</v>
      </c>
      <c r="L913" t="s">
        <v>92</v>
      </c>
      <c r="M913">
        <v>201.38</v>
      </c>
      <c r="N913">
        <v>35</v>
      </c>
      <c r="O913" t="str">
        <f>"Q"&amp;ROUNDUP(MONTH(Transactions[[#This Row],[Transaction Date]])/3,0)</f>
        <v>Q3</v>
      </c>
      <c r="P913">
        <f>YEAR(Transactions[[#This Row],[Transaction Date]])</f>
        <v>2022</v>
      </c>
      <c r="Q913" t="str">
        <f>IF(Transactions[[#This Row],[Sales Amount]]&lt;AVERAGE(Transactions[Sales Amount]),"Below Average","At/Above Average")</f>
        <v>Below Average</v>
      </c>
    </row>
    <row r="914" spans="4:17" x14ac:dyDescent="0.2">
      <c r="D914" t="s">
        <v>1004</v>
      </c>
      <c r="E914" t="s">
        <v>75</v>
      </c>
      <c r="F914" t="s">
        <v>88</v>
      </c>
      <c r="G914">
        <v>119</v>
      </c>
      <c r="H914">
        <v>9</v>
      </c>
      <c r="I914">
        <v>47.06</v>
      </c>
      <c r="J914">
        <v>6</v>
      </c>
      <c r="K914" s="37">
        <v>45570</v>
      </c>
      <c r="L914" t="s">
        <v>97</v>
      </c>
      <c r="M914">
        <v>100.01</v>
      </c>
      <c r="N914">
        <v>47</v>
      </c>
      <c r="O914" t="str">
        <f>"Q"&amp;ROUNDUP(MONTH(Transactions[[#This Row],[Transaction Date]])/3,0)</f>
        <v>Q4</v>
      </c>
      <c r="P914">
        <f>YEAR(Transactions[[#This Row],[Transaction Date]])</f>
        <v>2024</v>
      </c>
      <c r="Q914" t="str">
        <f>IF(Transactions[[#This Row],[Sales Amount]]&lt;AVERAGE(Transactions[Sales Amount]),"Below Average","At/Above Average")</f>
        <v>Below Average</v>
      </c>
    </row>
    <row r="915" spans="4:17" x14ac:dyDescent="0.2">
      <c r="D915" t="s">
        <v>1005</v>
      </c>
      <c r="E915" t="s">
        <v>76</v>
      </c>
      <c r="F915" t="s">
        <v>99</v>
      </c>
      <c r="G915">
        <v>231</v>
      </c>
      <c r="H915">
        <v>1</v>
      </c>
      <c r="I915">
        <v>57.86</v>
      </c>
      <c r="J915">
        <v>9</v>
      </c>
      <c r="K915" s="37">
        <v>45642</v>
      </c>
      <c r="L915" t="s">
        <v>89</v>
      </c>
      <c r="M915">
        <v>484.66</v>
      </c>
      <c r="N915">
        <v>30</v>
      </c>
      <c r="O915" t="str">
        <f>"Q"&amp;ROUNDUP(MONTH(Transactions[[#This Row],[Transaction Date]])/3,0)</f>
        <v>Q4</v>
      </c>
      <c r="P915">
        <f>YEAR(Transactions[[#This Row],[Transaction Date]])</f>
        <v>2024</v>
      </c>
      <c r="Q915" t="str">
        <f>IF(Transactions[[#This Row],[Sales Amount]]&lt;AVERAGE(Transactions[Sales Amount]),"Below Average","At/Above Average")</f>
        <v>At/Above Average</v>
      </c>
    </row>
    <row r="916" spans="4:17" x14ac:dyDescent="0.2">
      <c r="D916" t="s">
        <v>1006</v>
      </c>
      <c r="E916" t="s">
        <v>76</v>
      </c>
      <c r="F916" t="s">
        <v>108</v>
      </c>
      <c r="G916">
        <v>161</v>
      </c>
      <c r="H916">
        <v>8</v>
      </c>
      <c r="I916">
        <v>47.75</v>
      </c>
      <c r="J916">
        <v>2</v>
      </c>
      <c r="K916" s="37">
        <v>45142</v>
      </c>
      <c r="L916" t="s">
        <v>109</v>
      </c>
      <c r="M916">
        <v>191.17</v>
      </c>
      <c r="N916">
        <v>31</v>
      </c>
      <c r="O916" t="str">
        <f>"Q"&amp;ROUNDUP(MONTH(Transactions[[#This Row],[Transaction Date]])/3,0)</f>
        <v>Q3</v>
      </c>
      <c r="P916">
        <f>YEAR(Transactions[[#This Row],[Transaction Date]])</f>
        <v>2023</v>
      </c>
      <c r="Q916" t="str">
        <f>IF(Transactions[[#This Row],[Sales Amount]]&lt;AVERAGE(Transactions[Sales Amount]),"Below Average","At/Above Average")</f>
        <v>Below Average</v>
      </c>
    </row>
    <row r="917" spans="4:17" x14ac:dyDescent="0.2">
      <c r="D917" t="s">
        <v>1007</v>
      </c>
      <c r="E917" t="s">
        <v>77</v>
      </c>
      <c r="F917" t="s">
        <v>88</v>
      </c>
      <c r="G917">
        <v>300</v>
      </c>
      <c r="H917">
        <v>7</v>
      </c>
      <c r="I917">
        <v>54.03</v>
      </c>
      <c r="J917">
        <v>10</v>
      </c>
      <c r="K917" s="37">
        <v>45481</v>
      </c>
      <c r="L917" t="s">
        <v>124</v>
      </c>
      <c r="M917">
        <v>49.97</v>
      </c>
      <c r="N917">
        <v>9</v>
      </c>
      <c r="O917" t="str">
        <f>"Q"&amp;ROUNDUP(MONTH(Transactions[[#This Row],[Transaction Date]])/3,0)</f>
        <v>Q3</v>
      </c>
      <c r="P917">
        <f>YEAR(Transactions[[#This Row],[Transaction Date]])</f>
        <v>2024</v>
      </c>
      <c r="Q917" t="str">
        <f>IF(Transactions[[#This Row],[Sales Amount]]&lt;AVERAGE(Transactions[Sales Amount]),"Below Average","At/Above Average")</f>
        <v>Below Average</v>
      </c>
    </row>
    <row r="918" spans="4:17" x14ac:dyDescent="0.2">
      <c r="D918" t="s">
        <v>1008</v>
      </c>
      <c r="E918" t="s">
        <v>77</v>
      </c>
      <c r="F918" t="s">
        <v>91</v>
      </c>
      <c r="G918">
        <v>268</v>
      </c>
      <c r="H918">
        <v>4</v>
      </c>
      <c r="I918">
        <v>49.67</v>
      </c>
      <c r="J918">
        <v>8</v>
      </c>
      <c r="K918" s="37">
        <v>45090</v>
      </c>
      <c r="L918" t="s">
        <v>97</v>
      </c>
      <c r="M918">
        <v>11.2</v>
      </c>
      <c r="N918">
        <v>24</v>
      </c>
      <c r="O918" t="str">
        <f>"Q"&amp;ROUNDUP(MONTH(Transactions[[#This Row],[Transaction Date]])/3,0)</f>
        <v>Q2</v>
      </c>
      <c r="P918">
        <f>YEAR(Transactions[[#This Row],[Transaction Date]])</f>
        <v>2023</v>
      </c>
      <c r="Q918" t="str">
        <f>IF(Transactions[[#This Row],[Sales Amount]]&lt;AVERAGE(Transactions[Sales Amount]),"Below Average","At/Above Average")</f>
        <v>Below Average</v>
      </c>
    </row>
    <row r="919" spans="4:17" x14ac:dyDescent="0.2">
      <c r="D919" t="s">
        <v>1009</v>
      </c>
      <c r="E919" t="s">
        <v>75</v>
      </c>
      <c r="F919" t="s">
        <v>129</v>
      </c>
      <c r="G919">
        <v>144</v>
      </c>
      <c r="H919">
        <v>5</v>
      </c>
      <c r="I919">
        <v>52.47</v>
      </c>
      <c r="J919">
        <v>9</v>
      </c>
      <c r="K919" s="37">
        <v>44978</v>
      </c>
      <c r="L919" t="s">
        <v>97</v>
      </c>
      <c r="M919">
        <v>323.64999999999998</v>
      </c>
      <c r="N919">
        <v>46</v>
      </c>
      <c r="O919" t="str">
        <f>"Q"&amp;ROUNDUP(MONTH(Transactions[[#This Row],[Transaction Date]])/3,0)</f>
        <v>Q1</v>
      </c>
      <c r="P919">
        <f>YEAR(Transactions[[#This Row],[Transaction Date]])</f>
        <v>2023</v>
      </c>
      <c r="Q919" t="str">
        <f>IF(Transactions[[#This Row],[Sales Amount]]&lt;AVERAGE(Transactions[Sales Amount]),"Below Average","At/Above Average")</f>
        <v>At/Above Average</v>
      </c>
    </row>
    <row r="920" spans="4:17" x14ac:dyDescent="0.2">
      <c r="D920" t="s">
        <v>1010</v>
      </c>
      <c r="E920" t="s">
        <v>76</v>
      </c>
      <c r="F920" t="s">
        <v>99</v>
      </c>
      <c r="G920">
        <v>145</v>
      </c>
      <c r="H920">
        <v>9</v>
      </c>
      <c r="I920">
        <v>55.27</v>
      </c>
      <c r="J920">
        <v>9</v>
      </c>
      <c r="K920" s="37">
        <v>45655</v>
      </c>
      <c r="L920" t="s">
        <v>109</v>
      </c>
      <c r="M920">
        <v>282.12</v>
      </c>
      <c r="N920">
        <v>5</v>
      </c>
      <c r="O920" t="str">
        <f>"Q"&amp;ROUNDUP(MONTH(Transactions[[#This Row],[Transaction Date]])/3,0)</f>
        <v>Q4</v>
      </c>
      <c r="P920">
        <f>YEAR(Transactions[[#This Row],[Transaction Date]])</f>
        <v>2024</v>
      </c>
      <c r="Q920" t="str">
        <f>IF(Transactions[[#This Row],[Sales Amount]]&lt;AVERAGE(Transactions[Sales Amount]),"Below Average","At/Above Average")</f>
        <v>At/Above Average</v>
      </c>
    </row>
    <row r="921" spans="4:17" x14ac:dyDescent="0.2">
      <c r="D921" t="s">
        <v>1011</v>
      </c>
      <c r="E921" t="s">
        <v>87</v>
      </c>
      <c r="F921" t="s">
        <v>99</v>
      </c>
      <c r="G921">
        <v>103</v>
      </c>
      <c r="H921">
        <v>10</v>
      </c>
      <c r="I921">
        <v>46.28</v>
      </c>
      <c r="J921">
        <v>7</v>
      </c>
      <c r="K921" s="37">
        <v>45498</v>
      </c>
      <c r="L921" t="s">
        <v>97</v>
      </c>
      <c r="M921">
        <v>86.82</v>
      </c>
      <c r="N921">
        <v>20</v>
      </c>
      <c r="O921" t="str">
        <f>"Q"&amp;ROUNDUP(MONTH(Transactions[[#This Row],[Transaction Date]])/3,0)</f>
        <v>Q3</v>
      </c>
      <c r="P921">
        <f>YEAR(Transactions[[#This Row],[Transaction Date]])</f>
        <v>2024</v>
      </c>
      <c r="Q921" t="str">
        <f>IF(Transactions[[#This Row],[Sales Amount]]&lt;AVERAGE(Transactions[Sales Amount]),"Below Average","At/Above Average")</f>
        <v>Below Average</v>
      </c>
    </row>
    <row r="922" spans="4:17" x14ac:dyDescent="0.2">
      <c r="D922" t="s">
        <v>1012</v>
      </c>
      <c r="E922" t="s">
        <v>74</v>
      </c>
      <c r="F922" t="s">
        <v>94</v>
      </c>
      <c r="G922">
        <v>275</v>
      </c>
      <c r="H922">
        <v>1</v>
      </c>
      <c r="I922">
        <v>50.21</v>
      </c>
      <c r="J922">
        <v>5</v>
      </c>
      <c r="K922" s="37">
        <v>44910</v>
      </c>
      <c r="L922" t="s">
        <v>102</v>
      </c>
      <c r="M922">
        <v>149.88999999999999</v>
      </c>
      <c r="N922">
        <v>48</v>
      </c>
      <c r="O922" t="str">
        <f>"Q"&amp;ROUNDUP(MONTH(Transactions[[#This Row],[Transaction Date]])/3,0)</f>
        <v>Q4</v>
      </c>
      <c r="P922">
        <f>YEAR(Transactions[[#This Row],[Transaction Date]])</f>
        <v>2022</v>
      </c>
      <c r="Q922" t="str">
        <f>IF(Transactions[[#This Row],[Sales Amount]]&lt;AVERAGE(Transactions[Sales Amount]),"Below Average","At/Above Average")</f>
        <v>Below Average</v>
      </c>
    </row>
    <row r="923" spans="4:17" x14ac:dyDescent="0.2">
      <c r="D923" t="s">
        <v>1013</v>
      </c>
      <c r="E923" t="s">
        <v>75</v>
      </c>
      <c r="F923" t="s">
        <v>96</v>
      </c>
      <c r="G923">
        <v>265</v>
      </c>
      <c r="H923">
        <v>4</v>
      </c>
      <c r="I923">
        <v>45.83</v>
      </c>
      <c r="J923">
        <v>2</v>
      </c>
      <c r="K923" s="37">
        <v>45344</v>
      </c>
      <c r="L923" t="s">
        <v>102</v>
      </c>
      <c r="M923">
        <v>482.98</v>
      </c>
      <c r="N923">
        <v>46</v>
      </c>
      <c r="O923" t="str">
        <f>"Q"&amp;ROUNDUP(MONTH(Transactions[[#This Row],[Transaction Date]])/3,0)</f>
        <v>Q1</v>
      </c>
      <c r="P923">
        <f>YEAR(Transactions[[#This Row],[Transaction Date]])</f>
        <v>2024</v>
      </c>
      <c r="Q923" t="str">
        <f>IF(Transactions[[#This Row],[Sales Amount]]&lt;AVERAGE(Transactions[Sales Amount]),"Below Average","At/Above Average")</f>
        <v>At/Above Average</v>
      </c>
    </row>
    <row r="924" spans="4:17" x14ac:dyDescent="0.2">
      <c r="D924" t="s">
        <v>1014</v>
      </c>
      <c r="E924" t="s">
        <v>74</v>
      </c>
      <c r="F924" t="s">
        <v>88</v>
      </c>
      <c r="G924">
        <v>121</v>
      </c>
      <c r="H924">
        <v>2</v>
      </c>
      <c r="I924">
        <v>47.91</v>
      </c>
      <c r="J924">
        <v>9</v>
      </c>
      <c r="K924" s="37">
        <v>45003</v>
      </c>
      <c r="L924" t="s">
        <v>124</v>
      </c>
      <c r="M924">
        <v>154.57</v>
      </c>
      <c r="N924">
        <v>46</v>
      </c>
      <c r="O924" t="str">
        <f>"Q"&amp;ROUNDUP(MONTH(Transactions[[#This Row],[Transaction Date]])/3,0)</f>
        <v>Q1</v>
      </c>
      <c r="P924">
        <f>YEAR(Transactions[[#This Row],[Transaction Date]])</f>
        <v>2023</v>
      </c>
      <c r="Q924" t="str">
        <f>IF(Transactions[[#This Row],[Sales Amount]]&lt;AVERAGE(Transactions[Sales Amount]),"Below Average","At/Above Average")</f>
        <v>Below Average</v>
      </c>
    </row>
    <row r="925" spans="4:17" x14ac:dyDescent="0.2">
      <c r="D925" t="s">
        <v>1015</v>
      </c>
      <c r="E925" t="s">
        <v>78</v>
      </c>
      <c r="F925" t="s">
        <v>91</v>
      </c>
      <c r="G925">
        <v>149</v>
      </c>
      <c r="H925">
        <v>6</v>
      </c>
      <c r="I925">
        <v>48.11</v>
      </c>
      <c r="J925">
        <v>5</v>
      </c>
      <c r="K925" s="37">
        <v>45559</v>
      </c>
      <c r="L925" t="s">
        <v>89</v>
      </c>
      <c r="M925">
        <v>419.55</v>
      </c>
      <c r="N925">
        <v>5</v>
      </c>
      <c r="O925" t="str">
        <f>"Q"&amp;ROUNDUP(MONTH(Transactions[[#This Row],[Transaction Date]])/3,0)</f>
        <v>Q3</v>
      </c>
      <c r="P925">
        <f>YEAR(Transactions[[#This Row],[Transaction Date]])</f>
        <v>2024</v>
      </c>
      <c r="Q925" t="str">
        <f>IF(Transactions[[#This Row],[Sales Amount]]&lt;AVERAGE(Transactions[Sales Amount]),"Below Average","At/Above Average")</f>
        <v>At/Above Average</v>
      </c>
    </row>
    <row r="926" spans="4:17" x14ac:dyDescent="0.2">
      <c r="D926" t="s">
        <v>1016</v>
      </c>
      <c r="E926" t="s">
        <v>77</v>
      </c>
      <c r="F926" t="s">
        <v>96</v>
      </c>
      <c r="G926">
        <v>106</v>
      </c>
      <c r="H926">
        <v>10</v>
      </c>
      <c r="I926">
        <v>56.46</v>
      </c>
      <c r="J926">
        <v>8</v>
      </c>
      <c r="K926" s="37">
        <v>45621</v>
      </c>
      <c r="L926" t="s">
        <v>109</v>
      </c>
      <c r="M926">
        <v>446.08</v>
      </c>
      <c r="N926">
        <v>22</v>
      </c>
      <c r="O926" t="str">
        <f>"Q"&amp;ROUNDUP(MONTH(Transactions[[#This Row],[Transaction Date]])/3,0)</f>
        <v>Q4</v>
      </c>
      <c r="P926">
        <f>YEAR(Transactions[[#This Row],[Transaction Date]])</f>
        <v>2024</v>
      </c>
      <c r="Q926" t="str">
        <f>IF(Transactions[[#This Row],[Sales Amount]]&lt;AVERAGE(Transactions[Sales Amount]),"Below Average","At/Above Average")</f>
        <v>At/Above Average</v>
      </c>
    </row>
    <row r="927" spans="4:17" x14ac:dyDescent="0.2">
      <c r="D927" t="s">
        <v>1017</v>
      </c>
      <c r="E927" t="s">
        <v>76</v>
      </c>
      <c r="F927" t="s">
        <v>108</v>
      </c>
      <c r="G927">
        <v>187</v>
      </c>
      <c r="H927">
        <v>10</v>
      </c>
      <c r="I927">
        <v>57.56</v>
      </c>
      <c r="J927">
        <v>1</v>
      </c>
      <c r="K927" s="37">
        <v>45359</v>
      </c>
      <c r="L927" t="s">
        <v>92</v>
      </c>
      <c r="M927">
        <v>289.04000000000002</v>
      </c>
      <c r="N927">
        <v>45</v>
      </c>
      <c r="O927" t="str">
        <f>"Q"&amp;ROUNDUP(MONTH(Transactions[[#This Row],[Transaction Date]])/3,0)</f>
        <v>Q1</v>
      </c>
      <c r="P927">
        <f>YEAR(Transactions[[#This Row],[Transaction Date]])</f>
        <v>2024</v>
      </c>
      <c r="Q927" t="str">
        <f>IF(Transactions[[#This Row],[Sales Amount]]&lt;AVERAGE(Transactions[Sales Amount]),"Below Average","At/Above Average")</f>
        <v>At/Above Average</v>
      </c>
    </row>
    <row r="928" spans="4:17" x14ac:dyDescent="0.2">
      <c r="D928" t="s">
        <v>1018</v>
      </c>
      <c r="E928" t="s">
        <v>75</v>
      </c>
      <c r="F928" t="s">
        <v>96</v>
      </c>
      <c r="G928">
        <v>222</v>
      </c>
      <c r="H928">
        <v>6</v>
      </c>
      <c r="I928">
        <v>55.66</v>
      </c>
      <c r="J928">
        <v>3</v>
      </c>
      <c r="K928" s="37">
        <v>45274</v>
      </c>
      <c r="L928" t="s">
        <v>92</v>
      </c>
      <c r="M928">
        <v>120.23</v>
      </c>
      <c r="N928">
        <v>13</v>
      </c>
      <c r="O928" t="str">
        <f>"Q"&amp;ROUNDUP(MONTH(Transactions[[#This Row],[Transaction Date]])/3,0)</f>
        <v>Q4</v>
      </c>
      <c r="P928">
        <f>YEAR(Transactions[[#This Row],[Transaction Date]])</f>
        <v>2023</v>
      </c>
      <c r="Q928" t="str">
        <f>IF(Transactions[[#This Row],[Sales Amount]]&lt;AVERAGE(Transactions[Sales Amount]),"Below Average","At/Above Average")</f>
        <v>Below Average</v>
      </c>
    </row>
    <row r="929" spans="4:17" x14ac:dyDescent="0.2">
      <c r="D929" t="s">
        <v>1019</v>
      </c>
      <c r="E929" t="s">
        <v>87</v>
      </c>
      <c r="F929" t="s">
        <v>94</v>
      </c>
      <c r="G929">
        <v>217</v>
      </c>
      <c r="H929">
        <v>4</v>
      </c>
      <c r="I929">
        <v>49.97</v>
      </c>
      <c r="J929">
        <v>10</v>
      </c>
      <c r="K929" s="37">
        <v>45066</v>
      </c>
      <c r="L929" t="s">
        <v>124</v>
      </c>
      <c r="M929">
        <v>319.99</v>
      </c>
      <c r="N929">
        <v>24</v>
      </c>
      <c r="O929" t="str">
        <f>"Q"&amp;ROUNDUP(MONTH(Transactions[[#This Row],[Transaction Date]])/3,0)</f>
        <v>Q2</v>
      </c>
      <c r="P929">
        <f>YEAR(Transactions[[#This Row],[Transaction Date]])</f>
        <v>2023</v>
      </c>
      <c r="Q929" t="str">
        <f>IF(Transactions[[#This Row],[Sales Amount]]&lt;AVERAGE(Transactions[Sales Amount]),"Below Average","At/Above Average")</f>
        <v>At/Above Average</v>
      </c>
    </row>
    <row r="930" spans="4:17" x14ac:dyDescent="0.2">
      <c r="D930" t="s">
        <v>1020</v>
      </c>
      <c r="E930" t="s">
        <v>78</v>
      </c>
      <c r="F930" t="s">
        <v>94</v>
      </c>
      <c r="G930">
        <v>189</v>
      </c>
      <c r="H930">
        <v>4</v>
      </c>
      <c r="I930">
        <v>55.47</v>
      </c>
      <c r="J930">
        <v>4</v>
      </c>
      <c r="K930" s="37">
        <v>45411</v>
      </c>
      <c r="L930" t="s">
        <v>102</v>
      </c>
      <c r="M930">
        <v>470.85</v>
      </c>
      <c r="N930">
        <v>44</v>
      </c>
      <c r="O930" t="str">
        <f>"Q"&amp;ROUNDUP(MONTH(Transactions[[#This Row],[Transaction Date]])/3,0)</f>
        <v>Q2</v>
      </c>
      <c r="P930">
        <f>YEAR(Transactions[[#This Row],[Transaction Date]])</f>
        <v>2024</v>
      </c>
      <c r="Q930" t="str">
        <f>IF(Transactions[[#This Row],[Sales Amount]]&lt;AVERAGE(Transactions[Sales Amount]),"Below Average","At/Above Average")</f>
        <v>At/Above Average</v>
      </c>
    </row>
    <row r="931" spans="4:17" x14ac:dyDescent="0.2">
      <c r="D931" t="s">
        <v>1021</v>
      </c>
      <c r="E931" t="s">
        <v>76</v>
      </c>
      <c r="F931" t="s">
        <v>108</v>
      </c>
      <c r="G931">
        <v>247</v>
      </c>
      <c r="H931">
        <v>2</v>
      </c>
      <c r="I931">
        <v>50.89</v>
      </c>
      <c r="J931">
        <v>4</v>
      </c>
      <c r="K931" s="37">
        <v>44745</v>
      </c>
      <c r="L931" t="s">
        <v>102</v>
      </c>
      <c r="M931">
        <v>68.13</v>
      </c>
      <c r="N931">
        <v>41</v>
      </c>
      <c r="O931" t="str">
        <f>"Q"&amp;ROUNDUP(MONTH(Transactions[[#This Row],[Transaction Date]])/3,0)</f>
        <v>Q3</v>
      </c>
      <c r="P931">
        <f>YEAR(Transactions[[#This Row],[Transaction Date]])</f>
        <v>2022</v>
      </c>
      <c r="Q931" t="str">
        <f>IF(Transactions[[#This Row],[Sales Amount]]&lt;AVERAGE(Transactions[Sales Amount]),"Below Average","At/Above Average")</f>
        <v>Below Average</v>
      </c>
    </row>
    <row r="932" spans="4:17" x14ac:dyDescent="0.2">
      <c r="D932" t="s">
        <v>1022</v>
      </c>
      <c r="E932" t="s">
        <v>74</v>
      </c>
      <c r="F932" t="s">
        <v>108</v>
      </c>
      <c r="G932">
        <v>214</v>
      </c>
      <c r="H932">
        <v>8</v>
      </c>
      <c r="I932">
        <v>51.9</v>
      </c>
      <c r="J932">
        <v>8</v>
      </c>
      <c r="K932" s="37">
        <v>45467</v>
      </c>
      <c r="L932" t="s">
        <v>92</v>
      </c>
      <c r="M932">
        <v>154.44999999999999</v>
      </c>
      <c r="N932">
        <v>17</v>
      </c>
      <c r="O932" t="str">
        <f>"Q"&amp;ROUNDUP(MONTH(Transactions[[#This Row],[Transaction Date]])/3,0)</f>
        <v>Q2</v>
      </c>
      <c r="P932">
        <f>YEAR(Transactions[[#This Row],[Transaction Date]])</f>
        <v>2024</v>
      </c>
      <c r="Q932" t="str">
        <f>IF(Transactions[[#This Row],[Sales Amount]]&lt;AVERAGE(Transactions[Sales Amount]),"Below Average","At/Above Average")</f>
        <v>Below Average</v>
      </c>
    </row>
    <row r="933" spans="4:17" x14ac:dyDescent="0.2">
      <c r="D933" t="s">
        <v>1023</v>
      </c>
      <c r="E933" t="s">
        <v>78</v>
      </c>
      <c r="F933" t="s">
        <v>94</v>
      </c>
      <c r="G933">
        <v>144</v>
      </c>
      <c r="H933">
        <v>5</v>
      </c>
      <c r="I933">
        <v>57.07</v>
      </c>
      <c r="J933">
        <v>6</v>
      </c>
      <c r="K933" s="37">
        <v>44911</v>
      </c>
      <c r="L933" t="s">
        <v>92</v>
      </c>
      <c r="M933">
        <v>156.44999999999999</v>
      </c>
      <c r="N933">
        <v>21</v>
      </c>
      <c r="O933" t="str">
        <f>"Q"&amp;ROUNDUP(MONTH(Transactions[[#This Row],[Transaction Date]])/3,0)</f>
        <v>Q4</v>
      </c>
      <c r="P933">
        <f>YEAR(Transactions[[#This Row],[Transaction Date]])</f>
        <v>2022</v>
      </c>
      <c r="Q933" t="str">
        <f>IF(Transactions[[#This Row],[Sales Amount]]&lt;AVERAGE(Transactions[Sales Amount]),"Below Average","At/Above Average")</f>
        <v>Below Average</v>
      </c>
    </row>
    <row r="934" spans="4:17" x14ac:dyDescent="0.2">
      <c r="D934" t="s">
        <v>1024</v>
      </c>
      <c r="E934" t="s">
        <v>75</v>
      </c>
      <c r="F934" t="s">
        <v>108</v>
      </c>
      <c r="G934">
        <v>179</v>
      </c>
      <c r="H934">
        <v>1</v>
      </c>
      <c r="I934">
        <v>56.97</v>
      </c>
      <c r="J934">
        <v>7</v>
      </c>
      <c r="K934" s="37">
        <v>45229</v>
      </c>
      <c r="L934" t="s">
        <v>124</v>
      </c>
      <c r="M934">
        <v>57.23</v>
      </c>
      <c r="N934">
        <v>28</v>
      </c>
      <c r="O934" t="str">
        <f>"Q"&amp;ROUNDUP(MONTH(Transactions[[#This Row],[Transaction Date]])/3,0)</f>
        <v>Q4</v>
      </c>
      <c r="P934">
        <f>YEAR(Transactions[[#This Row],[Transaction Date]])</f>
        <v>2023</v>
      </c>
      <c r="Q934" t="str">
        <f>IF(Transactions[[#This Row],[Sales Amount]]&lt;AVERAGE(Transactions[Sales Amount]),"Below Average","At/Above Average")</f>
        <v>Below Average</v>
      </c>
    </row>
    <row r="935" spans="4:17" x14ac:dyDescent="0.2">
      <c r="D935" t="s">
        <v>1025</v>
      </c>
      <c r="E935" t="s">
        <v>77</v>
      </c>
      <c r="F935" t="s">
        <v>94</v>
      </c>
      <c r="G935">
        <v>289</v>
      </c>
      <c r="H935">
        <v>1</v>
      </c>
      <c r="I935">
        <v>56.83</v>
      </c>
      <c r="J935">
        <v>2</v>
      </c>
      <c r="K935" s="37">
        <v>44800</v>
      </c>
      <c r="L935" t="s">
        <v>97</v>
      </c>
      <c r="M935">
        <v>435.31</v>
      </c>
      <c r="N935">
        <v>43</v>
      </c>
      <c r="O935" t="str">
        <f>"Q"&amp;ROUNDUP(MONTH(Transactions[[#This Row],[Transaction Date]])/3,0)</f>
        <v>Q3</v>
      </c>
      <c r="P935">
        <f>YEAR(Transactions[[#This Row],[Transaction Date]])</f>
        <v>2022</v>
      </c>
      <c r="Q935" t="str">
        <f>IF(Transactions[[#This Row],[Sales Amount]]&lt;AVERAGE(Transactions[Sales Amount]),"Below Average","At/Above Average")</f>
        <v>At/Above Average</v>
      </c>
    </row>
    <row r="936" spans="4:17" x14ac:dyDescent="0.2">
      <c r="D936" t="s">
        <v>1026</v>
      </c>
      <c r="E936" t="s">
        <v>87</v>
      </c>
      <c r="F936" t="s">
        <v>129</v>
      </c>
      <c r="G936">
        <v>278</v>
      </c>
      <c r="H936">
        <v>6</v>
      </c>
      <c r="I936">
        <v>56.6</v>
      </c>
      <c r="J936">
        <v>1</v>
      </c>
      <c r="K936" s="37">
        <v>45306</v>
      </c>
      <c r="L936" t="s">
        <v>109</v>
      </c>
      <c r="M936">
        <v>57.27</v>
      </c>
      <c r="N936">
        <v>17</v>
      </c>
      <c r="O936" t="str">
        <f>"Q"&amp;ROUNDUP(MONTH(Transactions[[#This Row],[Transaction Date]])/3,0)</f>
        <v>Q1</v>
      </c>
      <c r="P936">
        <f>YEAR(Transactions[[#This Row],[Transaction Date]])</f>
        <v>2024</v>
      </c>
      <c r="Q936" t="str">
        <f>IF(Transactions[[#This Row],[Sales Amount]]&lt;AVERAGE(Transactions[Sales Amount]),"Below Average","At/Above Average")</f>
        <v>Below Average</v>
      </c>
    </row>
    <row r="937" spans="4:17" x14ac:dyDescent="0.2">
      <c r="D937" t="s">
        <v>1027</v>
      </c>
      <c r="E937" t="s">
        <v>76</v>
      </c>
      <c r="F937" t="s">
        <v>105</v>
      </c>
      <c r="G937">
        <v>153</v>
      </c>
      <c r="H937">
        <v>1</v>
      </c>
      <c r="I937">
        <v>45.88</v>
      </c>
      <c r="J937">
        <v>8</v>
      </c>
      <c r="K937" s="37">
        <v>45525</v>
      </c>
      <c r="L937" t="s">
        <v>89</v>
      </c>
      <c r="M937">
        <v>406.13</v>
      </c>
      <c r="N937">
        <v>48</v>
      </c>
      <c r="O937" t="str">
        <f>"Q"&amp;ROUNDUP(MONTH(Transactions[[#This Row],[Transaction Date]])/3,0)</f>
        <v>Q3</v>
      </c>
      <c r="P937">
        <f>YEAR(Transactions[[#This Row],[Transaction Date]])</f>
        <v>2024</v>
      </c>
      <c r="Q937" t="str">
        <f>IF(Transactions[[#This Row],[Sales Amount]]&lt;AVERAGE(Transactions[Sales Amount]),"Below Average","At/Above Average")</f>
        <v>At/Above Average</v>
      </c>
    </row>
    <row r="938" spans="4:17" x14ac:dyDescent="0.2">
      <c r="D938" t="s">
        <v>1028</v>
      </c>
      <c r="E938" t="s">
        <v>74</v>
      </c>
      <c r="F938" t="s">
        <v>108</v>
      </c>
      <c r="G938">
        <v>219</v>
      </c>
      <c r="H938">
        <v>7</v>
      </c>
      <c r="I938">
        <v>54.8</v>
      </c>
      <c r="J938">
        <v>1</v>
      </c>
      <c r="K938" s="37">
        <v>45322</v>
      </c>
      <c r="L938" t="s">
        <v>109</v>
      </c>
      <c r="M938">
        <v>191.12</v>
      </c>
      <c r="N938">
        <v>24</v>
      </c>
      <c r="O938" t="str">
        <f>"Q"&amp;ROUNDUP(MONTH(Transactions[[#This Row],[Transaction Date]])/3,0)</f>
        <v>Q1</v>
      </c>
      <c r="P938">
        <f>YEAR(Transactions[[#This Row],[Transaction Date]])</f>
        <v>2024</v>
      </c>
      <c r="Q938" t="str">
        <f>IF(Transactions[[#This Row],[Sales Amount]]&lt;AVERAGE(Transactions[Sales Amount]),"Below Average","At/Above Average")</f>
        <v>Below Average</v>
      </c>
    </row>
    <row r="939" spans="4:17" x14ac:dyDescent="0.2">
      <c r="D939" t="s">
        <v>1029</v>
      </c>
      <c r="E939" t="s">
        <v>74</v>
      </c>
      <c r="F939" t="s">
        <v>94</v>
      </c>
      <c r="G939">
        <v>286</v>
      </c>
      <c r="H939">
        <v>4</v>
      </c>
      <c r="I939">
        <v>47.03</v>
      </c>
      <c r="J939">
        <v>7</v>
      </c>
      <c r="K939" s="37">
        <v>44897</v>
      </c>
      <c r="L939" t="s">
        <v>92</v>
      </c>
      <c r="M939">
        <v>172.2</v>
      </c>
      <c r="N939">
        <v>6</v>
      </c>
      <c r="O939" t="str">
        <f>"Q"&amp;ROUNDUP(MONTH(Transactions[[#This Row],[Transaction Date]])/3,0)</f>
        <v>Q4</v>
      </c>
      <c r="P939">
        <f>YEAR(Transactions[[#This Row],[Transaction Date]])</f>
        <v>2022</v>
      </c>
      <c r="Q939" t="str">
        <f>IF(Transactions[[#This Row],[Sales Amount]]&lt;AVERAGE(Transactions[Sales Amount]),"Below Average","At/Above Average")</f>
        <v>Below Average</v>
      </c>
    </row>
    <row r="940" spans="4:17" x14ac:dyDescent="0.2">
      <c r="D940" t="s">
        <v>1030</v>
      </c>
      <c r="E940" t="s">
        <v>75</v>
      </c>
      <c r="F940" t="s">
        <v>105</v>
      </c>
      <c r="G940">
        <v>186</v>
      </c>
      <c r="H940">
        <v>8</v>
      </c>
      <c r="I940">
        <v>48.22</v>
      </c>
      <c r="J940">
        <v>1</v>
      </c>
      <c r="K940" s="37">
        <v>44587</v>
      </c>
      <c r="L940" t="s">
        <v>89</v>
      </c>
      <c r="M940">
        <v>374.79</v>
      </c>
      <c r="N940">
        <v>49</v>
      </c>
      <c r="O940" t="str">
        <f>"Q"&amp;ROUNDUP(MONTH(Transactions[[#This Row],[Transaction Date]])/3,0)</f>
        <v>Q1</v>
      </c>
      <c r="P940">
        <f>YEAR(Transactions[[#This Row],[Transaction Date]])</f>
        <v>2022</v>
      </c>
      <c r="Q940" t="str">
        <f>IF(Transactions[[#This Row],[Sales Amount]]&lt;AVERAGE(Transactions[Sales Amount]),"Below Average","At/Above Average")</f>
        <v>At/Above Average</v>
      </c>
    </row>
    <row r="941" spans="4:17" x14ac:dyDescent="0.2">
      <c r="D941" t="s">
        <v>1031</v>
      </c>
      <c r="E941" t="s">
        <v>75</v>
      </c>
      <c r="F941" t="s">
        <v>129</v>
      </c>
      <c r="G941">
        <v>191</v>
      </c>
      <c r="H941">
        <v>4</v>
      </c>
      <c r="I941">
        <v>55.91</v>
      </c>
      <c r="J941">
        <v>9</v>
      </c>
      <c r="K941" s="37">
        <v>45222</v>
      </c>
      <c r="L941" t="s">
        <v>92</v>
      </c>
      <c r="M941">
        <v>86.58</v>
      </c>
      <c r="N941">
        <v>22</v>
      </c>
      <c r="O941" t="str">
        <f>"Q"&amp;ROUNDUP(MONTH(Transactions[[#This Row],[Transaction Date]])/3,0)</f>
        <v>Q4</v>
      </c>
      <c r="P941">
        <f>YEAR(Transactions[[#This Row],[Transaction Date]])</f>
        <v>2023</v>
      </c>
      <c r="Q941" t="str">
        <f>IF(Transactions[[#This Row],[Sales Amount]]&lt;AVERAGE(Transactions[Sales Amount]),"Below Average","At/Above Average")</f>
        <v>Below Average</v>
      </c>
    </row>
    <row r="942" spans="4:17" x14ac:dyDescent="0.2">
      <c r="D942" t="s">
        <v>1032</v>
      </c>
      <c r="E942" t="s">
        <v>78</v>
      </c>
      <c r="F942" t="s">
        <v>99</v>
      </c>
      <c r="G942">
        <v>150</v>
      </c>
      <c r="H942">
        <v>7</v>
      </c>
      <c r="I942">
        <v>56.66</v>
      </c>
      <c r="J942">
        <v>6</v>
      </c>
      <c r="K942" s="37">
        <v>44609</v>
      </c>
      <c r="L942" t="s">
        <v>89</v>
      </c>
      <c r="M942">
        <v>52.51</v>
      </c>
      <c r="N942">
        <v>40</v>
      </c>
      <c r="O942" t="str">
        <f>"Q"&amp;ROUNDUP(MONTH(Transactions[[#This Row],[Transaction Date]])/3,0)</f>
        <v>Q1</v>
      </c>
      <c r="P942">
        <f>YEAR(Transactions[[#This Row],[Transaction Date]])</f>
        <v>2022</v>
      </c>
      <c r="Q942" t="str">
        <f>IF(Transactions[[#This Row],[Sales Amount]]&lt;AVERAGE(Transactions[Sales Amount]),"Below Average","At/Above Average")</f>
        <v>Below Average</v>
      </c>
    </row>
    <row r="943" spans="4:17" x14ac:dyDescent="0.2">
      <c r="D943" t="s">
        <v>1033</v>
      </c>
      <c r="E943" t="s">
        <v>74</v>
      </c>
      <c r="F943" t="s">
        <v>91</v>
      </c>
      <c r="G943">
        <v>265</v>
      </c>
      <c r="H943">
        <v>2</v>
      </c>
      <c r="I943">
        <v>46.36</v>
      </c>
      <c r="J943">
        <v>4</v>
      </c>
      <c r="K943" s="37">
        <v>44844</v>
      </c>
      <c r="L943" t="s">
        <v>89</v>
      </c>
      <c r="M943">
        <v>209.33</v>
      </c>
      <c r="N943">
        <v>29</v>
      </c>
      <c r="O943" t="str">
        <f>"Q"&amp;ROUNDUP(MONTH(Transactions[[#This Row],[Transaction Date]])/3,0)</f>
        <v>Q4</v>
      </c>
      <c r="P943">
        <f>YEAR(Transactions[[#This Row],[Transaction Date]])</f>
        <v>2022</v>
      </c>
      <c r="Q943" t="str">
        <f>IF(Transactions[[#This Row],[Sales Amount]]&lt;AVERAGE(Transactions[Sales Amount]),"Below Average","At/Above Average")</f>
        <v>Below Average</v>
      </c>
    </row>
    <row r="944" spans="4:17" x14ac:dyDescent="0.2">
      <c r="D944" t="s">
        <v>1034</v>
      </c>
      <c r="E944" t="s">
        <v>75</v>
      </c>
      <c r="F944" t="s">
        <v>88</v>
      </c>
      <c r="G944">
        <v>212</v>
      </c>
      <c r="H944">
        <v>3</v>
      </c>
      <c r="I944">
        <v>51.92</v>
      </c>
      <c r="J944">
        <v>7</v>
      </c>
      <c r="K944" s="37">
        <v>45651</v>
      </c>
      <c r="L944" t="s">
        <v>109</v>
      </c>
      <c r="M944">
        <v>378.94</v>
      </c>
      <c r="N944">
        <v>3</v>
      </c>
      <c r="O944" t="str">
        <f>"Q"&amp;ROUNDUP(MONTH(Transactions[[#This Row],[Transaction Date]])/3,0)</f>
        <v>Q4</v>
      </c>
      <c r="P944">
        <f>YEAR(Transactions[[#This Row],[Transaction Date]])</f>
        <v>2024</v>
      </c>
      <c r="Q944" t="str">
        <f>IF(Transactions[[#This Row],[Sales Amount]]&lt;AVERAGE(Transactions[Sales Amount]),"Below Average","At/Above Average")</f>
        <v>At/Above Average</v>
      </c>
    </row>
    <row r="945" spans="4:17" x14ac:dyDescent="0.2">
      <c r="D945" t="s">
        <v>1035</v>
      </c>
      <c r="E945" t="s">
        <v>76</v>
      </c>
      <c r="F945" t="s">
        <v>88</v>
      </c>
      <c r="G945">
        <v>244</v>
      </c>
      <c r="H945">
        <v>7</v>
      </c>
      <c r="I945">
        <v>48.03</v>
      </c>
      <c r="J945">
        <v>7</v>
      </c>
      <c r="K945" s="37">
        <v>45593</v>
      </c>
      <c r="L945" t="s">
        <v>89</v>
      </c>
      <c r="M945">
        <v>110.31</v>
      </c>
      <c r="N945">
        <v>6</v>
      </c>
      <c r="O945" t="str">
        <f>"Q"&amp;ROUNDUP(MONTH(Transactions[[#This Row],[Transaction Date]])/3,0)</f>
        <v>Q4</v>
      </c>
      <c r="P945">
        <f>YEAR(Transactions[[#This Row],[Transaction Date]])</f>
        <v>2024</v>
      </c>
      <c r="Q945" t="str">
        <f>IF(Transactions[[#This Row],[Sales Amount]]&lt;AVERAGE(Transactions[Sales Amount]),"Below Average","At/Above Average")</f>
        <v>Below Average</v>
      </c>
    </row>
    <row r="946" spans="4:17" x14ac:dyDescent="0.2">
      <c r="D946" t="s">
        <v>1036</v>
      </c>
      <c r="E946" t="s">
        <v>75</v>
      </c>
      <c r="F946" t="s">
        <v>88</v>
      </c>
      <c r="G946">
        <v>210</v>
      </c>
      <c r="H946">
        <v>8</v>
      </c>
      <c r="I946">
        <v>54.18</v>
      </c>
      <c r="J946">
        <v>4</v>
      </c>
      <c r="K946" s="37">
        <v>45180</v>
      </c>
      <c r="L946" t="s">
        <v>89</v>
      </c>
      <c r="M946">
        <v>29.11</v>
      </c>
      <c r="N946">
        <v>41</v>
      </c>
      <c r="O946" t="str">
        <f>"Q"&amp;ROUNDUP(MONTH(Transactions[[#This Row],[Transaction Date]])/3,0)</f>
        <v>Q3</v>
      </c>
      <c r="P946">
        <f>YEAR(Transactions[[#This Row],[Transaction Date]])</f>
        <v>2023</v>
      </c>
      <c r="Q946" t="str">
        <f>IF(Transactions[[#This Row],[Sales Amount]]&lt;AVERAGE(Transactions[Sales Amount]),"Below Average","At/Above Average")</f>
        <v>Below Average</v>
      </c>
    </row>
    <row r="947" spans="4:17" x14ac:dyDescent="0.2">
      <c r="D947" t="s">
        <v>1037</v>
      </c>
      <c r="E947" t="s">
        <v>78</v>
      </c>
      <c r="F947" t="s">
        <v>91</v>
      </c>
      <c r="G947">
        <v>109</v>
      </c>
      <c r="H947">
        <v>6</v>
      </c>
      <c r="I947">
        <v>53.95</v>
      </c>
      <c r="J947">
        <v>5</v>
      </c>
      <c r="K947" s="37">
        <v>45435</v>
      </c>
      <c r="L947" t="s">
        <v>89</v>
      </c>
      <c r="M947">
        <v>140.68</v>
      </c>
      <c r="N947">
        <v>23</v>
      </c>
      <c r="O947" t="str">
        <f>"Q"&amp;ROUNDUP(MONTH(Transactions[[#This Row],[Transaction Date]])/3,0)</f>
        <v>Q2</v>
      </c>
      <c r="P947">
        <f>YEAR(Transactions[[#This Row],[Transaction Date]])</f>
        <v>2024</v>
      </c>
      <c r="Q947" t="str">
        <f>IF(Transactions[[#This Row],[Sales Amount]]&lt;AVERAGE(Transactions[Sales Amount]),"Below Average","At/Above Average")</f>
        <v>Below Average</v>
      </c>
    </row>
    <row r="948" spans="4:17" x14ac:dyDescent="0.2">
      <c r="D948" t="s">
        <v>1038</v>
      </c>
      <c r="E948" t="s">
        <v>77</v>
      </c>
      <c r="F948" t="s">
        <v>91</v>
      </c>
      <c r="G948">
        <v>253</v>
      </c>
      <c r="H948">
        <v>4</v>
      </c>
      <c r="I948">
        <v>56.7</v>
      </c>
      <c r="J948">
        <v>1</v>
      </c>
      <c r="K948" s="37">
        <v>44575</v>
      </c>
      <c r="L948" t="s">
        <v>97</v>
      </c>
      <c r="M948">
        <v>370.16</v>
      </c>
      <c r="N948">
        <v>35</v>
      </c>
      <c r="O948" t="str">
        <f>"Q"&amp;ROUNDUP(MONTH(Transactions[[#This Row],[Transaction Date]])/3,0)</f>
        <v>Q1</v>
      </c>
      <c r="P948">
        <f>YEAR(Transactions[[#This Row],[Transaction Date]])</f>
        <v>2022</v>
      </c>
      <c r="Q948" t="str">
        <f>IF(Transactions[[#This Row],[Sales Amount]]&lt;AVERAGE(Transactions[Sales Amount]),"Below Average","At/Above Average")</f>
        <v>At/Above Average</v>
      </c>
    </row>
    <row r="949" spans="4:17" x14ac:dyDescent="0.2">
      <c r="D949" t="s">
        <v>1039</v>
      </c>
      <c r="E949" t="s">
        <v>76</v>
      </c>
      <c r="F949" t="s">
        <v>99</v>
      </c>
      <c r="G949">
        <v>176</v>
      </c>
      <c r="H949">
        <v>7</v>
      </c>
      <c r="I949">
        <v>58.86</v>
      </c>
      <c r="J949">
        <v>6</v>
      </c>
      <c r="K949" s="37">
        <v>45211</v>
      </c>
      <c r="L949" t="s">
        <v>124</v>
      </c>
      <c r="M949">
        <v>382.15</v>
      </c>
      <c r="N949">
        <v>10</v>
      </c>
      <c r="O949" t="str">
        <f>"Q"&amp;ROUNDUP(MONTH(Transactions[[#This Row],[Transaction Date]])/3,0)</f>
        <v>Q4</v>
      </c>
      <c r="P949">
        <f>YEAR(Transactions[[#This Row],[Transaction Date]])</f>
        <v>2023</v>
      </c>
      <c r="Q949" t="str">
        <f>IF(Transactions[[#This Row],[Sales Amount]]&lt;AVERAGE(Transactions[Sales Amount]),"Below Average","At/Above Average")</f>
        <v>At/Above Average</v>
      </c>
    </row>
    <row r="950" spans="4:17" x14ac:dyDescent="0.2">
      <c r="D950" t="s">
        <v>1040</v>
      </c>
      <c r="E950" t="s">
        <v>77</v>
      </c>
      <c r="F950" t="s">
        <v>99</v>
      </c>
      <c r="G950">
        <v>144</v>
      </c>
      <c r="H950">
        <v>9</v>
      </c>
      <c r="I950">
        <v>48.84</v>
      </c>
      <c r="J950">
        <v>5</v>
      </c>
      <c r="K950" s="37">
        <v>45160</v>
      </c>
      <c r="L950" t="s">
        <v>124</v>
      </c>
      <c r="M950">
        <v>18.489999999999998</v>
      </c>
      <c r="N950">
        <v>24</v>
      </c>
      <c r="O950" t="str">
        <f>"Q"&amp;ROUNDUP(MONTH(Transactions[[#This Row],[Transaction Date]])/3,0)</f>
        <v>Q3</v>
      </c>
      <c r="P950">
        <f>YEAR(Transactions[[#This Row],[Transaction Date]])</f>
        <v>2023</v>
      </c>
      <c r="Q950" t="str">
        <f>IF(Transactions[[#This Row],[Sales Amount]]&lt;AVERAGE(Transactions[Sales Amount]),"Below Average","At/Above Average")</f>
        <v>Below Average</v>
      </c>
    </row>
    <row r="951" spans="4:17" x14ac:dyDescent="0.2">
      <c r="D951" t="s">
        <v>1041</v>
      </c>
      <c r="E951" t="s">
        <v>76</v>
      </c>
      <c r="F951" t="s">
        <v>108</v>
      </c>
      <c r="G951">
        <v>289</v>
      </c>
      <c r="H951">
        <v>2</v>
      </c>
      <c r="I951">
        <v>59.23</v>
      </c>
      <c r="J951">
        <v>4</v>
      </c>
      <c r="K951" s="37">
        <v>45173</v>
      </c>
      <c r="L951" t="s">
        <v>109</v>
      </c>
      <c r="M951">
        <v>171.79</v>
      </c>
      <c r="N951">
        <v>36</v>
      </c>
      <c r="O951" t="str">
        <f>"Q"&amp;ROUNDUP(MONTH(Transactions[[#This Row],[Transaction Date]])/3,0)</f>
        <v>Q3</v>
      </c>
      <c r="P951">
        <f>YEAR(Transactions[[#This Row],[Transaction Date]])</f>
        <v>2023</v>
      </c>
      <c r="Q951" t="str">
        <f>IF(Transactions[[#This Row],[Sales Amount]]&lt;AVERAGE(Transactions[Sales Amount]),"Below Average","At/Above Average")</f>
        <v>Below Average</v>
      </c>
    </row>
    <row r="952" spans="4:17" x14ac:dyDescent="0.2">
      <c r="D952" t="s">
        <v>1042</v>
      </c>
      <c r="E952" t="s">
        <v>74</v>
      </c>
      <c r="F952" t="s">
        <v>88</v>
      </c>
      <c r="G952">
        <v>239</v>
      </c>
      <c r="H952">
        <v>3</v>
      </c>
      <c r="I952">
        <v>59.57</v>
      </c>
      <c r="J952">
        <v>8</v>
      </c>
      <c r="K952" s="37">
        <v>45452</v>
      </c>
      <c r="L952" t="s">
        <v>97</v>
      </c>
      <c r="M952">
        <v>20.73</v>
      </c>
      <c r="N952">
        <v>34</v>
      </c>
      <c r="O952" t="str">
        <f>"Q"&amp;ROUNDUP(MONTH(Transactions[[#This Row],[Transaction Date]])/3,0)</f>
        <v>Q2</v>
      </c>
      <c r="P952">
        <f>YEAR(Transactions[[#This Row],[Transaction Date]])</f>
        <v>2024</v>
      </c>
      <c r="Q952" t="str">
        <f>IF(Transactions[[#This Row],[Sales Amount]]&lt;AVERAGE(Transactions[Sales Amount]),"Below Average","At/Above Average")</f>
        <v>Below Average</v>
      </c>
    </row>
    <row r="953" spans="4:17" x14ac:dyDescent="0.2">
      <c r="D953" t="s">
        <v>1043</v>
      </c>
      <c r="E953" t="s">
        <v>87</v>
      </c>
      <c r="F953" t="s">
        <v>105</v>
      </c>
      <c r="G953">
        <v>282</v>
      </c>
      <c r="H953">
        <v>3</v>
      </c>
      <c r="I953">
        <v>48.55</v>
      </c>
      <c r="J953">
        <v>1</v>
      </c>
      <c r="K953" s="37">
        <v>45513</v>
      </c>
      <c r="L953" t="s">
        <v>89</v>
      </c>
      <c r="M953">
        <v>98.99</v>
      </c>
      <c r="N953">
        <v>48</v>
      </c>
      <c r="O953" t="str">
        <f>"Q"&amp;ROUNDUP(MONTH(Transactions[[#This Row],[Transaction Date]])/3,0)</f>
        <v>Q3</v>
      </c>
      <c r="P953">
        <f>YEAR(Transactions[[#This Row],[Transaction Date]])</f>
        <v>2024</v>
      </c>
      <c r="Q953" t="str">
        <f>IF(Transactions[[#This Row],[Sales Amount]]&lt;AVERAGE(Transactions[Sales Amount]),"Below Average","At/Above Average")</f>
        <v>Below Average</v>
      </c>
    </row>
    <row r="954" spans="4:17" x14ac:dyDescent="0.2">
      <c r="D954" t="s">
        <v>1044</v>
      </c>
      <c r="E954" t="s">
        <v>77</v>
      </c>
      <c r="F954" t="s">
        <v>91</v>
      </c>
      <c r="G954">
        <v>243</v>
      </c>
      <c r="H954">
        <v>2</v>
      </c>
      <c r="I954">
        <v>49.58</v>
      </c>
      <c r="J954">
        <v>5</v>
      </c>
      <c r="K954" s="37">
        <v>45641</v>
      </c>
      <c r="L954" t="s">
        <v>102</v>
      </c>
      <c r="M954">
        <v>473.38</v>
      </c>
      <c r="N954">
        <v>20</v>
      </c>
      <c r="O954" t="str">
        <f>"Q"&amp;ROUNDUP(MONTH(Transactions[[#This Row],[Transaction Date]])/3,0)</f>
        <v>Q4</v>
      </c>
      <c r="P954">
        <f>YEAR(Transactions[[#This Row],[Transaction Date]])</f>
        <v>2024</v>
      </c>
      <c r="Q954" t="str">
        <f>IF(Transactions[[#This Row],[Sales Amount]]&lt;AVERAGE(Transactions[Sales Amount]),"Below Average","At/Above Average")</f>
        <v>At/Above Average</v>
      </c>
    </row>
    <row r="955" spans="4:17" x14ac:dyDescent="0.2">
      <c r="D955" t="s">
        <v>1045</v>
      </c>
      <c r="E955" t="s">
        <v>87</v>
      </c>
      <c r="F955" t="s">
        <v>129</v>
      </c>
      <c r="G955">
        <v>288</v>
      </c>
      <c r="H955">
        <v>1</v>
      </c>
      <c r="I955">
        <v>56</v>
      </c>
      <c r="J955">
        <v>5</v>
      </c>
      <c r="K955" s="37">
        <v>45077</v>
      </c>
      <c r="L955" t="s">
        <v>92</v>
      </c>
      <c r="M955">
        <v>316.33999999999997</v>
      </c>
      <c r="N955">
        <v>12</v>
      </c>
      <c r="O955" t="str">
        <f>"Q"&amp;ROUNDUP(MONTH(Transactions[[#This Row],[Transaction Date]])/3,0)</f>
        <v>Q2</v>
      </c>
      <c r="P955">
        <f>YEAR(Transactions[[#This Row],[Transaction Date]])</f>
        <v>2023</v>
      </c>
      <c r="Q955" t="str">
        <f>IF(Transactions[[#This Row],[Sales Amount]]&lt;AVERAGE(Transactions[Sales Amount]),"Below Average","At/Above Average")</f>
        <v>At/Above Average</v>
      </c>
    </row>
    <row r="956" spans="4:17" x14ac:dyDescent="0.2">
      <c r="D956" t="s">
        <v>1046</v>
      </c>
      <c r="E956" t="s">
        <v>74</v>
      </c>
      <c r="F956" t="s">
        <v>88</v>
      </c>
      <c r="G956">
        <v>197</v>
      </c>
      <c r="H956">
        <v>4</v>
      </c>
      <c r="I956">
        <v>48.56</v>
      </c>
      <c r="J956">
        <v>1</v>
      </c>
      <c r="K956" s="37">
        <v>44720</v>
      </c>
      <c r="L956" t="s">
        <v>124</v>
      </c>
      <c r="M956">
        <v>423.68</v>
      </c>
      <c r="N956">
        <v>21</v>
      </c>
      <c r="O956" t="str">
        <f>"Q"&amp;ROUNDUP(MONTH(Transactions[[#This Row],[Transaction Date]])/3,0)</f>
        <v>Q2</v>
      </c>
      <c r="P956">
        <f>YEAR(Transactions[[#This Row],[Transaction Date]])</f>
        <v>2022</v>
      </c>
      <c r="Q956" t="str">
        <f>IF(Transactions[[#This Row],[Sales Amount]]&lt;AVERAGE(Transactions[Sales Amount]),"Below Average","At/Above Average")</f>
        <v>At/Above Average</v>
      </c>
    </row>
    <row r="957" spans="4:17" x14ac:dyDescent="0.2">
      <c r="D957" t="s">
        <v>1047</v>
      </c>
      <c r="E957" t="s">
        <v>87</v>
      </c>
      <c r="F957" t="s">
        <v>96</v>
      </c>
      <c r="G957">
        <v>231</v>
      </c>
      <c r="H957">
        <v>8</v>
      </c>
      <c r="I957">
        <v>50.1</v>
      </c>
      <c r="J957">
        <v>4</v>
      </c>
      <c r="K957" s="37">
        <v>45159</v>
      </c>
      <c r="L957" t="s">
        <v>102</v>
      </c>
      <c r="M957">
        <v>148.02000000000001</v>
      </c>
      <c r="N957">
        <v>29</v>
      </c>
      <c r="O957" t="str">
        <f>"Q"&amp;ROUNDUP(MONTH(Transactions[[#This Row],[Transaction Date]])/3,0)</f>
        <v>Q3</v>
      </c>
      <c r="P957">
        <f>YEAR(Transactions[[#This Row],[Transaction Date]])</f>
        <v>2023</v>
      </c>
      <c r="Q957" t="str">
        <f>IF(Transactions[[#This Row],[Sales Amount]]&lt;AVERAGE(Transactions[Sales Amount]),"Below Average","At/Above Average")</f>
        <v>Below Average</v>
      </c>
    </row>
    <row r="958" spans="4:17" x14ac:dyDescent="0.2">
      <c r="D958" t="s">
        <v>1048</v>
      </c>
      <c r="E958" t="s">
        <v>75</v>
      </c>
      <c r="F958" t="s">
        <v>94</v>
      </c>
      <c r="G958">
        <v>105</v>
      </c>
      <c r="H958">
        <v>10</v>
      </c>
      <c r="I958">
        <v>58.23</v>
      </c>
      <c r="J958">
        <v>10</v>
      </c>
      <c r="K958" s="37">
        <v>45050</v>
      </c>
      <c r="L958" t="s">
        <v>102</v>
      </c>
      <c r="M958">
        <v>304.75</v>
      </c>
      <c r="N958">
        <v>34</v>
      </c>
      <c r="O958" t="str">
        <f>"Q"&amp;ROUNDUP(MONTH(Transactions[[#This Row],[Transaction Date]])/3,0)</f>
        <v>Q2</v>
      </c>
      <c r="P958">
        <f>YEAR(Transactions[[#This Row],[Transaction Date]])</f>
        <v>2023</v>
      </c>
      <c r="Q958" t="str">
        <f>IF(Transactions[[#This Row],[Sales Amount]]&lt;AVERAGE(Transactions[Sales Amount]),"Below Average","At/Above Average")</f>
        <v>At/Above Average</v>
      </c>
    </row>
    <row r="959" spans="4:17" x14ac:dyDescent="0.2">
      <c r="D959" t="s">
        <v>1049</v>
      </c>
      <c r="E959" t="s">
        <v>78</v>
      </c>
      <c r="F959" t="s">
        <v>99</v>
      </c>
      <c r="G959">
        <v>181</v>
      </c>
      <c r="H959">
        <v>9</v>
      </c>
      <c r="I959">
        <v>59.66</v>
      </c>
      <c r="J959">
        <v>2</v>
      </c>
      <c r="K959" s="37">
        <v>44587</v>
      </c>
      <c r="L959" t="s">
        <v>89</v>
      </c>
      <c r="M959">
        <v>361.86</v>
      </c>
      <c r="N959">
        <v>14</v>
      </c>
      <c r="O959" t="str">
        <f>"Q"&amp;ROUNDUP(MONTH(Transactions[[#This Row],[Transaction Date]])/3,0)</f>
        <v>Q1</v>
      </c>
      <c r="P959">
        <f>YEAR(Transactions[[#This Row],[Transaction Date]])</f>
        <v>2022</v>
      </c>
      <c r="Q959" t="str">
        <f>IF(Transactions[[#This Row],[Sales Amount]]&lt;AVERAGE(Transactions[Sales Amount]),"Below Average","At/Above Average")</f>
        <v>At/Above Average</v>
      </c>
    </row>
    <row r="960" spans="4:17" x14ac:dyDescent="0.2">
      <c r="D960" t="s">
        <v>1050</v>
      </c>
      <c r="E960" t="s">
        <v>87</v>
      </c>
      <c r="F960" t="s">
        <v>96</v>
      </c>
      <c r="G960">
        <v>115</v>
      </c>
      <c r="H960">
        <v>3</v>
      </c>
      <c r="I960">
        <v>46.7</v>
      </c>
      <c r="J960">
        <v>1</v>
      </c>
      <c r="K960" s="37">
        <v>45494</v>
      </c>
      <c r="L960" t="s">
        <v>109</v>
      </c>
      <c r="M960">
        <v>21.53</v>
      </c>
      <c r="N960">
        <v>38</v>
      </c>
      <c r="O960" t="str">
        <f>"Q"&amp;ROUNDUP(MONTH(Transactions[[#This Row],[Transaction Date]])/3,0)</f>
        <v>Q3</v>
      </c>
      <c r="P960">
        <f>YEAR(Transactions[[#This Row],[Transaction Date]])</f>
        <v>2024</v>
      </c>
      <c r="Q960" t="str">
        <f>IF(Transactions[[#This Row],[Sales Amount]]&lt;AVERAGE(Transactions[Sales Amount]),"Below Average","At/Above Average")</f>
        <v>Below Average</v>
      </c>
    </row>
    <row r="961" spans="4:17" x14ac:dyDescent="0.2">
      <c r="D961" t="s">
        <v>1051</v>
      </c>
      <c r="E961" t="s">
        <v>74</v>
      </c>
      <c r="F961" t="s">
        <v>99</v>
      </c>
      <c r="G961">
        <v>293</v>
      </c>
      <c r="H961">
        <v>10</v>
      </c>
      <c r="I961">
        <v>59.5</v>
      </c>
      <c r="J961">
        <v>5</v>
      </c>
      <c r="K961" s="37">
        <v>45362</v>
      </c>
      <c r="L961" t="s">
        <v>102</v>
      </c>
      <c r="M961">
        <v>283.72000000000003</v>
      </c>
      <c r="N961">
        <v>17</v>
      </c>
      <c r="O961" t="str">
        <f>"Q"&amp;ROUNDUP(MONTH(Transactions[[#This Row],[Transaction Date]])/3,0)</f>
        <v>Q1</v>
      </c>
      <c r="P961">
        <f>YEAR(Transactions[[#This Row],[Transaction Date]])</f>
        <v>2024</v>
      </c>
      <c r="Q961" t="str">
        <f>IF(Transactions[[#This Row],[Sales Amount]]&lt;AVERAGE(Transactions[Sales Amount]),"Below Average","At/Above Average")</f>
        <v>At/Above Average</v>
      </c>
    </row>
    <row r="962" spans="4:17" x14ac:dyDescent="0.2">
      <c r="D962" t="s">
        <v>1052</v>
      </c>
      <c r="E962" t="s">
        <v>74</v>
      </c>
      <c r="F962" t="s">
        <v>99</v>
      </c>
      <c r="G962">
        <v>116</v>
      </c>
      <c r="H962">
        <v>7</v>
      </c>
      <c r="I962">
        <v>54.1</v>
      </c>
      <c r="J962">
        <v>5</v>
      </c>
      <c r="K962" s="37">
        <v>44725</v>
      </c>
      <c r="L962" t="s">
        <v>89</v>
      </c>
      <c r="M962">
        <v>93.79</v>
      </c>
      <c r="N962">
        <v>29</v>
      </c>
      <c r="O962" t="str">
        <f>"Q"&amp;ROUNDUP(MONTH(Transactions[[#This Row],[Transaction Date]])/3,0)</f>
        <v>Q2</v>
      </c>
      <c r="P962">
        <f>YEAR(Transactions[[#This Row],[Transaction Date]])</f>
        <v>2022</v>
      </c>
      <c r="Q962" t="str">
        <f>IF(Transactions[[#This Row],[Sales Amount]]&lt;AVERAGE(Transactions[Sales Amount]),"Below Average","At/Above Average")</f>
        <v>Below Average</v>
      </c>
    </row>
    <row r="963" spans="4:17" x14ac:dyDescent="0.2">
      <c r="D963" t="s">
        <v>1053</v>
      </c>
      <c r="E963" t="s">
        <v>87</v>
      </c>
      <c r="F963" t="s">
        <v>99</v>
      </c>
      <c r="G963">
        <v>136</v>
      </c>
      <c r="H963">
        <v>6</v>
      </c>
      <c r="I963">
        <v>56.13</v>
      </c>
      <c r="J963">
        <v>9</v>
      </c>
      <c r="K963" s="37">
        <v>44651</v>
      </c>
      <c r="L963" t="s">
        <v>102</v>
      </c>
      <c r="M963">
        <v>31.8</v>
      </c>
      <c r="N963">
        <v>17</v>
      </c>
      <c r="O963" t="str">
        <f>"Q"&amp;ROUNDUP(MONTH(Transactions[[#This Row],[Transaction Date]])/3,0)</f>
        <v>Q1</v>
      </c>
      <c r="P963">
        <f>YEAR(Transactions[[#This Row],[Transaction Date]])</f>
        <v>2022</v>
      </c>
      <c r="Q963" t="str">
        <f>IF(Transactions[[#This Row],[Sales Amount]]&lt;AVERAGE(Transactions[Sales Amount]),"Below Average","At/Above Average")</f>
        <v>Below Average</v>
      </c>
    </row>
    <row r="964" spans="4:17" x14ac:dyDescent="0.2">
      <c r="D964" t="s">
        <v>1054</v>
      </c>
      <c r="E964" t="s">
        <v>74</v>
      </c>
      <c r="F964" t="s">
        <v>108</v>
      </c>
      <c r="G964">
        <v>102</v>
      </c>
      <c r="H964">
        <v>8</v>
      </c>
      <c r="I964">
        <v>53.08</v>
      </c>
      <c r="J964">
        <v>8</v>
      </c>
      <c r="K964" s="37">
        <v>44833</v>
      </c>
      <c r="L964" t="s">
        <v>102</v>
      </c>
      <c r="M964">
        <v>319.06</v>
      </c>
      <c r="N964">
        <v>26</v>
      </c>
      <c r="O964" t="str">
        <f>"Q"&amp;ROUNDUP(MONTH(Transactions[[#This Row],[Transaction Date]])/3,0)</f>
        <v>Q3</v>
      </c>
      <c r="P964">
        <f>YEAR(Transactions[[#This Row],[Transaction Date]])</f>
        <v>2022</v>
      </c>
      <c r="Q964" t="str">
        <f>IF(Transactions[[#This Row],[Sales Amount]]&lt;AVERAGE(Transactions[Sales Amount]),"Below Average","At/Above Average")</f>
        <v>At/Above Average</v>
      </c>
    </row>
    <row r="965" spans="4:17" x14ac:dyDescent="0.2">
      <c r="D965" t="s">
        <v>1055</v>
      </c>
      <c r="E965" t="s">
        <v>77</v>
      </c>
      <c r="F965" t="s">
        <v>129</v>
      </c>
      <c r="G965">
        <v>143</v>
      </c>
      <c r="H965">
        <v>10</v>
      </c>
      <c r="I965">
        <v>49.17</v>
      </c>
      <c r="J965">
        <v>10</v>
      </c>
      <c r="K965" s="37">
        <v>45179</v>
      </c>
      <c r="L965" t="s">
        <v>97</v>
      </c>
      <c r="M965">
        <v>166.16</v>
      </c>
      <c r="N965">
        <v>32</v>
      </c>
      <c r="O965" t="str">
        <f>"Q"&amp;ROUNDUP(MONTH(Transactions[[#This Row],[Transaction Date]])/3,0)</f>
        <v>Q3</v>
      </c>
      <c r="P965">
        <f>YEAR(Transactions[[#This Row],[Transaction Date]])</f>
        <v>2023</v>
      </c>
      <c r="Q965" t="str">
        <f>IF(Transactions[[#This Row],[Sales Amount]]&lt;AVERAGE(Transactions[Sales Amount]),"Below Average","At/Above Average")</f>
        <v>Below Average</v>
      </c>
    </row>
    <row r="966" spans="4:17" x14ac:dyDescent="0.2">
      <c r="D966" t="s">
        <v>1056</v>
      </c>
      <c r="E966" t="s">
        <v>76</v>
      </c>
      <c r="F966" t="s">
        <v>99</v>
      </c>
      <c r="G966">
        <v>282</v>
      </c>
      <c r="H966">
        <v>1</v>
      </c>
      <c r="I966">
        <v>58.98</v>
      </c>
      <c r="J966">
        <v>5</v>
      </c>
      <c r="K966" s="37">
        <v>45030</v>
      </c>
      <c r="L966" t="s">
        <v>92</v>
      </c>
      <c r="M966">
        <v>322.2</v>
      </c>
      <c r="N966">
        <v>22</v>
      </c>
      <c r="O966" t="str">
        <f>"Q"&amp;ROUNDUP(MONTH(Transactions[[#This Row],[Transaction Date]])/3,0)</f>
        <v>Q2</v>
      </c>
      <c r="P966">
        <f>YEAR(Transactions[[#This Row],[Transaction Date]])</f>
        <v>2023</v>
      </c>
      <c r="Q966" t="str">
        <f>IF(Transactions[[#This Row],[Sales Amount]]&lt;AVERAGE(Transactions[Sales Amount]),"Below Average","At/Above Average")</f>
        <v>At/Above Average</v>
      </c>
    </row>
    <row r="967" spans="4:17" x14ac:dyDescent="0.2">
      <c r="D967" t="s">
        <v>1057</v>
      </c>
      <c r="E967" t="s">
        <v>74</v>
      </c>
      <c r="F967" t="s">
        <v>129</v>
      </c>
      <c r="G967">
        <v>241</v>
      </c>
      <c r="H967">
        <v>4</v>
      </c>
      <c r="I967">
        <v>51.92</v>
      </c>
      <c r="J967">
        <v>7</v>
      </c>
      <c r="K967" s="37">
        <v>44582</v>
      </c>
      <c r="L967" t="s">
        <v>97</v>
      </c>
      <c r="M967">
        <v>406.85</v>
      </c>
      <c r="N967">
        <v>2</v>
      </c>
      <c r="O967" t="str">
        <f>"Q"&amp;ROUNDUP(MONTH(Transactions[[#This Row],[Transaction Date]])/3,0)</f>
        <v>Q1</v>
      </c>
      <c r="P967">
        <f>YEAR(Transactions[[#This Row],[Transaction Date]])</f>
        <v>2022</v>
      </c>
      <c r="Q967" t="str">
        <f>IF(Transactions[[#This Row],[Sales Amount]]&lt;AVERAGE(Transactions[Sales Amount]),"Below Average","At/Above Average")</f>
        <v>At/Above Average</v>
      </c>
    </row>
    <row r="968" spans="4:17" x14ac:dyDescent="0.2">
      <c r="D968" t="s">
        <v>1058</v>
      </c>
      <c r="E968" t="s">
        <v>74</v>
      </c>
      <c r="F968" t="s">
        <v>91</v>
      </c>
      <c r="G968">
        <v>117</v>
      </c>
      <c r="H968">
        <v>6</v>
      </c>
      <c r="I968">
        <v>59.1</v>
      </c>
      <c r="J968">
        <v>5</v>
      </c>
      <c r="K968" s="37">
        <v>44601</v>
      </c>
      <c r="L968" t="s">
        <v>102</v>
      </c>
      <c r="M968">
        <v>474.07</v>
      </c>
      <c r="N968">
        <v>2</v>
      </c>
      <c r="O968" t="str">
        <f>"Q"&amp;ROUNDUP(MONTH(Transactions[[#This Row],[Transaction Date]])/3,0)</f>
        <v>Q1</v>
      </c>
      <c r="P968">
        <f>YEAR(Transactions[[#This Row],[Transaction Date]])</f>
        <v>2022</v>
      </c>
      <c r="Q968" t="str">
        <f>IF(Transactions[[#This Row],[Sales Amount]]&lt;AVERAGE(Transactions[Sales Amount]),"Below Average","At/Above Average")</f>
        <v>At/Above Average</v>
      </c>
    </row>
    <row r="969" spans="4:17" x14ac:dyDescent="0.2">
      <c r="D969" t="s">
        <v>1059</v>
      </c>
      <c r="E969" t="s">
        <v>78</v>
      </c>
      <c r="F969" t="s">
        <v>96</v>
      </c>
      <c r="G969">
        <v>163</v>
      </c>
      <c r="H969">
        <v>5</v>
      </c>
      <c r="I969">
        <v>59.45</v>
      </c>
      <c r="J969">
        <v>7</v>
      </c>
      <c r="K969" s="37">
        <v>45229</v>
      </c>
      <c r="L969" t="s">
        <v>102</v>
      </c>
      <c r="M969">
        <v>17.66</v>
      </c>
      <c r="N969">
        <v>36</v>
      </c>
      <c r="O969" t="str">
        <f>"Q"&amp;ROUNDUP(MONTH(Transactions[[#This Row],[Transaction Date]])/3,0)</f>
        <v>Q4</v>
      </c>
      <c r="P969">
        <f>YEAR(Transactions[[#This Row],[Transaction Date]])</f>
        <v>2023</v>
      </c>
      <c r="Q969" t="str">
        <f>IF(Transactions[[#This Row],[Sales Amount]]&lt;AVERAGE(Transactions[Sales Amount]),"Below Average","At/Above Average")</f>
        <v>Below Average</v>
      </c>
    </row>
    <row r="970" spans="4:17" x14ac:dyDescent="0.2">
      <c r="D970" t="s">
        <v>1060</v>
      </c>
      <c r="E970" t="s">
        <v>74</v>
      </c>
      <c r="F970" t="s">
        <v>105</v>
      </c>
      <c r="G970">
        <v>198</v>
      </c>
      <c r="H970">
        <v>1</v>
      </c>
      <c r="I970">
        <v>46.87</v>
      </c>
      <c r="J970">
        <v>2</v>
      </c>
      <c r="K970" s="37">
        <v>45300</v>
      </c>
      <c r="L970" t="s">
        <v>109</v>
      </c>
      <c r="M970">
        <v>344.63</v>
      </c>
      <c r="N970">
        <v>47</v>
      </c>
      <c r="O970" t="str">
        <f>"Q"&amp;ROUNDUP(MONTH(Transactions[[#This Row],[Transaction Date]])/3,0)</f>
        <v>Q1</v>
      </c>
      <c r="P970">
        <f>YEAR(Transactions[[#This Row],[Transaction Date]])</f>
        <v>2024</v>
      </c>
      <c r="Q970" t="str">
        <f>IF(Transactions[[#This Row],[Sales Amount]]&lt;AVERAGE(Transactions[Sales Amount]),"Below Average","At/Above Average")</f>
        <v>At/Above Average</v>
      </c>
    </row>
    <row r="971" spans="4:17" x14ac:dyDescent="0.2">
      <c r="D971" t="s">
        <v>1061</v>
      </c>
      <c r="E971" t="s">
        <v>76</v>
      </c>
      <c r="F971" t="s">
        <v>91</v>
      </c>
      <c r="G971">
        <v>291</v>
      </c>
      <c r="H971">
        <v>2</v>
      </c>
      <c r="I971">
        <v>59.3</v>
      </c>
      <c r="J971">
        <v>5</v>
      </c>
      <c r="K971" s="37">
        <v>45426</v>
      </c>
      <c r="L971" t="s">
        <v>89</v>
      </c>
      <c r="M971">
        <v>351.5</v>
      </c>
      <c r="N971">
        <v>26</v>
      </c>
      <c r="O971" t="str">
        <f>"Q"&amp;ROUNDUP(MONTH(Transactions[[#This Row],[Transaction Date]])/3,0)</f>
        <v>Q2</v>
      </c>
      <c r="P971">
        <f>YEAR(Transactions[[#This Row],[Transaction Date]])</f>
        <v>2024</v>
      </c>
      <c r="Q971" t="str">
        <f>IF(Transactions[[#This Row],[Sales Amount]]&lt;AVERAGE(Transactions[Sales Amount]),"Below Average","At/Above Average")</f>
        <v>At/Above Average</v>
      </c>
    </row>
    <row r="972" spans="4:17" x14ac:dyDescent="0.2">
      <c r="D972" t="s">
        <v>1062</v>
      </c>
      <c r="E972" t="s">
        <v>74</v>
      </c>
      <c r="F972" t="s">
        <v>105</v>
      </c>
      <c r="G972">
        <v>129</v>
      </c>
      <c r="H972">
        <v>5</v>
      </c>
      <c r="I972">
        <v>56.2</v>
      </c>
      <c r="J972">
        <v>1</v>
      </c>
      <c r="K972" s="37">
        <v>45333</v>
      </c>
      <c r="L972" t="s">
        <v>89</v>
      </c>
      <c r="M972">
        <v>224.47</v>
      </c>
      <c r="N972">
        <v>43</v>
      </c>
      <c r="O972" t="str">
        <f>"Q"&amp;ROUNDUP(MONTH(Transactions[[#This Row],[Transaction Date]])/3,0)</f>
        <v>Q1</v>
      </c>
      <c r="P972">
        <f>YEAR(Transactions[[#This Row],[Transaction Date]])</f>
        <v>2024</v>
      </c>
      <c r="Q972" t="str">
        <f>IF(Transactions[[#This Row],[Sales Amount]]&lt;AVERAGE(Transactions[Sales Amount]),"Below Average","At/Above Average")</f>
        <v>Below Average</v>
      </c>
    </row>
    <row r="973" spans="4:17" x14ac:dyDescent="0.2">
      <c r="D973" t="s">
        <v>1063</v>
      </c>
      <c r="E973" t="s">
        <v>87</v>
      </c>
      <c r="F973" t="s">
        <v>94</v>
      </c>
      <c r="G973">
        <v>256</v>
      </c>
      <c r="H973">
        <v>4</v>
      </c>
      <c r="I973">
        <v>45.01</v>
      </c>
      <c r="J973">
        <v>3</v>
      </c>
      <c r="K973" s="37">
        <v>44581</v>
      </c>
      <c r="L973" t="s">
        <v>97</v>
      </c>
      <c r="M973">
        <v>204.31</v>
      </c>
      <c r="N973">
        <v>18</v>
      </c>
      <c r="O973" t="str">
        <f>"Q"&amp;ROUNDUP(MONTH(Transactions[[#This Row],[Transaction Date]])/3,0)</f>
        <v>Q1</v>
      </c>
      <c r="P973">
        <f>YEAR(Transactions[[#This Row],[Transaction Date]])</f>
        <v>2022</v>
      </c>
      <c r="Q973" t="str">
        <f>IF(Transactions[[#This Row],[Sales Amount]]&lt;AVERAGE(Transactions[Sales Amount]),"Below Average","At/Above Average")</f>
        <v>Below Average</v>
      </c>
    </row>
    <row r="974" spans="4:17" x14ac:dyDescent="0.2">
      <c r="D974" t="s">
        <v>1064</v>
      </c>
      <c r="E974" t="s">
        <v>78</v>
      </c>
      <c r="F974" t="s">
        <v>105</v>
      </c>
      <c r="G974">
        <v>179</v>
      </c>
      <c r="H974">
        <v>2</v>
      </c>
      <c r="I974">
        <v>46.06</v>
      </c>
      <c r="J974">
        <v>8</v>
      </c>
      <c r="K974" s="37">
        <v>44640</v>
      </c>
      <c r="L974" t="s">
        <v>109</v>
      </c>
      <c r="M974">
        <v>237.81</v>
      </c>
      <c r="N974">
        <v>25</v>
      </c>
      <c r="O974" t="str">
        <f>"Q"&amp;ROUNDUP(MONTH(Transactions[[#This Row],[Transaction Date]])/3,0)</f>
        <v>Q1</v>
      </c>
      <c r="P974">
        <f>YEAR(Transactions[[#This Row],[Transaction Date]])</f>
        <v>2022</v>
      </c>
      <c r="Q974" t="str">
        <f>IF(Transactions[[#This Row],[Sales Amount]]&lt;AVERAGE(Transactions[Sales Amount]),"Below Average","At/Above Average")</f>
        <v>Below Average</v>
      </c>
    </row>
    <row r="975" spans="4:17" x14ac:dyDescent="0.2">
      <c r="D975" t="s">
        <v>1065</v>
      </c>
      <c r="E975" t="s">
        <v>76</v>
      </c>
      <c r="F975" t="s">
        <v>105</v>
      </c>
      <c r="G975">
        <v>243</v>
      </c>
      <c r="H975">
        <v>5</v>
      </c>
      <c r="I975">
        <v>53.41</v>
      </c>
      <c r="J975">
        <v>1</v>
      </c>
      <c r="K975" s="37">
        <v>45416</v>
      </c>
      <c r="L975" t="s">
        <v>97</v>
      </c>
      <c r="M975">
        <v>294.83999999999997</v>
      </c>
      <c r="N975">
        <v>30</v>
      </c>
      <c r="O975" t="str">
        <f>"Q"&amp;ROUNDUP(MONTH(Transactions[[#This Row],[Transaction Date]])/3,0)</f>
        <v>Q2</v>
      </c>
      <c r="P975">
        <f>YEAR(Transactions[[#This Row],[Transaction Date]])</f>
        <v>2024</v>
      </c>
      <c r="Q975" t="str">
        <f>IF(Transactions[[#This Row],[Sales Amount]]&lt;AVERAGE(Transactions[Sales Amount]),"Below Average","At/Above Average")</f>
        <v>At/Above Average</v>
      </c>
    </row>
    <row r="976" spans="4:17" x14ac:dyDescent="0.2">
      <c r="D976" t="s">
        <v>1066</v>
      </c>
      <c r="E976" t="s">
        <v>76</v>
      </c>
      <c r="F976" t="s">
        <v>99</v>
      </c>
      <c r="G976">
        <v>164</v>
      </c>
      <c r="H976">
        <v>5</v>
      </c>
      <c r="I976">
        <v>48.76</v>
      </c>
      <c r="J976">
        <v>10</v>
      </c>
      <c r="K976" s="37">
        <v>44781</v>
      </c>
      <c r="L976" t="s">
        <v>124</v>
      </c>
      <c r="M976">
        <v>196.74</v>
      </c>
      <c r="N976">
        <v>45</v>
      </c>
      <c r="O976" t="str">
        <f>"Q"&amp;ROUNDUP(MONTH(Transactions[[#This Row],[Transaction Date]])/3,0)</f>
        <v>Q3</v>
      </c>
      <c r="P976">
        <f>YEAR(Transactions[[#This Row],[Transaction Date]])</f>
        <v>2022</v>
      </c>
      <c r="Q976" t="str">
        <f>IF(Transactions[[#This Row],[Sales Amount]]&lt;AVERAGE(Transactions[Sales Amount]),"Below Average","At/Above Average")</f>
        <v>Below Average</v>
      </c>
    </row>
    <row r="977" spans="4:17" x14ac:dyDescent="0.2">
      <c r="D977" t="s">
        <v>1067</v>
      </c>
      <c r="E977" t="s">
        <v>78</v>
      </c>
      <c r="F977" t="s">
        <v>94</v>
      </c>
      <c r="G977">
        <v>251</v>
      </c>
      <c r="H977">
        <v>3</v>
      </c>
      <c r="I977">
        <v>46.46</v>
      </c>
      <c r="J977">
        <v>1</v>
      </c>
      <c r="K977" s="37">
        <v>44612</v>
      </c>
      <c r="L977" t="s">
        <v>102</v>
      </c>
      <c r="M977">
        <v>486.94</v>
      </c>
      <c r="N977">
        <v>20</v>
      </c>
      <c r="O977" t="str">
        <f>"Q"&amp;ROUNDUP(MONTH(Transactions[[#This Row],[Transaction Date]])/3,0)</f>
        <v>Q1</v>
      </c>
      <c r="P977">
        <f>YEAR(Transactions[[#This Row],[Transaction Date]])</f>
        <v>2022</v>
      </c>
      <c r="Q977" t="str">
        <f>IF(Transactions[[#This Row],[Sales Amount]]&lt;AVERAGE(Transactions[Sales Amount]),"Below Average","At/Above Average")</f>
        <v>At/Above Average</v>
      </c>
    </row>
    <row r="978" spans="4:17" x14ac:dyDescent="0.2">
      <c r="D978" t="s">
        <v>1068</v>
      </c>
      <c r="E978" t="s">
        <v>75</v>
      </c>
      <c r="F978" t="s">
        <v>108</v>
      </c>
      <c r="G978">
        <v>283</v>
      </c>
      <c r="H978">
        <v>9</v>
      </c>
      <c r="I978">
        <v>51.56</v>
      </c>
      <c r="J978">
        <v>9</v>
      </c>
      <c r="K978" s="37">
        <v>45583</v>
      </c>
      <c r="L978" t="s">
        <v>124</v>
      </c>
      <c r="M978">
        <v>397.81</v>
      </c>
      <c r="N978">
        <v>9</v>
      </c>
      <c r="O978" t="str">
        <f>"Q"&amp;ROUNDUP(MONTH(Transactions[[#This Row],[Transaction Date]])/3,0)</f>
        <v>Q4</v>
      </c>
      <c r="P978">
        <f>YEAR(Transactions[[#This Row],[Transaction Date]])</f>
        <v>2024</v>
      </c>
      <c r="Q978" t="str">
        <f>IF(Transactions[[#This Row],[Sales Amount]]&lt;AVERAGE(Transactions[Sales Amount]),"Below Average","At/Above Average")</f>
        <v>At/Above Average</v>
      </c>
    </row>
    <row r="979" spans="4:17" x14ac:dyDescent="0.2">
      <c r="D979" t="s">
        <v>1069</v>
      </c>
      <c r="E979" t="s">
        <v>76</v>
      </c>
      <c r="F979" t="s">
        <v>94</v>
      </c>
      <c r="G979">
        <v>219</v>
      </c>
      <c r="H979">
        <v>3</v>
      </c>
      <c r="I979">
        <v>46.33</v>
      </c>
      <c r="J979">
        <v>9</v>
      </c>
      <c r="K979" s="37">
        <v>45046</v>
      </c>
      <c r="L979" t="s">
        <v>92</v>
      </c>
      <c r="M979">
        <v>58.67</v>
      </c>
      <c r="N979">
        <v>20</v>
      </c>
      <c r="O979" t="str">
        <f>"Q"&amp;ROUNDUP(MONTH(Transactions[[#This Row],[Transaction Date]])/3,0)</f>
        <v>Q2</v>
      </c>
      <c r="P979">
        <f>YEAR(Transactions[[#This Row],[Transaction Date]])</f>
        <v>2023</v>
      </c>
      <c r="Q979" t="str">
        <f>IF(Transactions[[#This Row],[Sales Amount]]&lt;AVERAGE(Transactions[Sales Amount]),"Below Average","At/Above Average")</f>
        <v>Below Average</v>
      </c>
    </row>
    <row r="980" spans="4:17" x14ac:dyDescent="0.2">
      <c r="D980" t="s">
        <v>1070</v>
      </c>
      <c r="E980" t="s">
        <v>75</v>
      </c>
      <c r="F980" t="s">
        <v>96</v>
      </c>
      <c r="G980">
        <v>113</v>
      </c>
      <c r="H980">
        <v>5</v>
      </c>
      <c r="I980">
        <v>56.72</v>
      </c>
      <c r="J980">
        <v>10</v>
      </c>
      <c r="K980" s="37">
        <v>44734</v>
      </c>
      <c r="L980" t="s">
        <v>92</v>
      </c>
      <c r="M980">
        <v>103.52</v>
      </c>
      <c r="N980">
        <v>17</v>
      </c>
      <c r="O980" t="str">
        <f>"Q"&amp;ROUNDUP(MONTH(Transactions[[#This Row],[Transaction Date]])/3,0)</f>
        <v>Q2</v>
      </c>
      <c r="P980">
        <f>YEAR(Transactions[[#This Row],[Transaction Date]])</f>
        <v>2022</v>
      </c>
      <c r="Q980" t="str">
        <f>IF(Transactions[[#This Row],[Sales Amount]]&lt;AVERAGE(Transactions[Sales Amount]),"Below Average","At/Above Average")</f>
        <v>Below Average</v>
      </c>
    </row>
    <row r="981" spans="4:17" x14ac:dyDescent="0.2">
      <c r="D981" t="s">
        <v>1071</v>
      </c>
      <c r="E981" t="s">
        <v>75</v>
      </c>
      <c r="F981" t="s">
        <v>96</v>
      </c>
      <c r="G981">
        <v>121</v>
      </c>
      <c r="H981">
        <v>3</v>
      </c>
      <c r="I981">
        <v>54.63</v>
      </c>
      <c r="J981">
        <v>7</v>
      </c>
      <c r="K981" s="37">
        <v>45613</v>
      </c>
      <c r="L981" t="s">
        <v>102</v>
      </c>
      <c r="M981">
        <v>151.41</v>
      </c>
      <c r="N981">
        <v>26</v>
      </c>
      <c r="O981" t="str">
        <f>"Q"&amp;ROUNDUP(MONTH(Transactions[[#This Row],[Transaction Date]])/3,0)</f>
        <v>Q4</v>
      </c>
      <c r="P981">
        <f>YEAR(Transactions[[#This Row],[Transaction Date]])</f>
        <v>2024</v>
      </c>
      <c r="Q981" t="str">
        <f>IF(Transactions[[#This Row],[Sales Amount]]&lt;AVERAGE(Transactions[Sales Amount]),"Below Average","At/Above Average")</f>
        <v>Below Average</v>
      </c>
    </row>
    <row r="982" spans="4:17" x14ac:dyDescent="0.2">
      <c r="D982" t="s">
        <v>1072</v>
      </c>
      <c r="E982" t="s">
        <v>77</v>
      </c>
      <c r="F982" t="s">
        <v>94</v>
      </c>
      <c r="G982">
        <v>299</v>
      </c>
      <c r="H982">
        <v>8</v>
      </c>
      <c r="I982">
        <v>48.39</v>
      </c>
      <c r="J982">
        <v>9</v>
      </c>
      <c r="K982" s="37">
        <v>44667</v>
      </c>
      <c r="L982" t="s">
        <v>97</v>
      </c>
      <c r="M982">
        <v>359.8</v>
      </c>
      <c r="N982">
        <v>1</v>
      </c>
      <c r="O982" t="str">
        <f>"Q"&amp;ROUNDUP(MONTH(Transactions[[#This Row],[Transaction Date]])/3,0)</f>
        <v>Q2</v>
      </c>
      <c r="P982">
        <f>YEAR(Transactions[[#This Row],[Transaction Date]])</f>
        <v>2022</v>
      </c>
      <c r="Q982" t="str">
        <f>IF(Transactions[[#This Row],[Sales Amount]]&lt;AVERAGE(Transactions[Sales Amount]),"Below Average","At/Above Average")</f>
        <v>At/Above Average</v>
      </c>
    </row>
    <row r="983" spans="4:17" x14ac:dyDescent="0.2">
      <c r="D983" t="s">
        <v>1073</v>
      </c>
      <c r="E983" t="s">
        <v>75</v>
      </c>
      <c r="F983" t="s">
        <v>99</v>
      </c>
      <c r="G983">
        <v>220</v>
      </c>
      <c r="H983">
        <v>6</v>
      </c>
      <c r="I983">
        <v>45.46</v>
      </c>
      <c r="J983">
        <v>8</v>
      </c>
      <c r="K983" s="37">
        <v>45396</v>
      </c>
      <c r="L983" t="s">
        <v>92</v>
      </c>
      <c r="M983">
        <v>155.16999999999999</v>
      </c>
      <c r="N983">
        <v>27</v>
      </c>
      <c r="O983" t="str">
        <f>"Q"&amp;ROUNDUP(MONTH(Transactions[[#This Row],[Transaction Date]])/3,0)</f>
        <v>Q2</v>
      </c>
      <c r="P983">
        <f>YEAR(Transactions[[#This Row],[Transaction Date]])</f>
        <v>2024</v>
      </c>
      <c r="Q983" t="str">
        <f>IF(Transactions[[#This Row],[Sales Amount]]&lt;AVERAGE(Transactions[Sales Amount]),"Below Average","At/Above Average")</f>
        <v>Below Average</v>
      </c>
    </row>
    <row r="984" spans="4:17" x14ac:dyDescent="0.2">
      <c r="D984" t="s">
        <v>1074</v>
      </c>
      <c r="E984" t="s">
        <v>76</v>
      </c>
      <c r="F984" t="s">
        <v>105</v>
      </c>
      <c r="G984">
        <v>230</v>
      </c>
      <c r="H984">
        <v>1</v>
      </c>
      <c r="I984">
        <v>55.73</v>
      </c>
      <c r="J984">
        <v>2</v>
      </c>
      <c r="K984" s="37">
        <v>44762</v>
      </c>
      <c r="L984" t="s">
        <v>89</v>
      </c>
      <c r="M984">
        <v>70.91</v>
      </c>
      <c r="N984">
        <v>4</v>
      </c>
      <c r="O984" t="str">
        <f>"Q"&amp;ROUNDUP(MONTH(Transactions[[#This Row],[Transaction Date]])/3,0)</f>
        <v>Q3</v>
      </c>
      <c r="P984">
        <f>YEAR(Transactions[[#This Row],[Transaction Date]])</f>
        <v>2022</v>
      </c>
      <c r="Q984" t="str">
        <f>IF(Transactions[[#This Row],[Sales Amount]]&lt;AVERAGE(Transactions[Sales Amount]),"Below Average","At/Above Average")</f>
        <v>Below Average</v>
      </c>
    </row>
    <row r="985" spans="4:17" x14ac:dyDescent="0.2">
      <c r="D985" t="s">
        <v>1075</v>
      </c>
      <c r="E985" t="s">
        <v>87</v>
      </c>
      <c r="F985" t="s">
        <v>96</v>
      </c>
      <c r="G985">
        <v>209</v>
      </c>
      <c r="H985">
        <v>10</v>
      </c>
      <c r="I985">
        <v>54.74</v>
      </c>
      <c r="J985">
        <v>6</v>
      </c>
      <c r="K985" s="37">
        <v>45553</v>
      </c>
      <c r="L985" t="s">
        <v>109</v>
      </c>
      <c r="M985">
        <v>242.42</v>
      </c>
      <c r="N985">
        <v>19</v>
      </c>
      <c r="O985" t="str">
        <f>"Q"&amp;ROUNDUP(MONTH(Transactions[[#This Row],[Transaction Date]])/3,0)</f>
        <v>Q3</v>
      </c>
      <c r="P985">
        <f>YEAR(Transactions[[#This Row],[Transaction Date]])</f>
        <v>2024</v>
      </c>
      <c r="Q985" t="str">
        <f>IF(Transactions[[#This Row],[Sales Amount]]&lt;AVERAGE(Transactions[Sales Amount]),"Below Average","At/Above Average")</f>
        <v>Below Average</v>
      </c>
    </row>
    <row r="986" spans="4:17" x14ac:dyDescent="0.2">
      <c r="D986" t="s">
        <v>1076</v>
      </c>
      <c r="E986" t="s">
        <v>75</v>
      </c>
      <c r="F986" t="s">
        <v>129</v>
      </c>
      <c r="G986">
        <v>161</v>
      </c>
      <c r="H986">
        <v>3</v>
      </c>
      <c r="I986">
        <v>57.26</v>
      </c>
      <c r="J986">
        <v>2</v>
      </c>
      <c r="K986" s="37">
        <v>45415</v>
      </c>
      <c r="L986" t="s">
        <v>102</v>
      </c>
      <c r="M986">
        <v>397.46</v>
      </c>
      <c r="N986">
        <v>18</v>
      </c>
      <c r="O986" t="str">
        <f>"Q"&amp;ROUNDUP(MONTH(Transactions[[#This Row],[Transaction Date]])/3,0)</f>
        <v>Q2</v>
      </c>
      <c r="P986">
        <f>YEAR(Transactions[[#This Row],[Transaction Date]])</f>
        <v>2024</v>
      </c>
      <c r="Q986" t="str">
        <f>IF(Transactions[[#This Row],[Sales Amount]]&lt;AVERAGE(Transactions[Sales Amount]),"Below Average","At/Above Average")</f>
        <v>At/Above Average</v>
      </c>
    </row>
    <row r="987" spans="4:17" x14ac:dyDescent="0.2">
      <c r="D987" t="s">
        <v>1077</v>
      </c>
      <c r="E987" t="s">
        <v>76</v>
      </c>
      <c r="F987" t="s">
        <v>96</v>
      </c>
      <c r="G987">
        <v>136</v>
      </c>
      <c r="H987">
        <v>7</v>
      </c>
      <c r="I987">
        <v>58.5</v>
      </c>
      <c r="J987">
        <v>3</v>
      </c>
      <c r="K987" s="37">
        <v>45082</v>
      </c>
      <c r="L987" t="s">
        <v>124</v>
      </c>
      <c r="M987">
        <v>38.39</v>
      </c>
      <c r="N987">
        <v>32</v>
      </c>
      <c r="O987" t="str">
        <f>"Q"&amp;ROUNDUP(MONTH(Transactions[[#This Row],[Transaction Date]])/3,0)</f>
        <v>Q2</v>
      </c>
      <c r="P987">
        <f>YEAR(Transactions[[#This Row],[Transaction Date]])</f>
        <v>2023</v>
      </c>
      <c r="Q987" t="str">
        <f>IF(Transactions[[#This Row],[Sales Amount]]&lt;AVERAGE(Transactions[Sales Amount]),"Below Average","At/Above Average")</f>
        <v>Below Average</v>
      </c>
    </row>
    <row r="988" spans="4:17" x14ac:dyDescent="0.2">
      <c r="D988" t="s">
        <v>1078</v>
      </c>
      <c r="E988" t="s">
        <v>76</v>
      </c>
      <c r="F988" t="s">
        <v>99</v>
      </c>
      <c r="G988">
        <v>272</v>
      </c>
      <c r="H988">
        <v>7</v>
      </c>
      <c r="I988">
        <v>54.63</v>
      </c>
      <c r="J988">
        <v>1</v>
      </c>
      <c r="K988" s="37">
        <v>44810</v>
      </c>
      <c r="L988" t="s">
        <v>97</v>
      </c>
      <c r="M988">
        <v>292.07</v>
      </c>
      <c r="N988">
        <v>4</v>
      </c>
      <c r="O988" t="str">
        <f>"Q"&amp;ROUNDUP(MONTH(Transactions[[#This Row],[Transaction Date]])/3,0)</f>
        <v>Q3</v>
      </c>
      <c r="P988">
        <f>YEAR(Transactions[[#This Row],[Transaction Date]])</f>
        <v>2022</v>
      </c>
      <c r="Q988" t="str">
        <f>IF(Transactions[[#This Row],[Sales Amount]]&lt;AVERAGE(Transactions[Sales Amount]),"Below Average","At/Above Average")</f>
        <v>At/Above Average</v>
      </c>
    </row>
    <row r="989" spans="4:17" x14ac:dyDescent="0.2">
      <c r="D989" t="s">
        <v>1079</v>
      </c>
      <c r="E989" t="s">
        <v>78</v>
      </c>
      <c r="F989" t="s">
        <v>129</v>
      </c>
      <c r="G989">
        <v>163</v>
      </c>
      <c r="H989">
        <v>3</v>
      </c>
      <c r="I989">
        <v>46.13</v>
      </c>
      <c r="J989">
        <v>2</v>
      </c>
      <c r="K989" s="37">
        <v>44592</v>
      </c>
      <c r="L989" t="s">
        <v>89</v>
      </c>
      <c r="M989">
        <v>197.42</v>
      </c>
      <c r="N989">
        <v>41</v>
      </c>
      <c r="O989" t="str">
        <f>"Q"&amp;ROUNDUP(MONTH(Transactions[[#This Row],[Transaction Date]])/3,0)</f>
        <v>Q1</v>
      </c>
      <c r="P989">
        <f>YEAR(Transactions[[#This Row],[Transaction Date]])</f>
        <v>2022</v>
      </c>
      <c r="Q989" t="str">
        <f>IF(Transactions[[#This Row],[Sales Amount]]&lt;AVERAGE(Transactions[Sales Amount]),"Below Average","At/Above Average")</f>
        <v>Below Average</v>
      </c>
    </row>
    <row r="990" spans="4:17" x14ac:dyDescent="0.2">
      <c r="D990" t="s">
        <v>1080</v>
      </c>
      <c r="E990" t="s">
        <v>78</v>
      </c>
      <c r="F990" t="s">
        <v>88</v>
      </c>
      <c r="G990">
        <v>201</v>
      </c>
      <c r="H990">
        <v>5</v>
      </c>
      <c r="I990">
        <v>49.84</v>
      </c>
      <c r="J990">
        <v>7</v>
      </c>
      <c r="K990" s="37">
        <v>44871</v>
      </c>
      <c r="L990" t="s">
        <v>124</v>
      </c>
      <c r="M990">
        <v>405.87</v>
      </c>
      <c r="N990">
        <v>43</v>
      </c>
      <c r="O990" t="str">
        <f>"Q"&amp;ROUNDUP(MONTH(Transactions[[#This Row],[Transaction Date]])/3,0)</f>
        <v>Q4</v>
      </c>
      <c r="P990">
        <f>YEAR(Transactions[[#This Row],[Transaction Date]])</f>
        <v>2022</v>
      </c>
      <c r="Q990" t="str">
        <f>IF(Transactions[[#This Row],[Sales Amount]]&lt;AVERAGE(Transactions[Sales Amount]),"Below Average","At/Above Average")</f>
        <v>At/Above Average</v>
      </c>
    </row>
    <row r="991" spans="4:17" x14ac:dyDescent="0.2">
      <c r="D991" t="s">
        <v>1081</v>
      </c>
      <c r="E991" t="s">
        <v>87</v>
      </c>
      <c r="F991" t="s">
        <v>108</v>
      </c>
      <c r="G991">
        <v>272</v>
      </c>
      <c r="H991">
        <v>2</v>
      </c>
      <c r="I991">
        <v>50.17</v>
      </c>
      <c r="J991">
        <v>7</v>
      </c>
      <c r="K991" s="37">
        <v>44571</v>
      </c>
      <c r="L991" t="s">
        <v>97</v>
      </c>
      <c r="M991">
        <v>48.56</v>
      </c>
      <c r="N991">
        <v>8</v>
      </c>
      <c r="O991" t="str">
        <f>"Q"&amp;ROUNDUP(MONTH(Transactions[[#This Row],[Transaction Date]])/3,0)</f>
        <v>Q1</v>
      </c>
      <c r="P991">
        <f>YEAR(Transactions[[#This Row],[Transaction Date]])</f>
        <v>2022</v>
      </c>
      <c r="Q991" t="str">
        <f>IF(Transactions[[#This Row],[Sales Amount]]&lt;AVERAGE(Transactions[Sales Amount]),"Below Average","At/Above Average")</f>
        <v>Below Average</v>
      </c>
    </row>
    <row r="992" spans="4:17" x14ac:dyDescent="0.2">
      <c r="D992" t="s">
        <v>1082</v>
      </c>
      <c r="E992" t="s">
        <v>75</v>
      </c>
      <c r="F992" t="s">
        <v>105</v>
      </c>
      <c r="G992">
        <v>128</v>
      </c>
      <c r="H992">
        <v>1</v>
      </c>
      <c r="I992">
        <v>52.25</v>
      </c>
      <c r="J992">
        <v>10</v>
      </c>
      <c r="K992" s="37">
        <v>45483</v>
      </c>
      <c r="L992" t="s">
        <v>92</v>
      </c>
      <c r="M992">
        <v>388.01</v>
      </c>
      <c r="N992">
        <v>5</v>
      </c>
      <c r="O992" t="str">
        <f>"Q"&amp;ROUNDUP(MONTH(Transactions[[#This Row],[Transaction Date]])/3,0)</f>
        <v>Q3</v>
      </c>
      <c r="P992">
        <f>YEAR(Transactions[[#This Row],[Transaction Date]])</f>
        <v>2024</v>
      </c>
      <c r="Q992" t="str">
        <f>IF(Transactions[[#This Row],[Sales Amount]]&lt;AVERAGE(Transactions[Sales Amount]),"Below Average","At/Above Average")</f>
        <v>At/Above Average</v>
      </c>
    </row>
    <row r="993" spans="4:17" x14ac:dyDescent="0.2">
      <c r="D993" t="s">
        <v>1083</v>
      </c>
      <c r="E993" t="s">
        <v>76</v>
      </c>
      <c r="F993" t="s">
        <v>96</v>
      </c>
      <c r="G993">
        <v>135</v>
      </c>
      <c r="H993">
        <v>2</v>
      </c>
      <c r="I993">
        <v>56.95</v>
      </c>
      <c r="J993">
        <v>2</v>
      </c>
      <c r="K993" s="37">
        <v>44895</v>
      </c>
      <c r="L993" t="s">
        <v>124</v>
      </c>
      <c r="M993">
        <v>242.12</v>
      </c>
      <c r="N993">
        <v>47</v>
      </c>
      <c r="O993" t="str">
        <f>"Q"&amp;ROUNDUP(MONTH(Transactions[[#This Row],[Transaction Date]])/3,0)</f>
        <v>Q4</v>
      </c>
      <c r="P993">
        <f>YEAR(Transactions[[#This Row],[Transaction Date]])</f>
        <v>2022</v>
      </c>
      <c r="Q993" t="str">
        <f>IF(Transactions[[#This Row],[Sales Amount]]&lt;AVERAGE(Transactions[Sales Amount]),"Below Average","At/Above Average")</f>
        <v>Below Average</v>
      </c>
    </row>
    <row r="994" spans="4:17" x14ac:dyDescent="0.2">
      <c r="D994" t="s">
        <v>1084</v>
      </c>
      <c r="E994" t="s">
        <v>75</v>
      </c>
      <c r="F994" t="s">
        <v>99</v>
      </c>
      <c r="G994">
        <v>104</v>
      </c>
      <c r="H994">
        <v>9</v>
      </c>
      <c r="I994">
        <v>49.36</v>
      </c>
      <c r="J994">
        <v>3</v>
      </c>
      <c r="K994" s="37">
        <v>44786</v>
      </c>
      <c r="L994" t="s">
        <v>102</v>
      </c>
      <c r="M994">
        <v>297.05</v>
      </c>
      <c r="N994">
        <v>11</v>
      </c>
      <c r="O994" t="str">
        <f>"Q"&amp;ROUNDUP(MONTH(Transactions[[#This Row],[Transaction Date]])/3,0)</f>
        <v>Q3</v>
      </c>
      <c r="P994">
        <f>YEAR(Transactions[[#This Row],[Transaction Date]])</f>
        <v>2022</v>
      </c>
      <c r="Q994" t="str">
        <f>IF(Transactions[[#This Row],[Sales Amount]]&lt;AVERAGE(Transactions[Sales Amount]),"Below Average","At/Above Average")</f>
        <v>At/Above Average</v>
      </c>
    </row>
    <row r="995" spans="4:17" x14ac:dyDescent="0.2">
      <c r="D995" t="s">
        <v>1085</v>
      </c>
      <c r="E995" t="s">
        <v>77</v>
      </c>
      <c r="F995" t="s">
        <v>108</v>
      </c>
      <c r="G995">
        <v>300</v>
      </c>
      <c r="H995">
        <v>7</v>
      </c>
      <c r="I995">
        <v>51.77</v>
      </c>
      <c r="J995">
        <v>3</v>
      </c>
      <c r="K995" s="37">
        <v>44770</v>
      </c>
      <c r="L995" t="s">
        <v>89</v>
      </c>
      <c r="M995">
        <v>82.82</v>
      </c>
      <c r="N995">
        <v>49</v>
      </c>
      <c r="O995" t="str">
        <f>"Q"&amp;ROUNDUP(MONTH(Transactions[[#This Row],[Transaction Date]])/3,0)</f>
        <v>Q3</v>
      </c>
      <c r="P995">
        <f>YEAR(Transactions[[#This Row],[Transaction Date]])</f>
        <v>2022</v>
      </c>
      <c r="Q995" t="str">
        <f>IF(Transactions[[#This Row],[Sales Amount]]&lt;AVERAGE(Transactions[Sales Amount]),"Below Average","At/Above Average")</f>
        <v>Below Average</v>
      </c>
    </row>
    <row r="996" spans="4:17" x14ac:dyDescent="0.2">
      <c r="D996" t="s">
        <v>1086</v>
      </c>
      <c r="E996" t="s">
        <v>74</v>
      </c>
      <c r="F996" t="s">
        <v>129</v>
      </c>
      <c r="G996">
        <v>113</v>
      </c>
      <c r="H996">
        <v>5</v>
      </c>
      <c r="I996">
        <v>52.04</v>
      </c>
      <c r="J996">
        <v>4</v>
      </c>
      <c r="K996" s="37">
        <v>45459</v>
      </c>
      <c r="L996" t="s">
        <v>97</v>
      </c>
      <c r="M996">
        <v>336.88</v>
      </c>
      <c r="N996">
        <v>37</v>
      </c>
      <c r="O996" t="str">
        <f>"Q"&amp;ROUNDUP(MONTH(Transactions[[#This Row],[Transaction Date]])/3,0)</f>
        <v>Q2</v>
      </c>
      <c r="P996">
        <f>YEAR(Transactions[[#This Row],[Transaction Date]])</f>
        <v>2024</v>
      </c>
      <c r="Q996" t="str">
        <f>IF(Transactions[[#This Row],[Sales Amount]]&lt;AVERAGE(Transactions[Sales Amount]),"Below Average","At/Above Average")</f>
        <v>At/Above Average</v>
      </c>
    </row>
    <row r="997" spans="4:17" x14ac:dyDescent="0.2">
      <c r="D997" t="s">
        <v>1087</v>
      </c>
      <c r="E997" t="s">
        <v>74</v>
      </c>
      <c r="F997" t="s">
        <v>88</v>
      </c>
      <c r="G997">
        <v>149</v>
      </c>
      <c r="H997">
        <v>1</v>
      </c>
      <c r="I997">
        <v>48.42</v>
      </c>
      <c r="J997">
        <v>2</v>
      </c>
      <c r="K997" s="37">
        <v>44621</v>
      </c>
      <c r="L997" t="s">
        <v>109</v>
      </c>
      <c r="M997">
        <v>465.08</v>
      </c>
      <c r="N997">
        <v>37</v>
      </c>
      <c r="O997" t="str">
        <f>"Q"&amp;ROUNDUP(MONTH(Transactions[[#This Row],[Transaction Date]])/3,0)</f>
        <v>Q1</v>
      </c>
      <c r="P997">
        <f>YEAR(Transactions[[#This Row],[Transaction Date]])</f>
        <v>2022</v>
      </c>
      <c r="Q997" t="str">
        <f>IF(Transactions[[#This Row],[Sales Amount]]&lt;AVERAGE(Transactions[Sales Amount]),"Below Average","At/Above Average")</f>
        <v>At/Above Average</v>
      </c>
    </row>
    <row r="998" spans="4:17" x14ac:dyDescent="0.2">
      <c r="D998" t="s">
        <v>1088</v>
      </c>
      <c r="E998" t="s">
        <v>87</v>
      </c>
      <c r="F998" t="s">
        <v>94</v>
      </c>
      <c r="G998">
        <v>127</v>
      </c>
      <c r="H998">
        <v>2</v>
      </c>
      <c r="I998">
        <v>50.56</v>
      </c>
      <c r="J998">
        <v>7</v>
      </c>
      <c r="K998" s="37">
        <v>45287</v>
      </c>
      <c r="L998" t="s">
        <v>89</v>
      </c>
      <c r="M998">
        <v>430.75</v>
      </c>
      <c r="N998">
        <v>34</v>
      </c>
      <c r="O998" t="str">
        <f>"Q"&amp;ROUNDUP(MONTH(Transactions[[#This Row],[Transaction Date]])/3,0)</f>
        <v>Q4</v>
      </c>
      <c r="P998">
        <f>YEAR(Transactions[[#This Row],[Transaction Date]])</f>
        <v>2023</v>
      </c>
      <c r="Q998" t="str">
        <f>IF(Transactions[[#This Row],[Sales Amount]]&lt;AVERAGE(Transactions[Sales Amount]),"Below Average","At/Above Average")</f>
        <v>At/Above Average</v>
      </c>
    </row>
    <row r="999" spans="4:17" x14ac:dyDescent="0.2">
      <c r="D999" t="s">
        <v>1089</v>
      </c>
      <c r="E999" t="s">
        <v>78</v>
      </c>
      <c r="F999" t="s">
        <v>108</v>
      </c>
      <c r="G999">
        <v>175</v>
      </c>
      <c r="H999">
        <v>10</v>
      </c>
      <c r="I999">
        <v>50.18</v>
      </c>
      <c r="J999">
        <v>9</v>
      </c>
      <c r="K999" s="37">
        <v>45641</v>
      </c>
      <c r="L999" t="s">
        <v>109</v>
      </c>
      <c r="M999">
        <v>428.79</v>
      </c>
      <c r="N999">
        <v>41</v>
      </c>
      <c r="O999" t="str">
        <f>"Q"&amp;ROUNDUP(MONTH(Transactions[[#This Row],[Transaction Date]])/3,0)</f>
        <v>Q4</v>
      </c>
      <c r="P999">
        <f>YEAR(Transactions[[#This Row],[Transaction Date]])</f>
        <v>2024</v>
      </c>
      <c r="Q999" t="str">
        <f>IF(Transactions[[#This Row],[Sales Amount]]&lt;AVERAGE(Transactions[Sales Amount]),"Below Average","At/Above Average")</f>
        <v>At/Above Average</v>
      </c>
    </row>
    <row r="1000" spans="4:17" x14ac:dyDescent="0.2">
      <c r="D1000" t="s">
        <v>1090</v>
      </c>
      <c r="E1000" t="s">
        <v>87</v>
      </c>
      <c r="F1000" t="s">
        <v>99</v>
      </c>
      <c r="G1000">
        <v>272</v>
      </c>
      <c r="H1000">
        <v>10</v>
      </c>
      <c r="I1000">
        <v>51.62</v>
      </c>
      <c r="J1000">
        <v>6</v>
      </c>
      <c r="K1000" s="37">
        <v>45184</v>
      </c>
      <c r="L1000" t="s">
        <v>109</v>
      </c>
      <c r="M1000">
        <v>422.44</v>
      </c>
      <c r="N1000">
        <v>11</v>
      </c>
      <c r="O1000" t="str">
        <f>"Q"&amp;ROUNDUP(MONTH(Transactions[[#This Row],[Transaction Date]])/3,0)</f>
        <v>Q3</v>
      </c>
      <c r="P1000">
        <f>YEAR(Transactions[[#This Row],[Transaction Date]])</f>
        <v>2023</v>
      </c>
      <c r="Q1000" t="str">
        <f>IF(Transactions[[#This Row],[Sales Amount]]&lt;AVERAGE(Transactions[Sales Amount]),"Below Average","At/Above Average")</f>
        <v>At/Above Average</v>
      </c>
    </row>
    <row r="1001" spans="4:17" x14ac:dyDescent="0.2">
      <c r="D1001" t="s">
        <v>1091</v>
      </c>
      <c r="E1001" t="s">
        <v>75</v>
      </c>
      <c r="F1001" t="s">
        <v>108</v>
      </c>
      <c r="G1001">
        <v>169</v>
      </c>
      <c r="H1001">
        <v>1</v>
      </c>
      <c r="I1001">
        <v>55.63</v>
      </c>
      <c r="J1001">
        <v>8</v>
      </c>
      <c r="K1001" s="37">
        <v>44766</v>
      </c>
      <c r="L1001" t="s">
        <v>89</v>
      </c>
      <c r="M1001">
        <v>172.1</v>
      </c>
      <c r="N1001">
        <v>37</v>
      </c>
      <c r="O1001" t="str">
        <f>"Q"&amp;ROUNDUP(MONTH(Transactions[[#This Row],[Transaction Date]])/3,0)</f>
        <v>Q3</v>
      </c>
      <c r="P1001">
        <f>YEAR(Transactions[[#This Row],[Transaction Date]])</f>
        <v>2022</v>
      </c>
      <c r="Q1001" t="str">
        <f>IF(Transactions[[#This Row],[Sales Amount]]&lt;AVERAGE(Transactions[Sales Amount]),"Below Average","At/Above Average")</f>
        <v>Below Average</v>
      </c>
    </row>
    <row r="1002" spans="4:17" x14ac:dyDescent="0.2">
      <c r="D1002" t="s">
        <v>1092</v>
      </c>
      <c r="E1002" t="s">
        <v>78</v>
      </c>
      <c r="F1002" t="s">
        <v>108</v>
      </c>
      <c r="G1002">
        <v>277</v>
      </c>
      <c r="H1002">
        <v>1</v>
      </c>
      <c r="I1002">
        <v>58.77</v>
      </c>
      <c r="J1002">
        <v>2</v>
      </c>
      <c r="K1002" s="37">
        <v>44690</v>
      </c>
      <c r="L1002" t="s">
        <v>124</v>
      </c>
      <c r="M1002">
        <v>147.28</v>
      </c>
      <c r="N1002">
        <v>41</v>
      </c>
      <c r="O1002" t="str">
        <f>"Q"&amp;ROUNDUP(MONTH(Transactions[[#This Row],[Transaction Date]])/3,0)</f>
        <v>Q2</v>
      </c>
      <c r="P1002">
        <f>YEAR(Transactions[[#This Row],[Transaction Date]])</f>
        <v>2022</v>
      </c>
      <c r="Q1002" t="str">
        <f>IF(Transactions[[#This Row],[Sales Amount]]&lt;AVERAGE(Transactions[Sales Amount]),"Below Average","At/Above Average")</f>
        <v>Below Average</v>
      </c>
    </row>
    <row r="1003" spans="4:17" x14ac:dyDescent="0.2">
      <c r="D1003" t="s">
        <v>1093</v>
      </c>
      <c r="E1003" t="s">
        <v>78</v>
      </c>
      <c r="F1003" t="s">
        <v>94</v>
      </c>
      <c r="G1003">
        <v>230</v>
      </c>
      <c r="H1003">
        <v>3</v>
      </c>
      <c r="I1003">
        <v>54.25</v>
      </c>
      <c r="J1003">
        <v>8</v>
      </c>
      <c r="K1003" s="37">
        <v>45186</v>
      </c>
      <c r="L1003" t="s">
        <v>109</v>
      </c>
      <c r="M1003">
        <v>449.94</v>
      </c>
      <c r="N1003">
        <v>15</v>
      </c>
      <c r="O1003" t="str">
        <f>"Q"&amp;ROUNDUP(MONTH(Transactions[[#This Row],[Transaction Date]])/3,0)</f>
        <v>Q3</v>
      </c>
      <c r="P1003">
        <f>YEAR(Transactions[[#This Row],[Transaction Date]])</f>
        <v>2023</v>
      </c>
      <c r="Q1003" t="str">
        <f>IF(Transactions[[#This Row],[Sales Amount]]&lt;AVERAGE(Transactions[Sales Amount]),"Below Average","At/Above Average")</f>
        <v>At/Above Average</v>
      </c>
    </row>
    <row r="1004" spans="4:17" x14ac:dyDescent="0.2">
      <c r="D1004" t="s">
        <v>1094</v>
      </c>
      <c r="E1004" t="s">
        <v>74</v>
      </c>
      <c r="F1004" t="s">
        <v>129</v>
      </c>
      <c r="G1004">
        <v>148</v>
      </c>
      <c r="H1004">
        <v>5</v>
      </c>
      <c r="I1004">
        <v>52.97</v>
      </c>
      <c r="J1004">
        <v>1</v>
      </c>
      <c r="K1004" s="37">
        <v>45314</v>
      </c>
      <c r="L1004" t="s">
        <v>102</v>
      </c>
      <c r="M1004">
        <v>469.69</v>
      </c>
      <c r="N1004">
        <v>50</v>
      </c>
      <c r="O1004" t="str">
        <f>"Q"&amp;ROUNDUP(MONTH(Transactions[[#This Row],[Transaction Date]])/3,0)</f>
        <v>Q1</v>
      </c>
      <c r="P1004">
        <f>YEAR(Transactions[[#This Row],[Transaction Date]])</f>
        <v>2024</v>
      </c>
      <c r="Q1004" t="str">
        <f>IF(Transactions[[#This Row],[Sales Amount]]&lt;AVERAGE(Transactions[Sales Amount]),"Below Average","At/Above Average")</f>
        <v>At/Above Average</v>
      </c>
    </row>
    <row r="1005" spans="4:17" x14ac:dyDescent="0.2">
      <c r="D1005" t="s">
        <v>1095</v>
      </c>
      <c r="E1005" t="s">
        <v>77</v>
      </c>
      <c r="F1005" t="s">
        <v>94</v>
      </c>
      <c r="G1005">
        <v>289</v>
      </c>
      <c r="H1005">
        <v>9</v>
      </c>
      <c r="I1005">
        <v>47.16</v>
      </c>
      <c r="J1005">
        <v>9</v>
      </c>
      <c r="K1005" s="37">
        <v>44749</v>
      </c>
      <c r="L1005" t="s">
        <v>102</v>
      </c>
      <c r="M1005">
        <v>135.86000000000001</v>
      </c>
      <c r="N1005">
        <v>24</v>
      </c>
      <c r="O1005" t="str">
        <f>"Q"&amp;ROUNDUP(MONTH(Transactions[[#This Row],[Transaction Date]])/3,0)</f>
        <v>Q3</v>
      </c>
      <c r="P1005">
        <f>YEAR(Transactions[[#This Row],[Transaction Date]])</f>
        <v>2022</v>
      </c>
      <c r="Q1005" t="str">
        <f>IF(Transactions[[#This Row],[Sales Amount]]&lt;AVERAGE(Transactions[Sales Amount]),"Below Average","At/Above Average")</f>
        <v>Below Average</v>
      </c>
    </row>
    <row r="1006" spans="4:17" x14ac:dyDescent="0.2">
      <c r="D1006" t="s">
        <v>1096</v>
      </c>
      <c r="E1006" t="s">
        <v>74</v>
      </c>
      <c r="F1006" t="s">
        <v>129</v>
      </c>
      <c r="G1006">
        <v>266</v>
      </c>
      <c r="H1006">
        <v>1</v>
      </c>
      <c r="I1006">
        <v>47.66</v>
      </c>
      <c r="J1006">
        <v>8</v>
      </c>
      <c r="K1006" s="37">
        <v>45342</v>
      </c>
      <c r="L1006" t="s">
        <v>102</v>
      </c>
      <c r="M1006">
        <v>349.73</v>
      </c>
      <c r="N1006">
        <v>33</v>
      </c>
      <c r="O1006" t="str">
        <f>"Q"&amp;ROUNDUP(MONTH(Transactions[[#This Row],[Transaction Date]])/3,0)</f>
        <v>Q1</v>
      </c>
      <c r="P1006">
        <f>YEAR(Transactions[[#This Row],[Transaction Date]])</f>
        <v>2024</v>
      </c>
      <c r="Q1006" t="str">
        <f>IF(Transactions[[#This Row],[Sales Amount]]&lt;AVERAGE(Transactions[Sales Amount]),"Below Average","At/Above Average")</f>
        <v>At/Above Average</v>
      </c>
    </row>
    <row r="1007" spans="4:17" x14ac:dyDescent="0.2">
      <c r="D1007" t="s">
        <v>1097</v>
      </c>
      <c r="E1007" t="s">
        <v>77</v>
      </c>
      <c r="F1007" t="s">
        <v>105</v>
      </c>
      <c r="G1007">
        <v>232</v>
      </c>
      <c r="H1007">
        <v>7</v>
      </c>
      <c r="I1007">
        <v>57.54</v>
      </c>
      <c r="J1007">
        <v>2</v>
      </c>
      <c r="K1007" s="37">
        <v>45331</v>
      </c>
      <c r="L1007" t="s">
        <v>124</v>
      </c>
      <c r="M1007">
        <v>430.36</v>
      </c>
      <c r="N1007">
        <v>45</v>
      </c>
      <c r="O1007" t="str">
        <f>"Q"&amp;ROUNDUP(MONTH(Transactions[[#This Row],[Transaction Date]])/3,0)</f>
        <v>Q1</v>
      </c>
      <c r="P1007">
        <f>YEAR(Transactions[[#This Row],[Transaction Date]])</f>
        <v>2024</v>
      </c>
      <c r="Q1007" t="str">
        <f>IF(Transactions[[#This Row],[Sales Amount]]&lt;AVERAGE(Transactions[Sales Amount]),"Below Average","At/Above Average")</f>
        <v>At/Above Average</v>
      </c>
    </row>
    <row r="1008" spans="4:17" x14ac:dyDescent="0.2">
      <c r="D1008" t="s">
        <v>1098</v>
      </c>
      <c r="E1008" t="s">
        <v>78</v>
      </c>
      <c r="F1008" t="s">
        <v>96</v>
      </c>
      <c r="G1008">
        <v>258</v>
      </c>
      <c r="H1008">
        <v>7</v>
      </c>
      <c r="I1008">
        <v>47.37</v>
      </c>
      <c r="J1008">
        <v>3</v>
      </c>
      <c r="K1008" s="37">
        <v>45259</v>
      </c>
      <c r="L1008" t="s">
        <v>109</v>
      </c>
      <c r="M1008">
        <v>63.13</v>
      </c>
      <c r="N1008">
        <v>6</v>
      </c>
      <c r="O1008" t="str">
        <f>"Q"&amp;ROUNDUP(MONTH(Transactions[[#This Row],[Transaction Date]])/3,0)</f>
        <v>Q4</v>
      </c>
      <c r="P1008">
        <f>YEAR(Transactions[[#This Row],[Transaction Date]])</f>
        <v>2023</v>
      </c>
      <c r="Q1008" t="str">
        <f>IF(Transactions[[#This Row],[Sales Amount]]&lt;AVERAGE(Transactions[Sales Amount]),"Below Average","At/Above Average")</f>
        <v>Below Average</v>
      </c>
    </row>
    <row r="1009" spans="4:17" x14ac:dyDescent="0.2">
      <c r="D1009" t="s">
        <v>1099</v>
      </c>
      <c r="E1009" t="s">
        <v>78</v>
      </c>
      <c r="F1009" t="s">
        <v>91</v>
      </c>
      <c r="G1009">
        <v>203</v>
      </c>
      <c r="H1009">
        <v>7</v>
      </c>
      <c r="I1009">
        <v>48.48</v>
      </c>
      <c r="J1009">
        <v>5</v>
      </c>
      <c r="K1009" s="37">
        <v>45444</v>
      </c>
      <c r="L1009" t="s">
        <v>92</v>
      </c>
      <c r="M1009">
        <v>353.98</v>
      </c>
      <c r="N1009">
        <v>23</v>
      </c>
      <c r="O1009" t="str">
        <f>"Q"&amp;ROUNDUP(MONTH(Transactions[[#This Row],[Transaction Date]])/3,0)</f>
        <v>Q2</v>
      </c>
      <c r="P1009">
        <f>YEAR(Transactions[[#This Row],[Transaction Date]])</f>
        <v>2024</v>
      </c>
      <c r="Q1009" t="str">
        <f>IF(Transactions[[#This Row],[Sales Amount]]&lt;AVERAGE(Transactions[Sales Amount]),"Below Average","At/Above Average")</f>
        <v>At/Above Average</v>
      </c>
    </row>
    <row r="1010" spans="4:17" x14ac:dyDescent="0.2">
      <c r="D1010" t="s">
        <v>1100</v>
      </c>
      <c r="E1010" t="s">
        <v>87</v>
      </c>
      <c r="F1010" t="s">
        <v>91</v>
      </c>
      <c r="G1010">
        <v>253</v>
      </c>
      <c r="H1010">
        <v>9</v>
      </c>
      <c r="I1010">
        <v>55.07</v>
      </c>
      <c r="J1010">
        <v>3</v>
      </c>
      <c r="K1010" s="37">
        <v>45165</v>
      </c>
      <c r="L1010" t="s">
        <v>97</v>
      </c>
      <c r="M1010">
        <v>441.67</v>
      </c>
      <c r="N1010">
        <v>50</v>
      </c>
      <c r="O1010" t="str">
        <f>"Q"&amp;ROUNDUP(MONTH(Transactions[[#This Row],[Transaction Date]])/3,0)</f>
        <v>Q3</v>
      </c>
      <c r="P1010">
        <f>YEAR(Transactions[[#This Row],[Transaction Date]])</f>
        <v>2023</v>
      </c>
      <c r="Q1010" t="str">
        <f>IF(Transactions[[#This Row],[Sales Amount]]&lt;AVERAGE(Transactions[Sales Amount]),"Below Average","At/Above Average")</f>
        <v>At/Above Average</v>
      </c>
    </row>
    <row r="1011" spans="4:17" x14ac:dyDescent="0.2">
      <c r="D1011" t="s">
        <v>1101</v>
      </c>
      <c r="E1011" t="s">
        <v>77</v>
      </c>
      <c r="F1011" t="s">
        <v>108</v>
      </c>
      <c r="G1011">
        <v>227</v>
      </c>
      <c r="H1011">
        <v>5</v>
      </c>
      <c r="I1011">
        <v>53.28</v>
      </c>
      <c r="J1011">
        <v>1</v>
      </c>
      <c r="K1011" s="37">
        <v>44881</v>
      </c>
      <c r="L1011" t="s">
        <v>89</v>
      </c>
      <c r="M1011">
        <v>221.52</v>
      </c>
      <c r="N1011">
        <v>40</v>
      </c>
      <c r="O1011" t="str">
        <f>"Q"&amp;ROUNDUP(MONTH(Transactions[[#This Row],[Transaction Date]])/3,0)</f>
        <v>Q4</v>
      </c>
      <c r="P1011">
        <f>YEAR(Transactions[[#This Row],[Transaction Date]])</f>
        <v>2022</v>
      </c>
      <c r="Q1011" t="str">
        <f>IF(Transactions[[#This Row],[Sales Amount]]&lt;AVERAGE(Transactions[Sales Amount]),"Below Average","At/Above Average")</f>
        <v>Below Average</v>
      </c>
    </row>
    <row r="1012" spans="4:17" x14ac:dyDescent="0.2">
      <c r="D1012" t="s">
        <v>1102</v>
      </c>
      <c r="E1012" t="s">
        <v>77</v>
      </c>
      <c r="F1012" t="s">
        <v>94</v>
      </c>
      <c r="G1012">
        <v>102</v>
      </c>
      <c r="H1012">
        <v>5</v>
      </c>
      <c r="I1012">
        <v>50.85</v>
      </c>
      <c r="J1012">
        <v>6</v>
      </c>
      <c r="K1012" s="37">
        <v>44664</v>
      </c>
      <c r="L1012" t="s">
        <v>89</v>
      </c>
      <c r="M1012">
        <v>380.88</v>
      </c>
      <c r="N1012">
        <v>22</v>
      </c>
      <c r="O1012" t="str">
        <f>"Q"&amp;ROUNDUP(MONTH(Transactions[[#This Row],[Transaction Date]])/3,0)</f>
        <v>Q2</v>
      </c>
      <c r="P1012">
        <f>YEAR(Transactions[[#This Row],[Transaction Date]])</f>
        <v>2022</v>
      </c>
      <c r="Q1012" t="str">
        <f>IF(Transactions[[#This Row],[Sales Amount]]&lt;AVERAGE(Transactions[Sales Amount]),"Below Average","At/Above Average")</f>
        <v>At/Above Average</v>
      </c>
    </row>
    <row r="1013" spans="4:17" x14ac:dyDescent="0.2">
      <c r="D1013" t="s">
        <v>1103</v>
      </c>
      <c r="E1013" t="s">
        <v>87</v>
      </c>
      <c r="F1013" t="s">
        <v>129</v>
      </c>
      <c r="G1013">
        <v>218</v>
      </c>
      <c r="H1013">
        <v>8</v>
      </c>
      <c r="I1013">
        <v>45.21</v>
      </c>
      <c r="J1013">
        <v>4</v>
      </c>
      <c r="K1013" s="37">
        <v>45472</v>
      </c>
      <c r="L1013" t="s">
        <v>102</v>
      </c>
      <c r="M1013">
        <v>246.94</v>
      </c>
      <c r="N1013">
        <v>48</v>
      </c>
      <c r="O1013" t="str">
        <f>"Q"&amp;ROUNDUP(MONTH(Transactions[[#This Row],[Transaction Date]])/3,0)</f>
        <v>Q2</v>
      </c>
      <c r="P1013">
        <f>YEAR(Transactions[[#This Row],[Transaction Date]])</f>
        <v>2024</v>
      </c>
      <c r="Q1013" t="str">
        <f>IF(Transactions[[#This Row],[Sales Amount]]&lt;AVERAGE(Transactions[Sales Amount]),"Below Average","At/Above Average")</f>
        <v>Below Average</v>
      </c>
    </row>
    <row r="1014" spans="4:17" x14ac:dyDescent="0.2">
      <c r="D1014" t="s">
        <v>1104</v>
      </c>
      <c r="E1014" t="s">
        <v>77</v>
      </c>
      <c r="F1014" t="s">
        <v>94</v>
      </c>
      <c r="G1014">
        <v>291</v>
      </c>
      <c r="H1014">
        <v>3</v>
      </c>
      <c r="I1014">
        <v>51.08</v>
      </c>
      <c r="J1014">
        <v>8</v>
      </c>
      <c r="K1014" s="37">
        <v>44766</v>
      </c>
      <c r="L1014" t="s">
        <v>124</v>
      </c>
      <c r="M1014">
        <v>68.67</v>
      </c>
      <c r="N1014">
        <v>30</v>
      </c>
      <c r="O1014" t="str">
        <f>"Q"&amp;ROUNDUP(MONTH(Transactions[[#This Row],[Transaction Date]])/3,0)</f>
        <v>Q3</v>
      </c>
      <c r="P1014">
        <f>YEAR(Transactions[[#This Row],[Transaction Date]])</f>
        <v>2022</v>
      </c>
      <c r="Q1014" t="str">
        <f>IF(Transactions[[#This Row],[Sales Amount]]&lt;AVERAGE(Transactions[Sales Amount]),"Below Average","At/Above Average")</f>
        <v>Below Average</v>
      </c>
    </row>
    <row r="1015" spans="4:17" x14ac:dyDescent="0.2">
      <c r="D1015" t="s">
        <v>1105</v>
      </c>
      <c r="E1015" t="s">
        <v>87</v>
      </c>
      <c r="F1015" t="s">
        <v>91</v>
      </c>
      <c r="G1015">
        <v>122</v>
      </c>
      <c r="H1015">
        <v>7</v>
      </c>
      <c r="I1015">
        <v>52.63</v>
      </c>
      <c r="J1015">
        <v>6</v>
      </c>
      <c r="K1015" s="37">
        <v>45021</v>
      </c>
      <c r="L1015" t="s">
        <v>109</v>
      </c>
      <c r="M1015">
        <v>396.45</v>
      </c>
      <c r="N1015">
        <v>2</v>
      </c>
      <c r="O1015" t="str">
        <f>"Q"&amp;ROUNDUP(MONTH(Transactions[[#This Row],[Transaction Date]])/3,0)</f>
        <v>Q2</v>
      </c>
      <c r="P1015">
        <f>YEAR(Transactions[[#This Row],[Transaction Date]])</f>
        <v>2023</v>
      </c>
      <c r="Q1015" t="str">
        <f>IF(Transactions[[#This Row],[Sales Amount]]&lt;AVERAGE(Transactions[Sales Amount]),"Below Average","At/Above Average")</f>
        <v>At/Above Average</v>
      </c>
    </row>
    <row r="1016" spans="4:17" x14ac:dyDescent="0.2">
      <c r="D1016" t="s">
        <v>1106</v>
      </c>
      <c r="E1016" t="s">
        <v>76</v>
      </c>
      <c r="F1016" t="s">
        <v>105</v>
      </c>
      <c r="G1016">
        <v>177</v>
      </c>
      <c r="H1016">
        <v>7</v>
      </c>
      <c r="I1016">
        <v>56.9</v>
      </c>
      <c r="J1016">
        <v>7</v>
      </c>
      <c r="K1016" s="37">
        <v>44566</v>
      </c>
      <c r="L1016" t="s">
        <v>97</v>
      </c>
      <c r="M1016">
        <v>366.94</v>
      </c>
      <c r="N1016">
        <v>7</v>
      </c>
      <c r="O1016" t="str">
        <f>"Q"&amp;ROUNDUP(MONTH(Transactions[[#This Row],[Transaction Date]])/3,0)</f>
        <v>Q1</v>
      </c>
      <c r="P1016">
        <f>YEAR(Transactions[[#This Row],[Transaction Date]])</f>
        <v>2022</v>
      </c>
      <c r="Q1016" t="str">
        <f>IF(Transactions[[#This Row],[Sales Amount]]&lt;AVERAGE(Transactions[Sales Amount]),"Below Average","At/Above Average")</f>
        <v>At/Above Average</v>
      </c>
    </row>
    <row r="1017" spans="4:17" x14ac:dyDescent="0.2">
      <c r="D1017" t="s">
        <v>1107</v>
      </c>
      <c r="E1017" t="s">
        <v>78</v>
      </c>
      <c r="F1017" t="s">
        <v>88</v>
      </c>
      <c r="G1017">
        <v>285</v>
      </c>
      <c r="H1017">
        <v>10</v>
      </c>
      <c r="I1017">
        <v>47.45</v>
      </c>
      <c r="J1017">
        <v>5</v>
      </c>
      <c r="K1017" s="37">
        <v>45268</v>
      </c>
      <c r="L1017" t="s">
        <v>124</v>
      </c>
      <c r="M1017">
        <v>91.15</v>
      </c>
      <c r="N1017">
        <v>40</v>
      </c>
      <c r="O1017" t="str">
        <f>"Q"&amp;ROUNDUP(MONTH(Transactions[[#This Row],[Transaction Date]])/3,0)</f>
        <v>Q4</v>
      </c>
      <c r="P1017">
        <f>YEAR(Transactions[[#This Row],[Transaction Date]])</f>
        <v>2023</v>
      </c>
      <c r="Q1017" t="str">
        <f>IF(Transactions[[#This Row],[Sales Amount]]&lt;AVERAGE(Transactions[Sales Amount]),"Below Average","At/Above Average")</f>
        <v>Below Average</v>
      </c>
    </row>
    <row r="1018" spans="4:17" x14ac:dyDescent="0.2">
      <c r="D1018" t="s">
        <v>1108</v>
      </c>
      <c r="E1018" t="s">
        <v>78</v>
      </c>
      <c r="F1018" t="s">
        <v>99</v>
      </c>
      <c r="G1018">
        <v>163</v>
      </c>
      <c r="H1018">
        <v>9</v>
      </c>
      <c r="I1018">
        <v>46.57</v>
      </c>
      <c r="J1018">
        <v>4</v>
      </c>
      <c r="K1018" s="37">
        <v>45205</v>
      </c>
      <c r="L1018" t="s">
        <v>124</v>
      </c>
      <c r="M1018">
        <v>473.96</v>
      </c>
      <c r="N1018">
        <v>50</v>
      </c>
      <c r="O1018" t="str">
        <f>"Q"&amp;ROUNDUP(MONTH(Transactions[[#This Row],[Transaction Date]])/3,0)</f>
        <v>Q4</v>
      </c>
      <c r="P1018">
        <f>YEAR(Transactions[[#This Row],[Transaction Date]])</f>
        <v>2023</v>
      </c>
      <c r="Q1018" t="str">
        <f>IF(Transactions[[#This Row],[Sales Amount]]&lt;AVERAGE(Transactions[Sales Amount]),"Below Average","At/Above Average")</f>
        <v>At/Above Average</v>
      </c>
    </row>
    <row r="1019" spans="4:17" x14ac:dyDescent="0.2">
      <c r="D1019" t="s">
        <v>1109</v>
      </c>
      <c r="E1019" t="s">
        <v>77</v>
      </c>
      <c r="F1019" t="s">
        <v>96</v>
      </c>
      <c r="G1019">
        <v>137</v>
      </c>
      <c r="H1019">
        <v>2</v>
      </c>
      <c r="I1019">
        <v>57.3</v>
      </c>
      <c r="J1019">
        <v>2</v>
      </c>
      <c r="K1019" s="37">
        <v>44581</v>
      </c>
      <c r="L1019" t="s">
        <v>102</v>
      </c>
      <c r="M1019">
        <v>134.27000000000001</v>
      </c>
      <c r="N1019">
        <v>26</v>
      </c>
      <c r="O1019" t="str">
        <f>"Q"&amp;ROUNDUP(MONTH(Transactions[[#This Row],[Transaction Date]])/3,0)</f>
        <v>Q1</v>
      </c>
      <c r="P1019">
        <f>YEAR(Transactions[[#This Row],[Transaction Date]])</f>
        <v>2022</v>
      </c>
      <c r="Q1019" t="str">
        <f>IF(Transactions[[#This Row],[Sales Amount]]&lt;AVERAGE(Transactions[Sales Amount]),"Below Average","At/Above Average")</f>
        <v>Below Average</v>
      </c>
    </row>
    <row r="1020" spans="4:17" x14ac:dyDescent="0.2">
      <c r="D1020" t="s">
        <v>1110</v>
      </c>
      <c r="E1020" t="s">
        <v>75</v>
      </c>
      <c r="F1020" t="s">
        <v>99</v>
      </c>
      <c r="G1020">
        <v>277</v>
      </c>
      <c r="H1020">
        <v>2</v>
      </c>
      <c r="I1020">
        <v>59.75</v>
      </c>
      <c r="J1020">
        <v>3</v>
      </c>
      <c r="K1020" s="37">
        <v>45655</v>
      </c>
      <c r="L1020" t="s">
        <v>109</v>
      </c>
      <c r="M1020">
        <v>33.51</v>
      </c>
      <c r="N1020">
        <v>28</v>
      </c>
      <c r="O1020" t="str">
        <f>"Q"&amp;ROUNDUP(MONTH(Transactions[[#This Row],[Transaction Date]])/3,0)</f>
        <v>Q4</v>
      </c>
      <c r="P1020">
        <f>YEAR(Transactions[[#This Row],[Transaction Date]])</f>
        <v>2024</v>
      </c>
      <c r="Q1020" t="str">
        <f>IF(Transactions[[#This Row],[Sales Amount]]&lt;AVERAGE(Transactions[Sales Amount]),"Below Average","At/Above Average")</f>
        <v>Below Average</v>
      </c>
    </row>
    <row r="1021" spans="4:17" x14ac:dyDescent="0.2">
      <c r="D1021" t="s">
        <v>1111</v>
      </c>
      <c r="E1021" t="s">
        <v>74</v>
      </c>
      <c r="F1021" t="s">
        <v>88</v>
      </c>
      <c r="G1021">
        <v>142</v>
      </c>
      <c r="H1021">
        <v>6</v>
      </c>
      <c r="I1021">
        <v>53.26</v>
      </c>
      <c r="J1021">
        <v>5</v>
      </c>
      <c r="K1021" s="37">
        <v>45140</v>
      </c>
      <c r="L1021" t="s">
        <v>89</v>
      </c>
      <c r="M1021">
        <v>400.49</v>
      </c>
      <c r="N1021">
        <v>1</v>
      </c>
      <c r="O1021" t="str">
        <f>"Q"&amp;ROUNDUP(MONTH(Transactions[[#This Row],[Transaction Date]])/3,0)</f>
        <v>Q3</v>
      </c>
      <c r="P1021">
        <f>YEAR(Transactions[[#This Row],[Transaction Date]])</f>
        <v>2023</v>
      </c>
      <c r="Q1021" t="str">
        <f>IF(Transactions[[#This Row],[Sales Amount]]&lt;AVERAGE(Transactions[Sales Amount]),"Below Average","At/Above Average")</f>
        <v>At/Above Average</v>
      </c>
    </row>
    <row r="1022" spans="4:17" x14ac:dyDescent="0.2">
      <c r="D1022" t="s">
        <v>1112</v>
      </c>
      <c r="E1022" t="s">
        <v>78</v>
      </c>
      <c r="F1022" t="s">
        <v>105</v>
      </c>
      <c r="G1022">
        <v>273</v>
      </c>
      <c r="H1022">
        <v>2</v>
      </c>
      <c r="I1022">
        <v>54.63</v>
      </c>
      <c r="J1022">
        <v>10</v>
      </c>
      <c r="K1022" s="37">
        <v>45225</v>
      </c>
      <c r="L1022" t="s">
        <v>89</v>
      </c>
      <c r="M1022">
        <v>368.85</v>
      </c>
      <c r="N1022">
        <v>36</v>
      </c>
      <c r="O1022" t="str">
        <f>"Q"&amp;ROUNDUP(MONTH(Transactions[[#This Row],[Transaction Date]])/3,0)</f>
        <v>Q4</v>
      </c>
      <c r="P1022">
        <f>YEAR(Transactions[[#This Row],[Transaction Date]])</f>
        <v>2023</v>
      </c>
      <c r="Q1022" t="str">
        <f>IF(Transactions[[#This Row],[Sales Amount]]&lt;AVERAGE(Transactions[Sales Amount]),"Below Average","At/Above Average")</f>
        <v>At/Above Average</v>
      </c>
    </row>
    <row r="1023" spans="4:17" x14ac:dyDescent="0.2">
      <c r="D1023" t="s">
        <v>1113</v>
      </c>
      <c r="E1023" t="s">
        <v>77</v>
      </c>
      <c r="F1023" t="s">
        <v>88</v>
      </c>
      <c r="G1023">
        <v>178</v>
      </c>
      <c r="H1023">
        <v>10</v>
      </c>
      <c r="I1023">
        <v>59.33</v>
      </c>
      <c r="J1023">
        <v>6</v>
      </c>
      <c r="K1023" s="37">
        <v>45325</v>
      </c>
      <c r="L1023" t="s">
        <v>124</v>
      </c>
      <c r="M1023">
        <v>13.73</v>
      </c>
      <c r="N1023">
        <v>47</v>
      </c>
      <c r="O1023" t="str">
        <f>"Q"&amp;ROUNDUP(MONTH(Transactions[[#This Row],[Transaction Date]])/3,0)</f>
        <v>Q1</v>
      </c>
      <c r="P1023">
        <f>YEAR(Transactions[[#This Row],[Transaction Date]])</f>
        <v>2024</v>
      </c>
      <c r="Q1023" t="str">
        <f>IF(Transactions[[#This Row],[Sales Amount]]&lt;AVERAGE(Transactions[Sales Amount]),"Below Average","At/Above Average")</f>
        <v>Below Average</v>
      </c>
    </row>
    <row r="1024" spans="4:17" x14ac:dyDescent="0.2">
      <c r="D1024" t="s">
        <v>1114</v>
      </c>
      <c r="E1024" t="s">
        <v>77</v>
      </c>
      <c r="F1024" t="s">
        <v>129</v>
      </c>
      <c r="G1024">
        <v>181</v>
      </c>
      <c r="H1024">
        <v>5</v>
      </c>
      <c r="I1024">
        <v>50.19</v>
      </c>
      <c r="J1024">
        <v>1</v>
      </c>
      <c r="K1024" s="37">
        <v>45153</v>
      </c>
      <c r="L1024" t="s">
        <v>109</v>
      </c>
      <c r="M1024">
        <v>270.62</v>
      </c>
      <c r="N1024">
        <v>30</v>
      </c>
      <c r="O1024" t="str">
        <f>"Q"&amp;ROUNDUP(MONTH(Transactions[[#This Row],[Transaction Date]])/3,0)</f>
        <v>Q3</v>
      </c>
      <c r="P1024">
        <f>YEAR(Transactions[[#This Row],[Transaction Date]])</f>
        <v>2023</v>
      </c>
      <c r="Q1024" t="str">
        <f>IF(Transactions[[#This Row],[Sales Amount]]&lt;AVERAGE(Transactions[Sales Amount]),"Below Average","At/Above Average")</f>
        <v>At/Above Average</v>
      </c>
    </row>
    <row r="1025" spans="4:17" x14ac:dyDescent="0.2">
      <c r="D1025" t="s">
        <v>1115</v>
      </c>
      <c r="E1025" t="s">
        <v>87</v>
      </c>
      <c r="F1025" t="s">
        <v>96</v>
      </c>
      <c r="G1025">
        <v>257</v>
      </c>
      <c r="H1025">
        <v>8</v>
      </c>
      <c r="I1025">
        <v>57.35</v>
      </c>
      <c r="J1025">
        <v>7</v>
      </c>
      <c r="K1025" s="37">
        <v>44692</v>
      </c>
      <c r="L1025" t="s">
        <v>89</v>
      </c>
      <c r="M1025">
        <v>468.38</v>
      </c>
      <c r="N1025">
        <v>46</v>
      </c>
      <c r="O1025" t="str">
        <f>"Q"&amp;ROUNDUP(MONTH(Transactions[[#This Row],[Transaction Date]])/3,0)</f>
        <v>Q2</v>
      </c>
      <c r="P1025">
        <f>YEAR(Transactions[[#This Row],[Transaction Date]])</f>
        <v>2022</v>
      </c>
      <c r="Q1025" t="str">
        <f>IF(Transactions[[#This Row],[Sales Amount]]&lt;AVERAGE(Transactions[Sales Amount]),"Below Average","At/Above Average")</f>
        <v>At/Above Average</v>
      </c>
    </row>
    <row r="1026" spans="4:17" x14ac:dyDescent="0.2">
      <c r="D1026" t="s">
        <v>1116</v>
      </c>
      <c r="E1026" t="s">
        <v>76</v>
      </c>
      <c r="F1026" t="s">
        <v>96</v>
      </c>
      <c r="G1026">
        <v>171</v>
      </c>
      <c r="H1026">
        <v>1</v>
      </c>
      <c r="I1026">
        <v>55.12</v>
      </c>
      <c r="J1026">
        <v>7</v>
      </c>
      <c r="K1026" s="37">
        <v>44879</v>
      </c>
      <c r="L1026" t="s">
        <v>92</v>
      </c>
      <c r="M1026">
        <v>389.4</v>
      </c>
      <c r="N1026">
        <v>11</v>
      </c>
      <c r="O1026" t="str">
        <f>"Q"&amp;ROUNDUP(MONTH(Transactions[[#This Row],[Transaction Date]])/3,0)</f>
        <v>Q4</v>
      </c>
      <c r="P1026">
        <f>YEAR(Transactions[[#This Row],[Transaction Date]])</f>
        <v>2022</v>
      </c>
      <c r="Q1026" t="str">
        <f>IF(Transactions[[#This Row],[Sales Amount]]&lt;AVERAGE(Transactions[Sales Amount]),"Below Average","At/Above Average")</f>
        <v>At/Above Average</v>
      </c>
    </row>
    <row r="1027" spans="4:17" x14ac:dyDescent="0.2">
      <c r="D1027" t="s">
        <v>1117</v>
      </c>
      <c r="E1027" t="s">
        <v>75</v>
      </c>
      <c r="F1027" t="s">
        <v>91</v>
      </c>
      <c r="G1027">
        <v>208</v>
      </c>
      <c r="H1027">
        <v>8</v>
      </c>
      <c r="I1027">
        <v>51.99</v>
      </c>
      <c r="J1027">
        <v>3</v>
      </c>
      <c r="K1027" s="37">
        <v>44593</v>
      </c>
      <c r="L1027" t="s">
        <v>89</v>
      </c>
      <c r="M1027">
        <v>481.18</v>
      </c>
      <c r="N1027">
        <v>9</v>
      </c>
      <c r="O1027" t="str">
        <f>"Q"&amp;ROUNDUP(MONTH(Transactions[[#This Row],[Transaction Date]])/3,0)</f>
        <v>Q1</v>
      </c>
      <c r="P1027">
        <f>YEAR(Transactions[[#This Row],[Transaction Date]])</f>
        <v>2022</v>
      </c>
      <c r="Q1027" t="str">
        <f>IF(Transactions[[#This Row],[Sales Amount]]&lt;AVERAGE(Transactions[Sales Amount]),"Below Average","At/Above Average")</f>
        <v>At/Above Average</v>
      </c>
    </row>
    <row r="1028" spans="4:17" x14ac:dyDescent="0.2">
      <c r="D1028" t="s">
        <v>1118</v>
      </c>
      <c r="E1028" t="s">
        <v>78</v>
      </c>
      <c r="F1028" t="s">
        <v>105</v>
      </c>
      <c r="G1028">
        <v>257</v>
      </c>
      <c r="H1028">
        <v>3</v>
      </c>
      <c r="I1028">
        <v>53.04</v>
      </c>
      <c r="J1028">
        <v>5</v>
      </c>
      <c r="K1028" s="37">
        <v>45569</v>
      </c>
      <c r="L1028" t="s">
        <v>102</v>
      </c>
      <c r="M1028">
        <v>460.9</v>
      </c>
      <c r="N1028">
        <v>13</v>
      </c>
      <c r="O1028" t="str">
        <f>"Q"&amp;ROUNDUP(MONTH(Transactions[[#This Row],[Transaction Date]])/3,0)</f>
        <v>Q4</v>
      </c>
      <c r="P1028">
        <f>YEAR(Transactions[[#This Row],[Transaction Date]])</f>
        <v>2024</v>
      </c>
      <c r="Q1028" t="str">
        <f>IF(Transactions[[#This Row],[Sales Amount]]&lt;AVERAGE(Transactions[Sales Amount]),"Below Average","At/Above Average")</f>
        <v>At/Above Average</v>
      </c>
    </row>
    <row r="1029" spans="4:17" x14ac:dyDescent="0.2">
      <c r="D1029" t="s">
        <v>1119</v>
      </c>
      <c r="E1029" t="s">
        <v>76</v>
      </c>
      <c r="F1029" t="s">
        <v>91</v>
      </c>
      <c r="G1029">
        <v>162</v>
      </c>
      <c r="H1029">
        <v>2</v>
      </c>
      <c r="I1029">
        <v>59.11</v>
      </c>
      <c r="J1029">
        <v>1</v>
      </c>
      <c r="K1029" s="37">
        <v>45284</v>
      </c>
      <c r="L1029" t="s">
        <v>92</v>
      </c>
      <c r="M1029">
        <v>11.81</v>
      </c>
      <c r="N1029">
        <v>21</v>
      </c>
      <c r="O1029" t="str">
        <f>"Q"&amp;ROUNDUP(MONTH(Transactions[[#This Row],[Transaction Date]])/3,0)</f>
        <v>Q4</v>
      </c>
      <c r="P1029">
        <f>YEAR(Transactions[[#This Row],[Transaction Date]])</f>
        <v>2023</v>
      </c>
      <c r="Q1029" t="str">
        <f>IF(Transactions[[#This Row],[Sales Amount]]&lt;AVERAGE(Transactions[Sales Amount]),"Below Average","At/Above Average")</f>
        <v>Below Average</v>
      </c>
    </row>
    <row r="1030" spans="4:17" x14ac:dyDescent="0.2">
      <c r="D1030" t="s">
        <v>1120</v>
      </c>
      <c r="E1030" t="s">
        <v>87</v>
      </c>
      <c r="F1030" t="s">
        <v>88</v>
      </c>
      <c r="G1030">
        <v>169</v>
      </c>
      <c r="H1030">
        <v>1</v>
      </c>
      <c r="I1030">
        <v>57.6</v>
      </c>
      <c r="J1030">
        <v>8</v>
      </c>
      <c r="K1030" s="37">
        <v>44770</v>
      </c>
      <c r="L1030" t="s">
        <v>109</v>
      </c>
      <c r="M1030">
        <v>491.27</v>
      </c>
      <c r="N1030">
        <v>4</v>
      </c>
      <c r="O1030" t="str">
        <f>"Q"&amp;ROUNDUP(MONTH(Transactions[[#This Row],[Transaction Date]])/3,0)</f>
        <v>Q3</v>
      </c>
      <c r="P1030">
        <f>YEAR(Transactions[[#This Row],[Transaction Date]])</f>
        <v>2022</v>
      </c>
      <c r="Q1030" t="str">
        <f>IF(Transactions[[#This Row],[Sales Amount]]&lt;AVERAGE(Transactions[Sales Amount]),"Below Average","At/Above Average")</f>
        <v>At/Above Average</v>
      </c>
    </row>
    <row r="1031" spans="4:17" x14ac:dyDescent="0.2">
      <c r="D1031" t="s">
        <v>1121</v>
      </c>
      <c r="E1031" t="s">
        <v>78</v>
      </c>
      <c r="F1031" t="s">
        <v>96</v>
      </c>
      <c r="G1031">
        <v>200</v>
      </c>
      <c r="H1031">
        <v>4</v>
      </c>
      <c r="I1031">
        <v>53.22</v>
      </c>
      <c r="J1031">
        <v>3</v>
      </c>
      <c r="K1031" s="37">
        <v>45042</v>
      </c>
      <c r="L1031" t="s">
        <v>124</v>
      </c>
      <c r="M1031">
        <v>414.99</v>
      </c>
      <c r="N1031">
        <v>30</v>
      </c>
      <c r="O1031" t="str">
        <f>"Q"&amp;ROUNDUP(MONTH(Transactions[[#This Row],[Transaction Date]])/3,0)</f>
        <v>Q2</v>
      </c>
      <c r="P1031">
        <f>YEAR(Transactions[[#This Row],[Transaction Date]])</f>
        <v>2023</v>
      </c>
      <c r="Q1031" t="str">
        <f>IF(Transactions[[#This Row],[Sales Amount]]&lt;AVERAGE(Transactions[Sales Amount]),"Below Average","At/Above Average")</f>
        <v>At/Above Average</v>
      </c>
    </row>
    <row r="1032" spans="4:17" x14ac:dyDescent="0.2">
      <c r="D1032" t="s">
        <v>1122</v>
      </c>
      <c r="E1032" t="s">
        <v>76</v>
      </c>
      <c r="F1032" t="s">
        <v>129</v>
      </c>
      <c r="G1032">
        <v>110</v>
      </c>
      <c r="H1032">
        <v>8</v>
      </c>
      <c r="I1032">
        <v>53.32</v>
      </c>
      <c r="J1032">
        <v>3</v>
      </c>
      <c r="K1032" s="37">
        <v>45421</v>
      </c>
      <c r="L1032" t="s">
        <v>92</v>
      </c>
      <c r="M1032">
        <v>238.8</v>
      </c>
      <c r="N1032">
        <v>47</v>
      </c>
      <c r="O1032" t="str">
        <f>"Q"&amp;ROUNDUP(MONTH(Transactions[[#This Row],[Transaction Date]])/3,0)</f>
        <v>Q2</v>
      </c>
      <c r="P1032">
        <f>YEAR(Transactions[[#This Row],[Transaction Date]])</f>
        <v>2024</v>
      </c>
      <c r="Q1032" t="str">
        <f>IF(Transactions[[#This Row],[Sales Amount]]&lt;AVERAGE(Transactions[Sales Amount]),"Below Average","At/Above Average")</f>
        <v>Below Average</v>
      </c>
    </row>
    <row r="1033" spans="4:17" x14ac:dyDescent="0.2">
      <c r="D1033" t="s">
        <v>1123</v>
      </c>
      <c r="E1033" t="s">
        <v>87</v>
      </c>
      <c r="F1033" t="s">
        <v>129</v>
      </c>
      <c r="G1033">
        <v>118</v>
      </c>
      <c r="H1033">
        <v>3</v>
      </c>
      <c r="I1033">
        <v>54.47</v>
      </c>
      <c r="J1033">
        <v>8</v>
      </c>
      <c r="K1033" s="37">
        <v>45556</v>
      </c>
      <c r="L1033" t="s">
        <v>124</v>
      </c>
      <c r="M1033">
        <v>269.47000000000003</v>
      </c>
      <c r="N1033">
        <v>5</v>
      </c>
      <c r="O1033" t="str">
        <f>"Q"&amp;ROUNDUP(MONTH(Transactions[[#This Row],[Transaction Date]])/3,0)</f>
        <v>Q3</v>
      </c>
      <c r="P1033">
        <f>YEAR(Transactions[[#This Row],[Transaction Date]])</f>
        <v>2024</v>
      </c>
      <c r="Q1033" t="str">
        <f>IF(Transactions[[#This Row],[Sales Amount]]&lt;AVERAGE(Transactions[Sales Amount]),"Below Average","At/Above Average")</f>
        <v>At/Above Average</v>
      </c>
    </row>
    <row r="1034" spans="4:17" x14ac:dyDescent="0.2">
      <c r="D1034" t="s">
        <v>1124</v>
      </c>
      <c r="E1034" t="s">
        <v>77</v>
      </c>
      <c r="F1034" t="s">
        <v>91</v>
      </c>
      <c r="G1034">
        <v>265</v>
      </c>
      <c r="H1034">
        <v>3</v>
      </c>
      <c r="I1034">
        <v>54.84</v>
      </c>
      <c r="J1034">
        <v>1</v>
      </c>
      <c r="K1034" s="37">
        <v>45560</v>
      </c>
      <c r="L1034" t="s">
        <v>124</v>
      </c>
      <c r="M1034">
        <v>320.97000000000003</v>
      </c>
      <c r="N1034">
        <v>16</v>
      </c>
      <c r="O1034" t="str">
        <f>"Q"&amp;ROUNDUP(MONTH(Transactions[[#This Row],[Transaction Date]])/3,0)</f>
        <v>Q3</v>
      </c>
      <c r="P1034">
        <f>YEAR(Transactions[[#This Row],[Transaction Date]])</f>
        <v>2024</v>
      </c>
      <c r="Q1034" t="str">
        <f>IF(Transactions[[#This Row],[Sales Amount]]&lt;AVERAGE(Transactions[Sales Amount]),"Below Average","At/Above Average")</f>
        <v>At/Above Average</v>
      </c>
    </row>
    <row r="1035" spans="4:17" x14ac:dyDescent="0.2">
      <c r="D1035" t="s">
        <v>1125</v>
      </c>
      <c r="E1035" t="s">
        <v>75</v>
      </c>
      <c r="F1035" t="s">
        <v>108</v>
      </c>
      <c r="G1035">
        <v>166</v>
      </c>
      <c r="H1035">
        <v>1</v>
      </c>
      <c r="I1035">
        <v>45.5</v>
      </c>
      <c r="J1035">
        <v>2</v>
      </c>
      <c r="K1035" s="37">
        <v>45586</v>
      </c>
      <c r="L1035" t="s">
        <v>102</v>
      </c>
      <c r="M1035">
        <v>205.48</v>
      </c>
      <c r="N1035">
        <v>2</v>
      </c>
      <c r="O1035" t="str">
        <f>"Q"&amp;ROUNDUP(MONTH(Transactions[[#This Row],[Transaction Date]])/3,0)</f>
        <v>Q4</v>
      </c>
      <c r="P1035">
        <f>YEAR(Transactions[[#This Row],[Transaction Date]])</f>
        <v>2024</v>
      </c>
      <c r="Q1035" t="str">
        <f>IF(Transactions[[#This Row],[Sales Amount]]&lt;AVERAGE(Transactions[Sales Amount]),"Below Average","At/Above Average")</f>
        <v>Below Average</v>
      </c>
    </row>
    <row r="1036" spans="4:17" x14ac:dyDescent="0.2">
      <c r="D1036" t="s">
        <v>1126</v>
      </c>
      <c r="E1036" t="s">
        <v>87</v>
      </c>
      <c r="F1036" t="s">
        <v>99</v>
      </c>
      <c r="G1036">
        <v>165</v>
      </c>
      <c r="H1036">
        <v>5</v>
      </c>
      <c r="I1036">
        <v>50.38</v>
      </c>
      <c r="J1036">
        <v>9</v>
      </c>
      <c r="K1036" s="37">
        <v>45417</v>
      </c>
      <c r="L1036" t="s">
        <v>92</v>
      </c>
      <c r="M1036">
        <v>481.73</v>
      </c>
      <c r="N1036">
        <v>11</v>
      </c>
      <c r="O1036" t="str">
        <f>"Q"&amp;ROUNDUP(MONTH(Transactions[[#This Row],[Transaction Date]])/3,0)</f>
        <v>Q2</v>
      </c>
      <c r="P1036">
        <f>YEAR(Transactions[[#This Row],[Transaction Date]])</f>
        <v>2024</v>
      </c>
      <c r="Q1036" t="str">
        <f>IF(Transactions[[#This Row],[Sales Amount]]&lt;AVERAGE(Transactions[Sales Amount]),"Below Average","At/Above Average")</f>
        <v>At/Above Average</v>
      </c>
    </row>
    <row r="1037" spans="4:17" x14ac:dyDescent="0.2">
      <c r="D1037" t="s">
        <v>1127</v>
      </c>
      <c r="E1037" t="s">
        <v>87</v>
      </c>
      <c r="F1037" t="s">
        <v>105</v>
      </c>
      <c r="G1037">
        <v>232</v>
      </c>
      <c r="H1037">
        <v>9</v>
      </c>
      <c r="I1037">
        <v>48.37</v>
      </c>
      <c r="J1037">
        <v>9</v>
      </c>
      <c r="K1037" s="37">
        <v>44704</v>
      </c>
      <c r="L1037" t="s">
        <v>89</v>
      </c>
      <c r="M1037">
        <v>329.59</v>
      </c>
      <c r="N1037">
        <v>3</v>
      </c>
      <c r="O1037" t="str">
        <f>"Q"&amp;ROUNDUP(MONTH(Transactions[[#This Row],[Transaction Date]])/3,0)</f>
        <v>Q2</v>
      </c>
      <c r="P1037">
        <f>YEAR(Transactions[[#This Row],[Transaction Date]])</f>
        <v>2022</v>
      </c>
      <c r="Q1037" t="str">
        <f>IF(Transactions[[#This Row],[Sales Amount]]&lt;AVERAGE(Transactions[Sales Amount]),"Below Average","At/Above Average")</f>
        <v>At/Above Average</v>
      </c>
    </row>
    <row r="1038" spans="4:17" x14ac:dyDescent="0.2">
      <c r="D1038" t="s">
        <v>1128</v>
      </c>
      <c r="E1038" t="s">
        <v>77</v>
      </c>
      <c r="F1038" t="s">
        <v>96</v>
      </c>
      <c r="G1038">
        <v>288</v>
      </c>
      <c r="H1038">
        <v>2</v>
      </c>
      <c r="I1038">
        <v>59.37</v>
      </c>
      <c r="J1038">
        <v>7</v>
      </c>
      <c r="K1038" s="37">
        <v>44961</v>
      </c>
      <c r="L1038" t="s">
        <v>102</v>
      </c>
      <c r="M1038">
        <v>390.83</v>
      </c>
      <c r="N1038">
        <v>40</v>
      </c>
      <c r="O1038" t="str">
        <f>"Q"&amp;ROUNDUP(MONTH(Transactions[[#This Row],[Transaction Date]])/3,0)</f>
        <v>Q1</v>
      </c>
      <c r="P1038">
        <f>YEAR(Transactions[[#This Row],[Transaction Date]])</f>
        <v>2023</v>
      </c>
      <c r="Q1038" t="str">
        <f>IF(Transactions[[#This Row],[Sales Amount]]&lt;AVERAGE(Transactions[Sales Amount]),"Below Average","At/Above Average")</f>
        <v>At/Above Average</v>
      </c>
    </row>
    <row r="1039" spans="4:17" x14ac:dyDescent="0.2">
      <c r="D1039" t="s">
        <v>1129</v>
      </c>
      <c r="E1039" t="s">
        <v>76</v>
      </c>
      <c r="F1039" t="s">
        <v>96</v>
      </c>
      <c r="G1039">
        <v>287</v>
      </c>
      <c r="H1039">
        <v>5</v>
      </c>
      <c r="I1039">
        <v>45.74</v>
      </c>
      <c r="J1039">
        <v>3</v>
      </c>
      <c r="K1039" s="37">
        <v>44777</v>
      </c>
      <c r="L1039" t="s">
        <v>124</v>
      </c>
      <c r="M1039">
        <v>68.3</v>
      </c>
      <c r="N1039">
        <v>46</v>
      </c>
      <c r="O1039" t="str">
        <f>"Q"&amp;ROUNDUP(MONTH(Transactions[[#This Row],[Transaction Date]])/3,0)</f>
        <v>Q3</v>
      </c>
      <c r="P1039">
        <f>YEAR(Transactions[[#This Row],[Transaction Date]])</f>
        <v>2022</v>
      </c>
      <c r="Q1039" t="str">
        <f>IF(Transactions[[#This Row],[Sales Amount]]&lt;AVERAGE(Transactions[Sales Amount]),"Below Average","At/Above Average")</f>
        <v>Below Average</v>
      </c>
    </row>
    <row r="1040" spans="4:17" x14ac:dyDescent="0.2">
      <c r="D1040" t="s">
        <v>1130</v>
      </c>
      <c r="E1040" t="s">
        <v>74</v>
      </c>
      <c r="F1040" t="s">
        <v>129</v>
      </c>
      <c r="G1040">
        <v>234</v>
      </c>
      <c r="H1040">
        <v>7</v>
      </c>
      <c r="I1040">
        <v>55.41</v>
      </c>
      <c r="J1040">
        <v>1</v>
      </c>
      <c r="K1040" s="37">
        <v>45169</v>
      </c>
      <c r="L1040" t="s">
        <v>124</v>
      </c>
      <c r="M1040">
        <v>359.58</v>
      </c>
      <c r="N1040">
        <v>28</v>
      </c>
      <c r="O1040" t="str">
        <f>"Q"&amp;ROUNDUP(MONTH(Transactions[[#This Row],[Transaction Date]])/3,0)</f>
        <v>Q3</v>
      </c>
      <c r="P1040">
        <f>YEAR(Transactions[[#This Row],[Transaction Date]])</f>
        <v>2023</v>
      </c>
      <c r="Q1040" t="str">
        <f>IF(Transactions[[#This Row],[Sales Amount]]&lt;AVERAGE(Transactions[Sales Amount]),"Below Average","At/Above Average")</f>
        <v>At/Above Average</v>
      </c>
    </row>
    <row r="1041" spans="4:17" x14ac:dyDescent="0.2">
      <c r="D1041" t="s">
        <v>1131</v>
      </c>
      <c r="E1041" t="s">
        <v>78</v>
      </c>
      <c r="F1041" t="s">
        <v>91</v>
      </c>
      <c r="G1041">
        <v>271</v>
      </c>
      <c r="H1041">
        <v>1</v>
      </c>
      <c r="I1041">
        <v>59.54</v>
      </c>
      <c r="J1041">
        <v>4</v>
      </c>
      <c r="K1041" s="37">
        <v>45464</v>
      </c>
      <c r="L1041" t="s">
        <v>92</v>
      </c>
      <c r="M1041">
        <v>454.85</v>
      </c>
      <c r="N1041">
        <v>12</v>
      </c>
      <c r="O1041" t="str">
        <f>"Q"&amp;ROUNDUP(MONTH(Transactions[[#This Row],[Transaction Date]])/3,0)</f>
        <v>Q2</v>
      </c>
      <c r="P1041">
        <f>YEAR(Transactions[[#This Row],[Transaction Date]])</f>
        <v>2024</v>
      </c>
      <c r="Q1041" t="str">
        <f>IF(Transactions[[#This Row],[Sales Amount]]&lt;AVERAGE(Transactions[Sales Amount]),"Below Average","At/Above Average")</f>
        <v>At/Above Average</v>
      </c>
    </row>
    <row r="1042" spans="4:17" x14ac:dyDescent="0.2">
      <c r="D1042" t="s">
        <v>1132</v>
      </c>
      <c r="E1042" t="s">
        <v>78</v>
      </c>
      <c r="F1042" t="s">
        <v>99</v>
      </c>
      <c r="G1042">
        <v>295</v>
      </c>
      <c r="H1042">
        <v>6</v>
      </c>
      <c r="I1042">
        <v>51.1</v>
      </c>
      <c r="J1042">
        <v>8</v>
      </c>
      <c r="K1042" s="37">
        <v>45356</v>
      </c>
      <c r="L1042" t="s">
        <v>124</v>
      </c>
      <c r="M1042">
        <v>96.62</v>
      </c>
      <c r="N1042">
        <v>32</v>
      </c>
      <c r="O1042" t="str">
        <f>"Q"&amp;ROUNDUP(MONTH(Transactions[[#This Row],[Transaction Date]])/3,0)</f>
        <v>Q1</v>
      </c>
      <c r="P1042">
        <f>YEAR(Transactions[[#This Row],[Transaction Date]])</f>
        <v>2024</v>
      </c>
      <c r="Q1042" t="str">
        <f>IF(Transactions[[#This Row],[Sales Amount]]&lt;AVERAGE(Transactions[Sales Amount]),"Below Average","At/Above Average")</f>
        <v>Below Average</v>
      </c>
    </row>
    <row r="1043" spans="4:17" x14ac:dyDescent="0.2">
      <c r="D1043" t="s">
        <v>1133</v>
      </c>
      <c r="E1043" t="s">
        <v>77</v>
      </c>
      <c r="F1043" t="s">
        <v>99</v>
      </c>
      <c r="G1043">
        <v>140</v>
      </c>
      <c r="H1043">
        <v>10</v>
      </c>
      <c r="I1043">
        <v>50.67</v>
      </c>
      <c r="J1043">
        <v>7</v>
      </c>
      <c r="K1043" s="37">
        <v>45083</v>
      </c>
      <c r="L1043" t="s">
        <v>109</v>
      </c>
      <c r="M1043">
        <v>40.630000000000003</v>
      </c>
      <c r="N1043">
        <v>32</v>
      </c>
      <c r="O1043" t="str">
        <f>"Q"&amp;ROUNDUP(MONTH(Transactions[[#This Row],[Transaction Date]])/3,0)</f>
        <v>Q2</v>
      </c>
      <c r="P1043">
        <f>YEAR(Transactions[[#This Row],[Transaction Date]])</f>
        <v>2023</v>
      </c>
      <c r="Q1043" t="str">
        <f>IF(Transactions[[#This Row],[Sales Amount]]&lt;AVERAGE(Transactions[Sales Amount]),"Below Average","At/Above Average")</f>
        <v>Below Average</v>
      </c>
    </row>
    <row r="1044" spans="4:17" x14ac:dyDescent="0.2">
      <c r="D1044" t="s">
        <v>1134</v>
      </c>
      <c r="E1044" t="s">
        <v>76</v>
      </c>
      <c r="F1044" t="s">
        <v>96</v>
      </c>
      <c r="G1044">
        <v>276</v>
      </c>
      <c r="H1044">
        <v>9</v>
      </c>
      <c r="I1044">
        <v>52.29</v>
      </c>
      <c r="J1044">
        <v>10</v>
      </c>
      <c r="K1044" s="37">
        <v>45617</v>
      </c>
      <c r="L1044" t="s">
        <v>97</v>
      </c>
      <c r="M1044">
        <v>395.51</v>
      </c>
      <c r="N1044">
        <v>29</v>
      </c>
      <c r="O1044" t="str">
        <f>"Q"&amp;ROUNDUP(MONTH(Transactions[[#This Row],[Transaction Date]])/3,0)</f>
        <v>Q4</v>
      </c>
      <c r="P1044">
        <f>YEAR(Transactions[[#This Row],[Transaction Date]])</f>
        <v>2024</v>
      </c>
      <c r="Q1044" t="str">
        <f>IF(Transactions[[#This Row],[Sales Amount]]&lt;AVERAGE(Transactions[Sales Amount]),"Below Average","At/Above Average")</f>
        <v>At/Above Average</v>
      </c>
    </row>
    <row r="1045" spans="4:17" x14ac:dyDescent="0.2">
      <c r="D1045" t="s">
        <v>1135</v>
      </c>
      <c r="E1045" t="s">
        <v>87</v>
      </c>
      <c r="F1045" t="s">
        <v>94</v>
      </c>
      <c r="G1045">
        <v>199</v>
      </c>
      <c r="H1045">
        <v>4</v>
      </c>
      <c r="I1045">
        <v>58.91</v>
      </c>
      <c r="J1045">
        <v>9</v>
      </c>
      <c r="K1045" s="37">
        <v>45254</v>
      </c>
      <c r="L1045" t="s">
        <v>102</v>
      </c>
      <c r="M1045">
        <v>161.15</v>
      </c>
      <c r="N1045">
        <v>6</v>
      </c>
      <c r="O1045" t="str">
        <f>"Q"&amp;ROUNDUP(MONTH(Transactions[[#This Row],[Transaction Date]])/3,0)</f>
        <v>Q4</v>
      </c>
      <c r="P1045">
        <f>YEAR(Transactions[[#This Row],[Transaction Date]])</f>
        <v>2023</v>
      </c>
      <c r="Q1045" t="str">
        <f>IF(Transactions[[#This Row],[Sales Amount]]&lt;AVERAGE(Transactions[Sales Amount]),"Below Average","At/Above Average")</f>
        <v>Below Average</v>
      </c>
    </row>
    <row r="1046" spans="4:17" x14ac:dyDescent="0.2">
      <c r="D1046" t="s">
        <v>1136</v>
      </c>
      <c r="E1046" t="s">
        <v>74</v>
      </c>
      <c r="F1046" t="s">
        <v>108</v>
      </c>
      <c r="G1046">
        <v>244</v>
      </c>
      <c r="H1046">
        <v>6</v>
      </c>
      <c r="I1046">
        <v>49.62</v>
      </c>
      <c r="J1046">
        <v>9</v>
      </c>
      <c r="K1046" s="37">
        <v>45199</v>
      </c>
      <c r="L1046" t="s">
        <v>89</v>
      </c>
      <c r="M1046">
        <v>438.17</v>
      </c>
      <c r="N1046">
        <v>20</v>
      </c>
      <c r="O1046" t="str">
        <f>"Q"&amp;ROUNDUP(MONTH(Transactions[[#This Row],[Transaction Date]])/3,0)</f>
        <v>Q3</v>
      </c>
      <c r="P1046">
        <f>YEAR(Transactions[[#This Row],[Transaction Date]])</f>
        <v>2023</v>
      </c>
      <c r="Q1046" t="str">
        <f>IF(Transactions[[#This Row],[Sales Amount]]&lt;AVERAGE(Transactions[Sales Amount]),"Below Average","At/Above Average")</f>
        <v>At/Above Average</v>
      </c>
    </row>
    <row r="1047" spans="4:17" x14ac:dyDescent="0.2">
      <c r="D1047" t="s">
        <v>1137</v>
      </c>
      <c r="E1047" t="s">
        <v>75</v>
      </c>
      <c r="F1047" t="s">
        <v>105</v>
      </c>
      <c r="G1047">
        <v>249</v>
      </c>
      <c r="H1047">
        <v>6</v>
      </c>
      <c r="I1047">
        <v>59.85</v>
      </c>
      <c r="J1047">
        <v>2</v>
      </c>
      <c r="K1047" s="37">
        <v>45597</v>
      </c>
      <c r="L1047" t="s">
        <v>102</v>
      </c>
      <c r="M1047">
        <v>458.32</v>
      </c>
      <c r="N1047">
        <v>46</v>
      </c>
      <c r="O1047" t="str">
        <f>"Q"&amp;ROUNDUP(MONTH(Transactions[[#This Row],[Transaction Date]])/3,0)</f>
        <v>Q4</v>
      </c>
      <c r="P1047">
        <f>YEAR(Transactions[[#This Row],[Transaction Date]])</f>
        <v>2024</v>
      </c>
      <c r="Q1047" t="str">
        <f>IF(Transactions[[#This Row],[Sales Amount]]&lt;AVERAGE(Transactions[Sales Amount]),"Below Average","At/Above Average")</f>
        <v>At/Above Average</v>
      </c>
    </row>
    <row r="1048" spans="4:17" x14ac:dyDescent="0.2">
      <c r="D1048" t="s">
        <v>1138</v>
      </c>
      <c r="E1048" t="s">
        <v>74</v>
      </c>
      <c r="F1048" t="s">
        <v>96</v>
      </c>
      <c r="G1048">
        <v>240</v>
      </c>
      <c r="H1048">
        <v>8</v>
      </c>
      <c r="I1048">
        <v>49.21</v>
      </c>
      <c r="J1048">
        <v>5</v>
      </c>
      <c r="K1048" s="37">
        <v>44652</v>
      </c>
      <c r="L1048" t="s">
        <v>102</v>
      </c>
      <c r="M1048">
        <v>35.01</v>
      </c>
      <c r="N1048">
        <v>40</v>
      </c>
      <c r="O1048" t="str">
        <f>"Q"&amp;ROUNDUP(MONTH(Transactions[[#This Row],[Transaction Date]])/3,0)</f>
        <v>Q2</v>
      </c>
      <c r="P1048">
        <f>YEAR(Transactions[[#This Row],[Transaction Date]])</f>
        <v>2022</v>
      </c>
      <c r="Q1048" t="str">
        <f>IF(Transactions[[#This Row],[Sales Amount]]&lt;AVERAGE(Transactions[Sales Amount]),"Below Average","At/Above Average")</f>
        <v>Below Average</v>
      </c>
    </row>
    <row r="1049" spans="4:17" x14ac:dyDescent="0.2">
      <c r="D1049" t="s">
        <v>1139</v>
      </c>
      <c r="E1049" t="s">
        <v>75</v>
      </c>
      <c r="F1049" t="s">
        <v>91</v>
      </c>
      <c r="G1049">
        <v>251</v>
      </c>
      <c r="H1049">
        <v>3</v>
      </c>
      <c r="I1049">
        <v>55.55</v>
      </c>
      <c r="J1049">
        <v>2</v>
      </c>
      <c r="K1049" s="37">
        <v>44701</v>
      </c>
      <c r="L1049" t="s">
        <v>97</v>
      </c>
      <c r="M1049">
        <v>495.53</v>
      </c>
      <c r="N1049">
        <v>29</v>
      </c>
      <c r="O1049" t="str">
        <f>"Q"&amp;ROUNDUP(MONTH(Transactions[[#This Row],[Transaction Date]])/3,0)</f>
        <v>Q2</v>
      </c>
      <c r="P1049">
        <f>YEAR(Transactions[[#This Row],[Transaction Date]])</f>
        <v>2022</v>
      </c>
      <c r="Q1049" t="str">
        <f>IF(Transactions[[#This Row],[Sales Amount]]&lt;AVERAGE(Transactions[Sales Amount]),"Below Average","At/Above Average")</f>
        <v>At/Above Average</v>
      </c>
    </row>
    <row r="1050" spans="4:17" x14ac:dyDescent="0.2">
      <c r="D1050" t="s">
        <v>1140</v>
      </c>
      <c r="E1050" t="s">
        <v>75</v>
      </c>
      <c r="F1050" t="s">
        <v>91</v>
      </c>
      <c r="G1050">
        <v>258</v>
      </c>
      <c r="H1050">
        <v>5</v>
      </c>
      <c r="I1050">
        <v>55.53</v>
      </c>
      <c r="J1050">
        <v>1</v>
      </c>
      <c r="K1050" s="37">
        <v>45261</v>
      </c>
      <c r="L1050" t="s">
        <v>102</v>
      </c>
      <c r="M1050">
        <v>433.44</v>
      </c>
      <c r="N1050">
        <v>19</v>
      </c>
      <c r="O1050" t="str">
        <f>"Q"&amp;ROUNDUP(MONTH(Transactions[[#This Row],[Transaction Date]])/3,0)</f>
        <v>Q4</v>
      </c>
      <c r="P1050">
        <f>YEAR(Transactions[[#This Row],[Transaction Date]])</f>
        <v>2023</v>
      </c>
      <c r="Q1050" t="str">
        <f>IF(Transactions[[#This Row],[Sales Amount]]&lt;AVERAGE(Transactions[Sales Amount]),"Below Average","At/Above Average")</f>
        <v>At/Above Average</v>
      </c>
    </row>
    <row r="1051" spans="4:17" x14ac:dyDescent="0.2">
      <c r="D1051" t="s">
        <v>1141</v>
      </c>
      <c r="E1051" t="s">
        <v>78</v>
      </c>
      <c r="F1051" t="s">
        <v>105</v>
      </c>
      <c r="G1051">
        <v>148</v>
      </c>
      <c r="H1051">
        <v>2</v>
      </c>
      <c r="I1051">
        <v>49.33</v>
      </c>
      <c r="J1051">
        <v>4</v>
      </c>
      <c r="K1051" s="37">
        <v>45027</v>
      </c>
      <c r="L1051" t="s">
        <v>92</v>
      </c>
      <c r="M1051">
        <v>105.71</v>
      </c>
      <c r="N1051">
        <v>33</v>
      </c>
      <c r="O1051" t="str">
        <f>"Q"&amp;ROUNDUP(MONTH(Transactions[[#This Row],[Transaction Date]])/3,0)</f>
        <v>Q2</v>
      </c>
      <c r="P1051">
        <f>YEAR(Transactions[[#This Row],[Transaction Date]])</f>
        <v>2023</v>
      </c>
      <c r="Q1051" t="str">
        <f>IF(Transactions[[#This Row],[Sales Amount]]&lt;AVERAGE(Transactions[Sales Amount]),"Below Average","At/Above Average")</f>
        <v>Below Average</v>
      </c>
    </row>
    <row r="1052" spans="4:17" x14ac:dyDescent="0.2">
      <c r="D1052" t="s">
        <v>1142</v>
      </c>
      <c r="E1052" t="s">
        <v>74</v>
      </c>
      <c r="F1052" t="s">
        <v>88</v>
      </c>
      <c r="G1052">
        <v>197</v>
      </c>
      <c r="H1052">
        <v>6</v>
      </c>
      <c r="I1052">
        <v>49.99</v>
      </c>
      <c r="J1052">
        <v>6</v>
      </c>
      <c r="K1052" s="37">
        <v>45346</v>
      </c>
      <c r="L1052" t="s">
        <v>102</v>
      </c>
      <c r="M1052">
        <v>415.22</v>
      </c>
      <c r="N1052">
        <v>42</v>
      </c>
      <c r="O1052" t="str">
        <f>"Q"&amp;ROUNDUP(MONTH(Transactions[[#This Row],[Transaction Date]])/3,0)</f>
        <v>Q1</v>
      </c>
      <c r="P1052">
        <f>YEAR(Transactions[[#This Row],[Transaction Date]])</f>
        <v>2024</v>
      </c>
      <c r="Q1052" t="str">
        <f>IF(Transactions[[#This Row],[Sales Amount]]&lt;AVERAGE(Transactions[Sales Amount]),"Below Average","At/Above Average")</f>
        <v>At/Above Average</v>
      </c>
    </row>
    <row r="1053" spans="4:17" x14ac:dyDescent="0.2">
      <c r="D1053" t="s">
        <v>1143</v>
      </c>
      <c r="E1053" t="s">
        <v>75</v>
      </c>
      <c r="F1053" t="s">
        <v>108</v>
      </c>
      <c r="G1053">
        <v>279</v>
      </c>
      <c r="H1053">
        <v>6</v>
      </c>
      <c r="I1053">
        <v>52.87</v>
      </c>
      <c r="J1053">
        <v>9</v>
      </c>
      <c r="K1053" s="37">
        <v>45430</v>
      </c>
      <c r="L1053" t="s">
        <v>102</v>
      </c>
      <c r="M1053">
        <v>474.41</v>
      </c>
      <c r="N1053">
        <v>44</v>
      </c>
      <c r="O1053" t="str">
        <f>"Q"&amp;ROUNDUP(MONTH(Transactions[[#This Row],[Transaction Date]])/3,0)</f>
        <v>Q2</v>
      </c>
      <c r="P1053">
        <f>YEAR(Transactions[[#This Row],[Transaction Date]])</f>
        <v>2024</v>
      </c>
      <c r="Q1053" t="str">
        <f>IF(Transactions[[#This Row],[Sales Amount]]&lt;AVERAGE(Transactions[Sales Amount]),"Below Average","At/Above Average")</f>
        <v>At/Above Average</v>
      </c>
    </row>
    <row r="1054" spans="4:17" x14ac:dyDescent="0.2">
      <c r="D1054" t="s">
        <v>1144</v>
      </c>
      <c r="E1054" t="s">
        <v>75</v>
      </c>
      <c r="F1054" t="s">
        <v>88</v>
      </c>
      <c r="G1054">
        <v>188</v>
      </c>
      <c r="H1054">
        <v>4</v>
      </c>
      <c r="I1054">
        <v>49.36</v>
      </c>
      <c r="J1054">
        <v>7</v>
      </c>
      <c r="K1054" s="37">
        <v>45106</v>
      </c>
      <c r="L1054" t="s">
        <v>124</v>
      </c>
      <c r="M1054">
        <v>120.35</v>
      </c>
      <c r="N1054">
        <v>8</v>
      </c>
      <c r="O1054" t="str">
        <f>"Q"&amp;ROUNDUP(MONTH(Transactions[[#This Row],[Transaction Date]])/3,0)</f>
        <v>Q2</v>
      </c>
      <c r="P1054">
        <f>YEAR(Transactions[[#This Row],[Transaction Date]])</f>
        <v>2023</v>
      </c>
      <c r="Q1054" t="str">
        <f>IF(Transactions[[#This Row],[Sales Amount]]&lt;AVERAGE(Transactions[Sales Amount]),"Below Average","At/Above Average")</f>
        <v>Below Average</v>
      </c>
    </row>
    <row r="1055" spans="4:17" x14ac:dyDescent="0.2">
      <c r="D1055" t="s">
        <v>1145</v>
      </c>
      <c r="E1055" t="s">
        <v>87</v>
      </c>
      <c r="F1055" t="s">
        <v>99</v>
      </c>
      <c r="G1055">
        <v>174</v>
      </c>
      <c r="H1055">
        <v>10</v>
      </c>
      <c r="I1055">
        <v>49.41</v>
      </c>
      <c r="J1055">
        <v>8</v>
      </c>
      <c r="K1055" s="37">
        <v>45551</v>
      </c>
      <c r="L1055" t="s">
        <v>109</v>
      </c>
      <c r="M1055">
        <v>25.59</v>
      </c>
      <c r="N1055">
        <v>47</v>
      </c>
      <c r="O1055" t="str">
        <f>"Q"&amp;ROUNDUP(MONTH(Transactions[[#This Row],[Transaction Date]])/3,0)</f>
        <v>Q3</v>
      </c>
      <c r="P1055">
        <f>YEAR(Transactions[[#This Row],[Transaction Date]])</f>
        <v>2024</v>
      </c>
      <c r="Q1055" t="str">
        <f>IF(Transactions[[#This Row],[Sales Amount]]&lt;AVERAGE(Transactions[Sales Amount]),"Below Average","At/Above Average")</f>
        <v>Below Average</v>
      </c>
    </row>
    <row r="1056" spans="4:17" x14ac:dyDescent="0.2">
      <c r="D1056" t="s">
        <v>1146</v>
      </c>
      <c r="E1056" t="s">
        <v>77</v>
      </c>
      <c r="F1056" t="s">
        <v>105</v>
      </c>
      <c r="G1056">
        <v>257</v>
      </c>
      <c r="H1056">
        <v>8</v>
      </c>
      <c r="I1056">
        <v>53.02</v>
      </c>
      <c r="J1056">
        <v>9</v>
      </c>
      <c r="K1056" s="37">
        <v>44658</v>
      </c>
      <c r="L1056" t="s">
        <v>89</v>
      </c>
      <c r="M1056">
        <v>90.42</v>
      </c>
      <c r="N1056">
        <v>2</v>
      </c>
      <c r="O1056" t="str">
        <f>"Q"&amp;ROUNDUP(MONTH(Transactions[[#This Row],[Transaction Date]])/3,0)</f>
        <v>Q2</v>
      </c>
      <c r="P1056">
        <f>YEAR(Transactions[[#This Row],[Transaction Date]])</f>
        <v>2022</v>
      </c>
      <c r="Q1056" t="str">
        <f>IF(Transactions[[#This Row],[Sales Amount]]&lt;AVERAGE(Transactions[Sales Amount]),"Below Average","At/Above Average")</f>
        <v>Below Average</v>
      </c>
    </row>
    <row r="1057" spans="4:17" x14ac:dyDescent="0.2">
      <c r="D1057" t="s">
        <v>1147</v>
      </c>
      <c r="E1057" t="s">
        <v>78</v>
      </c>
      <c r="F1057" t="s">
        <v>129</v>
      </c>
      <c r="G1057">
        <v>263</v>
      </c>
      <c r="H1057">
        <v>4</v>
      </c>
      <c r="I1057">
        <v>58.68</v>
      </c>
      <c r="J1057">
        <v>6</v>
      </c>
      <c r="K1057" s="37">
        <v>45435</v>
      </c>
      <c r="L1057" t="s">
        <v>89</v>
      </c>
      <c r="M1057">
        <v>149.58000000000001</v>
      </c>
      <c r="N1057">
        <v>32</v>
      </c>
      <c r="O1057" t="str">
        <f>"Q"&amp;ROUNDUP(MONTH(Transactions[[#This Row],[Transaction Date]])/3,0)</f>
        <v>Q2</v>
      </c>
      <c r="P1057">
        <f>YEAR(Transactions[[#This Row],[Transaction Date]])</f>
        <v>2024</v>
      </c>
      <c r="Q1057" t="str">
        <f>IF(Transactions[[#This Row],[Sales Amount]]&lt;AVERAGE(Transactions[Sales Amount]),"Below Average","At/Above Average")</f>
        <v>Below Average</v>
      </c>
    </row>
    <row r="1058" spans="4:17" x14ac:dyDescent="0.2">
      <c r="D1058" t="s">
        <v>1148</v>
      </c>
      <c r="E1058" t="s">
        <v>87</v>
      </c>
      <c r="F1058" t="s">
        <v>91</v>
      </c>
      <c r="G1058">
        <v>270</v>
      </c>
      <c r="H1058">
        <v>7</v>
      </c>
      <c r="I1058">
        <v>53.02</v>
      </c>
      <c r="J1058">
        <v>7</v>
      </c>
      <c r="K1058" s="37">
        <v>44612</v>
      </c>
      <c r="L1058" t="s">
        <v>89</v>
      </c>
      <c r="M1058">
        <v>477.61</v>
      </c>
      <c r="N1058">
        <v>20</v>
      </c>
      <c r="O1058" t="str">
        <f>"Q"&amp;ROUNDUP(MONTH(Transactions[[#This Row],[Transaction Date]])/3,0)</f>
        <v>Q1</v>
      </c>
      <c r="P1058">
        <f>YEAR(Transactions[[#This Row],[Transaction Date]])</f>
        <v>2022</v>
      </c>
      <c r="Q1058" t="str">
        <f>IF(Transactions[[#This Row],[Sales Amount]]&lt;AVERAGE(Transactions[Sales Amount]),"Below Average","At/Above Average")</f>
        <v>At/Above Average</v>
      </c>
    </row>
    <row r="1059" spans="4:17" x14ac:dyDescent="0.2">
      <c r="D1059" t="s">
        <v>1149</v>
      </c>
      <c r="E1059" t="s">
        <v>87</v>
      </c>
      <c r="F1059" t="s">
        <v>105</v>
      </c>
      <c r="G1059">
        <v>283</v>
      </c>
      <c r="H1059">
        <v>6</v>
      </c>
      <c r="I1059">
        <v>54.29</v>
      </c>
      <c r="J1059">
        <v>4</v>
      </c>
      <c r="K1059" s="37">
        <v>44771</v>
      </c>
      <c r="L1059" t="s">
        <v>109</v>
      </c>
      <c r="M1059">
        <v>144.96</v>
      </c>
      <c r="N1059">
        <v>7</v>
      </c>
      <c r="O1059" t="str">
        <f>"Q"&amp;ROUNDUP(MONTH(Transactions[[#This Row],[Transaction Date]])/3,0)</f>
        <v>Q3</v>
      </c>
      <c r="P1059">
        <f>YEAR(Transactions[[#This Row],[Transaction Date]])</f>
        <v>2022</v>
      </c>
      <c r="Q1059" t="str">
        <f>IF(Transactions[[#This Row],[Sales Amount]]&lt;AVERAGE(Transactions[Sales Amount]),"Below Average","At/Above Average")</f>
        <v>Below Average</v>
      </c>
    </row>
    <row r="1060" spans="4:17" x14ac:dyDescent="0.2">
      <c r="D1060" t="s">
        <v>1150</v>
      </c>
      <c r="E1060" t="s">
        <v>75</v>
      </c>
      <c r="F1060" t="s">
        <v>88</v>
      </c>
      <c r="G1060">
        <v>150</v>
      </c>
      <c r="H1060">
        <v>8</v>
      </c>
      <c r="I1060">
        <v>47.26</v>
      </c>
      <c r="J1060">
        <v>7</v>
      </c>
      <c r="K1060" s="37">
        <v>45285</v>
      </c>
      <c r="L1060" t="s">
        <v>92</v>
      </c>
      <c r="M1060">
        <v>270.22000000000003</v>
      </c>
      <c r="N1060">
        <v>5</v>
      </c>
      <c r="O1060" t="str">
        <f>"Q"&amp;ROUNDUP(MONTH(Transactions[[#This Row],[Transaction Date]])/3,0)</f>
        <v>Q4</v>
      </c>
      <c r="P1060">
        <f>YEAR(Transactions[[#This Row],[Transaction Date]])</f>
        <v>2023</v>
      </c>
      <c r="Q1060" t="str">
        <f>IF(Transactions[[#This Row],[Sales Amount]]&lt;AVERAGE(Transactions[Sales Amount]),"Below Average","At/Above Average")</f>
        <v>At/Above Average</v>
      </c>
    </row>
    <row r="1061" spans="4:17" x14ac:dyDescent="0.2">
      <c r="D1061" t="s">
        <v>1151</v>
      </c>
      <c r="E1061" t="s">
        <v>75</v>
      </c>
      <c r="F1061" t="s">
        <v>105</v>
      </c>
      <c r="G1061">
        <v>120</v>
      </c>
      <c r="H1061">
        <v>5</v>
      </c>
      <c r="I1061">
        <v>46.35</v>
      </c>
      <c r="J1061">
        <v>9</v>
      </c>
      <c r="K1061" s="37">
        <v>45561</v>
      </c>
      <c r="L1061" t="s">
        <v>97</v>
      </c>
      <c r="M1061">
        <v>39.22</v>
      </c>
      <c r="N1061">
        <v>15</v>
      </c>
      <c r="O1061" t="str">
        <f>"Q"&amp;ROUNDUP(MONTH(Transactions[[#This Row],[Transaction Date]])/3,0)</f>
        <v>Q3</v>
      </c>
      <c r="P1061">
        <f>YEAR(Transactions[[#This Row],[Transaction Date]])</f>
        <v>2024</v>
      </c>
      <c r="Q1061" t="str">
        <f>IF(Transactions[[#This Row],[Sales Amount]]&lt;AVERAGE(Transactions[Sales Amount]),"Below Average","At/Above Average")</f>
        <v>Below Average</v>
      </c>
    </row>
    <row r="1062" spans="4:17" x14ac:dyDescent="0.2">
      <c r="D1062" t="s">
        <v>1152</v>
      </c>
      <c r="E1062" t="s">
        <v>74</v>
      </c>
      <c r="F1062" t="s">
        <v>94</v>
      </c>
      <c r="G1062">
        <v>176</v>
      </c>
      <c r="H1062">
        <v>6</v>
      </c>
      <c r="I1062">
        <v>51.56</v>
      </c>
      <c r="J1062">
        <v>7</v>
      </c>
      <c r="K1062" s="37">
        <v>44848</v>
      </c>
      <c r="L1062" t="s">
        <v>89</v>
      </c>
      <c r="M1062">
        <v>298.31</v>
      </c>
      <c r="N1062">
        <v>12</v>
      </c>
      <c r="O1062" t="str">
        <f>"Q"&amp;ROUNDUP(MONTH(Transactions[[#This Row],[Transaction Date]])/3,0)</f>
        <v>Q4</v>
      </c>
      <c r="P1062">
        <f>YEAR(Transactions[[#This Row],[Transaction Date]])</f>
        <v>2022</v>
      </c>
      <c r="Q1062" t="str">
        <f>IF(Transactions[[#This Row],[Sales Amount]]&lt;AVERAGE(Transactions[Sales Amount]),"Below Average","At/Above Average")</f>
        <v>At/Above Average</v>
      </c>
    </row>
    <row r="1063" spans="4:17" x14ac:dyDescent="0.2">
      <c r="D1063" t="s">
        <v>1153</v>
      </c>
      <c r="E1063" t="s">
        <v>74</v>
      </c>
      <c r="F1063" t="s">
        <v>105</v>
      </c>
      <c r="G1063">
        <v>201</v>
      </c>
      <c r="H1063">
        <v>10</v>
      </c>
      <c r="I1063">
        <v>49.96</v>
      </c>
      <c r="J1063">
        <v>10</v>
      </c>
      <c r="K1063" s="37">
        <v>44767</v>
      </c>
      <c r="L1063" t="s">
        <v>102</v>
      </c>
      <c r="M1063">
        <v>335.27</v>
      </c>
      <c r="N1063">
        <v>42</v>
      </c>
      <c r="O1063" t="str">
        <f>"Q"&amp;ROUNDUP(MONTH(Transactions[[#This Row],[Transaction Date]])/3,0)</f>
        <v>Q3</v>
      </c>
      <c r="P1063">
        <f>YEAR(Transactions[[#This Row],[Transaction Date]])</f>
        <v>2022</v>
      </c>
      <c r="Q1063" t="str">
        <f>IF(Transactions[[#This Row],[Sales Amount]]&lt;AVERAGE(Transactions[Sales Amount]),"Below Average","At/Above Average")</f>
        <v>At/Above Average</v>
      </c>
    </row>
    <row r="1064" spans="4:17" x14ac:dyDescent="0.2">
      <c r="D1064" t="s">
        <v>1154</v>
      </c>
      <c r="E1064" t="s">
        <v>87</v>
      </c>
      <c r="F1064" t="s">
        <v>94</v>
      </c>
      <c r="G1064">
        <v>172</v>
      </c>
      <c r="H1064">
        <v>10</v>
      </c>
      <c r="I1064">
        <v>47.32</v>
      </c>
      <c r="J1064">
        <v>10</v>
      </c>
      <c r="K1064" s="37">
        <v>45417</v>
      </c>
      <c r="L1064" t="s">
        <v>97</v>
      </c>
      <c r="M1064">
        <v>156.78</v>
      </c>
      <c r="N1064">
        <v>20</v>
      </c>
      <c r="O1064" t="str">
        <f>"Q"&amp;ROUNDUP(MONTH(Transactions[[#This Row],[Transaction Date]])/3,0)</f>
        <v>Q2</v>
      </c>
      <c r="P1064">
        <f>YEAR(Transactions[[#This Row],[Transaction Date]])</f>
        <v>2024</v>
      </c>
      <c r="Q1064" t="str">
        <f>IF(Transactions[[#This Row],[Sales Amount]]&lt;AVERAGE(Transactions[Sales Amount]),"Below Average","At/Above Average")</f>
        <v>Below Average</v>
      </c>
    </row>
    <row r="1065" spans="4:17" x14ac:dyDescent="0.2">
      <c r="D1065" t="s">
        <v>1155</v>
      </c>
      <c r="E1065" t="s">
        <v>75</v>
      </c>
      <c r="F1065" t="s">
        <v>108</v>
      </c>
      <c r="G1065">
        <v>124</v>
      </c>
      <c r="H1065">
        <v>2</v>
      </c>
      <c r="I1065">
        <v>46.06</v>
      </c>
      <c r="J1065">
        <v>2</v>
      </c>
      <c r="K1065" s="37">
        <v>44961</v>
      </c>
      <c r="L1065" t="s">
        <v>102</v>
      </c>
      <c r="M1065">
        <v>356.08</v>
      </c>
      <c r="N1065">
        <v>15</v>
      </c>
      <c r="O1065" t="str">
        <f>"Q"&amp;ROUNDUP(MONTH(Transactions[[#This Row],[Transaction Date]])/3,0)</f>
        <v>Q1</v>
      </c>
      <c r="P1065">
        <f>YEAR(Transactions[[#This Row],[Transaction Date]])</f>
        <v>2023</v>
      </c>
      <c r="Q1065" t="str">
        <f>IF(Transactions[[#This Row],[Sales Amount]]&lt;AVERAGE(Transactions[Sales Amount]),"Below Average","At/Above Average")</f>
        <v>At/Above Average</v>
      </c>
    </row>
    <row r="1066" spans="4:17" x14ac:dyDescent="0.2">
      <c r="D1066" t="s">
        <v>1156</v>
      </c>
      <c r="E1066" t="s">
        <v>78</v>
      </c>
      <c r="F1066" t="s">
        <v>88</v>
      </c>
      <c r="G1066">
        <v>191</v>
      </c>
      <c r="H1066">
        <v>1</v>
      </c>
      <c r="I1066">
        <v>55.3</v>
      </c>
      <c r="J1066">
        <v>10</v>
      </c>
      <c r="K1066" s="37">
        <v>44749</v>
      </c>
      <c r="L1066" t="s">
        <v>124</v>
      </c>
      <c r="M1066">
        <v>193.8</v>
      </c>
      <c r="N1066">
        <v>45</v>
      </c>
      <c r="O1066" t="str">
        <f>"Q"&amp;ROUNDUP(MONTH(Transactions[[#This Row],[Transaction Date]])/3,0)</f>
        <v>Q3</v>
      </c>
      <c r="P1066">
        <f>YEAR(Transactions[[#This Row],[Transaction Date]])</f>
        <v>2022</v>
      </c>
      <c r="Q1066" t="str">
        <f>IF(Transactions[[#This Row],[Sales Amount]]&lt;AVERAGE(Transactions[Sales Amount]),"Below Average","At/Above Average")</f>
        <v>Below Average</v>
      </c>
    </row>
    <row r="1067" spans="4:17" x14ac:dyDescent="0.2">
      <c r="D1067" t="s">
        <v>1157</v>
      </c>
      <c r="E1067" t="s">
        <v>75</v>
      </c>
      <c r="F1067" t="s">
        <v>129</v>
      </c>
      <c r="G1067">
        <v>136</v>
      </c>
      <c r="H1067">
        <v>8</v>
      </c>
      <c r="I1067">
        <v>52.67</v>
      </c>
      <c r="J1067">
        <v>1</v>
      </c>
      <c r="K1067" s="37">
        <v>45571</v>
      </c>
      <c r="L1067" t="s">
        <v>124</v>
      </c>
      <c r="M1067">
        <v>422.2</v>
      </c>
      <c r="N1067">
        <v>47</v>
      </c>
      <c r="O1067" t="str">
        <f>"Q"&amp;ROUNDUP(MONTH(Transactions[[#This Row],[Transaction Date]])/3,0)</f>
        <v>Q4</v>
      </c>
      <c r="P1067">
        <f>YEAR(Transactions[[#This Row],[Transaction Date]])</f>
        <v>2024</v>
      </c>
      <c r="Q1067" t="str">
        <f>IF(Transactions[[#This Row],[Sales Amount]]&lt;AVERAGE(Transactions[Sales Amount]),"Below Average","At/Above Average")</f>
        <v>At/Above Average</v>
      </c>
    </row>
    <row r="1068" spans="4:17" x14ac:dyDescent="0.2">
      <c r="D1068" t="s">
        <v>1158</v>
      </c>
      <c r="E1068" t="s">
        <v>77</v>
      </c>
      <c r="F1068" t="s">
        <v>108</v>
      </c>
      <c r="G1068">
        <v>195</v>
      </c>
      <c r="H1068">
        <v>7</v>
      </c>
      <c r="I1068">
        <v>45.37</v>
      </c>
      <c r="J1068">
        <v>2</v>
      </c>
      <c r="K1068" s="37">
        <v>45398</v>
      </c>
      <c r="L1068" t="s">
        <v>89</v>
      </c>
      <c r="M1068">
        <v>486.35</v>
      </c>
      <c r="N1068">
        <v>31</v>
      </c>
      <c r="O1068" t="str">
        <f>"Q"&amp;ROUNDUP(MONTH(Transactions[[#This Row],[Transaction Date]])/3,0)</f>
        <v>Q2</v>
      </c>
      <c r="P1068">
        <f>YEAR(Transactions[[#This Row],[Transaction Date]])</f>
        <v>2024</v>
      </c>
      <c r="Q1068" t="str">
        <f>IF(Transactions[[#This Row],[Sales Amount]]&lt;AVERAGE(Transactions[Sales Amount]),"Below Average","At/Above Average")</f>
        <v>At/Above Average</v>
      </c>
    </row>
    <row r="1069" spans="4:17" x14ac:dyDescent="0.2">
      <c r="D1069" t="s">
        <v>1159</v>
      </c>
      <c r="E1069" t="s">
        <v>87</v>
      </c>
      <c r="F1069" t="s">
        <v>99</v>
      </c>
      <c r="G1069">
        <v>107</v>
      </c>
      <c r="H1069">
        <v>7</v>
      </c>
      <c r="I1069">
        <v>50.36</v>
      </c>
      <c r="J1069">
        <v>2</v>
      </c>
      <c r="K1069" s="37">
        <v>45031</v>
      </c>
      <c r="L1069" t="s">
        <v>92</v>
      </c>
      <c r="M1069">
        <v>194.38</v>
      </c>
      <c r="N1069">
        <v>21</v>
      </c>
      <c r="O1069" t="str">
        <f>"Q"&amp;ROUNDUP(MONTH(Transactions[[#This Row],[Transaction Date]])/3,0)</f>
        <v>Q2</v>
      </c>
      <c r="P1069">
        <f>YEAR(Transactions[[#This Row],[Transaction Date]])</f>
        <v>2023</v>
      </c>
      <c r="Q1069" t="str">
        <f>IF(Transactions[[#This Row],[Sales Amount]]&lt;AVERAGE(Transactions[Sales Amount]),"Below Average","At/Above Average")</f>
        <v>Below Average</v>
      </c>
    </row>
    <row r="1070" spans="4:17" x14ac:dyDescent="0.2">
      <c r="D1070" t="s">
        <v>1160</v>
      </c>
      <c r="E1070" t="s">
        <v>77</v>
      </c>
      <c r="F1070" t="s">
        <v>129</v>
      </c>
      <c r="G1070">
        <v>287</v>
      </c>
      <c r="H1070">
        <v>7</v>
      </c>
      <c r="I1070">
        <v>52.26</v>
      </c>
      <c r="J1070">
        <v>8</v>
      </c>
      <c r="K1070" s="37">
        <v>44891</v>
      </c>
      <c r="L1070" t="s">
        <v>97</v>
      </c>
      <c r="M1070">
        <v>202.23</v>
      </c>
      <c r="N1070">
        <v>33</v>
      </c>
      <c r="O1070" t="str">
        <f>"Q"&amp;ROUNDUP(MONTH(Transactions[[#This Row],[Transaction Date]])/3,0)</f>
        <v>Q4</v>
      </c>
      <c r="P1070">
        <f>YEAR(Transactions[[#This Row],[Transaction Date]])</f>
        <v>2022</v>
      </c>
      <c r="Q1070" t="str">
        <f>IF(Transactions[[#This Row],[Sales Amount]]&lt;AVERAGE(Transactions[Sales Amount]),"Below Average","At/Above Average")</f>
        <v>Below Average</v>
      </c>
    </row>
    <row r="1071" spans="4:17" x14ac:dyDescent="0.2">
      <c r="D1071" t="s">
        <v>1161</v>
      </c>
      <c r="E1071" t="s">
        <v>75</v>
      </c>
      <c r="F1071" t="s">
        <v>99</v>
      </c>
      <c r="G1071">
        <v>273</v>
      </c>
      <c r="H1071">
        <v>4</v>
      </c>
      <c r="I1071">
        <v>53.03</v>
      </c>
      <c r="J1071">
        <v>5</v>
      </c>
      <c r="K1071" s="37">
        <v>44821</v>
      </c>
      <c r="L1071" t="s">
        <v>109</v>
      </c>
      <c r="M1071">
        <v>288.31</v>
      </c>
      <c r="N1071">
        <v>20</v>
      </c>
      <c r="O1071" t="str">
        <f>"Q"&amp;ROUNDUP(MONTH(Transactions[[#This Row],[Transaction Date]])/3,0)</f>
        <v>Q3</v>
      </c>
      <c r="P1071">
        <f>YEAR(Transactions[[#This Row],[Transaction Date]])</f>
        <v>2022</v>
      </c>
      <c r="Q1071" t="str">
        <f>IF(Transactions[[#This Row],[Sales Amount]]&lt;AVERAGE(Transactions[Sales Amount]),"Below Average","At/Above Average")</f>
        <v>At/Above Average</v>
      </c>
    </row>
    <row r="1072" spans="4:17" x14ac:dyDescent="0.2">
      <c r="D1072" t="s">
        <v>1162</v>
      </c>
      <c r="E1072" t="s">
        <v>74</v>
      </c>
      <c r="F1072" t="s">
        <v>99</v>
      </c>
      <c r="G1072">
        <v>281</v>
      </c>
      <c r="H1072">
        <v>9</v>
      </c>
      <c r="I1072">
        <v>45.32</v>
      </c>
      <c r="J1072">
        <v>6</v>
      </c>
      <c r="K1072" s="37">
        <v>45478</v>
      </c>
      <c r="L1072" t="s">
        <v>124</v>
      </c>
      <c r="M1072">
        <v>362.97</v>
      </c>
      <c r="N1072">
        <v>24</v>
      </c>
      <c r="O1072" t="str">
        <f>"Q"&amp;ROUNDUP(MONTH(Transactions[[#This Row],[Transaction Date]])/3,0)</f>
        <v>Q3</v>
      </c>
      <c r="P1072">
        <f>YEAR(Transactions[[#This Row],[Transaction Date]])</f>
        <v>2024</v>
      </c>
      <c r="Q1072" t="str">
        <f>IF(Transactions[[#This Row],[Sales Amount]]&lt;AVERAGE(Transactions[Sales Amount]),"Below Average","At/Above Average")</f>
        <v>At/Above Average</v>
      </c>
    </row>
    <row r="1073" spans="4:17" x14ac:dyDescent="0.2">
      <c r="D1073" t="s">
        <v>1163</v>
      </c>
      <c r="E1073" t="s">
        <v>77</v>
      </c>
      <c r="F1073" t="s">
        <v>96</v>
      </c>
      <c r="G1073">
        <v>285</v>
      </c>
      <c r="H1073">
        <v>9</v>
      </c>
      <c r="I1073">
        <v>56.44</v>
      </c>
      <c r="J1073">
        <v>5</v>
      </c>
      <c r="K1073" s="37">
        <v>45581</v>
      </c>
      <c r="L1073" t="s">
        <v>124</v>
      </c>
      <c r="M1073">
        <v>316.12</v>
      </c>
      <c r="N1073">
        <v>49</v>
      </c>
      <c r="O1073" t="str">
        <f>"Q"&amp;ROUNDUP(MONTH(Transactions[[#This Row],[Transaction Date]])/3,0)</f>
        <v>Q4</v>
      </c>
      <c r="P1073">
        <f>YEAR(Transactions[[#This Row],[Transaction Date]])</f>
        <v>2024</v>
      </c>
      <c r="Q1073" t="str">
        <f>IF(Transactions[[#This Row],[Sales Amount]]&lt;AVERAGE(Transactions[Sales Amount]),"Below Average","At/Above Average")</f>
        <v>At/Above Average</v>
      </c>
    </row>
    <row r="1074" spans="4:17" x14ac:dyDescent="0.2">
      <c r="D1074" t="s">
        <v>1164</v>
      </c>
      <c r="E1074" t="s">
        <v>78</v>
      </c>
      <c r="F1074" t="s">
        <v>99</v>
      </c>
      <c r="G1074">
        <v>229</v>
      </c>
      <c r="H1074">
        <v>7</v>
      </c>
      <c r="I1074">
        <v>47.58</v>
      </c>
      <c r="J1074">
        <v>2</v>
      </c>
      <c r="K1074" s="37">
        <v>45206</v>
      </c>
      <c r="L1074" t="s">
        <v>97</v>
      </c>
      <c r="M1074">
        <v>499.63</v>
      </c>
      <c r="N1074">
        <v>6</v>
      </c>
      <c r="O1074" t="str">
        <f>"Q"&amp;ROUNDUP(MONTH(Transactions[[#This Row],[Transaction Date]])/3,0)</f>
        <v>Q4</v>
      </c>
      <c r="P1074">
        <f>YEAR(Transactions[[#This Row],[Transaction Date]])</f>
        <v>2023</v>
      </c>
      <c r="Q1074" t="str">
        <f>IF(Transactions[[#This Row],[Sales Amount]]&lt;AVERAGE(Transactions[Sales Amount]),"Below Average","At/Above Average")</f>
        <v>At/Above Average</v>
      </c>
    </row>
    <row r="1075" spans="4:17" x14ac:dyDescent="0.2">
      <c r="D1075" t="s">
        <v>1165</v>
      </c>
      <c r="E1075" t="s">
        <v>74</v>
      </c>
      <c r="F1075" t="s">
        <v>105</v>
      </c>
      <c r="G1075">
        <v>241</v>
      </c>
      <c r="H1075">
        <v>8</v>
      </c>
      <c r="I1075">
        <v>49.47</v>
      </c>
      <c r="J1075">
        <v>8</v>
      </c>
      <c r="K1075" s="37">
        <v>45129</v>
      </c>
      <c r="L1075" t="s">
        <v>102</v>
      </c>
      <c r="M1075">
        <v>142.21</v>
      </c>
      <c r="N1075">
        <v>16</v>
      </c>
      <c r="O1075" t="str">
        <f>"Q"&amp;ROUNDUP(MONTH(Transactions[[#This Row],[Transaction Date]])/3,0)</f>
        <v>Q3</v>
      </c>
      <c r="P1075">
        <f>YEAR(Transactions[[#This Row],[Transaction Date]])</f>
        <v>2023</v>
      </c>
      <c r="Q1075" t="str">
        <f>IF(Transactions[[#This Row],[Sales Amount]]&lt;AVERAGE(Transactions[Sales Amount]),"Below Average","At/Above Average")</f>
        <v>Below Average</v>
      </c>
    </row>
    <row r="1076" spans="4:17" x14ac:dyDescent="0.2">
      <c r="D1076" t="s">
        <v>1166</v>
      </c>
      <c r="E1076" t="s">
        <v>74</v>
      </c>
      <c r="F1076" t="s">
        <v>129</v>
      </c>
      <c r="G1076">
        <v>121</v>
      </c>
      <c r="H1076">
        <v>2</v>
      </c>
      <c r="I1076">
        <v>47.82</v>
      </c>
      <c r="J1076">
        <v>8</v>
      </c>
      <c r="K1076" s="37">
        <v>45372</v>
      </c>
      <c r="L1076" t="s">
        <v>109</v>
      </c>
      <c r="M1076">
        <v>67.52</v>
      </c>
      <c r="N1076">
        <v>38</v>
      </c>
      <c r="O1076" t="str">
        <f>"Q"&amp;ROUNDUP(MONTH(Transactions[[#This Row],[Transaction Date]])/3,0)</f>
        <v>Q1</v>
      </c>
      <c r="P1076">
        <f>YEAR(Transactions[[#This Row],[Transaction Date]])</f>
        <v>2024</v>
      </c>
      <c r="Q1076" t="str">
        <f>IF(Transactions[[#This Row],[Sales Amount]]&lt;AVERAGE(Transactions[Sales Amount]),"Below Average","At/Above Average")</f>
        <v>Below Average</v>
      </c>
    </row>
    <row r="1077" spans="4:17" x14ac:dyDescent="0.2">
      <c r="D1077" t="s">
        <v>1167</v>
      </c>
      <c r="E1077" t="s">
        <v>76</v>
      </c>
      <c r="F1077" t="s">
        <v>108</v>
      </c>
      <c r="G1077">
        <v>268</v>
      </c>
      <c r="H1077">
        <v>4</v>
      </c>
      <c r="I1077">
        <v>48.29</v>
      </c>
      <c r="J1077">
        <v>10</v>
      </c>
      <c r="K1077" s="37">
        <v>45203</v>
      </c>
      <c r="L1077" t="s">
        <v>92</v>
      </c>
      <c r="M1077">
        <v>51.89</v>
      </c>
      <c r="N1077">
        <v>46</v>
      </c>
      <c r="O1077" t="str">
        <f>"Q"&amp;ROUNDUP(MONTH(Transactions[[#This Row],[Transaction Date]])/3,0)</f>
        <v>Q4</v>
      </c>
      <c r="P1077">
        <f>YEAR(Transactions[[#This Row],[Transaction Date]])</f>
        <v>2023</v>
      </c>
      <c r="Q1077" t="str">
        <f>IF(Transactions[[#This Row],[Sales Amount]]&lt;AVERAGE(Transactions[Sales Amount]),"Below Average","At/Above Average")</f>
        <v>Below Average</v>
      </c>
    </row>
    <row r="1078" spans="4:17" x14ac:dyDescent="0.2">
      <c r="D1078" t="s">
        <v>1168</v>
      </c>
      <c r="E1078" t="s">
        <v>78</v>
      </c>
      <c r="F1078" t="s">
        <v>96</v>
      </c>
      <c r="G1078">
        <v>101</v>
      </c>
      <c r="H1078">
        <v>6</v>
      </c>
      <c r="I1078">
        <v>46.75</v>
      </c>
      <c r="J1078">
        <v>4</v>
      </c>
      <c r="K1078" s="37">
        <v>44868</v>
      </c>
      <c r="L1078" t="s">
        <v>124</v>
      </c>
      <c r="M1078">
        <v>77.56</v>
      </c>
      <c r="N1078">
        <v>45</v>
      </c>
      <c r="O1078" t="str">
        <f>"Q"&amp;ROUNDUP(MONTH(Transactions[[#This Row],[Transaction Date]])/3,0)</f>
        <v>Q4</v>
      </c>
      <c r="P1078">
        <f>YEAR(Transactions[[#This Row],[Transaction Date]])</f>
        <v>2022</v>
      </c>
      <c r="Q1078" t="str">
        <f>IF(Transactions[[#This Row],[Sales Amount]]&lt;AVERAGE(Transactions[Sales Amount]),"Below Average","At/Above Average")</f>
        <v>Below Average</v>
      </c>
    </row>
    <row r="1079" spans="4:17" x14ac:dyDescent="0.2">
      <c r="D1079" t="s">
        <v>1169</v>
      </c>
      <c r="E1079" t="s">
        <v>76</v>
      </c>
      <c r="F1079" t="s">
        <v>94</v>
      </c>
      <c r="G1079">
        <v>243</v>
      </c>
      <c r="H1079">
        <v>10</v>
      </c>
      <c r="I1079">
        <v>52.86</v>
      </c>
      <c r="J1079">
        <v>9</v>
      </c>
      <c r="K1079" s="37">
        <v>44607</v>
      </c>
      <c r="L1079" t="s">
        <v>102</v>
      </c>
      <c r="M1079">
        <v>379.83</v>
      </c>
      <c r="N1079">
        <v>29</v>
      </c>
      <c r="O1079" t="str">
        <f>"Q"&amp;ROUNDUP(MONTH(Transactions[[#This Row],[Transaction Date]])/3,0)</f>
        <v>Q1</v>
      </c>
      <c r="P1079">
        <f>YEAR(Transactions[[#This Row],[Transaction Date]])</f>
        <v>2022</v>
      </c>
      <c r="Q1079" t="str">
        <f>IF(Transactions[[#This Row],[Sales Amount]]&lt;AVERAGE(Transactions[Sales Amount]),"Below Average","At/Above Average")</f>
        <v>At/Above Average</v>
      </c>
    </row>
    <row r="1080" spans="4:17" x14ac:dyDescent="0.2">
      <c r="D1080" t="s">
        <v>1170</v>
      </c>
      <c r="E1080" t="s">
        <v>75</v>
      </c>
      <c r="F1080" t="s">
        <v>99</v>
      </c>
      <c r="G1080">
        <v>127</v>
      </c>
      <c r="H1080">
        <v>1</v>
      </c>
      <c r="I1080">
        <v>53.72</v>
      </c>
      <c r="J1080">
        <v>2</v>
      </c>
      <c r="K1080" s="37">
        <v>45060</v>
      </c>
      <c r="L1080" t="s">
        <v>109</v>
      </c>
      <c r="M1080">
        <v>97.16</v>
      </c>
      <c r="N1080">
        <v>17</v>
      </c>
      <c r="O1080" t="str">
        <f>"Q"&amp;ROUNDUP(MONTH(Transactions[[#This Row],[Transaction Date]])/3,0)</f>
        <v>Q2</v>
      </c>
      <c r="P1080">
        <f>YEAR(Transactions[[#This Row],[Transaction Date]])</f>
        <v>2023</v>
      </c>
      <c r="Q1080" t="str">
        <f>IF(Transactions[[#This Row],[Sales Amount]]&lt;AVERAGE(Transactions[Sales Amount]),"Below Average","At/Above Average")</f>
        <v>Below Average</v>
      </c>
    </row>
    <row r="1081" spans="4:17" x14ac:dyDescent="0.2">
      <c r="D1081" t="s">
        <v>1171</v>
      </c>
      <c r="E1081" t="s">
        <v>74</v>
      </c>
      <c r="F1081" t="s">
        <v>94</v>
      </c>
      <c r="G1081">
        <v>294</v>
      </c>
      <c r="H1081">
        <v>10</v>
      </c>
      <c r="I1081">
        <v>48.04</v>
      </c>
      <c r="J1081">
        <v>7</v>
      </c>
      <c r="K1081" s="37">
        <v>45118</v>
      </c>
      <c r="L1081" t="s">
        <v>102</v>
      </c>
      <c r="M1081">
        <v>50.76</v>
      </c>
      <c r="N1081">
        <v>43</v>
      </c>
      <c r="O1081" t="str">
        <f>"Q"&amp;ROUNDUP(MONTH(Transactions[[#This Row],[Transaction Date]])/3,0)</f>
        <v>Q3</v>
      </c>
      <c r="P1081">
        <f>YEAR(Transactions[[#This Row],[Transaction Date]])</f>
        <v>2023</v>
      </c>
      <c r="Q1081" t="str">
        <f>IF(Transactions[[#This Row],[Sales Amount]]&lt;AVERAGE(Transactions[Sales Amount]),"Below Average","At/Above Average")</f>
        <v>Below Average</v>
      </c>
    </row>
    <row r="1082" spans="4:17" x14ac:dyDescent="0.2">
      <c r="D1082" t="s">
        <v>1172</v>
      </c>
      <c r="E1082" t="s">
        <v>76</v>
      </c>
      <c r="F1082" t="s">
        <v>129</v>
      </c>
      <c r="G1082">
        <v>218</v>
      </c>
      <c r="H1082">
        <v>9</v>
      </c>
      <c r="I1082">
        <v>58.94</v>
      </c>
      <c r="J1082">
        <v>2</v>
      </c>
      <c r="K1082" s="37">
        <v>45635</v>
      </c>
      <c r="L1082" t="s">
        <v>124</v>
      </c>
      <c r="M1082">
        <v>101.97</v>
      </c>
      <c r="N1082">
        <v>36</v>
      </c>
      <c r="O1082" t="str">
        <f>"Q"&amp;ROUNDUP(MONTH(Transactions[[#This Row],[Transaction Date]])/3,0)</f>
        <v>Q4</v>
      </c>
      <c r="P1082">
        <f>YEAR(Transactions[[#This Row],[Transaction Date]])</f>
        <v>2024</v>
      </c>
      <c r="Q1082" t="str">
        <f>IF(Transactions[[#This Row],[Sales Amount]]&lt;AVERAGE(Transactions[Sales Amount]),"Below Average","At/Above Average")</f>
        <v>Below Average</v>
      </c>
    </row>
    <row r="1083" spans="4:17" x14ac:dyDescent="0.2">
      <c r="D1083" t="s">
        <v>1173</v>
      </c>
      <c r="E1083" t="s">
        <v>74</v>
      </c>
      <c r="F1083" t="s">
        <v>105</v>
      </c>
      <c r="G1083">
        <v>105</v>
      </c>
      <c r="H1083">
        <v>6</v>
      </c>
      <c r="I1083">
        <v>55.19</v>
      </c>
      <c r="J1083">
        <v>2</v>
      </c>
      <c r="K1083" s="37">
        <v>45528</v>
      </c>
      <c r="L1083" t="s">
        <v>109</v>
      </c>
      <c r="M1083">
        <v>132.41</v>
      </c>
      <c r="N1083">
        <v>42</v>
      </c>
      <c r="O1083" t="str">
        <f>"Q"&amp;ROUNDUP(MONTH(Transactions[[#This Row],[Transaction Date]])/3,0)</f>
        <v>Q3</v>
      </c>
      <c r="P1083">
        <f>YEAR(Transactions[[#This Row],[Transaction Date]])</f>
        <v>2024</v>
      </c>
      <c r="Q1083" t="str">
        <f>IF(Transactions[[#This Row],[Sales Amount]]&lt;AVERAGE(Transactions[Sales Amount]),"Below Average","At/Above Average")</f>
        <v>Below Average</v>
      </c>
    </row>
    <row r="1084" spans="4:17" x14ac:dyDescent="0.2">
      <c r="D1084" t="s">
        <v>1174</v>
      </c>
      <c r="E1084" t="s">
        <v>87</v>
      </c>
      <c r="F1084" t="s">
        <v>129</v>
      </c>
      <c r="G1084">
        <v>100</v>
      </c>
      <c r="H1084">
        <v>9</v>
      </c>
      <c r="I1084">
        <v>46.65</v>
      </c>
      <c r="J1084">
        <v>8</v>
      </c>
      <c r="K1084" s="37">
        <v>44988</v>
      </c>
      <c r="L1084" t="s">
        <v>92</v>
      </c>
      <c r="M1084">
        <v>314.24</v>
      </c>
      <c r="N1084">
        <v>21</v>
      </c>
      <c r="O1084" t="str">
        <f>"Q"&amp;ROUNDUP(MONTH(Transactions[[#This Row],[Transaction Date]])/3,0)</f>
        <v>Q1</v>
      </c>
      <c r="P1084">
        <f>YEAR(Transactions[[#This Row],[Transaction Date]])</f>
        <v>2023</v>
      </c>
      <c r="Q1084" t="str">
        <f>IF(Transactions[[#This Row],[Sales Amount]]&lt;AVERAGE(Transactions[Sales Amount]),"Below Average","At/Above Average")</f>
        <v>At/Above Average</v>
      </c>
    </row>
    <row r="1085" spans="4:17" x14ac:dyDescent="0.2">
      <c r="D1085" t="s">
        <v>1175</v>
      </c>
      <c r="E1085" t="s">
        <v>76</v>
      </c>
      <c r="F1085" t="s">
        <v>105</v>
      </c>
      <c r="G1085">
        <v>152</v>
      </c>
      <c r="H1085">
        <v>8</v>
      </c>
      <c r="I1085">
        <v>58.08</v>
      </c>
      <c r="J1085">
        <v>4</v>
      </c>
      <c r="K1085" s="37">
        <v>45511</v>
      </c>
      <c r="L1085" t="s">
        <v>92</v>
      </c>
      <c r="M1085">
        <v>198.16</v>
      </c>
      <c r="N1085">
        <v>35</v>
      </c>
      <c r="O1085" t="str">
        <f>"Q"&amp;ROUNDUP(MONTH(Transactions[[#This Row],[Transaction Date]])/3,0)</f>
        <v>Q3</v>
      </c>
      <c r="P1085">
        <f>YEAR(Transactions[[#This Row],[Transaction Date]])</f>
        <v>2024</v>
      </c>
      <c r="Q1085" t="str">
        <f>IF(Transactions[[#This Row],[Sales Amount]]&lt;AVERAGE(Transactions[Sales Amount]),"Below Average","At/Above Average")</f>
        <v>Below Average</v>
      </c>
    </row>
    <row r="1086" spans="4:17" x14ac:dyDescent="0.2">
      <c r="D1086" t="s">
        <v>1176</v>
      </c>
      <c r="E1086" t="s">
        <v>78</v>
      </c>
      <c r="F1086" t="s">
        <v>99</v>
      </c>
      <c r="G1086">
        <v>184</v>
      </c>
      <c r="H1086">
        <v>6</v>
      </c>
      <c r="I1086">
        <v>49.24</v>
      </c>
      <c r="J1086">
        <v>5</v>
      </c>
      <c r="K1086" s="37">
        <v>45256</v>
      </c>
      <c r="L1086" t="s">
        <v>97</v>
      </c>
      <c r="M1086">
        <v>178.86</v>
      </c>
      <c r="N1086">
        <v>7</v>
      </c>
      <c r="O1086" t="str">
        <f>"Q"&amp;ROUNDUP(MONTH(Transactions[[#This Row],[Transaction Date]])/3,0)</f>
        <v>Q4</v>
      </c>
      <c r="P1086">
        <f>YEAR(Transactions[[#This Row],[Transaction Date]])</f>
        <v>2023</v>
      </c>
      <c r="Q1086" t="str">
        <f>IF(Transactions[[#This Row],[Sales Amount]]&lt;AVERAGE(Transactions[Sales Amount]),"Below Average","At/Above Average")</f>
        <v>Below Average</v>
      </c>
    </row>
    <row r="1087" spans="4:17" x14ac:dyDescent="0.2">
      <c r="D1087" t="s">
        <v>1177</v>
      </c>
      <c r="E1087" t="s">
        <v>87</v>
      </c>
      <c r="F1087" t="s">
        <v>88</v>
      </c>
      <c r="G1087">
        <v>101</v>
      </c>
      <c r="H1087">
        <v>1</v>
      </c>
      <c r="I1087">
        <v>46.97</v>
      </c>
      <c r="J1087">
        <v>4</v>
      </c>
      <c r="K1087" s="37">
        <v>44626</v>
      </c>
      <c r="L1087" t="s">
        <v>124</v>
      </c>
      <c r="M1087">
        <v>462.79</v>
      </c>
      <c r="N1087">
        <v>13</v>
      </c>
      <c r="O1087" t="str">
        <f>"Q"&amp;ROUNDUP(MONTH(Transactions[[#This Row],[Transaction Date]])/3,0)</f>
        <v>Q1</v>
      </c>
      <c r="P1087">
        <f>YEAR(Transactions[[#This Row],[Transaction Date]])</f>
        <v>2022</v>
      </c>
      <c r="Q1087" t="str">
        <f>IF(Transactions[[#This Row],[Sales Amount]]&lt;AVERAGE(Transactions[Sales Amount]),"Below Average","At/Above Average")</f>
        <v>At/Above Average</v>
      </c>
    </row>
    <row r="1088" spans="4:17" x14ac:dyDescent="0.2">
      <c r="D1088" t="s">
        <v>1178</v>
      </c>
      <c r="E1088" t="s">
        <v>74</v>
      </c>
      <c r="F1088" t="s">
        <v>99</v>
      </c>
      <c r="G1088">
        <v>221</v>
      </c>
      <c r="H1088">
        <v>10</v>
      </c>
      <c r="I1088">
        <v>51.35</v>
      </c>
      <c r="J1088">
        <v>3</v>
      </c>
      <c r="K1088" s="37">
        <v>45237</v>
      </c>
      <c r="L1088" t="s">
        <v>109</v>
      </c>
      <c r="M1088">
        <v>239.26</v>
      </c>
      <c r="N1088">
        <v>42</v>
      </c>
      <c r="O1088" t="str">
        <f>"Q"&amp;ROUNDUP(MONTH(Transactions[[#This Row],[Transaction Date]])/3,0)</f>
        <v>Q4</v>
      </c>
      <c r="P1088">
        <f>YEAR(Transactions[[#This Row],[Transaction Date]])</f>
        <v>2023</v>
      </c>
      <c r="Q1088" t="str">
        <f>IF(Transactions[[#This Row],[Sales Amount]]&lt;AVERAGE(Transactions[Sales Amount]),"Below Average","At/Above Average")</f>
        <v>Below Average</v>
      </c>
    </row>
    <row r="1089" spans="4:17" x14ac:dyDescent="0.2">
      <c r="D1089" t="s">
        <v>1179</v>
      </c>
      <c r="E1089" t="s">
        <v>76</v>
      </c>
      <c r="F1089" t="s">
        <v>91</v>
      </c>
      <c r="G1089">
        <v>182</v>
      </c>
      <c r="H1089">
        <v>1</v>
      </c>
      <c r="I1089">
        <v>59.85</v>
      </c>
      <c r="J1089">
        <v>10</v>
      </c>
      <c r="K1089" s="37">
        <v>45579</v>
      </c>
      <c r="L1089" t="s">
        <v>102</v>
      </c>
      <c r="M1089">
        <v>94.75</v>
      </c>
      <c r="N1089">
        <v>28</v>
      </c>
      <c r="O1089" t="str">
        <f>"Q"&amp;ROUNDUP(MONTH(Transactions[[#This Row],[Transaction Date]])/3,0)</f>
        <v>Q4</v>
      </c>
      <c r="P1089">
        <f>YEAR(Transactions[[#This Row],[Transaction Date]])</f>
        <v>2024</v>
      </c>
      <c r="Q1089" t="str">
        <f>IF(Transactions[[#This Row],[Sales Amount]]&lt;AVERAGE(Transactions[Sales Amount]),"Below Average","At/Above Average")</f>
        <v>Below Average</v>
      </c>
    </row>
    <row r="1090" spans="4:17" x14ac:dyDescent="0.2">
      <c r="D1090" t="s">
        <v>1180</v>
      </c>
      <c r="E1090" t="s">
        <v>76</v>
      </c>
      <c r="F1090" t="s">
        <v>94</v>
      </c>
      <c r="G1090">
        <v>206</v>
      </c>
      <c r="H1090">
        <v>8</v>
      </c>
      <c r="I1090">
        <v>54.95</v>
      </c>
      <c r="J1090">
        <v>1</v>
      </c>
      <c r="K1090" s="37">
        <v>45130</v>
      </c>
      <c r="L1090" t="s">
        <v>89</v>
      </c>
      <c r="M1090">
        <v>495.15</v>
      </c>
      <c r="N1090">
        <v>10</v>
      </c>
      <c r="O1090" t="str">
        <f>"Q"&amp;ROUNDUP(MONTH(Transactions[[#This Row],[Transaction Date]])/3,0)</f>
        <v>Q3</v>
      </c>
      <c r="P1090">
        <f>YEAR(Transactions[[#This Row],[Transaction Date]])</f>
        <v>2023</v>
      </c>
      <c r="Q1090" t="str">
        <f>IF(Transactions[[#This Row],[Sales Amount]]&lt;AVERAGE(Transactions[Sales Amount]),"Below Average","At/Above Average")</f>
        <v>At/Above Average</v>
      </c>
    </row>
    <row r="1091" spans="4:17" x14ac:dyDescent="0.2">
      <c r="D1091" t="s">
        <v>1181</v>
      </c>
      <c r="E1091" t="s">
        <v>74</v>
      </c>
      <c r="F1091" t="s">
        <v>94</v>
      </c>
      <c r="G1091">
        <v>157</v>
      </c>
      <c r="H1091">
        <v>10</v>
      </c>
      <c r="I1091">
        <v>57.55</v>
      </c>
      <c r="J1091">
        <v>3</v>
      </c>
      <c r="K1091" s="37">
        <v>44826</v>
      </c>
      <c r="L1091" t="s">
        <v>109</v>
      </c>
      <c r="M1091">
        <v>62.29</v>
      </c>
      <c r="N1091">
        <v>16</v>
      </c>
      <c r="O1091" t="str">
        <f>"Q"&amp;ROUNDUP(MONTH(Transactions[[#This Row],[Transaction Date]])/3,0)</f>
        <v>Q3</v>
      </c>
      <c r="P1091">
        <f>YEAR(Transactions[[#This Row],[Transaction Date]])</f>
        <v>2022</v>
      </c>
      <c r="Q1091" t="str">
        <f>IF(Transactions[[#This Row],[Sales Amount]]&lt;AVERAGE(Transactions[Sales Amount]),"Below Average","At/Above Average")</f>
        <v>Below Average</v>
      </c>
    </row>
    <row r="1092" spans="4:17" x14ac:dyDescent="0.2">
      <c r="D1092" t="s">
        <v>1182</v>
      </c>
      <c r="E1092" t="s">
        <v>76</v>
      </c>
      <c r="F1092" t="s">
        <v>96</v>
      </c>
      <c r="G1092">
        <v>248</v>
      </c>
      <c r="H1092">
        <v>6</v>
      </c>
      <c r="I1092">
        <v>48.03</v>
      </c>
      <c r="J1092">
        <v>8</v>
      </c>
      <c r="K1092" s="37">
        <v>45450</v>
      </c>
      <c r="L1092" t="s">
        <v>89</v>
      </c>
      <c r="M1092">
        <v>312.41000000000003</v>
      </c>
      <c r="N1092">
        <v>5</v>
      </c>
      <c r="O1092" t="str">
        <f>"Q"&amp;ROUNDUP(MONTH(Transactions[[#This Row],[Transaction Date]])/3,0)</f>
        <v>Q2</v>
      </c>
      <c r="P1092">
        <f>YEAR(Transactions[[#This Row],[Transaction Date]])</f>
        <v>2024</v>
      </c>
      <c r="Q1092" t="str">
        <f>IF(Transactions[[#This Row],[Sales Amount]]&lt;AVERAGE(Transactions[Sales Amount]),"Below Average","At/Above Average")</f>
        <v>At/Above Average</v>
      </c>
    </row>
    <row r="1093" spans="4:17" x14ac:dyDescent="0.2">
      <c r="D1093" t="s">
        <v>1183</v>
      </c>
      <c r="E1093" t="s">
        <v>76</v>
      </c>
      <c r="F1093" t="s">
        <v>91</v>
      </c>
      <c r="G1093">
        <v>182</v>
      </c>
      <c r="H1093">
        <v>2</v>
      </c>
      <c r="I1093">
        <v>58.74</v>
      </c>
      <c r="J1093">
        <v>10</v>
      </c>
      <c r="K1093" s="37">
        <v>45499</v>
      </c>
      <c r="L1093" t="s">
        <v>102</v>
      </c>
      <c r="M1093">
        <v>194.89</v>
      </c>
      <c r="N1093">
        <v>10</v>
      </c>
      <c r="O1093" t="str">
        <f>"Q"&amp;ROUNDUP(MONTH(Transactions[[#This Row],[Transaction Date]])/3,0)</f>
        <v>Q3</v>
      </c>
      <c r="P1093">
        <f>YEAR(Transactions[[#This Row],[Transaction Date]])</f>
        <v>2024</v>
      </c>
      <c r="Q1093" t="str">
        <f>IF(Transactions[[#This Row],[Sales Amount]]&lt;AVERAGE(Transactions[Sales Amount]),"Below Average","At/Above Average")</f>
        <v>Below Average</v>
      </c>
    </row>
    <row r="1094" spans="4:17" x14ac:dyDescent="0.2">
      <c r="D1094" t="s">
        <v>1184</v>
      </c>
      <c r="E1094" t="s">
        <v>74</v>
      </c>
      <c r="F1094" t="s">
        <v>99</v>
      </c>
      <c r="G1094">
        <v>100</v>
      </c>
      <c r="H1094">
        <v>1</v>
      </c>
      <c r="I1094">
        <v>50.1</v>
      </c>
      <c r="J1094">
        <v>4</v>
      </c>
      <c r="K1094" s="37">
        <v>45121</v>
      </c>
      <c r="L1094" t="s">
        <v>89</v>
      </c>
      <c r="M1094">
        <v>388.18</v>
      </c>
      <c r="N1094">
        <v>23</v>
      </c>
      <c r="O1094" t="str">
        <f>"Q"&amp;ROUNDUP(MONTH(Transactions[[#This Row],[Transaction Date]])/3,0)</f>
        <v>Q3</v>
      </c>
      <c r="P1094">
        <f>YEAR(Transactions[[#This Row],[Transaction Date]])</f>
        <v>2023</v>
      </c>
      <c r="Q1094" t="str">
        <f>IF(Transactions[[#This Row],[Sales Amount]]&lt;AVERAGE(Transactions[Sales Amount]),"Below Average","At/Above Average")</f>
        <v>At/Above Average</v>
      </c>
    </row>
    <row r="1095" spans="4:17" x14ac:dyDescent="0.2">
      <c r="D1095" t="s">
        <v>1185</v>
      </c>
      <c r="E1095" t="s">
        <v>77</v>
      </c>
      <c r="F1095" t="s">
        <v>129</v>
      </c>
      <c r="G1095">
        <v>153</v>
      </c>
      <c r="H1095">
        <v>8</v>
      </c>
      <c r="I1095">
        <v>46.03</v>
      </c>
      <c r="J1095">
        <v>10</v>
      </c>
      <c r="K1095" s="37">
        <v>44937</v>
      </c>
      <c r="L1095" t="s">
        <v>92</v>
      </c>
      <c r="M1095">
        <v>17.739999999999998</v>
      </c>
      <c r="N1095">
        <v>6</v>
      </c>
      <c r="O1095" t="str">
        <f>"Q"&amp;ROUNDUP(MONTH(Transactions[[#This Row],[Transaction Date]])/3,0)</f>
        <v>Q1</v>
      </c>
      <c r="P1095">
        <f>YEAR(Transactions[[#This Row],[Transaction Date]])</f>
        <v>2023</v>
      </c>
      <c r="Q1095" t="str">
        <f>IF(Transactions[[#This Row],[Sales Amount]]&lt;AVERAGE(Transactions[Sales Amount]),"Below Average","At/Above Average")</f>
        <v>Below Average</v>
      </c>
    </row>
    <row r="1096" spans="4:17" x14ac:dyDescent="0.2">
      <c r="D1096" t="s">
        <v>1186</v>
      </c>
      <c r="E1096" t="s">
        <v>87</v>
      </c>
      <c r="F1096" t="s">
        <v>105</v>
      </c>
      <c r="G1096">
        <v>291</v>
      </c>
      <c r="H1096">
        <v>6</v>
      </c>
      <c r="I1096">
        <v>47.9</v>
      </c>
      <c r="J1096">
        <v>1</v>
      </c>
      <c r="K1096" s="37">
        <v>44667</v>
      </c>
      <c r="L1096" t="s">
        <v>97</v>
      </c>
      <c r="M1096">
        <v>412.93</v>
      </c>
      <c r="N1096">
        <v>50</v>
      </c>
      <c r="O1096" t="str">
        <f>"Q"&amp;ROUNDUP(MONTH(Transactions[[#This Row],[Transaction Date]])/3,0)</f>
        <v>Q2</v>
      </c>
      <c r="P1096">
        <f>YEAR(Transactions[[#This Row],[Transaction Date]])</f>
        <v>2022</v>
      </c>
      <c r="Q1096" t="str">
        <f>IF(Transactions[[#This Row],[Sales Amount]]&lt;AVERAGE(Transactions[Sales Amount]),"Below Average","At/Above Average")</f>
        <v>At/Above Average</v>
      </c>
    </row>
    <row r="1097" spans="4:17" x14ac:dyDescent="0.2">
      <c r="D1097" t="s">
        <v>1187</v>
      </c>
      <c r="E1097" t="s">
        <v>77</v>
      </c>
      <c r="F1097" t="s">
        <v>88</v>
      </c>
      <c r="G1097">
        <v>171</v>
      </c>
      <c r="H1097">
        <v>1</v>
      </c>
      <c r="I1097">
        <v>55.02</v>
      </c>
      <c r="J1097">
        <v>10</v>
      </c>
      <c r="K1097" s="37">
        <v>44964</v>
      </c>
      <c r="L1097" t="s">
        <v>89</v>
      </c>
      <c r="M1097">
        <v>453.07</v>
      </c>
      <c r="N1097">
        <v>9</v>
      </c>
      <c r="O1097" t="str">
        <f>"Q"&amp;ROUNDUP(MONTH(Transactions[[#This Row],[Transaction Date]])/3,0)</f>
        <v>Q1</v>
      </c>
      <c r="P1097">
        <f>YEAR(Transactions[[#This Row],[Transaction Date]])</f>
        <v>2023</v>
      </c>
      <c r="Q1097" t="str">
        <f>IF(Transactions[[#This Row],[Sales Amount]]&lt;AVERAGE(Transactions[Sales Amount]),"Below Average","At/Above Average")</f>
        <v>At/Above Average</v>
      </c>
    </row>
    <row r="1098" spans="4:17" x14ac:dyDescent="0.2">
      <c r="D1098" t="s">
        <v>1188</v>
      </c>
      <c r="E1098" t="s">
        <v>74</v>
      </c>
      <c r="F1098" t="s">
        <v>129</v>
      </c>
      <c r="G1098">
        <v>104</v>
      </c>
      <c r="H1098">
        <v>7</v>
      </c>
      <c r="I1098">
        <v>59.22</v>
      </c>
      <c r="J1098">
        <v>5</v>
      </c>
      <c r="K1098" s="37">
        <v>45032</v>
      </c>
      <c r="L1098" t="s">
        <v>102</v>
      </c>
      <c r="M1098">
        <v>35.56</v>
      </c>
      <c r="N1098">
        <v>7</v>
      </c>
      <c r="O1098" t="str">
        <f>"Q"&amp;ROUNDUP(MONTH(Transactions[[#This Row],[Transaction Date]])/3,0)</f>
        <v>Q2</v>
      </c>
      <c r="P1098">
        <f>YEAR(Transactions[[#This Row],[Transaction Date]])</f>
        <v>2023</v>
      </c>
      <c r="Q1098" t="str">
        <f>IF(Transactions[[#This Row],[Sales Amount]]&lt;AVERAGE(Transactions[Sales Amount]),"Below Average","At/Above Average")</f>
        <v>Below Average</v>
      </c>
    </row>
    <row r="1099" spans="4:17" x14ac:dyDescent="0.2">
      <c r="D1099" t="s">
        <v>1189</v>
      </c>
      <c r="E1099" t="s">
        <v>76</v>
      </c>
      <c r="F1099" t="s">
        <v>108</v>
      </c>
      <c r="G1099">
        <v>287</v>
      </c>
      <c r="H1099">
        <v>5</v>
      </c>
      <c r="I1099">
        <v>50.4</v>
      </c>
      <c r="J1099">
        <v>8</v>
      </c>
      <c r="K1099" s="37">
        <v>45284</v>
      </c>
      <c r="L1099" t="s">
        <v>102</v>
      </c>
      <c r="M1099">
        <v>374.5</v>
      </c>
      <c r="N1099">
        <v>1</v>
      </c>
      <c r="O1099" t="str">
        <f>"Q"&amp;ROUNDUP(MONTH(Transactions[[#This Row],[Transaction Date]])/3,0)</f>
        <v>Q4</v>
      </c>
      <c r="P1099">
        <f>YEAR(Transactions[[#This Row],[Transaction Date]])</f>
        <v>2023</v>
      </c>
      <c r="Q1099" t="str">
        <f>IF(Transactions[[#This Row],[Sales Amount]]&lt;AVERAGE(Transactions[Sales Amount]),"Below Average","At/Above Average")</f>
        <v>At/Above Average</v>
      </c>
    </row>
    <row r="1100" spans="4:17" x14ac:dyDescent="0.2">
      <c r="D1100" t="s">
        <v>1190</v>
      </c>
      <c r="E1100" t="s">
        <v>78</v>
      </c>
      <c r="F1100" t="s">
        <v>88</v>
      </c>
      <c r="G1100">
        <v>254</v>
      </c>
      <c r="H1100">
        <v>1</v>
      </c>
      <c r="I1100">
        <v>49.62</v>
      </c>
      <c r="J1100">
        <v>9</v>
      </c>
      <c r="K1100" s="37">
        <v>45139</v>
      </c>
      <c r="L1100" t="s">
        <v>124</v>
      </c>
      <c r="M1100">
        <v>372.93</v>
      </c>
      <c r="N1100">
        <v>48</v>
      </c>
      <c r="O1100" t="str">
        <f>"Q"&amp;ROUNDUP(MONTH(Transactions[[#This Row],[Transaction Date]])/3,0)</f>
        <v>Q3</v>
      </c>
      <c r="P1100">
        <f>YEAR(Transactions[[#This Row],[Transaction Date]])</f>
        <v>2023</v>
      </c>
      <c r="Q1100" t="str">
        <f>IF(Transactions[[#This Row],[Sales Amount]]&lt;AVERAGE(Transactions[Sales Amount]),"Below Average","At/Above Average")</f>
        <v>At/Above Average</v>
      </c>
    </row>
    <row r="1101" spans="4:17" x14ac:dyDescent="0.2">
      <c r="D1101" t="s">
        <v>1191</v>
      </c>
      <c r="E1101" t="s">
        <v>87</v>
      </c>
      <c r="F1101" t="s">
        <v>94</v>
      </c>
      <c r="G1101">
        <v>177</v>
      </c>
      <c r="H1101">
        <v>6</v>
      </c>
      <c r="I1101">
        <v>45.27</v>
      </c>
      <c r="J1101">
        <v>4</v>
      </c>
      <c r="K1101" s="37">
        <v>45256</v>
      </c>
      <c r="L1101" t="s">
        <v>109</v>
      </c>
      <c r="M1101">
        <v>350.22</v>
      </c>
      <c r="N1101">
        <v>48</v>
      </c>
      <c r="O1101" t="str">
        <f>"Q"&amp;ROUNDUP(MONTH(Transactions[[#This Row],[Transaction Date]])/3,0)</f>
        <v>Q4</v>
      </c>
      <c r="P1101">
        <f>YEAR(Transactions[[#This Row],[Transaction Date]])</f>
        <v>2023</v>
      </c>
      <c r="Q1101" t="str">
        <f>IF(Transactions[[#This Row],[Sales Amount]]&lt;AVERAGE(Transactions[Sales Amount]),"Below Average","At/Above Average")</f>
        <v>At/Above Average</v>
      </c>
    </row>
    <row r="1102" spans="4:17" x14ac:dyDescent="0.2">
      <c r="D1102" t="s">
        <v>1192</v>
      </c>
      <c r="E1102" t="s">
        <v>76</v>
      </c>
      <c r="F1102" t="s">
        <v>129</v>
      </c>
      <c r="G1102">
        <v>111</v>
      </c>
      <c r="H1102">
        <v>1</v>
      </c>
      <c r="I1102">
        <v>55.65</v>
      </c>
      <c r="J1102">
        <v>3</v>
      </c>
      <c r="K1102" s="37">
        <v>44713</v>
      </c>
      <c r="L1102" t="s">
        <v>97</v>
      </c>
      <c r="M1102">
        <v>87.2</v>
      </c>
      <c r="N1102">
        <v>29</v>
      </c>
      <c r="O1102" t="str">
        <f>"Q"&amp;ROUNDUP(MONTH(Transactions[[#This Row],[Transaction Date]])/3,0)</f>
        <v>Q2</v>
      </c>
      <c r="P1102">
        <f>YEAR(Transactions[[#This Row],[Transaction Date]])</f>
        <v>2022</v>
      </c>
      <c r="Q1102" t="str">
        <f>IF(Transactions[[#This Row],[Sales Amount]]&lt;AVERAGE(Transactions[Sales Amount]),"Below Average","At/Above Average")</f>
        <v>Below Average</v>
      </c>
    </row>
    <row r="1103" spans="4:17" x14ac:dyDescent="0.2">
      <c r="D1103" t="s">
        <v>1193</v>
      </c>
      <c r="E1103" t="s">
        <v>87</v>
      </c>
      <c r="F1103" t="s">
        <v>105</v>
      </c>
      <c r="G1103">
        <v>144</v>
      </c>
      <c r="H1103">
        <v>10</v>
      </c>
      <c r="I1103">
        <v>45.41</v>
      </c>
      <c r="J1103">
        <v>2</v>
      </c>
      <c r="K1103" s="37">
        <v>44669</v>
      </c>
      <c r="L1103" t="s">
        <v>92</v>
      </c>
      <c r="M1103">
        <v>418.3</v>
      </c>
      <c r="N1103">
        <v>42</v>
      </c>
      <c r="O1103" t="str">
        <f>"Q"&amp;ROUNDUP(MONTH(Transactions[[#This Row],[Transaction Date]])/3,0)</f>
        <v>Q2</v>
      </c>
      <c r="P1103">
        <f>YEAR(Transactions[[#This Row],[Transaction Date]])</f>
        <v>2022</v>
      </c>
      <c r="Q1103" t="str">
        <f>IF(Transactions[[#This Row],[Sales Amount]]&lt;AVERAGE(Transactions[Sales Amount]),"Below Average","At/Above Average")</f>
        <v>At/Above Average</v>
      </c>
    </row>
    <row r="1104" spans="4:17" x14ac:dyDescent="0.2">
      <c r="D1104" t="s">
        <v>1194</v>
      </c>
      <c r="E1104" t="s">
        <v>74</v>
      </c>
      <c r="F1104" t="s">
        <v>94</v>
      </c>
      <c r="G1104">
        <v>159</v>
      </c>
      <c r="H1104">
        <v>10</v>
      </c>
      <c r="I1104">
        <v>46.64</v>
      </c>
      <c r="J1104">
        <v>5</v>
      </c>
      <c r="K1104" s="37">
        <v>45354</v>
      </c>
      <c r="L1104" t="s">
        <v>124</v>
      </c>
      <c r="M1104">
        <v>158.86000000000001</v>
      </c>
      <c r="N1104">
        <v>47</v>
      </c>
      <c r="O1104" t="str">
        <f>"Q"&amp;ROUNDUP(MONTH(Transactions[[#This Row],[Transaction Date]])/3,0)</f>
        <v>Q1</v>
      </c>
      <c r="P1104">
        <f>YEAR(Transactions[[#This Row],[Transaction Date]])</f>
        <v>2024</v>
      </c>
      <c r="Q1104" t="str">
        <f>IF(Transactions[[#This Row],[Sales Amount]]&lt;AVERAGE(Transactions[Sales Amount]),"Below Average","At/Above Average")</f>
        <v>Below Average</v>
      </c>
    </row>
    <row r="1105" spans="4:17" x14ac:dyDescent="0.2">
      <c r="D1105" t="s">
        <v>1195</v>
      </c>
      <c r="E1105" t="s">
        <v>77</v>
      </c>
      <c r="F1105" t="s">
        <v>94</v>
      </c>
      <c r="G1105">
        <v>158</v>
      </c>
      <c r="H1105">
        <v>9</v>
      </c>
      <c r="I1105">
        <v>51.95</v>
      </c>
      <c r="J1105">
        <v>2</v>
      </c>
      <c r="K1105" s="37">
        <v>44724</v>
      </c>
      <c r="L1105" t="s">
        <v>97</v>
      </c>
      <c r="M1105">
        <v>380.29</v>
      </c>
      <c r="N1105">
        <v>20</v>
      </c>
      <c r="O1105" t="str">
        <f>"Q"&amp;ROUNDUP(MONTH(Transactions[[#This Row],[Transaction Date]])/3,0)</f>
        <v>Q2</v>
      </c>
      <c r="P1105">
        <f>YEAR(Transactions[[#This Row],[Transaction Date]])</f>
        <v>2022</v>
      </c>
      <c r="Q1105" t="str">
        <f>IF(Transactions[[#This Row],[Sales Amount]]&lt;AVERAGE(Transactions[Sales Amount]),"Below Average","At/Above Average")</f>
        <v>At/Above Average</v>
      </c>
    </row>
    <row r="1106" spans="4:17" x14ac:dyDescent="0.2">
      <c r="D1106" t="s">
        <v>1196</v>
      </c>
      <c r="E1106" t="s">
        <v>87</v>
      </c>
      <c r="F1106" t="s">
        <v>88</v>
      </c>
      <c r="G1106">
        <v>147</v>
      </c>
      <c r="H1106">
        <v>7</v>
      </c>
      <c r="I1106">
        <v>51.06</v>
      </c>
      <c r="J1106">
        <v>3</v>
      </c>
      <c r="K1106" s="37">
        <v>44688</v>
      </c>
      <c r="L1106" t="s">
        <v>124</v>
      </c>
      <c r="M1106">
        <v>462.94</v>
      </c>
      <c r="N1106">
        <v>33</v>
      </c>
      <c r="O1106" t="str">
        <f>"Q"&amp;ROUNDUP(MONTH(Transactions[[#This Row],[Transaction Date]])/3,0)</f>
        <v>Q2</v>
      </c>
      <c r="P1106">
        <f>YEAR(Transactions[[#This Row],[Transaction Date]])</f>
        <v>2022</v>
      </c>
      <c r="Q1106" t="str">
        <f>IF(Transactions[[#This Row],[Sales Amount]]&lt;AVERAGE(Transactions[Sales Amount]),"Below Average","At/Above Average")</f>
        <v>At/Above Average</v>
      </c>
    </row>
    <row r="1107" spans="4:17" x14ac:dyDescent="0.2">
      <c r="D1107" t="s">
        <v>1197</v>
      </c>
      <c r="E1107" t="s">
        <v>76</v>
      </c>
      <c r="F1107" t="s">
        <v>99</v>
      </c>
      <c r="G1107">
        <v>241</v>
      </c>
      <c r="H1107">
        <v>6</v>
      </c>
      <c r="I1107">
        <v>52.4</v>
      </c>
      <c r="J1107">
        <v>3</v>
      </c>
      <c r="K1107" s="37">
        <v>44589</v>
      </c>
      <c r="L1107" t="s">
        <v>102</v>
      </c>
      <c r="M1107">
        <v>495.45</v>
      </c>
      <c r="N1107">
        <v>24</v>
      </c>
      <c r="O1107" t="str">
        <f>"Q"&amp;ROUNDUP(MONTH(Transactions[[#This Row],[Transaction Date]])/3,0)</f>
        <v>Q1</v>
      </c>
      <c r="P1107">
        <f>YEAR(Transactions[[#This Row],[Transaction Date]])</f>
        <v>2022</v>
      </c>
      <c r="Q1107" t="str">
        <f>IF(Transactions[[#This Row],[Sales Amount]]&lt;AVERAGE(Transactions[Sales Amount]),"Below Average","At/Above Average")</f>
        <v>At/Above Average</v>
      </c>
    </row>
    <row r="1108" spans="4:17" x14ac:dyDescent="0.2">
      <c r="D1108" t="s">
        <v>1198</v>
      </c>
      <c r="E1108" t="s">
        <v>78</v>
      </c>
      <c r="F1108" t="s">
        <v>108</v>
      </c>
      <c r="G1108">
        <v>235</v>
      </c>
      <c r="H1108">
        <v>5</v>
      </c>
      <c r="I1108">
        <v>47.78</v>
      </c>
      <c r="J1108">
        <v>10</v>
      </c>
      <c r="K1108" s="37">
        <v>44728</v>
      </c>
      <c r="L1108" t="s">
        <v>89</v>
      </c>
      <c r="M1108">
        <v>98.91</v>
      </c>
      <c r="N1108">
        <v>41</v>
      </c>
      <c r="O1108" t="str">
        <f>"Q"&amp;ROUNDUP(MONTH(Transactions[[#This Row],[Transaction Date]])/3,0)</f>
        <v>Q2</v>
      </c>
      <c r="P1108">
        <f>YEAR(Transactions[[#This Row],[Transaction Date]])</f>
        <v>2022</v>
      </c>
      <c r="Q1108" t="str">
        <f>IF(Transactions[[#This Row],[Sales Amount]]&lt;AVERAGE(Transactions[Sales Amount]),"Below Average","At/Above Average")</f>
        <v>Below Average</v>
      </c>
    </row>
    <row r="1109" spans="4:17" x14ac:dyDescent="0.2">
      <c r="D1109" t="s">
        <v>1199</v>
      </c>
      <c r="E1109" t="s">
        <v>78</v>
      </c>
      <c r="F1109" t="s">
        <v>96</v>
      </c>
      <c r="G1109">
        <v>154</v>
      </c>
      <c r="H1109">
        <v>2</v>
      </c>
      <c r="I1109">
        <v>59.61</v>
      </c>
      <c r="J1109">
        <v>3</v>
      </c>
      <c r="K1109" s="37">
        <v>44601</v>
      </c>
      <c r="L1109" t="s">
        <v>97</v>
      </c>
      <c r="M1109">
        <v>411.48</v>
      </c>
      <c r="N1109">
        <v>31</v>
      </c>
      <c r="O1109" t="str">
        <f>"Q"&amp;ROUNDUP(MONTH(Transactions[[#This Row],[Transaction Date]])/3,0)</f>
        <v>Q1</v>
      </c>
      <c r="P1109">
        <f>YEAR(Transactions[[#This Row],[Transaction Date]])</f>
        <v>2022</v>
      </c>
      <c r="Q1109" t="str">
        <f>IF(Transactions[[#This Row],[Sales Amount]]&lt;AVERAGE(Transactions[Sales Amount]),"Below Average","At/Above Average")</f>
        <v>At/Above Average</v>
      </c>
    </row>
    <row r="1110" spans="4:17" x14ac:dyDescent="0.2">
      <c r="D1110" t="s">
        <v>1200</v>
      </c>
      <c r="E1110" t="s">
        <v>76</v>
      </c>
      <c r="F1110" t="s">
        <v>91</v>
      </c>
      <c r="G1110">
        <v>126</v>
      </c>
      <c r="H1110">
        <v>10</v>
      </c>
      <c r="I1110">
        <v>57.08</v>
      </c>
      <c r="J1110">
        <v>10</v>
      </c>
      <c r="K1110" s="37">
        <v>45428</v>
      </c>
      <c r="L1110" t="s">
        <v>109</v>
      </c>
      <c r="M1110">
        <v>248.81</v>
      </c>
      <c r="N1110">
        <v>25</v>
      </c>
      <c r="O1110" t="str">
        <f>"Q"&amp;ROUNDUP(MONTH(Transactions[[#This Row],[Transaction Date]])/3,0)</f>
        <v>Q2</v>
      </c>
      <c r="P1110">
        <f>YEAR(Transactions[[#This Row],[Transaction Date]])</f>
        <v>2024</v>
      </c>
      <c r="Q1110" t="str">
        <f>IF(Transactions[[#This Row],[Sales Amount]]&lt;AVERAGE(Transactions[Sales Amount]),"Below Average","At/Above Average")</f>
        <v>Below Average</v>
      </c>
    </row>
    <row r="1111" spans="4:17" x14ac:dyDescent="0.2">
      <c r="D1111" t="s">
        <v>1201</v>
      </c>
      <c r="E1111" t="s">
        <v>87</v>
      </c>
      <c r="F1111" t="s">
        <v>129</v>
      </c>
      <c r="G1111">
        <v>229</v>
      </c>
      <c r="H1111">
        <v>5</v>
      </c>
      <c r="I1111">
        <v>50.78</v>
      </c>
      <c r="J1111">
        <v>4</v>
      </c>
      <c r="K1111" s="37">
        <v>44585</v>
      </c>
      <c r="L1111" t="s">
        <v>102</v>
      </c>
      <c r="M1111">
        <v>294.67</v>
      </c>
      <c r="N1111">
        <v>43</v>
      </c>
      <c r="O1111" t="str">
        <f>"Q"&amp;ROUNDUP(MONTH(Transactions[[#This Row],[Transaction Date]])/3,0)</f>
        <v>Q1</v>
      </c>
      <c r="P1111">
        <f>YEAR(Transactions[[#This Row],[Transaction Date]])</f>
        <v>2022</v>
      </c>
      <c r="Q1111" t="str">
        <f>IF(Transactions[[#This Row],[Sales Amount]]&lt;AVERAGE(Transactions[Sales Amount]),"Below Average","At/Above Average")</f>
        <v>At/Above Average</v>
      </c>
    </row>
    <row r="1112" spans="4:17" x14ac:dyDescent="0.2">
      <c r="D1112" t="s">
        <v>1202</v>
      </c>
      <c r="E1112" t="s">
        <v>76</v>
      </c>
      <c r="F1112" t="s">
        <v>99</v>
      </c>
      <c r="G1112">
        <v>233</v>
      </c>
      <c r="H1112">
        <v>10</v>
      </c>
      <c r="I1112">
        <v>54.39</v>
      </c>
      <c r="J1112">
        <v>4</v>
      </c>
      <c r="K1112" s="37">
        <v>44588</v>
      </c>
      <c r="L1112" t="s">
        <v>109</v>
      </c>
      <c r="M1112">
        <v>353.25</v>
      </c>
      <c r="N1112">
        <v>17</v>
      </c>
      <c r="O1112" t="str">
        <f>"Q"&amp;ROUNDUP(MONTH(Transactions[[#This Row],[Transaction Date]])/3,0)</f>
        <v>Q1</v>
      </c>
      <c r="P1112">
        <f>YEAR(Transactions[[#This Row],[Transaction Date]])</f>
        <v>2022</v>
      </c>
      <c r="Q1112" t="str">
        <f>IF(Transactions[[#This Row],[Sales Amount]]&lt;AVERAGE(Transactions[Sales Amount]),"Below Average","At/Above Average")</f>
        <v>At/Above Average</v>
      </c>
    </row>
    <row r="1113" spans="4:17" x14ac:dyDescent="0.2">
      <c r="D1113" t="s">
        <v>1203</v>
      </c>
      <c r="E1113" t="s">
        <v>87</v>
      </c>
      <c r="F1113" t="s">
        <v>96</v>
      </c>
      <c r="G1113">
        <v>223</v>
      </c>
      <c r="H1113">
        <v>7</v>
      </c>
      <c r="I1113">
        <v>48.81</v>
      </c>
      <c r="J1113">
        <v>3</v>
      </c>
      <c r="K1113" s="37">
        <v>45356</v>
      </c>
      <c r="L1113" t="s">
        <v>109</v>
      </c>
      <c r="M1113">
        <v>485.24</v>
      </c>
      <c r="N1113">
        <v>41</v>
      </c>
      <c r="O1113" t="str">
        <f>"Q"&amp;ROUNDUP(MONTH(Transactions[[#This Row],[Transaction Date]])/3,0)</f>
        <v>Q1</v>
      </c>
      <c r="P1113">
        <f>YEAR(Transactions[[#This Row],[Transaction Date]])</f>
        <v>2024</v>
      </c>
      <c r="Q1113" t="str">
        <f>IF(Transactions[[#This Row],[Sales Amount]]&lt;AVERAGE(Transactions[Sales Amount]),"Below Average","At/Above Average")</f>
        <v>At/Above Average</v>
      </c>
    </row>
    <row r="1114" spans="4:17" x14ac:dyDescent="0.2">
      <c r="D1114" t="s">
        <v>1204</v>
      </c>
      <c r="E1114" t="s">
        <v>74</v>
      </c>
      <c r="F1114" t="s">
        <v>129</v>
      </c>
      <c r="G1114">
        <v>287</v>
      </c>
      <c r="H1114">
        <v>7</v>
      </c>
      <c r="I1114">
        <v>51.28</v>
      </c>
      <c r="J1114">
        <v>5</v>
      </c>
      <c r="K1114" s="37">
        <v>45011</v>
      </c>
      <c r="L1114" t="s">
        <v>89</v>
      </c>
      <c r="M1114">
        <v>341.2</v>
      </c>
      <c r="N1114">
        <v>1</v>
      </c>
      <c r="O1114" t="str">
        <f>"Q"&amp;ROUNDUP(MONTH(Transactions[[#This Row],[Transaction Date]])/3,0)</f>
        <v>Q1</v>
      </c>
      <c r="P1114">
        <f>YEAR(Transactions[[#This Row],[Transaction Date]])</f>
        <v>2023</v>
      </c>
      <c r="Q1114" t="str">
        <f>IF(Transactions[[#This Row],[Sales Amount]]&lt;AVERAGE(Transactions[Sales Amount]),"Below Average","At/Above Average")</f>
        <v>At/Above Average</v>
      </c>
    </row>
    <row r="1115" spans="4:17" x14ac:dyDescent="0.2">
      <c r="D1115" t="s">
        <v>1205</v>
      </c>
      <c r="E1115" t="s">
        <v>75</v>
      </c>
      <c r="F1115" t="s">
        <v>91</v>
      </c>
      <c r="G1115">
        <v>178</v>
      </c>
      <c r="H1115">
        <v>1</v>
      </c>
      <c r="I1115">
        <v>58.06</v>
      </c>
      <c r="J1115">
        <v>5</v>
      </c>
      <c r="K1115" s="37">
        <v>45189</v>
      </c>
      <c r="L1115" t="s">
        <v>102</v>
      </c>
      <c r="M1115">
        <v>313</v>
      </c>
      <c r="N1115">
        <v>43</v>
      </c>
      <c r="O1115" t="str">
        <f>"Q"&amp;ROUNDUP(MONTH(Transactions[[#This Row],[Transaction Date]])/3,0)</f>
        <v>Q3</v>
      </c>
      <c r="P1115">
        <f>YEAR(Transactions[[#This Row],[Transaction Date]])</f>
        <v>2023</v>
      </c>
      <c r="Q1115" t="str">
        <f>IF(Transactions[[#This Row],[Sales Amount]]&lt;AVERAGE(Transactions[Sales Amount]),"Below Average","At/Above Average")</f>
        <v>At/Above Average</v>
      </c>
    </row>
    <row r="1116" spans="4:17" x14ac:dyDescent="0.2">
      <c r="D1116" t="s">
        <v>1206</v>
      </c>
      <c r="E1116" t="s">
        <v>76</v>
      </c>
      <c r="F1116" t="s">
        <v>91</v>
      </c>
      <c r="G1116">
        <v>100</v>
      </c>
      <c r="H1116">
        <v>9</v>
      </c>
      <c r="I1116">
        <v>56.73</v>
      </c>
      <c r="J1116">
        <v>8</v>
      </c>
      <c r="K1116" s="37">
        <v>45149</v>
      </c>
      <c r="L1116" t="s">
        <v>92</v>
      </c>
      <c r="M1116">
        <v>272.05</v>
      </c>
      <c r="N1116">
        <v>19</v>
      </c>
      <c r="O1116" t="str">
        <f>"Q"&amp;ROUNDUP(MONTH(Transactions[[#This Row],[Transaction Date]])/3,0)</f>
        <v>Q3</v>
      </c>
      <c r="P1116">
        <f>YEAR(Transactions[[#This Row],[Transaction Date]])</f>
        <v>2023</v>
      </c>
      <c r="Q1116" t="str">
        <f>IF(Transactions[[#This Row],[Sales Amount]]&lt;AVERAGE(Transactions[Sales Amount]),"Below Average","At/Above Average")</f>
        <v>At/Above Average</v>
      </c>
    </row>
    <row r="1117" spans="4:17" x14ac:dyDescent="0.2">
      <c r="D1117" t="s">
        <v>1207</v>
      </c>
      <c r="E1117" t="s">
        <v>77</v>
      </c>
      <c r="F1117" t="s">
        <v>99</v>
      </c>
      <c r="G1117">
        <v>158</v>
      </c>
      <c r="H1117">
        <v>3</v>
      </c>
      <c r="I1117">
        <v>52.59</v>
      </c>
      <c r="J1117">
        <v>8</v>
      </c>
      <c r="K1117" s="37">
        <v>45529</v>
      </c>
      <c r="L1117" t="s">
        <v>109</v>
      </c>
      <c r="M1117">
        <v>343.89</v>
      </c>
      <c r="N1117">
        <v>37</v>
      </c>
      <c r="O1117" t="str">
        <f>"Q"&amp;ROUNDUP(MONTH(Transactions[[#This Row],[Transaction Date]])/3,0)</f>
        <v>Q3</v>
      </c>
      <c r="P1117">
        <f>YEAR(Transactions[[#This Row],[Transaction Date]])</f>
        <v>2024</v>
      </c>
      <c r="Q1117" t="str">
        <f>IF(Transactions[[#This Row],[Sales Amount]]&lt;AVERAGE(Transactions[Sales Amount]),"Below Average","At/Above Average")</f>
        <v>At/Above Average</v>
      </c>
    </row>
    <row r="1118" spans="4:17" x14ac:dyDescent="0.2">
      <c r="D1118" t="s">
        <v>1208</v>
      </c>
      <c r="E1118" t="s">
        <v>77</v>
      </c>
      <c r="F1118" t="s">
        <v>99</v>
      </c>
      <c r="G1118">
        <v>107</v>
      </c>
      <c r="H1118">
        <v>8</v>
      </c>
      <c r="I1118">
        <v>45.63</v>
      </c>
      <c r="J1118">
        <v>10</v>
      </c>
      <c r="K1118" s="37">
        <v>45232</v>
      </c>
      <c r="L1118" t="s">
        <v>124</v>
      </c>
      <c r="M1118">
        <v>384.95</v>
      </c>
      <c r="N1118">
        <v>19</v>
      </c>
      <c r="O1118" t="str">
        <f>"Q"&amp;ROUNDUP(MONTH(Transactions[[#This Row],[Transaction Date]])/3,0)</f>
        <v>Q4</v>
      </c>
      <c r="P1118">
        <f>YEAR(Transactions[[#This Row],[Transaction Date]])</f>
        <v>2023</v>
      </c>
      <c r="Q1118" t="str">
        <f>IF(Transactions[[#This Row],[Sales Amount]]&lt;AVERAGE(Transactions[Sales Amount]),"Below Average","At/Above Average")</f>
        <v>At/Above Average</v>
      </c>
    </row>
    <row r="1119" spans="4:17" x14ac:dyDescent="0.2">
      <c r="D1119" t="s">
        <v>1209</v>
      </c>
      <c r="E1119" t="s">
        <v>75</v>
      </c>
      <c r="F1119" t="s">
        <v>129</v>
      </c>
      <c r="G1119">
        <v>260</v>
      </c>
      <c r="H1119">
        <v>2</v>
      </c>
      <c r="I1119">
        <v>46.38</v>
      </c>
      <c r="J1119">
        <v>1</v>
      </c>
      <c r="K1119" s="37">
        <v>44723</v>
      </c>
      <c r="L1119" t="s">
        <v>97</v>
      </c>
      <c r="M1119">
        <v>381.54</v>
      </c>
      <c r="N1119">
        <v>43</v>
      </c>
      <c r="O1119" t="str">
        <f>"Q"&amp;ROUNDUP(MONTH(Transactions[[#This Row],[Transaction Date]])/3,0)</f>
        <v>Q2</v>
      </c>
      <c r="P1119">
        <f>YEAR(Transactions[[#This Row],[Transaction Date]])</f>
        <v>2022</v>
      </c>
      <c r="Q1119" t="str">
        <f>IF(Transactions[[#This Row],[Sales Amount]]&lt;AVERAGE(Transactions[Sales Amount]),"Below Average","At/Above Average")</f>
        <v>At/Above Average</v>
      </c>
    </row>
    <row r="1120" spans="4:17" x14ac:dyDescent="0.2">
      <c r="D1120" t="s">
        <v>1210</v>
      </c>
      <c r="E1120" t="s">
        <v>76</v>
      </c>
      <c r="F1120" t="s">
        <v>108</v>
      </c>
      <c r="G1120">
        <v>183</v>
      </c>
      <c r="H1120">
        <v>8</v>
      </c>
      <c r="I1120">
        <v>45.43</v>
      </c>
      <c r="J1120">
        <v>4</v>
      </c>
      <c r="K1120" s="37">
        <v>44885</v>
      </c>
      <c r="L1120" t="s">
        <v>109</v>
      </c>
      <c r="M1120">
        <v>141.01</v>
      </c>
      <c r="N1120">
        <v>26</v>
      </c>
      <c r="O1120" t="str">
        <f>"Q"&amp;ROUNDUP(MONTH(Transactions[[#This Row],[Transaction Date]])/3,0)</f>
        <v>Q4</v>
      </c>
      <c r="P1120">
        <f>YEAR(Transactions[[#This Row],[Transaction Date]])</f>
        <v>2022</v>
      </c>
      <c r="Q1120" t="str">
        <f>IF(Transactions[[#This Row],[Sales Amount]]&lt;AVERAGE(Transactions[Sales Amount]),"Below Average","At/Above Average")</f>
        <v>Below Average</v>
      </c>
    </row>
    <row r="1121" spans="4:17" x14ac:dyDescent="0.2">
      <c r="D1121" t="s">
        <v>1211</v>
      </c>
      <c r="E1121" t="s">
        <v>77</v>
      </c>
      <c r="F1121" t="s">
        <v>105</v>
      </c>
      <c r="G1121">
        <v>205</v>
      </c>
      <c r="H1121">
        <v>4</v>
      </c>
      <c r="I1121">
        <v>49.56</v>
      </c>
      <c r="J1121">
        <v>3</v>
      </c>
      <c r="K1121" s="37">
        <v>45229</v>
      </c>
      <c r="L1121" t="s">
        <v>89</v>
      </c>
      <c r="M1121">
        <v>486.18</v>
      </c>
      <c r="N1121">
        <v>26</v>
      </c>
      <c r="O1121" t="str">
        <f>"Q"&amp;ROUNDUP(MONTH(Transactions[[#This Row],[Transaction Date]])/3,0)</f>
        <v>Q4</v>
      </c>
      <c r="P1121">
        <f>YEAR(Transactions[[#This Row],[Transaction Date]])</f>
        <v>2023</v>
      </c>
      <c r="Q1121" t="str">
        <f>IF(Transactions[[#This Row],[Sales Amount]]&lt;AVERAGE(Transactions[Sales Amount]),"Below Average","At/Above Average")</f>
        <v>At/Above Average</v>
      </c>
    </row>
    <row r="1122" spans="4:17" x14ac:dyDescent="0.2">
      <c r="D1122" t="s">
        <v>1212</v>
      </c>
      <c r="E1122" t="s">
        <v>76</v>
      </c>
      <c r="F1122" t="s">
        <v>88</v>
      </c>
      <c r="G1122">
        <v>205</v>
      </c>
      <c r="H1122">
        <v>7</v>
      </c>
      <c r="I1122">
        <v>57.01</v>
      </c>
      <c r="J1122">
        <v>1</v>
      </c>
      <c r="K1122" s="37">
        <v>45642</v>
      </c>
      <c r="L1122" t="s">
        <v>109</v>
      </c>
      <c r="M1122">
        <v>149.21</v>
      </c>
      <c r="N1122">
        <v>40</v>
      </c>
      <c r="O1122" t="str">
        <f>"Q"&amp;ROUNDUP(MONTH(Transactions[[#This Row],[Transaction Date]])/3,0)</f>
        <v>Q4</v>
      </c>
      <c r="P1122">
        <f>YEAR(Transactions[[#This Row],[Transaction Date]])</f>
        <v>2024</v>
      </c>
      <c r="Q1122" t="str">
        <f>IF(Transactions[[#This Row],[Sales Amount]]&lt;AVERAGE(Transactions[Sales Amount]),"Below Average","At/Above Average")</f>
        <v>Below Average</v>
      </c>
    </row>
    <row r="1123" spans="4:17" x14ac:dyDescent="0.2">
      <c r="D1123" t="s">
        <v>1213</v>
      </c>
      <c r="E1123" t="s">
        <v>74</v>
      </c>
      <c r="F1123" t="s">
        <v>96</v>
      </c>
      <c r="G1123">
        <v>199</v>
      </c>
      <c r="H1123">
        <v>4</v>
      </c>
      <c r="I1123">
        <v>48.59</v>
      </c>
      <c r="J1123">
        <v>1</v>
      </c>
      <c r="K1123" s="37">
        <v>44987</v>
      </c>
      <c r="L1123" t="s">
        <v>97</v>
      </c>
      <c r="M1123">
        <v>374.91</v>
      </c>
      <c r="N1123">
        <v>35</v>
      </c>
      <c r="O1123" t="str">
        <f>"Q"&amp;ROUNDUP(MONTH(Transactions[[#This Row],[Transaction Date]])/3,0)</f>
        <v>Q1</v>
      </c>
      <c r="P1123">
        <f>YEAR(Transactions[[#This Row],[Transaction Date]])</f>
        <v>2023</v>
      </c>
      <c r="Q1123" t="str">
        <f>IF(Transactions[[#This Row],[Sales Amount]]&lt;AVERAGE(Transactions[Sales Amount]),"Below Average","At/Above Average")</f>
        <v>At/Above Average</v>
      </c>
    </row>
    <row r="1124" spans="4:17" x14ac:dyDescent="0.2">
      <c r="D1124" t="s">
        <v>1214</v>
      </c>
      <c r="E1124" t="s">
        <v>75</v>
      </c>
      <c r="F1124" t="s">
        <v>108</v>
      </c>
      <c r="G1124">
        <v>271</v>
      </c>
      <c r="H1124">
        <v>3</v>
      </c>
      <c r="I1124">
        <v>49.45</v>
      </c>
      <c r="J1124">
        <v>10</v>
      </c>
      <c r="K1124" s="37">
        <v>45327</v>
      </c>
      <c r="L1124" t="s">
        <v>92</v>
      </c>
      <c r="M1124">
        <v>293.16000000000003</v>
      </c>
      <c r="N1124">
        <v>41</v>
      </c>
      <c r="O1124" t="str">
        <f>"Q"&amp;ROUNDUP(MONTH(Transactions[[#This Row],[Transaction Date]])/3,0)</f>
        <v>Q1</v>
      </c>
      <c r="P1124">
        <f>YEAR(Transactions[[#This Row],[Transaction Date]])</f>
        <v>2024</v>
      </c>
      <c r="Q1124" t="str">
        <f>IF(Transactions[[#This Row],[Sales Amount]]&lt;AVERAGE(Transactions[Sales Amount]),"Below Average","At/Above Average")</f>
        <v>At/Above Average</v>
      </c>
    </row>
    <row r="1125" spans="4:17" x14ac:dyDescent="0.2">
      <c r="D1125" t="s">
        <v>1215</v>
      </c>
      <c r="E1125" t="s">
        <v>87</v>
      </c>
      <c r="F1125" t="s">
        <v>129</v>
      </c>
      <c r="G1125">
        <v>197</v>
      </c>
      <c r="H1125">
        <v>9</v>
      </c>
      <c r="I1125">
        <v>55.99</v>
      </c>
      <c r="J1125">
        <v>8</v>
      </c>
      <c r="K1125" s="37">
        <v>44806</v>
      </c>
      <c r="L1125" t="s">
        <v>97</v>
      </c>
      <c r="M1125">
        <v>240.82</v>
      </c>
      <c r="N1125">
        <v>49</v>
      </c>
      <c r="O1125" t="str">
        <f>"Q"&amp;ROUNDUP(MONTH(Transactions[[#This Row],[Transaction Date]])/3,0)</f>
        <v>Q3</v>
      </c>
      <c r="P1125">
        <f>YEAR(Transactions[[#This Row],[Transaction Date]])</f>
        <v>2022</v>
      </c>
      <c r="Q1125" t="str">
        <f>IF(Transactions[[#This Row],[Sales Amount]]&lt;AVERAGE(Transactions[Sales Amount]),"Below Average","At/Above Average")</f>
        <v>Below Average</v>
      </c>
    </row>
    <row r="1126" spans="4:17" x14ac:dyDescent="0.2">
      <c r="D1126" t="s">
        <v>1216</v>
      </c>
      <c r="E1126" t="s">
        <v>78</v>
      </c>
      <c r="F1126" t="s">
        <v>96</v>
      </c>
      <c r="G1126">
        <v>106</v>
      </c>
      <c r="H1126">
        <v>2</v>
      </c>
      <c r="I1126">
        <v>53.44</v>
      </c>
      <c r="J1126">
        <v>10</v>
      </c>
      <c r="K1126" s="37">
        <v>45310</v>
      </c>
      <c r="L1126" t="s">
        <v>109</v>
      </c>
      <c r="M1126">
        <v>205.63</v>
      </c>
      <c r="N1126">
        <v>20</v>
      </c>
      <c r="O1126" t="str">
        <f>"Q"&amp;ROUNDUP(MONTH(Transactions[[#This Row],[Transaction Date]])/3,0)</f>
        <v>Q1</v>
      </c>
      <c r="P1126">
        <f>YEAR(Transactions[[#This Row],[Transaction Date]])</f>
        <v>2024</v>
      </c>
      <c r="Q1126" t="str">
        <f>IF(Transactions[[#This Row],[Sales Amount]]&lt;AVERAGE(Transactions[Sales Amount]),"Below Average","At/Above Average")</f>
        <v>Below Average</v>
      </c>
    </row>
    <row r="1127" spans="4:17" x14ac:dyDescent="0.2">
      <c r="D1127" t="s">
        <v>1217</v>
      </c>
      <c r="E1127" t="s">
        <v>76</v>
      </c>
      <c r="F1127" t="s">
        <v>88</v>
      </c>
      <c r="G1127">
        <v>283</v>
      </c>
      <c r="H1127">
        <v>10</v>
      </c>
      <c r="I1127">
        <v>49.31</v>
      </c>
      <c r="J1127">
        <v>8</v>
      </c>
      <c r="K1127" s="37">
        <v>44794</v>
      </c>
      <c r="L1127" t="s">
        <v>102</v>
      </c>
      <c r="M1127">
        <v>460.2</v>
      </c>
      <c r="N1127">
        <v>13</v>
      </c>
      <c r="O1127" t="str">
        <f>"Q"&amp;ROUNDUP(MONTH(Transactions[[#This Row],[Transaction Date]])/3,0)</f>
        <v>Q3</v>
      </c>
      <c r="P1127">
        <f>YEAR(Transactions[[#This Row],[Transaction Date]])</f>
        <v>2022</v>
      </c>
      <c r="Q1127" t="str">
        <f>IF(Transactions[[#This Row],[Sales Amount]]&lt;AVERAGE(Transactions[Sales Amount]),"Below Average","At/Above Average")</f>
        <v>At/Above Average</v>
      </c>
    </row>
    <row r="1128" spans="4:17" x14ac:dyDescent="0.2">
      <c r="D1128" t="s">
        <v>1218</v>
      </c>
      <c r="E1128" t="s">
        <v>77</v>
      </c>
      <c r="F1128" t="s">
        <v>105</v>
      </c>
      <c r="G1128">
        <v>286</v>
      </c>
      <c r="H1128">
        <v>10</v>
      </c>
      <c r="I1128">
        <v>52.93</v>
      </c>
      <c r="J1128">
        <v>8</v>
      </c>
      <c r="K1128" s="37">
        <v>44966</v>
      </c>
      <c r="L1128" t="s">
        <v>124</v>
      </c>
      <c r="M1128">
        <v>193.71</v>
      </c>
      <c r="N1128">
        <v>35</v>
      </c>
      <c r="O1128" t="str">
        <f>"Q"&amp;ROUNDUP(MONTH(Transactions[[#This Row],[Transaction Date]])/3,0)</f>
        <v>Q1</v>
      </c>
      <c r="P1128">
        <f>YEAR(Transactions[[#This Row],[Transaction Date]])</f>
        <v>2023</v>
      </c>
      <c r="Q1128" t="str">
        <f>IF(Transactions[[#This Row],[Sales Amount]]&lt;AVERAGE(Transactions[Sales Amount]),"Below Average","At/Above Average")</f>
        <v>Below Average</v>
      </c>
    </row>
    <row r="1129" spans="4:17" x14ac:dyDescent="0.2">
      <c r="D1129" t="s">
        <v>1219</v>
      </c>
      <c r="E1129" t="s">
        <v>74</v>
      </c>
      <c r="F1129" t="s">
        <v>94</v>
      </c>
      <c r="G1129">
        <v>229</v>
      </c>
      <c r="H1129">
        <v>3</v>
      </c>
      <c r="I1129">
        <v>47.4</v>
      </c>
      <c r="J1129">
        <v>5</v>
      </c>
      <c r="K1129" s="37">
        <v>44698</v>
      </c>
      <c r="L1129" t="s">
        <v>109</v>
      </c>
      <c r="M1129">
        <v>167.9</v>
      </c>
      <c r="N1129">
        <v>18</v>
      </c>
      <c r="O1129" t="str">
        <f>"Q"&amp;ROUNDUP(MONTH(Transactions[[#This Row],[Transaction Date]])/3,0)</f>
        <v>Q2</v>
      </c>
      <c r="P1129">
        <f>YEAR(Transactions[[#This Row],[Transaction Date]])</f>
        <v>2022</v>
      </c>
      <c r="Q1129" t="str">
        <f>IF(Transactions[[#This Row],[Sales Amount]]&lt;AVERAGE(Transactions[Sales Amount]),"Below Average","At/Above Average")</f>
        <v>Below Average</v>
      </c>
    </row>
    <row r="1130" spans="4:17" x14ac:dyDescent="0.2">
      <c r="D1130" t="s">
        <v>1220</v>
      </c>
      <c r="E1130" t="s">
        <v>74</v>
      </c>
      <c r="F1130" t="s">
        <v>99</v>
      </c>
      <c r="G1130">
        <v>101</v>
      </c>
      <c r="H1130">
        <v>1</v>
      </c>
      <c r="I1130">
        <v>54.35</v>
      </c>
      <c r="J1130">
        <v>4</v>
      </c>
      <c r="K1130" s="37">
        <v>45526</v>
      </c>
      <c r="L1130" t="s">
        <v>92</v>
      </c>
      <c r="M1130">
        <v>289.23</v>
      </c>
      <c r="N1130">
        <v>47</v>
      </c>
      <c r="O1130" t="str">
        <f>"Q"&amp;ROUNDUP(MONTH(Transactions[[#This Row],[Transaction Date]])/3,0)</f>
        <v>Q3</v>
      </c>
      <c r="P1130">
        <f>YEAR(Transactions[[#This Row],[Transaction Date]])</f>
        <v>2024</v>
      </c>
      <c r="Q1130" t="str">
        <f>IF(Transactions[[#This Row],[Sales Amount]]&lt;AVERAGE(Transactions[Sales Amount]),"Below Average","At/Above Average")</f>
        <v>At/Above Average</v>
      </c>
    </row>
    <row r="1131" spans="4:17" x14ac:dyDescent="0.2">
      <c r="D1131" t="s">
        <v>1221</v>
      </c>
      <c r="E1131" t="s">
        <v>87</v>
      </c>
      <c r="F1131" t="s">
        <v>91</v>
      </c>
      <c r="G1131">
        <v>214</v>
      </c>
      <c r="H1131">
        <v>5</v>
      </c>
      <c r="I1131">
        <v>47.63</v>
      </c>
      <c r="J1131">
        <v>6</v>
      </c>
      <c r="K1131" s="37">
        <v>44917</v>
      </c>
      <c r="L1131" t="s">
        <v>124</v>
      </c>
      <c r="M1131">
        <v>317.83</v>
      </c>
      <c r="N1131">
        <v>46</v>
      </c>
      <c r="O1131" t="str">
        <f>"Q"&amp;ROUNDUP(MONTH(Transactions[[#This Row],[Transaction Date]])/3,0)</f>
        <v>Q4</v>
      </c>
      <c r="P1131">
        <f>YEAR(Transactions[[#This Row],[Transaction Date]])</f>
        <v>2022</v>
      </c>
      <c r="Q1131" t="str">
        <f>IF(Transactions[[#This Row],[Sales Amount]]&lt;AVERAGE(Transactions[Sales Amount]),"Below Average","At/Above Average")</f>
        <v>At/Above Average</v>
      </c>
    </row>
    <row r="1132" spans="4:17" x14ac:dyDescent="0.2">
      <c r="D1132" t="s">
        <v>1222</v>
      </c>
      <c r="E1132" t="s">
        <v>78</v>
      </c>
      <c r="F1132" t="s">
        <v>99</v>
      </c>
      <c r="G1132">
        <v>265</v>
      </c>
      <c r="H1132">
        <v>8</v>
      </c>
      <c r="I1132">
        <v>48.63</v>
      </c>
      <c r="J1132">
        <v>7</v>
      </c>
      <c r="K1132" s="37">
        <v>44947</v>
      </c>
      <c r="L1132" t="s">
        <v>102</v>
      </c>
      <c r="M1132">
        <v>58.25</v>
      </c>
      <c r="N1132">
        <v>1</v>
      </c>
      <c r="O1132" t="str">
        <f>"Q"&amp;ROUNDUP(MONTH(Transactions[[#This Row],[Transaction Date]])/3,0)</f>
        <v>Q1</v>
      </c>
      <c r="P1132">
        <f>YEAR(Transactions[[#This Row],[Transaction Date]])</f>
        <v>2023</v>
      </c>
      <c r="Q1132" t="str">
        <f>IF(Transactions[[#This Row],[Sales Amount]]&lt;AVERAGE(Transactions[Sales Amount]),"Below Average","At/Above Average")</f>
        <v>Below Average</v>
      </c>
    </row>
    <row r="1133" spans="4:17" x14ac:dyDescent="0.2">
      <c r="D1133" t="s">
        <v>1223</v>
      </c>
      <c r="E1133" t="s">
        <v>77</v>
      </c>
      <c r="F1133" t="s">
        <v>96</v>
      </c>
      <c r="G1133">
        <v>280</v>
      </c>
      <c r="H1133">
        <v>4</v>
      </c>
      <c r="I1133">
        <v>48.55</v>
      </c>
      <c r="J1133">
        <v>5</v>
      </c>
      <c r="K1133" s="37">
        <v>45266</v>
      </c>
      <c r="L1133" t="s">
        <v>102</v>
      </c>
      <c r="M1133">
        <v>163.22</v>
      </c>
      <c r="N1133">
        <v>30</v>
      </c>
      <c r="O1133" t="str">
        <f>"Q"&amp;ROUNDUP(MONTH(Transactions[[#This Row],[Transaction Date]])/3,0)</f>
        <v>Q4</v>
      </c>
      <c r="P1133">
        <f>YEAR(Transactions[[#This Row],[Transaction Date]])</f>
        <v>2023</v>
      </c>
      <c r="Q1133" t="str">
        <f>IF(Transactions[[#This Row],[Sales Amount]]&lt;AVERAGE(Transactions[Sales Amount]),"Below Average","At/Above Average")</f>
        <v>Below Average</v>
      </c>
    </row>
    <row r="1134" spans="4:17" x14ac:dyDescent="0.2">
      <c r="D1134" t="s">
        <v>1224</v>
      </c>
      <c r="E1134" t="s">
        <v>78</v>
      </c>
      <c r="F1134" t="s">
        <v>94</v>
      </c>
      <c r="G1134">
        <v>178</v>
      </c>
      <c r="H1134">
        <v>7</v>
      </c>
      <c r="I1134">
        <v>58.66</v>
      </c>
      <c r="J1134">
        <v>4</v>
      </c>
      <c r="K1134" s="37">
        <v>45151</v>
      </c>
      <c r="L1134" t="s">
        <v>97</v>
      </c>
      <c r="M1134">
        <v>190.41</v>
      </c>
      <c r="N1134">
        <v>45</v>
      </c>
      <c r="O1134" t="str">
        <f>"Q"&amp;ROUNDUP(MONTH(Transactions[[#This Row],[Transaction Date]])/3,0)</f>
        <v>Q3</v>
      </c>
      <c r="P1134">
        <f>YEAR(Transactions[[#This Row],[Transaction Date]])</f>
        <v>2023</v>
      </c>
      <c r="Q1134" t="str">
        <f>IF(Transactions[[#This Row],[Sales Amount]]&lt;AVERAGE(Transactions[Sales Amount]),"Below Average","At/Above Average")</f>
        <v>Below Average</v>
      </c>
    </row>
    <row r="1135" spans="4:17" x14ac:dyDescent="0.2">
      <c r="D1135" t="s">
        <v>1225</v>
      </c>
      <c r="E1135" t="s">
        <v>77</v>
      </c>
      <c r="F1135" t="s">
        <v>108</v>
      </c>
      <c r="G1135">
        <v>200</v>
      </c>
      <c r="H1135">
        <v>8</v>
      </c>
      <c r="I1135">
        <v>56.58</v>
      </c>
      <c r="J1135">
        <v>1</v>
      </c>
      <c r="K1135" s="37">
        <v>45005</v>
      </c>
      <c r="L1135" t="s">
        <v>109</v>
      </c>
      <c r="M1135">
        <v>139.07</v>
      </c>
      <c r="N1135">
        <v>32</v>
      </c>
      <c r="O1135" t="str">
        <f>"Q"&amp;ROUNDUP(MONTH(Transactions[[#This Row],[Transaction Date]])/3,0)</f>
        <v>Q1</v>
      </c>
      <c r="P1135">
        <f>YEAR(Transactions[[#This Row],[Transaction Date]])</f>
        <v>2023</v>
      </c>
      <c r="Q1135" t="str">
        <f>IF(Transactions[[#This Row],[Sales Amount]]&lt;AVERAGE(Transactions[Sales Amount]),"Below Average","At/Above Average")</f>
        <v>Below Average</v>
      </c>
    </row>
    <row r="1136" spans="4:17" x14ac:dyDescent="0.2">
      <c r="D1136" t="s">
        <v>1226</v>
      </c>
      <c r="E1136" t="s">
        <v>74</v>
      </c>
      <c r="F1136" t="s">
        <v>129</v>
      </c>
      <c r="G1136">
        <v>288</v>
      </c>
      <c r="H1136">
        <v>5</v>
      </c>
      <c r="I1136">
        <v>59.63</v>
      </c>
      <c r="J1136">
        <v>6</v>
      </c>
      <c r="K1136" s="37">
        <v>45489</v>
      </c>
      <c r="L1136" t="s">
        <v>97</v>
      </c>
      <c r="M1136">
        <v>280.37</v>
      </c>
      <c r="N1136">
        <v>48</v>
      </c>
      <c r="O1136" t="str">
        <f>"Q"&amp;ROUNDUP(MONTH(Transactions[[#This Row],[Transaction Date]])/3,0)</f>
        <v>Q3</v>
      </c>
      <c r="P1136">
        <f>YEAR(Transactions[[#This Row],[Transaction Date]])</f>
        <v>2024</v>
      </c>
      <c r="Q1136" t="str">
        <f>IF(Transactions[[#This Row],[Sales Amount]]&lt;AVERAGE(Transactions[Sales Amount]),"Below Average","At/Above Average")</f>
        <v>At/Above Average</v>
      </c>
    </row>
    <row r="1137" spans="4:17" x14ac:dyDescent="0.2">
      <c r="D1137" t="s">
        <v>1227</v>
      </c>
      <c r="E1137" t="s">
        <v>76</v>
      </c>
      <c r="F1137" t="s">
        <v>94</v>
      </c>
      <c r="G1137">
        <v>122</v>
      </c>
      <c r="H1137">
        <v>10</v>
      </c>
      <c r="I1137">
        <v>45.35</v>
      </c>
      <c r="J1137">
        <v>10</v>
      </c>
      <c r="K1137" s="37">
        <v>44620</v>
      </c>
      <c r="L1137" t="s">
        <v>109</v>
      </c>
      <c r="M1137">
        <v>263.45</v>
      </c>
      <c r="N1137">
        <v>18</v>
      </c>
      <c r="O1137" t="str">
        <f>"Q"&amp;ROUNDUP(MONTH(Transactions[[#This Row],[Transaction Date]])/3,0)</f>
        <v>Q1</v>
      </c>
      <c r="P1137">
        <f>YEAR(Transactions[[#This Row],[Transaction Date]])</f>
        <v>2022</v>
      </c>
      <c r="Q1137" t="str">
        <f>IF(Transactions[[#This Row],[Sales Amount]]&lt;AVERAGE(Transactions[Sales Amount]),"Below Average","At/Above Average")</f>
        <v>At/Above Average</v>
      </c>
    </row>
    <row r="1138" spans="4:17" x14ac:dyDescent="0.2">
      <c r="D1138" t="s">
        <v>1228</v>
      </c>
      <c r="E1138" t="s">
        <v>78</v>
      </c>
      <c r="F1138" t="s">
        <v>91</v>
      </c>
      <c r="G1138">
        <v>205</v>
      </c>
      <c r="H1138">
        <v>2</v>
      </c>
      <c r="I1138">
        <v>57.71</v>
      </c>
      <c r="J1138">
        <v>7</v>
      </c>
      <c r="K1138" s="37">
        <v>44878</v>
      </c>
      <c r="L1138" t="s">
        <v>109</v>
      </c>
      <c r="M1138">
        <v>439.45</v>
      </c>
      <c r="N1138">
        <v>8</v>
      </c>
      <c r="O1138" t="str">
        <f>"Q"&amp;ROUNDUP(MONTH(Transactions[[#This Row],[Transaction Date]])/3,0)</f>
        <v>Q4</v>
      </c>
      <c r="P1138">
        <f>YEAR(Transactions[[#This Row],[Transaction Date]])</f>
        <v>2022</v>
      </c>
      <c r="Q1138" t="str">
        <f>IF(Transactions[[#This Row],[Sales Amount]]&lt;AVERAGE(Transactions[Sales Amount]),"Below Average","At/Above Average")</f>
        <v>At/Above Average</v>
      </c>
    </row>
    <row r="1139" spans="4:17" x14ac:dyDescent="0.2">
      <c r="D1139" t="s">
        <v>1229</v>
      </c>
      <c r="E1139" t="s">
        <v>76</v>
      </c>
      <c r="F1139" t="s">
        <v>96</v>
      </c>
      <c r="G1139">
        <v>250</v>
      </c>
      <c r="H1139">
        <v>8</v>
      </c>
      <c r="I1139">
        <v>49.63</v>
      </c>
      <c r="J1139">
        <v>1</v>
      </c>
      <c r="K1139" s="37">
        <v>45326</v>
      </c>
      <c r="L1139" t="s">
        <v>102</v>
      </c>
      <c r="M1139">
        <v>347.43</v>
      </c>
      <c r="N1139">
        <v>21</v>
      </c>
      <c r="O1139" t="str">
        <f>"Q"&amp;ROUNDUP(MONTH(Transactions[[#This Row],[Transaction Date]])/3,0)</f>
        <v>Q1</v>
      </c>
      <c r="P1139">
        <f>YEAR(Transactions[[#This Row],[Transaction Date]])</f>
        <v>2024</v>
      </c>
      <c r="Q1139" t="str">
        <f>IF(Transactions[[#This Row],[Sales Amount]]&lt;AVERAGE(Transactions[Sales Amount]),"Below Average","At/Above Average")</f>
        <v>At/Above Average</v>
      </c>
    </row>
    <row r="1140" spans="4:17" x14ac:dyDescent="0.2">
      <c r="D1140" t="s">
        <v>1230</v>
      </c>
      <c r="E1140" t="s">
        <v>78</v>
      </c>
      <c r="F1140" t="s">
        <v>88</v>
      </c>
      <c r="G1140">
        <v>112</v>
      </c>
      <c r="H1140">
        <v>6</v>
      </c>
      <c r="I1140">
        <v>54.23</v>
      </c>
      <c r="J1140">
        <v>6</v>
      </c>
      <c r="K1140" s="37">
        <v>45648</v>
      </c>
      <c r="L1140" t="s">
        <v>92</v>
      </c>
      <c r="M1140">
        <v>274.45</v>
      </c>
      <c r="N1140">
        <v>32</v>
      </c>
      <c r="O1140" t="str">
        <f>"Q"&amp;ROUNDUP(MONTH(Transactions[[#This Row],[Transaction Date]])/3,0)</f>
        <v>Q4</v>
      </c>
      <c r="P1140">
        <f>YEAR(Transactions[[#This Row],[Transaction Date]])</f>
        <v>2024</v>
      </c>
      <c r="Q1140" t="str">
        <f>IF(Transactions[[#This Row],[Sales Amount]]&lt;AVERAGE(Transactions[Sales Amount]),"Below Average","At/Above Average")</f>
        <v>At/Above Average</v>
      </c>
    </row>
    <row r="1141" spans="4:17" x14ac:dyDescent="0.2">
      <c r="D1141" t="s">
        <v>1231</v>
      </c>
      <c r="E1141" t="s">
        <v>78</v>
      </c>
      <c r="F1141" t="s">
        <v>88</v>
      </c>
      <c r="G1141">
        <v>268</v>
      </c>
      <c r="H1141">
        <v>10</v>
      </c>
      <c r="I1141">
        <v>49.32</v>
      </c>
      <c r="J1141">
        <v>9</v>
      </c>
      <c r="K1141" s="37">
        <v>44893</v>
      </c>
      <c r="L1141" t="s">
        <v>92</v>
      </c>
      <c r="M1141">
        <v>399.68</v>
      </c>
      <c r="N1141">
        <v>17</v>
      </c>
      <c r="O1141" t="str">
        <f>"Q"&amp;ROUNDUP(MONTH(Transactions[[#This Row],[Transaction Date]])/3,0)</f>
        <v>Q4</v>
      </c>
      <c r="P1141">
        <f>YEAR(Transactions[[#This Row],[Transaction Date]])</f>
        <v>2022</v>
      </c>
      <c r="Q1141" t="str">
        <f>IF(Transactions[[#This Row],[Sales Amount]]&lt;AVERAGE(Transactions[Sales Amount]),"Below Average","At/Above Average")</f>
        <v>At/Above Average</v>
      </c>
    </row>
    <row r="1142" spans="4:17" x14ac:dyDescent="0.2">
      <c r="D1142" t="s">
        <v>1232</v>
      </c>
      <c r="E1142" t="s">
        <v>75</v>
      </c>
      <c r="F1142" t="s">
        <v>108</v>
      </c>
      <c r="G1142">
        <v>220</v>
      </c>
      <c r="H1142">
        <v>4</v>
      </c>
      <c r="I1142">
        <v>46.16</v>
      </c>
      <c r="J1142">
        <v>1</v>
      </c>
      <c r="K1142" s="37">
        <v>44860</v>
      </c>
      <c r="L1142" t="s">
        <v>89</v>
      </c>
      <c r="M1142">
        <v>431.89</v>
      </c>
      <c r="N1142">
        <v>33</v>
      </c>
      <c r="O1142" t="str">
        <f>"Q"&amp;ROUNDUP(MONTH(Transactions[[#This Row],[Transaction Date]])/3,0)</f>
        <v>Q4</v>
      </c>
      <c r="P1142">
        <f>YEAR(Transactions[[#This Row],[Transaction Date]])</f>
        <v>2022</v>
      </c>
      <c r="Q1142" t="str">
        <f>IF(Transactions[[#This Row],[Sales Amount]]&lt;AVERAGE(Transactions[Sales Amount]),"Below Average","At/Above Average")</f>
        <v>At/Above Average</v>
      </c>
    </row>
    <row r="1143" spans="4:17" x14ac:dyDescent="0.2">
      <c r="D1143" t="s">
        <v>1233</v>
      </c>
      <c r="E1143" t="s">
        <v>77</v>
      </c>
      <c r="F1143" t="s">
        <v>105</v>
      </c>
      <c r="G1143">
        <v>178</v>
      </c>
      <c r="H1143">
        <v>4</v>
      </c>
      <c r="I1143">
        <v>49.3</v>
      </c>
      <c r="J1143">
        <v>5</v>
      </c>
      <c r="K1143" s="37">
        <v>44732</v>
      </c>
      <c r="L1143" t="s">
        <v>97</v>
      </c>
      <c r="M1143">
        <v>164.45</v>
      </c>
      <c r="N1143">
        <v>21</v>
      </c>
      <c r="O1143" t="str">
        <f>"Q"&amp;ROUNDUP(MONTH(Transactions[[#This Row],[Transaction Date]])/3,0)</f>
        <v>Q2</v>
      </c>
      <c r="P1143">
        <f>YEAR(Transactions[[#This Row],[Transaction Date]])</f>
        <v>2022</v>
      </c>
      <c r="Q1143" t="str">
        <f>IF(Transactions[[#This Row],[Sales Amount]]&lt;AVERAGE(Transactions[Sales Amount]),"Below Average","At/Above Average")</f>
        <v>Below Average</v>
      </c>
    </row>
    <row r="1144" spans="4:17" x14ac:dyDescent="0.2">
      <c r="D1144" t="s">
        <v>1234</v>
      </c>
      <c r="E1144" t="s">
        <v>77</v>
      </c>
      <c r="F1144" t="s">
        <v>91</v>
      </c>
      <c r="G1144">
        <v>300</v>
      </c>
      <c r="H1144">
        <v>7</v>
      </c>
      <c r="I1144">
        <v>57.78</v>
      </c>
      <c r="J1144">
        <v>1</v>
      </c>
      <c r="K1144" s="37">
        <v>45047</v>
      </c>
      <c r="L1144" t="s">
        <v>102</v>
      </c>
      <c r="M1144">
        <v>389.65</v>
      </c>
      <c r="N1144">
        <v>15</v>
      </c>
      <c r="O1144" t="str">
        <f>"Q"&amp;ROUNDUP(MONTH(Transactions[[#This Row],[Transaction Date]])/3,0)</f>
        <v>Q2</v>
      </c>
      <c r="P1144">
        <f>YEAR(Transactions[[#This Row],[Transaction Date]])</f>
        <v>2023</v>
      </c>
      <c r="Q1144" t="str">
        <f>IF(Transactions[[#This Row],[Sales Amount]]&lt;AVERAGE(Transactions[Sales Amount]),"Below Average","At/Above Average")</f>
        <v>At/Above Average</v>
      </c>
    </row>
    <row r="1145" spans="4:17" x14ac:dyDescent="0.2">
      <c r="D1145" t="s">
        <v>1235</v>
      </c>
      <c r="E1145" t="s">
        <v>78</v>
      </c>
      <c r="F1145" t="s">
        <v>108</v>
      </c>
      <c r="G1145">
        <v>194</v>
      </c>
      <c r="H1145">
        <v>4</v>
      </c>
      <c r="I1145">
        <v>58.88</v>
      </c>
      <c r="J1145">
        <v>10</v>
      </c>
      <c r="K1145" s="37">
        <v>44675</v>
      </c>
      <c r="L1145" t="s">
        <v>109</v>
      </c>
      <c r="M1145">
        <v>344.23</v>
      </c>
      <c r="N1145">
        <v>14</v>
      </c>
      <c r="O1145" t="str">
        <f>"Q"&amp;ROUNDUP(MONTH(Transactions[[#This Row],[Transaction Date]])/3,0)</f>
        <v>Q2</v>
      </c>
      <c r="P1145">
        <f>YEAR(Transactions[[#This Row],[Transaction Date]])</f>
        <v>2022</v>
      </c>
      <c r="Q1145" t="str">
        <f>IF(Transactions[[#This Row],[Sales Amount]]&lt;AVERAGE(Transactions[Sales Amount]),"Below Average","At/Above Average")</f>
        <v>At/Above Average</v>
      </c>
    </row>
    <row r="1146" spans="4:17" x14ac:dyDescent="0.2">
      <c r="D1146" t="s">
        <v>1236</v>
      </c>
      <c r="E1146" t="s">
        <v>78</v>
      </c>
      <c r="F1146" t="s">
        <v>88</v>
      </c>
      <c r="G1146">
        <v>235</v>
      </c>
      <c r="H1146">
        <v>10</v>
      </c>
      <c r="I1146">
        <v>54.1</v>
      </c>
      <c r="J1146">
        <v>2</v>
      </c>
      <c r="K1146" s="37">
        <v>45368</v>
      </c>
      <c r="L1146" t="s">
        <v>92</v>
      </c>
      <c r="M1146">
        <v>260.16000000000003</v>
      </c>
      <c r="N1146">
        <v>34</v>
      </c>
      <c r="O1146" t="str">
        <f>"Q"&amp;ROUNDUP(MONTH(Transactions[[#This Row],[Transaction Date]])/3,0)</f>
        <v>Q1</v>
      </c>
      <c r="P1146">
        <f>YEAR(Transactions[[#This Row],[Transaction Date]])</f>
        <v>2024</v>
      </c>
      <c r="Q1146" t="str">
        <f>IF(Transactions[[#This Row],[Sales Amount]]&lt;AVERAGE(Transactions[Sales Amount]),"Below Average","At/Above Average")</f>
        <v>At/Above Average</v>
      </c>
    </row>
    <row r="1147" spans="4:17" x14ac:dyDescent="0.2">
      <c r="D1147" t="s">
        <v>1237</v>
      </c>
      <c r="E1147" t="s">
        <v>76</v>
      </c>
      <c r="F1147" t="s">
        <v>129</v>
      </c>
      <c r="G1147">
        <v>104</v>
      </c>
      <c r="H1147">
        <v>9</v>
      </c>
      <c r="I1147">
        <v>47.82</v>
      </c>
      <c r="J1147">
        <v>2</v>
      </c>
      <c r="K1147" s="37">
        <v>44891</v>
      </c>
      <c r="L1147" t="s">
        <v>97</v>
      </c>
      <c r="M1147">
        <v>397</v>
      </c>
      <c r="N1147">
        <v>8</v>
      </c>
      <c r="O1147" t="str">
        <f>"Q"&amp;ROUNDUP(MONTH(Transactions[[#This Row],[Transaction Date]])/3,0)</f>
        <v>Q4</v>
      </c>
      <c r="P1147">
        <f>YEAR(Transactions[[#This Row],[Transaction Date]])</f>
        <v>2022</v>
      </c>
      <c r="Q1147" t="str">
        <f>IF(Transactions[[#This Row],[Sales Amount]]&lt;AVERAGE(Transactions[Sales Amount]),"Below Average","At/Above Average")</f>
        <v>At/Above Average</v>
      </c>
    </row>
    <row r="1148" spans="4:17" x14ac:dyDescent="0.2">
      <c r="D1148" t="s">
        <v>1238</v>
      </c>
      <c r="E1148" t="s">
        <v>74</v>
      </c>
      <c r="F1148" t="s">
        <v>91</v>
      </c>
      <c r="G1148">
        <v>239</v>
      </c>
      <c r="H1148">
        <v>3</v>
      </c>
      <c r="I1148">
        <v>58.12</v>
      </c>
      <c r="J1148">
        <v>1</v>
      </c>
      <c r="K1148" s="37">
        <v>45133</v>
      </c>
      <c r="L1148" t="s">
        <v>124</v>
      </c>
      <c r="M1148">
        <v>319.43</v>
      </c>
      <c r="N1148">
        <v>6</v>
      </c>
      <c r="O1148" t="str">
        <f>"Q"&amp;ROUNDUP(MONTH(Transactions[[#This Row],[Transaction Date]])/3,0)</f>
        <v>Q3</v>
      </c>
      <c r="P1148">
        <f>YEAR(Transactions[[#This Row],[Transaction Date]])</f>
        <v>2023</v>
      </c>
      <c r="Q1148" t="str">
        <f>IF(Transactions[[#This Row],[Sales Amount]]&lt;AVERAGE(Transactions[Sales Amount]),"Below Average","At/Above Average")</f>
        <v>At/Above Average</v>
      </c>
    </row>
    <row r="1149" spans="4:17" x14ac:dyDescent="0.2">
      <c r="D1149" t="s">
        <v>1239</v>
      </c>
      <c r="E1149" t="s">
        <v>87</v>
      </c>
      <c r="F1149" t="s">
        <v>99</v>
      </c>
      <c r="G1149">
        <v>280</v>
      </c>
      <c r="H1149">
        <v>3</v>
      </c>
      <c r="I1149">
        <v>52.93</v>
      </c>
      <c r="J1149">
        <v>3</v>
      </c>
      <c r="K1149" s="37">
        <v>45359</v>
      </c>
      <c r="L1149" t="s">
        <v>89</v>
      </c>
      <c r="M1149">
        <v>141.05000000000001</v>
      </c>
      <c r="N1149">
        <v>11</v>
      </c>
      <c r="O1149" t="str">
        <f>"Q"&amp;ROUNDUP(MONTH(Transactions[[#This Row],[Transaction Date]])/3,0)</f>
        <v>Q1</v>
      </c>
      <c r="P1149">
        <f>YEAR(Transactions[[#This Row],[Transaction Date]])</f>
        <v>2024</v>
      </c>
      <c r="Q1149" t="str">
        <f>IF(Transactions[[#This Row],[Sales Amount]]&lt;AVERAGE(Transactions[Sales Amount]),"Below Average","At/Above Average")</f>
        <v>Below Average</v>
      </c>
    </row>
    <row r="1150" spans="4:17" x14ac:dyDescent="0.2">
      <c r="D1150" t="s">
        <v>1240</v>
      </c>
      <c r="E1150" t="s">
        <v>75</v>
      </c>
      <c r="F1150" t="s">
        <v>91</v>
      </c>
      <c r="G1150">
        <v>266</v>
      </c>
      <c r="H1150">
        <v>3</v>
      </c>
      <c r="I1150">
        <v>51.58</v>
      </c>
      <c r="J1150">
        <v>5</v>
      </c>
      <c r="K1150" s="37">
        <v>45173</v>
      </c>
      <c r="L1150" t="s">
        <v>97</v>
      </c>
      <c r="M1150">
        <v>223.03</v>
      </c>
      <c r="N1150">
        <v>21</v>
      </c>
      <c r="O1150" t="str">
        <f>"Q"&amp;ROUNDUP(MONTH(Transactions[[#This Row],[Transaction Date]])/3,0)</f>
        <v>Q3</v>
      </c>
      <c r="P1150">
        <f>YEAR(Transactions[[#This Row],[Transaction Date]])</f>
        <v>2023</v>
      </c>
      <c r="Q1150" t="str">
        <f>IF(Transactions[[#This Row],[Sales Amount]]&lt;AVERAGE(Transactions[Sales Amount]),"Below Average","At/Above Average")</f>
        <v>Below Average</v>
      </c>
    </row>
    <row r="1151" spans="4:17" x14ac:dyDescent="0.2">
      <c r="D1151" t="s">
        <v>1241</v>
      </c>
      <c r="E1151" t="s">
        <v>77</v>
      </c>
      <c r="F1151" t="s">
        <v>129</v>
      </c>
      <c r="G1151">
        <v>297</v>
      </c>
      <c r="H1151">
        <v>9</v>
      </c>
      <c r="I1151">
        <v>59.86</v>
      </c>
      <c r="J1151">
        <v>1</v>
      </c>
      <c r="K1151" s="37">
        <v>44745</v>
      </c>
      <c r="L1151" t="s">
        <v>97</v>
      </c>
      <c r="M1151">
        <v>100.57</v>
      </c>
      <c r="N1151">
        <v>50</v>
      </c>
      <c r="O1151" t="str">
        <f>"Q"&amp;ROUNDUP(MONTH(Transactions[[#This Row],[Transaction Date]])/3,0)</f>
        <v>Q3</v>
      </c>
      <c r="P1151">
        <f>YEAR(Transactions[[#This Row],[Transaction Date]])</f>
        <v>2022</v>
      </c>
      <c r="Q1151" t="str">
        <f>IF(Transactions[[#This Row],[Sales Amount]]&lt;AVERAGE(Transactions[Sales Amount]),"Below Average","At/Above Average")</f>
        <v>Below Average</v>
      </c>
    </row>
    <row r="1152" spans="4:17" x14ac:dyDescent="0.2">
      <c r="D1152" t="s">
        <v>1242</v>
      </c>
      <c r="E1152" t="s">
        <v>77</v>
      </c>
      <c r="F1152" t="s">
        <v>88</v>
      </c>
      <c r="G1152">
        <v>157</v>
      </c>
      <c r="H1152">
        <v>1</v>
      </c>
      <c r="I1152">
        <v>51.1</v>
      </c>
      <c r="J1152">
        <v>9</v>
      </c>
      <c r="K1152" s="37">
        <v>44836</v>
      </c>
      <c r="L1152" t="s">
        <v>102</v>
      </c>
      <c r="M1152">
        <v>125.79</v>
      </c>
      <c r="N1152">
        <v>50</v>
      </c>
      <c r="O1152" t="str">
        <f>"Q"&amp;ROUNDUP(MONTH(Transactions[[#This Row],[Transaction Date]])/3,0)</f>
        <v>Q4</v>
      </c>
      <c r="P1152">
        <f>YEAR(Transactions[[#This Row],[Transaction Date]])</f>
        <v>2022</v>
      </c>
      <c r="Q1152" t="str">
        <f>IF(Transactions[[#This Row],[Sales Amount]]&lt;AVERAGE(Transactions[Sales Amount]),"Below Average","At/Above Average")</f>
        <v>Below Average</v>
      </c>
    </row>
    <row r="1153" spans="4:17" x14ac:dyDescent="0.2">
      <c r="D1153" t="s">
        <v>1243</v>
      </c>
      <c r="E1153" t="s">
        <v>78</v>
      </c>
      <c r="F1153" t="s">
        <v>88</v>
      </c>
      <c r="G1153">
        <v>257</v>
      </c>
      <c r="H1153">
        <v>5</v>
      </c>
      <c r="I1153">
        <v>58.42</v>
      </c>
      <c r="J1153">
        <v>6</v>
      </c>
      <c r="K1153" s="37">
        <v>45390</v>
      </c>
      <c r="L1153" t="s">
        <v>97</v>
      </c>
      <c r="M1153">
        <v>340.32</v>
      </c>
      <c r="N1153">
        <v>18</v>
      </c>
      <c r="O1153" t="str">
        <f>"Q"&amp;ROUNDUP(MONTH(Transactions[[#This Row],[Transaction Date]])/3,0)</f>
        <v>Q2</v>
      </c>
      <c r="P1153">
        <f>YEAR(Transactions[[#This Row],[Transaction Date]])</f>
        <v>2024</v>
      </c>
      <c r="Q1153" t="str">
        <f>IF(Transactions[[#This Row],[Sales Amount]]&lt;AVERAGE(Transactions[Sales Amount]),"Below Average","At/Above Average")</f>
        <v>At/Above Average</v>
      </c>
    </row>
    <row r="1154" spans="4:17" x14ac:dyDescent="0.2">
      <c r="D1154" t="s">
        <v>1244</v>
      </c>
      <c r="E1154" t="s">
        <v>78</v>
      </c>
      <c r="F1154" t="s">
        <v>99</v>
      </c>
      <c r="G1154">
        <v>248</v>
      </c>
      <c r="H1154">
        <v>10</v>
      </c>
      <c r="I1154">
        <v>58.35</v>
      </c>
      <c r="J1154">
        <v>2</v>
      </c>
      <c r="K1154" s="37">
        <v>45222</v>
      </c>
      <c r="L1154" t="s">
        <v>124</v>
      </c>
      <c r="M1154">
        <v>367.62</v>
      </c>
      <c r="N1154">
        <v>41</v>
      </c>
      <c r="O1154" t="str">
        <f>"Q"&amp;ROUNDUP(MONTH(Transactions[[#This Row],[Transaction Date]])/3,0)</f>
        <v>Q4</v>
      </c>
      <c r="P1154">
        <f>YEAR(Transactions[[#This Row],[Transaction Date]])</f>
        <v>2023</v>
      </c>
      <c r="Q1154" t="str">
        <f>IF(Transactions[[#This Row],[Sales Amount]]&lt;AVERAGE(Transactions[Sales Amount]),"Below Average","At/Above Average")</f>
        <v>At/Above Average</v>
      </c>
    </row>
    <row r="1155" spans="4:17" x14ac:dyDescent="0.2">
      <c r="D1155" t="s">
        <v>1245</v>
      </c>
      <c r="E1155" t="s">
        <v>78</v>
      </c>
      <c r="F1155" t="s">
        <v>96</v>
      </c>
      <c r="G1155">
        <v>213</v>
      </c>
      <c r="H1155">
        <v>9</v>
      </c>
      <c r="I1155">
        <v>45.78</v>
      </c>
      <c r="J1155">
        <v>6</v>
      </c>
      <c r="K1155" s="37">
        <v>45656</v>
      </c>
      <c r="L1155" t="s">
        <v>89</v>
      </c>
      <c r="M1155">
        <v>297.75</v>
      </c>
      <c r="N1155">
        <v>41</v>
      </c>
      <c r="O1155" t="str">
        <f>"Q"&amp;ROUNDUP(MONTH(Transactions[[#This Row],[Transaction Date]])/3,0)</f>
        <v>Q4</v>
      </c>
      <c r="P1155">
        <f>YEAR(Transactions[[#This Row],[Transaction Date]])</f>
        <v>2024</v>
      </c>
      <c r="Q1155" t="str">
        <f>IF(Transactions[[#This Row],[Sales Amount]]&lt;AVERAGE(Transactions[Sales Amount]),"Below Average","At/Above Average")</f>
        <v>At/Above Average</v>
      </c>
    </row>
    <row r="1156" spans="4:17" x14ac:dyDescent="0.2">
      <c r="D1156" t="s">
        <v>1246</v>
      </c>
      <c r="E1156" t="s">
        <v>78</v>
      </c>
      <c r="F1156" t="s">
        <v>99</v>
      </c>
      <c r="G1156">
        <v>177</v>
      </c>
      <c r="H1156">
        <v>7</v>
      </c>
      <c r="I1156">
        <v>50.61</v>
      </c>
      <c r="J1156">
        <v>8</v>
      </c>
      <c r="K1156" s="37">
        <v>44977</v>
      </c>
      <c r="L1156" t="s">
        <v>109</v>
      </c>
      <c r="M1156">
        <v>288.3</v>
      </c>
      <c r="N1156">
        <v>39</v>
      </c>
      <c r="O1156" t="str">
        <f>"Q"&amp;ROUNDUP(MONTH(Transactions[[#This Row],[Transaction Date]])/3,0)</f>
        <v>Q1</v>
      </c>
      <c r="P1156">
        <f>YEAR(Transactions[[#This Row],[Transaction Date]])</f>
        <v>2023</v>
      </c>
      <c r="Q1156" t="str">
        <f>IF(Transactions[[#This Row],[Sales Amount]]&lt;AVERAGE(Transactions[Sales Amount]),"Below Average","At/Above Average")</f>
        <v>At/Above Average</v>
      </c>
    </row>
    <row r="1157" spans="4:17" x14ac:dyDescent="0.2">
      <c r="D1157" t="s">
        <v>1247</v>
      </c>
      <c r="E1157" t="s">
        <v>87</v>
      </c>
      <c r="F1157" t="s">
        <v>108</v>
      </c>
      <c r="G1157">
        <v>171</v>
      </c>
      <c r="H1157">
        <v>2</v>
      </c>
      <c r="I1157">
        <v>46.04</v>
      </c>
      <c r="J1157">
        <v>7</v>
      </c>
      <c r="K1157" s="37">
        <v>45317</v>
      </c>
      <c r="L1157" t="s">
        <v>97</v>
      </c>
      <c r="M1157">
        <v>151.54</v>
      </c>
      <c r="N1157">
        <v>16</v>
      </c>
      <c r="O1157" t="str">
        <f>"Q"&amp;ROUNDUP(MONTH(Transactions[[#This Row],[Transaction Date]])/3,0)</f>
        <v>Q1</v>
      </c>
      <c r="P1157">
        <f>YEAR(Transactions[[#This Row],[Transaction Date]])</f>
        <v>2024</v>
      </c>
      <c r="Q1157" t="str">
        <f>IF(Transactions[[#This Row],[Sales Amount]]&lt;AVERAGE(Transactions[Sales Amount]),"Below Average","At/Above Average")</f>
        <v>Below Average</v>
      </c>
    </row>
    <row r="1158" spans="4:17" x14ac:dyDescent="0.2">
      <c r="D1158" t="s">
        <v>1248</v>
      </c>
      <c r="E1158" t="s">
        <v>87</v>
      </c>
      <c r="F1158" t="s">
        <v>88</v>
      </c>
      <c r="G1158">
        <v>100</v>
      </c>
      <c r="H1158">
        <v>1</v>
      </c>
      <c r="I1158">
        <v>50.34</v>
      </c>
      <c r="J1158">
        <v>10</v>
      </c>
      <c r="K1158" s="37">
        <v>45583</v>
      </c>
      <c r="L1158" t="s">
        <v>92</v>
      </c>
      <c r="M1158">
        <v>89.03</v>
      </c>
      <c r="N1158">
        <v>18</v>
      </c>
      <c r="O1158" t="str">
        <f>"Q"&amp;ROUNDUP(MONTH(Transactions[[#This Row],[Transaction Date]])/3,0)</f>
        <v>Q4</v>
      </c>
      <c r="P1158">
        <f>YEAR(Transactions[[#This Row],[Transaction Date]])</f>
        <v>2024</v>
      </c>
      <c r="Q1158" t="str">
        <f>IF(Transactions[[#This Row],[Sales Amount]]&lt;AVERAGE(Transactions[Sales Amount]),"Below Average","At/Above Average")</f>
        <v>Below Average</v>
      </c>
    </row>
    <row r="1159" spans="4:17" x14ac:dyDescent="0.2">
      <c r="D1159" t="s">
        <v>1249</v>
      </c>
      <c r="E1159" t="s">
        <v>76</v>
      </c>
      <c r="F1159" t="s">
        <v>129</v>
      </c>
      <c r="G1159">
        <v>124</v>
      </c>
      <c r="H1159">
        <v>8</v>
      </c>
      <c r="I1159">
        <v>58.01</v>
      </c>
      <c r="J1159">
        <v>2</v>
      </c>
      <c r="K1159" s="37">
        <v>45135</v>
      </c>
      <c r="L1159" t="s">
        <v>92</v>
      </c>
      <c r="M1159">
        <v>209.89</v>
      </c>
      <c r="N1159">
        <v>32</v>
      </c>
      <c r="O1159" t="str">
        <f>"Q"&amp;ROUNDUP(MONTH(Transactions[[#This Row],[Transaction Date]])/3,0)</f>
        <v>Q3</v>
      </c>
      <c r="P1159">
        <f>YEAR(Transactions[[#This Row],[Transaction Date]])</f>
        <v>2023</v>
      </c>
      <c r="Q1159" t="str">
        <f>IF(Transactions[[#This Row],[Sales Amount]]&lt;AVERAGE(Transactions[Sales Amount]),"Below Average","At/Above Average")</f>
        <v>Below Average</v>
      </c>
    </row>
    <row r="1160" spans="4:17" x14ac:dyDescent="0.2">
      <c r="D1160" t="s">
        <v>1250</v>
      </c>
      <c r="E1160" t="s">
        <v>78</v>
      </c>
      <c r="F1160" t="s">
        <v>129</v>
      </c>
      <c r="G1160">
        <v>181</v>
      </c>
      <c r="H1160">
        <v>1</v>
      </c>
      <c r="I1160">
        <v>45.64</v>
      </c>
      <c r="J1160">
        <v>6</v>
      </c>
      <c r="K1160" s="37">
        <v>45465</v>
      </c>
      <c r="L1160" t="s">
        <v>109</v>
      </c>
      <c r="M1160">
        <v>286.66000000000003</v>
      </c>
      <c r="N1160">
        <v>24</v>
      </c>
      <c r="O1160" t="str">
        <f>"Q"&amp;ROUNDUP(MONTH(Transactions[[#This Row],[Transaction Date]])/3,0)</f>
        <v>Q2</v>
      </c>
      <c r="P1160">
        <f>YEAR(Transactions[[#This Row],[Transaction Date]])</f>
        <v>2024</v>
      </c>
      <c r="Q1160" t="str">
        <f>IF(Transactions[[#This Row],[Sales Amount]]&lt;AVERAGE(Transactions[Sales Amount]),"Below Average","At/Above Average")</f>
        <v>At/Above Average</v>
      </c>
    </row>
    <row r="1161" spans="4:17" x14ac:dyDescent="0.2">
      <c r="D1161" t="s">
        <v>1251</v>
      </c>
      <c r="E1161" t="s">
        <v>74</v>
      </c>
      <c r="F1161" t="s">
        <v>96</v>
      </c>
      <c r="G1161">
        <v>112</v>
      </c>
      <c r="H1161">
        <v>4</v>
      </c>
      <c r="I1161">
        <v>45.14</v>
      </c>
      <c r="J1161">
        <v>4</v>
      </c>
      <c r="K1161" s="37">
        <v>44988</v>
      </c>
      <c r="L1161" t="s">
        <v>92</v>
      </c>
      <c r="M1161">
        <v>196.24</v>
      </c>
      <c r="N1161">
        <v>40</v>
      </c>
      <c r="O1161" t="str">
        <f>"Q"&amp;ROUNDUP(MONTH(Transactions[[#This Row],[Transaction Date]])/3,0)</f>
        <v>Q1</v>
      </c>
      <c r="P1161">
        <f>YEAR(Transactions[[#This Row],[Transaction Date]])</f>
        <v>2023</v>
      </c>
      <c r="Q1161" t="str">
        <f>IF(Transactions[[#This Row],[Sales Amount]]&lt;AVERAGE(Transactions[Sales Amount]),"Below Average","At/Above Average")</f>
        <v>Below Average</v>
      </c>
    </row>
    <row r="1162" spans="4:17" x14ac:dyDescent="0.2">
      <c r="D1162" t="s">
        <v>1252</v>
      </c>
      <c r="E1162" t="s">
        <v>75</v>
      </c>
      <c r="F1162" t="s">
        <v>129</v>
      </c>
      <c r="G1162">
        <v>191</v>
      </c>
      <c r="H1162">
        <v>5</v>
      </c>
      <c r="I1162">
        <v>45.23</v>
      </c>
      <c r="J1162">
        <v>5</v>
      </c>
      <c r="K1162" s="37">
        <v>44690</v>
      </c>
      <c r="L1162" t="s">
        <v>97</v>
      </c>
      <c r="M1162">
        <v>358.72</v>
      </c>
      <c r="N1162">
        <v>4</v>
      </c>
      <c r="O1162" t="str">
        <f>"Q"&amp;ROUNDUP(MONTH(Transactions[[#This Row],[Transaction Date]])/3,0)</f>
        <v>Q2</v>
      </c>
      <c r="P1162">
        <f>YEAR(Transactions[[#This Row],[Transaction Date]])</f>
        <v>2022</v>
      </c>
      <c r="Q1162" t="str">
        <f>IF(Transactions[[#This Row],[Sales Amount]]&lt;AVERAGE(Transactions[Sales Amount]),"Below Average","At/Above Average")</f>
        <v>At/Above Average</v>
      </c>
    </row>
    <row r="1163" spans="4:17" x14ac:dyDescent="0.2">
      <c r="D1163" t="s">
        <v>1253</v>
      </c>
      <c r="E1163" t="s">
        <v>87</v>
      </c>
      <c r="F1163" t="s">
        <v>88</v>
      </c>
      <c r="G1163">
        <v>168</v>
      </c>
      <c r="H1163">
        <v>5</v>
      </c>
      <c r="I1163">
        <v>48.82</v>
      </c>
      <c r="J1163">
        <v>6</v>
      </c>
      <c r="K1163" s="37">
        <v>44717</v>
      </c>
      <c r="L1163" t="s">
        <v>89</v>
      </c>
      <c r="M1163">
        <v>33.26</v>
      </c>
      <c r="N1163">
        <v>14</v>
      </c>
      <c r="O1163" t="str">
        <f>"Q"&amp;ROUNDUP(MONTH(Transactions[[#This Row],[Transaction Date]])/3,0)</f>
        <v>Q2</v>
      </c>
      <c r="P1163">
        <f>YEAR(Transactions[[#This Row],[Transaction Date]])</f>
        <v>2022</v>
      </c>
      <c r="Q1163" t="str">
        <f>IF(Transactions[[#This Row],[Sales Amount]]&lt;AVERAGE(Transactions[Sales Amount]),"Below Average","At/Above Average")</f>
        <v>Below Average</v>
      </c>
    </row>
    <row r="1164" spans="4:17" x14ac:dyDescent="0.2">
      <c r="D1164" t="s">
        <v>1254</v>
      </c>
      <c r="E1164" t="s">
        <v>75</v>
      </c>
      <c r="F1164" t="s">
        <v>129</v>
      </c>
      <c r="G1164">
        <v>282</v>
      </c>
      <c r="H1164">
        <v>2</v>
      </c>
      <c r="I1164">
        <v>52.89</v>
      </c>
      <c r="J1164">
        <v>4</v>
      </c>
      <c r="K1164" s="37">
        <v>44833</v>
      </c>
      <c r="L1164" t="s">
        <v>124</v>
      </c>
      <c r="M1164">
        <v>469.59</v>
      </c>
      <c r="N1164">
        <v>29</v>
      </c>
      <c r="O1164" t="str">
        <f>"Q"&amp;ROUNDUP(MONTH(Transactions[[#This Row],[Transaction Date]])/3,0)</f>
        <v>Q3</v>
      </c>
      <c r="P1164">
        <f>YEAR(Transactions[[#This Row],[Transaction Date]])</f>
        <v>2022</v>
      </c>
      <c r="Q1164" t="str">
        <f>IF(Transactions[[#This Row],[Sales Amount]]&lt;AVERAGE(Transactions[Sales Amount]),"Below Average","At/Above Average")</f>
        <v>At/Above Average</v>
      </c>
    </row>
    <row r="1165" spans="4:17" x14ac:dyDescent="0.2">
      <c r="D1165" t="s">
        <v>1255</v>
      </c>
      <c r="E1165" t="s">
        <v>75</v>
      </c>
      <c r="F1165" t="s">
        <v>99</v>
      </c>
      <c r="G1165">
        <v>176</v>
      </c>
      <c r="H1165">
        <v>6</v>
      </c>
      <c r="I1165">
        <v>59.35</v>
      </c>
      <c r="J1165">
        <v>2</v>
      </c>
      <c r="K1165" s="37">
        <v>45491</v>
      </c>
      <c r="L1165" t="s">
        <v>102</v>
      </c>
      <c r="M1165">
        <v>461.1</v>
      </c>
      <c r="N1165">
        <v>48</v>
      </c>
      <c r="O1165" t="str">
        <f>"Q"&amp;ROUNDUP(MONTH(Transactions[[#This Row],[Transaction Date]])/3,0)</f>
        <v>Q3</v>
      </c>
      <c r="P1165">
        <f>YEAR(Transactions[[#This Row],[Transaction Date]])</f>
        <v>2024</v>
      </c>
      <c r="Q1165" t="str">
        <f>IF(Transactions[[#This Row],[Sales Amount]]&lt;AVERAGE(Transactions[Sales Amount]),"Below Average","At/Above Average")</f>
        <v>At/Above Average</v>
      </c>
    </row>
    <row r="1166" spans="4:17" x14ac:dyDescent="0.2">
      <c r="D1166" t="s">
        <v>1256</v>
      </c>
      <c r="E1166" t="s">
        <v>78</v>
      </c>
      <c r="F1166" t="s">
        <v>88</v>
      </c>
      <c r="G1166">
        <v>133</v>
      </c>
      <c r="H1166">
        <v>1</v>
      </c>
      <c r="I1166">
        <v>54.12</v>
      </c>
      <c r="J1166">
        <v>7</v>
      </c>
      <c r="K1166" s="37">
        <v>45100</v>
      </c>
      <c r="L1166" t="s">
        <v>97</v>
      </c>
      <c r="M1166">
        <v>170.31</v>
      </c>
      <c r="N1166">
        <v>13</v>
      </c>
      <c r="O1166" t="str">
        <f>"Q"&amp;ROUNDUP(MONTH(Transactions[[#This Row],[Transaction Date]])/3,0)</f>
        <v>Q2</v>
      </c>
      <c r="P1166">
        <f>YEAR(Transactions[[#This Row],[Transaction Date]])</f>
        <v>2023</v>
      </c>
      <c r="Q1166" t="str">
        <f>IF(Transactions[[#This Row],[Sales Amount]]&lt;AVERAGE(Transactions[Sales Amount]),"Below Average","At/Above Average")</f>
        <v>Below Average</v>
      </c>
    </row>
    <row r="1167" spans="4:17" x14ac:dyDescent="0.2">
      <c r="D1167" t="s">
        <v>1257</v>
      </c>
      <c r="E1167" t="s">
        <v>87</v>
      </c>
      <c r="F1167" t="s">
        <v>99</v>
      </c>
      <c r="G1167">
        <v>131</v>
      </c>
      <c r="H1167">
        <v>3</v>
      </c>
      <c r="I1167">
        <v>52.79</v>
      </c>
      <c r="J1167">
        <v>4</v>
      </c>
      <c r="K1167" s="37">
        <v>45357</v>
      </c>
      <c r="L1167" t="s">
        <v>92</v>
      </c>
      <c r="M1167">
        <v>312.69</v>
      </c>
      <c r="N1167">
        <v>25</v>
      </c>
      <c r="O1167" t="str">
        <f>"Q"&amp;ROUNDUP(MONTH(Transactions[[#This Row],[Transaction Date]])/3,0)</f>
        <v>Q1</v>
      </c>
      <c r="P1167">
        <f>YEAR(Transactions[[#This Row],[Transaction Date]])</f>
        <v>2024</v>
      </c>
      <c r="Q1167" t="str">
        <f>IF(Transactions[[#This Row],[Sales Amount]]&lt;AVERAGE(Transactions[Sales Amount]),"Below Average","At/Above Average")</f>
        <v>At/Above Average</v>
      </c>
    </row>
    <row r="1168" spans="4:17" x14ac:dyDescent="0.2">
      <c r="D1168" t="s">
        <v>1258</v>
      </c>
      <c r="E1168" t="s">
        <v>74</v>
      </c>
      <c r="F1168" t="s">
        <v>88</v>
      </c>
      <c r="G1168">
        <v>278</v>
      </c>
      <c r="H1168">
        <v>1</v>
      </c>
      <c r="I1168">
        <v>54.26</v>
      </c>
      <c r="J1168">
        <v>5</v>
      </c>
      <c r="K1168" s="37">
        <v>44888</v>
      </c>
      <c r="L1168" t="s">
        <v>92</v>
      </c>
      <c r="M1168">
        <v>355.24</v>
      </c>
      <c r="N1168">
        <v>2</v>
      </c>
      <c r="O1168" t="str">
        <f>"Q"&amp;ROUNDUP(MONTH(Transactions[[#This Row],[Transaction Date]])/3,0)</f>
        <v>Q4</v>
      </c>
      <c r="P1168">
        <f>YEAR(Transactions[[#This Row],[Transaction Date]])</f>
        <v>2022</v>
      </c>
      <c r="Q1168" t="str">
        <f>IF(Transactions[[#This Row],[Sales Amount]]&lt;AVERAGE(Transactions[Sales Amount]),"Below Average","At/Above Average")</f>
        <v>At/Above Average</v>
      </c>
    </row>
    <row r="1169" spans="4:17" x14ac:dyDescent="0.2">
      <c r="D1169" t="s">
        <v>1259</v>
      </c>
      <c r="E1169" t="s">
        <v>74</v>
      </c>
      <c r="F1169" t="s">
        <v>108</v>
      </c>
      <c r="G1169">
        <v>247</v>
      </c>
      <c r="H1169">
        <v>4</v>
      </c>
      <c r="I1169">
        <v>51.29</v>
      </c>
      <c r="J1169">
        <v>10</v>
      </c>
      <c r="K1169" s="37">
        <v>44831</v>
      </c>
      <c r="L1169" t="s">
        <v>102</v>
      </c>
      <c r="M1169">
        <v>317.88</v>
      </c>
      <c r="N1169">
        <v>43</v>
      </c>
      <c r="O1169" t="str">
        <f>"Q"&amp;ROUNDUP(MONTH(Transactions[[#This Row],[Transaction Date]])/3,0)</f>
        <v>Q3</v>
      </c>
      <c r="P1169">
        <f>YEAR(Transactions[[#This Row],[Transaction Date]])</f>
        <v>2022</v>
      </c>
      <c r="Q1169" t="str">
        <f>IF(Transactions[[#This Row],[Sales Amount]]&lt;AVERAGE(Transactions[Sales Amount]),"Below Average","At/Above Average")</f>
        <v>At/Above Average</v>
      </c>
    </row>
    <row r="1170" spans="4:17" x14ac:dyDescent="0.2">
      <c r="D1170" t="s">
        <v>1260</v>
      </c>
      <c r="E1170" t="s">
        <v>87</v>
      </c>
      <c r="F1170" t="s">
        <v>91</v>
      </c>
      <c r="G1170">
        <v>129</v>
      </c>
      <c r="H1170">
        <v>1</v>
      </c>
      <c r="I1170">
        <v>54.28</v>
      </c>
      <c r="J1170">
        <v>2</v>
      </c>
      <c r="K1170" s="37">
        <v>44866</v>
      </c>
      <c r="L1170" t="s">
        <v>89</v>
      </c>
      <c r="M1170">
        <v>302.97000000000003</v>
      </c>
      <c r="N1170">
        <v>15</v>
      </c>
      <c r="O1170" t="str">
        <f>"Q"&amp;ROUNDUP(MONTH(Transactions[[#This Row],[Transaction Date]])/3,0)</f>
        <v>Q4</v>
      </c>
      <c r="P1170">
        <f>YEAR(Transactions[[#This Row],[Transaction Date]])</f>
        <v>2022</v>
      </c>
      <c r="Q1170" t="str">
        <f>IF(Transactions[[#This Row],[Sales Amount]]&lt;AVERAGE(Transactions[Sales Amount]),"Below Average","At/Above Average")</f>
        <v>At/Above Average</v>
      </c>
    </row>
    <row r="1171" spans="4:17" x14ac:dyDescent="0.2">
      <c r="D1171" t="s">
        <v>1261</v>
      </c>
      <c r="E1171" t="s">
        <v>76</v>
      </c>
      <c r="F1171" t="s">
        <v>129</v>
      </c>
      <c r="G1171">
        <v>217</v>
      </c>
      <c r="H1171">
        <v>6</v>
      </c>
      <c r="I1171">
        <v>54.22</v>
      </c>
      <c r="J1171">
        <v>4</v>
      </c>
      <c r="K1171" s="37">
        <v>44893</v>
      </c>
      <c r="L1171" t="s">
        <v>89</v>
      </c>
      <c r="M1171">
        <v>196.07</v>
      </c>
      <c r="N1171">
        <v>17</v>
      </c>
      <c r="O1171" t="str">
        <f>"Q"&amp;ROUNDUP(MONTH(Transactions[[#This Row],[Transaction Date]])/3,0)</f>
        <v>Q4</v>
      </c>
      <c r="P1171">
        <f>YEAR(Transactions[[#This Row],[Transaction Date]])</f>
        <v>2022</v>
      </c>
      <c r="Q1171" t="str">
        <f>IF(Transactions[[#This Row],[Sales Amount]]&lt;AVERAGE(Transactions[Sales Amount]),"Below Average","At/Above Average")</f>
        <v>Below Average</v>
      </c>
    </row>
    <row r="1172" spans="4:17" x14ac:dyDescent="0.2">
      <c r="D1172" t="s">
        <v>1262</v>
      </c>
      <c r="E1172" t="s">
        <v>74</v>
      </c>
      <c r="F1172" t="s">
        <v>88</v>
      </c>
      <c r="G1172">
        <v>102</v>
      </c>
      <c r="H1172">
        <v>9</v>
      </c>
      <c r="I1172">
        <v>54.02</v>
      </c>
      <c r="J1172">
        <v>1</v>
      </c>
      <c r="K1172" s="37">
        <v>45091</v>
      </c>
      <c r="L1172" t="s">
        <v>97</v>
      </c>
      <c r="M1172">
        <v>110.62</v>
      </c>
      <c r="N1172">
        <v>26</v>
      </c>
      <c r="O1172" t="str">
        <f>"Q"&amp;ROUNDUP(MONTH(Transactions[[#This Row],[Transaction Date]])/3,0)</f>
        <v>Q2</v>
      </c>
      <c r="P1172">
        <f>YEAR(Transactions[[#This Row],[Transaction Date]])</f>
        <v>2023</v>
      </c>
      <c r="Q1172" t="str">
        <f>IF(Transactions[[#This Row],[Sales Amount]]&lt;AVERAGE(Transactions[Sales Amount]),"Below Average","At/Above Average")</f>
        <v>Below Average</v>
      </c>
    </row>
    <row r="1173" spans="4:17" x14ac:dyDescent="0.2">
      <c r="D1173" t="s">
        <v>1263</v>
      </c>
      <c r="E1173" t="s">
        <v>87</v>
      </c>
      <c r="F1173" t="s">
        <v>108</v>
      </c>
      <c r="G1173">
        <v>247</v>
      </c>
      <c r="H1173">
        <v>2</v>
      </c>
      <c r="I1173">
        <v>54.3</v>
      </c>
      <c r="J1173">
        <v>1</v>
      </c>
      <c r="K1173" s="37">
        <v>44799</v>
      </c>
      <c r="L1173" t="s">
        <v>89</v>
      </c>
      <c r="M1173">
        <v>406.99</v>
      </c>
      <c r="N1173">
        <v>10</v>
      </c>
      <c r="O1173" t="str">
        <f>"Q"&amp;ROUNDUP(MONTH(Transactions[[#This Row],[Transaction Date]])/3,0)</f>
        <v>Q3</v>
      </c>
      <c r="P1173">
        <f>YEAR(Transactions[[#This Row],[Transaction Date]])</f>
        <v>2022</v>
      </c>
      <c r="Q1173" t="str">
        <f>IF(Transactions[[#This Row],[Sales Amount]]&lt;AVERAGE(Transactions[Sales Amount]),"Below Average","At/Above Average")</f>
        <v>At/Above Average</v>
      </c>
    </row>
    <row r="1174" spans="4:17" x14ac:dyDescent="0.2">
      <c r="D1174" t="s">
        <v>1264</v>
      </c>
      <c r="E1174" t="s">
        <v>78</v>
      </c>
      <c r="F1174" t="s">
        <v>105</v>
      </c>
      <c r="G1174">
        <v>293</v>
      </c>
      <c r="H1174">
        <v>4</v>
      </c>
      <c r="I1174">
        <v>46.74</v>
      </c>
      <c r="J1174">
        <v>7</v>
      </c>
      <c r="K1174" s="37">
        <v>44733</v>
      </c>
      <c r="L1174" t="s">
        <v>92</v>
      </c>
      <c r="M1174">
        <v>435.13</v>
      </c>
      <c r="N1174">
        <v>7</v>
      </c>
      <c r="O1174" t="str">
        <f>"Q"&amp;ROUNDUP(MONTH(Transactions[[#This Row],[Transaction Date]])/3,0)</f>
        <v>Q2</v>
      </c>
      <c r="P1174">
        <f>YEAR(Transactions[[#This Row],[Transaction Date]])</f>
        <v>2022</v>
      </c>
      <c r="Q1174" t="str">
        <f>IF(Transactions[[#This Row],[Sales Amount]]&lt;AVERAGE(Transactions[Sales Amount]),"Below Average","At/Above Average")</f>
        <v>At/Above Average</v>
      </c>
    </row>
    <row r="1175" spans="4:17" x14ac:dyDescent="0.2">
      <c r="D1175" t="s">
        <v>1265</v>
      </c>
      <c r="E1175" t="s">
        <v>76</v>
      </c>
      <c r="F1175" t="s">
        <v>99</v>
      </c>
      <c r="G1175">
        <v>174</v>
      </c>
      <c r="H1175">
        <v>4</v>
      </c>
      <c r="I1175">
        <v>56.47</v>
      </c>
      <c r="J1175">
        <v>1</v>
      </c>
      <c r="K1175" s="37">
        <v>45299</v>
      </c>
      <c r="L1175" t="s">
        <v>97</v>
      </c>
      <c r="M1175">
        <v>346.9</v>
      </c>
      <c r="N1175">
        <v>21</v>
      </c>
      <c r="O1175" t="str">
        <f>"Q"&amp;ROUNDUP(MONTH(Transactions[[#This Row],[Transaction Date]])/3,0)</f>
        <v>Q1</v>
      </c>
      <c r="P1175">
        <f>YEAR(Transactions[[#This Row],[Transaction Date]])</f>
        <v>2024</v>
      </c>
      <c r="Q1175" t="str">
        <f>IF(Transactions[[#This Row],[Sales Amount]]&lt;AVERAGE(Transactions[Sales Amount]),"Below Average","At/Above Average")</f>
        <v>At/Above Average</v>
      </c>
    </row>
    <row r="1176" spans="4:17" x14ac:dyDescent="0.2">
      <c r="D1176" t="s">
        <v>1266</v>
      </c>
      <c r="E1176" t="s">
        <v>74</v>
      </c>
      <c r="F1176" t="s">
        <v>99</v>
      </c>
      <c r="G1176">
        <v>237</v>
      </c>
      <c r="H1176">
        <v>2</v>
      </c>
      <c r="I1176">
        <v>59.59</v>
      </c>
      <c r="J1176">
        <v>1</v>
      </c>
      <c r="K1176" s="37">
        <v>44903</v>
      </c>
      <c r="L1176" t="s">
        <v>102</v>
      </c>
      <c r="M1176">
        <v>330.05</v>
      </c>
      <c r="N1176">
        <v>31</v>
      </c>
      <c r="O1176" t="str">
        <f>"Q"&amp;ROUNDUP(MONTH(Transactions[[#This Row],[Transaction Date]])/3,0)</f>
        <v>Q4</v>
      </c>
      <c r="P1176">
        <f>YEAR(Transactions[[#This Row],[Transaction Date]])</f>
        <v>2022</v>
      </c>
      <c r="Q1176" t="str">
        <f>IF(Transactions[[#This Row],[Sales Amount]]&lt;AVERAGE(Transactions[Sales Amount]),"Below Average","At/Above Average")</f>
        <v>At/Above Average</v>
      </c>
    </row>
    <row r="1177" spans="4:17" x14ac:dyDescent="0.2">
      <c r="D1177" t="s">
        <v>1267</v>
      </c>
      <c r="E1177" t="s">
        <v>75</v>
      </c>
      <c r="F1177" t="s">
        <v>108</v>
      </c>
      <c r="G1177">
        <v>289</v>
      </c>
      <c r="H1177">
        <v>2</v>
      </c>
      <c r="I1177">
        <v>46.41</v>
      </c>
      <c r="J1177">
        <v>2</v>
      </c>
      <c r="K1177" s="37">
        <v>45386</v>
      </c>
      <c r="L1177" t="s">
        <v>92</v>
      </c>
      <c r="M1177">
        <v>125.03</v>
      </c>
      <c r="N1177">
        <v>4</v>
      </c>
      <c r="O1177" t="str">
        <f>"Q"&amp;ROUNDUP(MONTH(Transactions[[#This Row],[Transaction Date]])/3,0)</f>
        <v>Q2</v>
      </c>
      <c r="P1177">
        <f>YEAR(Transactions[[#This Row],[Transaction Date]])</f>
        <v>2024</v>
      </c>
      <c r="Q1177" t="str">
        <f>IF(Transactions[[#This Row],[Sales Amount]]&lt;AVERAGE(Transactions[Sales Amount]),"Below Average","At/Above Average")</f>
        <v>Below Average</v>
      </c>
    </row>
    <row r="1178" spans="4:17" x14ac:dyDescent="0.2">
      <c r="D1178" t="s">
        <v>1268</v>
      </c>
      <c r="E1178" t="s">
        <v>75</v>
      </c>
      <c r="F1178" t="s">
        <v>108</v>
      </c>
      <c r="G1178">
        <v>157</v>
      </c>
      <c r="H1178">
        <v>2</v>
      </c>
      <c r="I1178">
        <v>58.29</v>
      </c>
      <c r="J1178">
        <v>8</v>
      </c>
      <c r="K1178" s="37">
        <v>45122</v>
      </c>
      <c r="L1178" t="s">
        <v>97</v>
      </c>
      <c r="M1178">
        <v>58.28</v>
      </c>
      <c r="N1178">
        <v>26</v>
      </c>
      <c r="O1178" t="str">
        <f>"Q"&amp;ROUNDUP(MONTH(Transactions[[#This Row],[Transaction Date]])/3,0)</f>
        <v>Q3</v>
      </c>
      <c r="P1178">
        <f>YEAR(Transactions[[#This Row],[Transaction Date]])</f>
        <v>2023</v>
      </c>
      <c r="Q1178" t="str">
        <f>IF(Transactions[[#This Row],[Sales Amount]]&lt;AVERAGE(Transactions[Sales Amount]),"Below Average","At/Above Average")</f>
        <v>Below Average</v>
      </c>
    </row>
    <row r="1179" spans="4:17" x14ac:dyDescent="0.2">
      <c r="D1179" t="s">
        <v>1269</v>
      </c>
      <c r="E1179" t="s">
        <v>74</v>
      </c>
      <c r="F1179" t="s">
        <v>129</v>
      </c>
      <c r="G1179">
        <v>243</v>
      </c>
      <c r="H1179">
        <v>6</v>
      </c>
      <c r="I1179">
        <v>50.77</v>
      </c>
      <c r="J1179">
        <v>10</v>
      </c>
      <c r="K1179" s="37">
        <v>44855</v>
      </c>
      <c r="L1179" t="s">
        <v>97</v>
      </c>
      <c r="M1179">
        <v>368.75</v>
      </c>
      <c r="N1179">
        <v>2</v>
      </c>
      <c r="O1179" t="str">
        <f>"Q"&amp;ROUNDUP(MONTH(Transactions[[#This Row],[Transaction Date]])/3,0)</f>
        <v>Q4</v>
      </c>
      <c r="P1179">
        <f>YEAR(Transactions[[#This Row],[Transaction Date]])</f>
        <v>2022</v>
      </c>
      <c r="Q1179" t="str">
        <f>IF(Transactions[[#This Row],[Sales Amount]]&lt;AVERAGE(Transactions[Sales Amount]),"Below Average","At/Above Average")</f>
        <v>At/Above Average</v>
      </c>
    </row>
    <row r="1180" spans="4:17" x14ac:dyDescent="0.2">
      <c r="D1180" t="s">
        <v>1270</v>
      </c>
      <c r="E1180" t="s">
        <v>87</v>
      </c>
      <c r="F1180" t="s">
        <v>99</v>
      </c>
      <c r="G1180">
        <v>184</v>
      </c>
      <c r="H1180">
        <v>1</v>
      </c>
      <c r="I1180">
        <v>47.78</v>
      </c>
      <c r="J1180">
        <v>4</v>
      </c>
      <c r="K1180" s="37">
        <v>44575</v>
      </c>
      <c r="L1180" t="s">
        <v>92</v>
      </c>
      <c r="M1180">
        <v>136.87</v>
      </c>
      <c r="N1180">
        <v>42</v>
      </c>
      <c r="O1180" t="str">
        <f>"Q"&amp;ROUNDUP(MONTH(Transactions[[#This Row],[Transaction Date]])/3,0)</f>
        <v>Q1</v>
      </c>
      <c r="P1180">
        <f>YEAR(Transactions[[#This Row],[Transaction Date]])</f>
        <v>2022</v>
      </c>
      <c r="Q1180" t="str">
        <f>IF(Transactions[[#This Row],[Sales Amount]]&lt;AVERAGE(Transactions[Sales Amount]),"Below Average","At/Above Average")</f>
        <v>Below Average</v>
      </c>
    </row>
    <row r="1181" spans="4:17" x14ac:dyDescent="0.2">
      <c r="D1181" t="s">
        <v>1271</v>
      </c>
      <c r="E1181" t="s">
        <v>76</v>
      </c>
      <c r="F1181" t="s">
        <v>129</v>
      </c>
      <c r="G1181">
        <v>104</v>
      </c>
      <c r="H1181">
        <v>10</v>
      </c>
      <c r="I1181">
        <v>58.93</v>
      </c>
      <c r="J1181">
        <v>10</v>
      </c>
      <c r="K1181" s="37">
        <v>45097</v>
      </c>
      <c r="L1181" t="s">
        <v>102</v>
      </c>
      <c r="M1181">
        <v>298.35000000000002</v>
      </c>
      <c r="N1181">
        <v>43</v>
      </c>
      <c r="O1181" t="str">
        <f>"Q"&amp;ROUNDUP(MONTH(Transactions[[#This Row],[Transaction Date]])/3,0)</f>
        <v>Q2</v>
      </c>
      <c r="P1181">
        <f>YEAR(Transactions[[#This Row],[Transaction Date]])</f>
        <v>2023</v>
      </c>
      <c r="Q1181" t="str">
        <f>IF(Transactions[[#This Row],[Sales Amount]]&lt;AVERAGE(Transactions[Sales Amount]),"Below Average","At/Above Average")</f>
        <v>At/Above Average</v>
      </c>
    </row>
    <row r="1182" spans="4:17" x14ac:dyDescent="0.2">
      <c r="D1182" t="s">
        <v>1272</v>
      </c>
      <c r="E1182" t="s">
        <v>75</v>
      </c>
      <c r="F1182" t="s">
        <v>96</v>
      </c>
      <c r="G1182">
        <v>214</v>
      </c>
      <c r="H1182">
        <v>4</v>
      </c>
      <c r="I1182">
        <v>54.45</v>
      </c>
      <c r="J1182">
        <v>9</v>
      </c>
      <c r="K1182" s="37">
        <v>44687</v>
      </c>
      <c r="L1182" t="s">
        <v>109</v>
      </c>
      <c r="M1182">
        <v>296.95999999999998</v>
      </c>
      <c r="N1182">
        <v>23</v>
      </c>
      <c r="O1182" t="str">
        <f>"Q"&amp;ROUNDUP(MONTH(Transactions[[#This Row],[Transaction Date]])/3,0)</f>
        <v>Q2</v>
      </c>
      <c r="P1182">
        <f>YEAR(Transactions[[#This Row],[Transaction Date]])</f>
        <v>2022</v>
      </c>
      <c r="Q1182" t="str">
        <f>IF(Transactions[[#This Row],[Sales Amount]]&lt;AVERAGE(Transactions[Sales Amount]),"Below Average","At/Above Average")</f>
        <v>At/Above Average</v>
      </c>
    </row>
    <row r="1183" spans="4:17" x14ac:dyDescent="0.2">
      <c r="D1183" t="s">
        <v>1273</v>
      </c>
      <c r="E1183" t="s">
        <v>78</v>
      </c>
      <c r="F1183" t="s">
        <v>99</v>
      </c>
      <c r="G1183">
        <v>203</v>
      </c>
      <c r="H1183">
        <v>2</v>
      </c>
      <c r="I1183">
        <v>51.93</v>
      </c>
      <c r="J1183">
        <v>3</v>
      </c>
      <c r="K1183" s="37">
        <v>45580</v>
      </c>
      <c r="L1183" t="s">
        <v>124</v>
      </c>
      <c r="M1183">
        <v>83.1</v>
      </c>
      <c r="N1183">
        <v>45</v>
      </c>
      <c r="O1183" t="str">
        <f>"Q"&amp;ROUNDUP(MONTH(Transactions[[#This Row],[Transaction Date]])/3,0)</f>
        <v>Q4</v>
      </c>
      <c r="P1183">
        <f>YEAR(Transactions[[#This Row],[Transaction Date]])</f>
        <v>2024</v>
      </c>
      <c r="Q1183" t="str">
        <f>IF(Transactions[[#This Row],[Sales Amount]]&lt;AVERAGE(Transactions[Sales Amount]),"Below Average","At/Above Average")</f>
        <v>Below Average</v>
      </c>
    </row>
    <row r="1184" spans="4:17" x14ac:dyDescent="0.2">
      <c r="D1184" t="s">
        <v>1274</v>
      </c>
      <c r="E1184" t="s">
        <v>76</v>
      </c>
      <c r="F1184" t="s">
        <v>96</v>
      </c>
      <c r="G1184">
        <v>284</v>
      </c>
      <c r="H1184">
        <v>2</v>
      </c>
      <c r="I1184">
        <v>57.45</v>
      </c>
      <c r="J1184">
        <v>10</v>
      </c>
      <c r="K1184" s="37">
        <v>44901</v>
      </c>
      <c r="L1184" t="s">
        <v>109</v>
      </c>
      <c r="M1184">
        <v>75.98</v>
      </c>
      <c r="N1184">
        <v>50</v>
      </c>
      <c r="O1184" t="str">
        <f>"Q"&amp;ROUNDUP(MONTH(Transactions[[#This Row],[Transaction Date]])/3,0)</f>
        <v>Q4</v>
      </c>
      <c r="P1184">
        <f>YEAR(Transactions[[#This Row],[Transaction Date]])</f>
        <v>2022</v>
      </c>
      <c r="Q1184" t="str">
        <f>IF(Transactions[[#This Row],[Sales Amount]]&lt;AVERAGE(Transactions[Sales Amount]),"Below Average","At/Above Average")</f>
        <v>Below Average</v>
      </c>
    </row>
    <row r="1185" spans="4:17" x14ac:dyDescent="0.2">
      <c r="D1185" t="s">
        <v>1275</v>
      </c>
      <c r="E1185" t="s">
        <v>77</v>
      </c>
      <c r="F1185" t="s">
        <v>88</v>
      </c>
      <c r="G1185">
        <v>300</v>
      </c>
      <c r="H1185">
        <v>9</v>
      </c>
      <c r="I1185">
        <v>47.26</v>
      </c>
      <c r="J1185">
        <v>10</v>
      </c>
      <c r="K1185" s="37">
        <v>44939</v>
      </c>
      <c r="L1185" t="s">
        <v>124</v>
      </c>
      <c r="M1185">
        <v>413.37</v>
      </c>
      <c r="N1185">
        <v>40</v>
      </c>
      <c r="O1185" t="str">
        <f>"Q"&amp;ROUNDUP(MONTH(Transactions[[#This Row],[Transaction Date]])/3,0)</f>
        <v>Q1</v>
      </c>
      <c r="P1185">
        <f>YEAR(Transactions[[#This Row],[Transaction Date]])</f>
        <v>2023</v>
      </c>
      <c r="Q1185" t="str">
        <f>IF(Transactions[[#This Row],[Sales Amount]]&lt;AVERAGE(Transactions[Sales Amount]),"Below Average","At/Above Average")</f>
        <v>At/Above Average</v>
      </c>
    </row>
    <row r="1186" spans="4:17" x14ac:dyDescent="0.2">
      <c r="D1186" t="s">
        <v>1276</v>
      </c>
      <c r="E1186" t="s">
        <v>77</v>
      </c>
      <c r="F1186" t="s">
        <v>96</v>
      </c>
      <c r="G1186">
        <v>137</v>
      </c>
      <c r="H1186">
        <v>8</v>
      </c>
      <c r="I1186">
        <v>58.18</v>
      </c>
      <c r="J1186">
        <v>9</v>
      </c>
      <c r="K1186" s="37">
        <v>45052</v>
      </c>
      <c r="L1186" t="s">
        <v>109</v>
      </c>
      <c r="M1186">
        <v>313.75</v>
      </c>
      <c r="N1186">
        <v>20</v>
      </c>
      <c r="O1186" t="str">
        <f>"Q"&amp;ROUNDUP(MONTH(Transactions[[#This Row],[Transaction Date]])/3,0)</f>
        <v>Q2</v>
      </c>
      <c r="P1186">
        <f>YEAR(Transactions[[#This Row],[Transaction Date]])</f>
        <v>2023</v>
      </c>
      <c r="Q1186" t="str">
        <f>IF(Transactions[[#This Row],[Sales Amount]]&lt;AVERAGE(Transactions[Sales Amount]),"Below Average","At/Above Average")</f>
        <v>At/Above Average</v>
      </c>
    </row>
    <row r="1187" spans="4:17" x14ac:dyDescent="0.2">
      <c r="D1187" t="s">
        <v>1277</v>
      </c>
      <c r="E1187" t="s">
        <v>75</v>
      </c>
      <c r="F1187" t="s">
        <v>88</v>
      </c>
      <c r="G1187">
        <v>169</v>
      </c>
      <c r="H1187">
        <v>8</v>
      </c>
      <c r="I1187">
        <v>58.27</v>
      </c>
      <c r="J1187">
        <v>3</v>
      </c>
      <c r="K1187" s="37">
        <v>45179</v>
      </c>
      <c r="L1187" t="s">
        <v>102</v>
      </c>
      <c r="M1187">
        <v>451.93</v>
      </c>
      <c r="N1187">
        <v>22</v>
      </c>
      <c r="O1187" t="str">
        <f>"Q"&amp;ROUNDUP(MONTH(Transactions[[#This Row],[Transaction Date]])/3,0)</f>
        <v>Q3</v>
      </c>
      <c r="P1187">
        <f>YEAR(Transactions[[#This Row],[Transaction Date]])</f>
        <v>2023</v>
      </c>
      <c r="Q1187" t="str">
        <f>IF(Transactions[[#This Row],[Sales Amount]]&lt;AVERAGE(Transactions[Sales Amount]),"Below Average","At/Above Average")</f>
        <v>At/Above Average</v>
      </c>
    </row>
    <row r="1188" spans="4:17" x14ac:dyDescent="0.2">
      <c r="D1188" t="s">
        <v>1278</v>
      </c>
      <c r="E1188" t="s">
        <v>75</v>
      </c>
      <c r="F1188" t="s">
        <v>129</v>
      </c>
      <c r="G1188">
        <v>214</v>
      </c>
      <c r="H1188">
        <v>5</v>
      </c>
      <c r="I1188">
        <v>49.95</v>
      </c>
      <c r="J1188">
        <v>5</v>
      </c>
      <c r="K1188" s="37">
        <v>45650</v>
      </c>
      <c r="L1188" t="s">
        <v>97</v>
      </c>
      <c r="M1188">
        <v>268.5</v>
      </c>
      <c r="N1188">
        <v>23</v>
      </c>
      <c r="O1188" t="str">
        <f>"Q"&amp;ROUNDUP(MONTH(Transactions[[#This Row],[Transaction Date]])/3,0)</f>
        <v>Q4</v>
      </c>
      <c r="P1188">
        <f>YEAR(Transactions[[#This Row],[Transaction Date]])</f>
        <v>2024</v>
      </c>
      <c r="Q1188" t="str">
        <f>IF(Transactions[[#This Row],[Sales Amount]]&lt;AVERAGE(Transactions[Sales Amount]),"Below Average","At/Above Average")</f>
        <v>At/Above Average</v>
      </c>
    </row>
    <row r="1189" spans="4:17" x14ac:dyDescent="0.2">
      <c r="D1189" t="s">
        <v>1279</v>
      </c>
      <c r="E1189" t="s">
        <v>75</v>
      </c>
      <c r="F1189" t="s">
        <v>129</v>
      </c>
      <c r="G1189">
        <v>260</v>
      </c>
      <c r="H1189">
        <v>10</v>
      </c>
      <c r="I1189">
        <v>59.05</v>
      </c>
      <c r="J1189">
        <v>10</v>
      </c>
      <c r="K1189" s="37">
        <v>44935</v>
      </c>
      <c r="L1189" t="s">
        <v>109</v>
      </c>
      <c r="M1189">
        <v>174.52</v>
      </c>
      <c r="N1189">
        <v>12</v>
      </c>
      <c r="O1189" t="str">
        <f>"Q"&amp;ROUNDUP(MONTH(Transactions[[#This Row],[Transaction Date]])/3,0)</f>
        <v>Q1</v>
      </c>
      <c r="P1189">
        <f>YEAR(Transactions[[#This Row],[Transaction Date]])</f>
        <v>2023</v>
      </c>
      <c r="Q1189" t="str">
        <f>IF(Transactions[[#This Row],[Sales Amount]]&lt;AVERAGE(Transactions[Sales Amount]),"Below Average","At/Above Average")</f>
        <v>Below Average</v>
      </c>
    </row>
    <row r="1190" spans="4:17" x14ac:dyDescent="0.2">
      <c r="D1190" t="s">
        <v>1280</v>
      </c>
      <c r="E1190" t="s">
        <v>76</v>
      </c>
      <c r="F1190" t="s">
        <v>105</v>
      </c>
      <c r="G1190">
        <v>166</v>
      </c>
      <c r="H1190">
        <v>10</v>
      </c>
      <c r="I1190">
        <v>53.4</v>
      </c>
      <c r="J1190">
        <v>6</v>
      </c>
      <c r="K1190" s="37">
        <v>44614</v>
      </c>
      <c r="L1190" t="s">
        <v>89</v>
      </c>
      <c r="M1190">
        <v>191.55</v>
      </c>
      <c r="N1190">
        <v>3</v>
      </c>
      <c r="O1190" t="str">
        <f>"Q"&amp;ROUNDUP(MONTH(Transactions[[#This Row],[Transaction Date]])/3,0)</f>
        <v>Q1</v>
      </c>
      <c r="P1190">
        <f>YEAR(Transactions[[#This Row],[Transaction Date]])</f>
        <v>2022</v>
      </c>
      <c r="Q1190" t="str">
        <f>IF(Transactions[[#This Row],[Sales Amount]]&lt;AVERAGE(Transactions[Sales Amount]),"Below Average","At/Above Average")</f>
        <v>Below Average</v>
      </c>
    </row>
    <row r="1191" spans="4:17" x14ac:dyDescent="0.2">
      <c r="D1191" t="s">
        <v>1281</v>
      </c>
      <c r="E1191" t="s">
        <v>78</v>
      </c>
      <c r="F1191" t="s">
        <v>99</v>
      </c>
      <c r="G1191">
        <v>208</v>
      </c>
      <c r="H1191">
        <v>10</v>
      </c>
      <c r="I1191">
        <v>56.67</v>
      </c>
      <c r="J1191">
        <v>4</v>
      </c>
      <c r="K1191" s="37">
        <v>45231</v>
      </c>
      <c r="L1191" t="s">
        <v>97</v>
      </c>
      <c r="M1191">
        <v>106.19</v>
      </c>
      <c r="N1191">
        <v>34</v>
      </c>
      <c r="O1191" t="str">
        <f>"Q"&amp;ROUNDUP(MONTH(Transactions[[#This Row],[Transaction Date]])/3,0)</f>
        <v>Q4</v>
      </c>
      <c r="P1191">
        <f>YEAR(Transactions[[#This Row],[Transaction Date]])</f>
        <v>2023</v>
      </c>
      <c r="Q1191" t="str">
        <f>IF(Transactions[[#This Row],[Sales Amount]]&lt;AVERAGE(Transactions[Sales Amount]),"Below Average","At/Above Average")</f>
        <v>Below Average</v>
      </c>
    </row>
    <row r="1192" spans="4:17" x14ac:dyDescent="0.2">
      <c r="D1192" t="s">
        <v>1282</v>
      </c>
      <c r="E1192" t="s">
        <v>78</v>
      </c>
      <c r="F1192" t="s">
        <v>99</v>
      </c>
      <c r="G1192">
        <v>297</v>
      </c>
      <c r="H1192">
        <v>5</v>
      </c>
      <c r="I1192">
        <v>51.45</v>
      </c>
      <c r="J1192">
        <v>9</v>
      </c>
      <c r="K1192" s="37">
        <v>45391</v>
      </c>
      <c r="L1192" t="s">
        <v>92</v>
      </c>
      <c r="M1192">
        <v>301.7</v>
      </c>
      <c r="N1192">
        <v>36</v>
      </c>
      <c r="O1192" t="str">
        <f>"Q"&amp;ROUNDUP(MONTH(Transactions[[#This Row],[Transaction Date]])/3,0)</f>
        <v>Q2</v>
      </c>
      <c r="P1192">
        <f>YEAR(Transactions[[#This Row],[Transaction Date]])</f>
        <v>2024</v>
      </c>
      <c r="Q1192" t="str">
        <f>IF(Transactions[[#This Row],[Sales Amount]]&lt;AVERAGE(Transactions[Sales Amount]),"Below Average","At/Above Average")</f>
        <v>At/Above Average</v>
      </c>
    </row>
    <row r="1193" spans="4:17" x14ac:dyDescent="0.2">
      <c r="D1193" t="s">
        <v>1283</v>
      </c>
      <c r="E1193" t="s">
        <v>87</v>
      </c>
      <c r="F1193" t="s">
        <v>96</v>
      </c>
      <c r="G1193">
        <v>170</v>
      </c>
      <c r="H1193">
        <v>6</v>
      </c>
      <c r="I1193">
        <v>45.93</v>
      </c>
      <c r="J1193">
        <v>8</v>
      </c>
      <c r="K1193" s="37">
        <v>44875</v>
      </c>
      <c r="L1193" t="s">
        <v>89</v>
      </c>
      <c r="M1193">
        <v>453.75</v>
      </c>
      <c r="N1193">
        <v>9</v>
      </c>
      <c r="O1193" t="str">
        <f>"Q"&amp;ROUNDUP(MONTH(Transactions[[#This Row],[Transaction Date]])/3,0)</f>
        <v>Q4</v>
      </c>
      <c r="P1193">
        <f>YEAR(Transactions[[#This Row],[Transaction Date]])</f>
        <v>2022</v>
      </c>
      <c r="Q1193" t="str">
        <f>IF(Transactions[[#This Row],[Sales Amount]]&lt;AVERAGE(Transactions[Sales Amount]),"Below Average","At/Above Average")</f>
        <v>At/Above Average</v>
      </c>
    </row>
    <row r="1194" spans="4:17" x14ac:dyDescent="0.2">
      <c r="D1194" t="s">
        <v>1284</v>
      </c>
      <c r="E1194" t="s">
        <v>75</v>
      </c>
      <c r="F1194" t="s">
        <v>94</v>
      </c>
      <c r="G1194">
        <v>263</v>
      </c>
      <c r="H1194">
        <v>7</v>
      </c>
      <c r="I1194">
        <v>45.98</v>
      </c>
      <c r="J1194">
        <v>1</v>
      </c>
      <c r="K1194" s="37">
        <v>45142</v>
      </c>
      <c r="L1194" t="s">
        <v>89</v>
      </c>
      <c r="M1194">
        <v>160.1</v>
      </c>
      <c r="N1194">
        <v>20</v>
      </c>
      <c r="O1194" t="str">
        <f>"Q"&amp;ROUNDUP(MONTH(Transactions[[#This Row],[Transaction Date]])/3,0)</f>
        <v>Q3</v>
      </c>
      <c r="P1194">
        <f>YEAR(Transactions[[#This Row],[Transaction Date]])</f>
        <v>2023</v>
      </c>
      <c r="Q1194" t="str">
        <f>IF(Transactions[[#This Row],[Sales Amount]]&lt;AVERAGE(Transactions[Sales Amount]),"Below Average","At/Above Average")</f>
        <v>Below Average</v>
      </c>
    </row>
    <row r="1195" spans="4:17" x14ac:dyDescent="0.2">
      <c r="D1195" t="s">
        <v>1285</v>
      </c>
      <c r="E1195" t="s">
        <v>74</v>
      </c>
      <c r="F1195" t="s">
        <v>96</v>
      </c>
      <c r="G1195">
        <v>112</v>
      </c>
      <c r="H1195">
        <v>9</v>
      </c>
      <c r="I1195">
        <v>47.13</v>
      </c>
      <c r="J1195">
        <v>3</v>
      </c>
      <c r="K1195" s="37">
        <v>45338</v>
      </c>
      <c r="L1195" t="s">
        <v>102</v>
      </c>
      <c r="M1195">
        <v>261.74</v>
      </c>
      <c r="N1195">
        <v>3</v>
      </c>
      <c r="O1195" t="str">
        <f>"Q"&amp;ROUNDUP(MONTH(Transactions[[#This Row],[Transaction Date]])/3,0)</f>
        <v>Q1</v>
      </c>
      <c r="P1195">
        <f>YEAR(Transactions[[#This Row],[Transaction Date]])</f>
        <v>2024</v>
      </c>
      <c r="Q1195" t="str">
        <f>IF(Transactions[[#This Row],[Sales Amount]]&lt;AVERAGE(Transactions[Sales Amount]),"Below Average","At/Above Average")</f>
        <v>At/Above Average</v>
      </c>
    </row>
    <row r="1196" spans="4:17" x14ac:dyDescent="0.2">
      <c r="D1196" t="s">
        <v>1286</v>
      </c>
      <c r="E1196" t="s">
        <v>87</v>
      </c>
      <c r="F1196" t="s">
        <v>99</v>
      </c>
      <c r="G1196">
        <v>291</v>
      </c>
      <c r="H1196">
        <v>5</v>
      </c>
      <c r="I1196">
        <v>53.25</v>
      </c>
      <c r="J1196">
        <v>6</v>
      </c>
      <c r="K1196" s="37">
        <v>45580</v>
      </c>
      <c r="L1196" t="s">
        <v>92</v>
      </c>
      <c r="M1196">
        <v>184.53</v>
      </c>
      <c r="N1196">
        <v>8</v>
      </c>
      <c r="O1196" t="str">
        <f>"Q"&amp;ROUNDUP(MONTH(Transactions[[#This Row],[Transaction Date]])/3,0)</f>
        <v>Q4</v>
      </c>
      <c r="P1196">
        <f>YEAR(Transactions[[#This Row],[Transaction Date]])</f>
        <v>2024</v>
      </c>
      <c r="Q1196" t="str">
        <f>IF(Transactions[[#This Row],[Sales Amount]]&lt;AVERAGE(Transactions[Sales Amount]),"Below Average","At/Above Average")</f>
        <v>Below Average</v>
      </c>
    </row>
    <row r="1197" spans="4:17" x14ac:dyDescent="0.2">
      <c r="D1197" t="s">
        <v>1287</v>
      </c>
      <c r="E1197" t="s">
        <v>74</v>
      </c>
      <c r="F1197" t="s">
        <v>91</v>
      </c>
      <c r="G1197">
        <v>282</v>
      </c>
      <c r="H1197">
        <v>4</v>
      </c>
      <c r="I1197">
        <v>48.14</v>
      </c>
      <c r="J1197">
        <v>9</v>
      </c>
      <c r="K1197" s="37">
        <v>45547</v>
      </c>
      <c r="L1197" t="s">
        <v>97</v>
      </c>
      <c r="M1197">
        <v>112.54</v>
      </c>
      <c r="N1197">
        <v>11</v>
      </c>
      <c r="O1197" t="str">
        <f>"Q"&amp;ROUNDUP(MONTH(Transactions[[#This Row],[Transaction Date]])/3,0)</f>
        <v>Q3</v>
      </c>
      <c r="P1197">
        <f>YEAR(Transactions[[#This Row],[Transaction Date]])</f>
        <v>2024</v>
      </c>
      <c r="Q1197" t="str">
        <f>IF(Transactions[[#This Row],[Sales Amount]]&lt;AVERAGE(Transactions[Sales Amount]),"Below Average","At/Above Average")</f>
        <v>Below Average</v>
      </c>
    </row>
    <row r="1198" spans="4:17" x14ac:dyDescent="0.2">
      <c r="D1198" t="s">
        <v>1288</v>
      </c>
      <c r="E1198" t="s">
        <v>76</v>
      </c>
      <c r="F1198" t="s">
        <v>105</v>
      </c>
      <c r="G1198">
        <v>263</v>
      </c>
      <c r="H1198">
        <v>7</v>
      </c>
      <c r="I1198">
        <v>55.24</v>
      </c>
      <c r="J1198">
        <v>8</v>
      </c>
      <c r="K1198" s="37">
        <v>44790</v>
      </c>
      <c r="L1198" t="s">
        <v>89</v>
      </c>
      <c r="M1198">
        <v>144.83000000000001</v>
      </c>
      <c r="N1198">
        <v>28</v>
      </c>
      <c r="O1198" t="str">
        <f>"Q"&amp;ROUNDUP(MONTH(Transactions[[#This Row],[Transaction Date]])/3,0)</f>
        <v>Q3</v>
      </c>
      <c r="P1198">
        <f>YEAR(Transactions[[#This Row],[Transaction Date]])</f>
        <v>2022</v>
      </c>
      <c r="Q1198" t="str">
        <f>IF(Transactions[[#This Row],[Sales Amount]]&lt;AVERAGE(Transactions[Sales Amount]),"Below Average","At/Above Average")</f>
        <v>Below Average</v>
      </c>
    </row>
    <row r="1199" spans="4:17" x14ac:dyDescent="0.2">
      <c r="D1199" t="s">
        <v>1289</v>
      </c>
      <c r="E1199" t="s">
        <v>78</v>
      </c>
      <c r="F1199" t="s">
        <v>91</v>
      </c>
      <c r="G1199">
        <v>178</v>
      </c>
      <c r="H1199">
        <v>7</v>
      </c>
      <c r="I1199">
        <v>53.74</v>
      </c>
      <c r="J1199">
        <v>10</v>
      </c>
      <c r="K1199" s="37">
        <v>45207</v>
      </c>
      <c r="L1199" t="s">
        <v>92</v>
      </c>
      <c r="M1199">
        <v>244.42</v>
      </c>
      <c r="N1199">
        <v>35</v>
      </c>
      <c r="O1199" t="str">
        <f>"Q"&amp;ROUNDUP(MONTH(Transactions[[#This Row],[Transaction Date]])/3,0)</f>
        <v>Q4</v>
      </c>
      <c r="P1199">
        <f>YEAR(Transactions[[#This Row],[Transaction Date]])</f>
        <v>2023</v>
      </c>
      <c r="Q1199" t="str">
        <f>IF(Transactions[[#This Row],[Sales Amount]]&lt;AVERAGE(Transactions[Sales Amount]),"Below Average","At/Above Average")</f>
        <v>Below Average</v>
      </c>
    </row>
    <row r="1200" spans="4:17" x14ac:dyDescent="0.2">
      <c r="D1200" t="s">
        <v>1290</v>
      </c>
      <c r="E1200" t="s">
        <v>76</v>
      </c>
      <c r="F1200" t="s">
        <v>96</v>
      </c>
      <c r="G1200">
        <v>189</v>
      </c>
      <c r="H1200">
        <v>1</v>
      </c>
      <c r="I1200">
        <v>55.54</v>
      </c>
      <c r="J1200">
        <v>6</v>
      </c>
      <c r="K1200" s="37">
        <v>45435</v>
      </c>
      <c r="L1200" t="s">
        <v>97</v>
      </c>
      <c r="M1200">
        <v>235.27</v>
      </c>
      <c r="N1200">
        <v>7</v>
      </c>
      <c r="O1200" t="str">
        <f>"Q"&amp;ROUNDUP(MONTH(Transactions[[#This Row],[Transaction Date]])/3,0)</f>
        <v>Q2</v>
      </c>
      <c r="P1200">
        <f>YEAR(Transactions[[#This Row],[Transaction Date]])</f>
        <v>2024</v>
      </c>
      <c r="Q1200" t="str">
        <f>IF(Transactions[[#This Row],[Sales Amount]]&lt;AVERAGE(Transactions[Sales Amount]),"Below Average","At/Above Average")</f>
        <v>Below Average</v>
      </c>
    </row>
    <row r="1201" spans="4:17" x14ac:dyDescent="0.2">
      <c r="D1201" t="s">
        <v>1291</v>
      </c>
      <c r="E1201" t="s">
        <v>78</v>
      </c>
      <c r="F1201" t="s">
        <v>91</v>
      </c>
      <c r="G1201">
        <v>259</v>
      </c>
      <c r="H1201">
        <v>7</v>
      </c>
      <c r="I1201">
        <v>48.8</v>
      </c>
      <c r="J1201">
        <v>8</v>
      </c>
      <c r="K1201" s="37">
        <v>45247</v>
      </c>
      <c r="L1201" t="s">
        <v>109</v>
      </c>
      <c r="M1201">
        <v>231.16</v>
      </c>
      <c r="N1201">
        <v>39</v>
      </c>
      <c r="O1201" t="str">
        <f>"Q"&amp;ROUNDUP(MONTH(Transactions[[#This Row],[Transaction Date]])/3,0)</f>
        <v>Q4</v>
      </c>
      <c r="P1201">
        <f>YEAR(Transactions[[#This Row],[Transaction Date]])</f>
        <v>2023</v>
      </c>
      <c r="Q1201" t="str">
        <f>IF(Transactions[[#This Row],[Sales Amount]]&lt;AVERAGE(Transactions[Sales Amount]),"Below Average","At/Above Average")</f>
        <v>Below Average</v>
      </c>
    </row>
    <row r="1202" spans="4:17" x14ac:dyDescent="0.2">
      <c r="D1202" t="s">
        <v>1292</v>
      </c>
      <c r="E1202" t="s">
        <v>74</v>
      </c>
      <c r="F1202" t="s">
        <v>99</v>
      </c>
      <c r="G1202">
        <v>135</v>
      </c>
      <c r="H1202">
        <v>3</v>
      </c>
      <c r="I1202">
        <v>51.61</v>
      </c>
      <c r="J1202">
        <v>5</v>
      </c>
      <c r="K1202" s="37">
        <v>45621</v>
      </c>
      <c r="L1202" t="s">
        <v>102</v>
      </c>
      <c r="M1202">
        <v>346.55</v>
      </c>
      <c r="N1202">
        <v>16</v>
      </c>
      <c r="O1202" t="str">
        <f>"Q"&amp;ROUNDUP(MONTH(Transactions[[#This Row],[Transaction Date]])/3,0)</f>
        <v>Q4</v>
      </c>
      <c r="P1202">
        <f>YEAR(Transactions[[#This Row],[Transaction Date]])</f>
        <v>2024</v>
      </c>
      <c r="Q1202" t="str">
        <f>IF(Transactions[[#This Row],[Sales Amount]]&lt;AVERAGE(Transactions[Sales Amount]),"Below Average","At/Above Average")</f>
        <v>At/Above Average</v>
      </c>
    </row>
    <row r="1203" spans="4:17" x14ac:dyDescent="0.2">
      <c r="D1203" t="s">
        <v>1293</v>
      </c>
      <c r="E1203" t="s">
        <v>75</v>
      </c>
      <c r="F1203" t="s">
        <v>99</v>
      </c>
      <c r="G1203">
        <v>230</v>
      </c>
      <c r="H1203">
        <v>2</v>
      </c>
      <c r="I1203">
        <v>56.76</v>
      </c>
      <c r="J1203">
        <v>1</v>
      </c>
      <c r="K1203" s="37">
        <v>45225</v>
      </c>
      <c r="L1203" t="s">
        <v>109</v>
      </c>
      <c r="M1203">
        <v>320.68</v>
      </c>
      <c r="N1203">
        <v>44</v>
      </c>
      <c r="O1203" t="str">
        <f>"Q"&amp;ROUNDUP(MONTH(Transactions[[#This Row],[Transaction Date]])/3,0)</f>
        <v>Q4</v>
      </c>
      <c r="P1203">
        <f>YEAR(Transactions[[#This Row],[Transaction Date]])</f>
        <v>2023</v>
      </c>
      <c r="Q1203" t="str">
        <f>IF(Transactions[[#This Row],[Sales Amount]]&lt;AVERAGE(Transactions[Sales Amount]),"Below Average","At/Above Average")</f>
        <v>At/Above Average</v>
      </c>
    </row>
    <row r="1204" spans="4:17" x14ac:dyDescent="0.2">
      <c r="D1204" t="s">
        <v>1294</v>
      </c>
      <c r="E1204" t="s">
        <v>75</v>
      </c>
      <c r="F1204" t="s">
        <v>99</v>
      </c>
      <c r="G1204">
        <v>153</v>
      </c>
      <c r="H1204">
        <v>1</v>
      </c>
      <c r="I1204">
        <v>52.8</v>
      </c>
      <c r="J1204">
        <v>7</v>
      </c>
      <c r="K1204" s="37">
        <v>45017</v>
      </c>
      <c r="L1204" t="s">
        <v>89</v>
      </c>
      <c r="M1204">
        <v>120.14</v>
      </c>
      <c r="N1204">
        <v>15</v>
      </c>
      <c r="O1204" t="str">
        <f>"Q"&amp;ROUNDUP(MONTH(Transactions[[#This Row],[Transaction Date]])/3,0)</f>
        <v>Q2</v>
      </c>
      <c r="P1204">
        <f>YEAR(Transactions[[#This Row],[Transaction Date]])</f>
        <v>2023</v>
      </c>
      <c r="Q1204" t="str">
        <f>IF(Transactions[[#This Row],[Sales Amount]]&lt;AVERAGE(Transactions[Sales Amount]),"Below Average","At/Above Average")</f>
        <v>Below Average</v>
      </c>
    </row>
    <row r="1205" spans="4:17" x14ac:dyDescent="0.2">
      <c r="D1205" t="s">
        <v>1295</v>
      </c>
      <c r="E1205" t="s">
        <v>76</v>
      </c>
      <c r="F1205" t="s">
        <v>105</v>
      </c>
      <c r="G1205">
        <v>101</v>
      </c>
      <c r="H1205">
        <v>5</v>
      </c>
      <c r="I1205">
        <v>53.86</v>
      </c>
      <c r="J1205">
        <v>5</v>
      </c>
      <c r="K1205" s="37">
        <v>44941</v>
      </c>
      <c r="L1205" t="s">
        <v>89</v>
      </c>
      <c r="M1205">
        <v>107</v>
      </c>
      <c r="N1205">
        <v>7</v>
      </c>
      <c r="O1205" t="str">
        <f>"Q"&amp;ROUNDUP(MONTH(Transactions[[#This Row],[Transaction Date]])/3,0)</f>
        <v>Q1</v>
      </c>
      <c r="P1205">
        <f>YEAR(Transactions[[#This Row],[Transaction Date]])</f>
        <v>2023</v>
      </c>
      <c r="Q1205" t="str">
        <f>IF(Transactions[[#This Row],[Sales Amount]]&lt;AVERAGE(Transactions[Sales Amount]),"Below Average","At/Above Average")</f>
        <v>Below Average</v>
      </c>
    </row>
    <row r="1206" spans="4:17" x14ac:dyDescent="0.2">
      <c r="D1206" t="s">
        <v>1296</v>
      </c>
      <c r="E1206" t="s">
        <v>74</v>
      </c>
      <c r="F1206" t="s">
        <v>105</v>
      </c>
      <c r="G1206">
        <v>258</v>
      </c>
      <c r="H1206">
        <v>1</v>
      </c>
      <c r="I1206">
        <v>58.7</v>
      </c>
      <c r="J1206">
        <v>8</v>
      </c>
      <c r="K1206" s="37">
        <v>45247</v>
      </c>
      <c r="L1206" t="s">
        <v>124</v>
      </c>
      <c r="M1206">
        <v>22.45</v>
      </c>
      <c r="N1206">
        <v>5</v>
      </c>
      <c r="O1206" t="str">
        <f>"Q"&amp;ROUNDUP(MONTH(Transactions[[#This Row],[Transaction Date]])/3,0)</f>
        <v>Q4</v>
      </c>
      <c r="P1206">
        <f>YEAR(Transactions[[#This Row],[Transaction Date]])</f>
        <v>2023</v>
      </c>
      <c r="Q1206" t="str">
        <f>IF(Transactions[[#This Row],[Sales Amount]]&lt;AVERAGE(Transactions[Sales Amount]),"Below Average","At/Above Average")</f>
        <v>Below Average</v>
      </c>
    </row>
    <row r="1207" spans="4:17" x14ac:dyDescent="0.2">
      <c r="D1207" t="s">
        <v>1297</v>
      </c>
      <c r="E1207" t="s">
        <v>74</v>
      </c>
      <c r="F1207" t="s">
        <v>129</v>
      </c>
      <c r="G1207">
        <v>150</v>
      </c>
      <c r="H1207">
        <v>6</v>
      </c>
      <c r="I1207">
        <v>56.95</v>
      </c>
      <c r="J1207">
        <v>8</v>
      </c>
      <c r="K1207" s="37">
        <v>44770</v>
      </c>
      <c r="L1207" t="s">
        <v>92</v>
      </c>
      <c r="M1207">
        <v>330.26</v>
      </c>
      <c r="N1207">
        <v>17</v>
      </c>
      <c r="O1207" t="str">
        <f>"Q"&amp;ROUNDUP(MONTH(Transactions[[#This Row],[Transaction Date]])/3,0)</f>
        <v>Q3</v>
      </c>
      <c r="P1207">
        <f>YEAR(Transactions[[#This Row],[Transaction Date]])</f>
        <v>2022</v>
      </c>
      <c r="Q1207" t="str">
        <f>IF(Transactions[[#This Row],[Sales Amount]]&lt;AVERAGE(Transactions[Sales Amount]),"Below Average","At/Above Average")</f>
        <v>At/Above Average</v>
      </c>
    </row>
    <row r="1208" spans="4:17" x14ac:dyDescent="0.2">
      <c r="D1208" t="s">
        <v>1298</v>
      </c>
      <c r="E1208" t="s">
        <v>77</v>
      </c>
      <c r="F1208" t="s">
        <v>99</v>
      </c>
      <c r="G1208">
        <v>173</v>
      </c>
      <c r="H1208">
        <v>5</v>
      </c>
      <c r="I1208">
        <v>52.28</v>
      </c>
      <c r="J1208">
        <v>3</v>
      </c>
      <c r="K1208" s="37">
        <v>44926</v>
      </c>
      <c r="L1208" t="s">
        <v>89</v>
      </c>
      <c r="M1208">
        <v>10.33</v>
      </c>
      <c r="N1208">
        <v>22</v>
      </c>
      <c r="O1208" t="str">
        <f>"Q"&amp;ROUNDUP(MONTH(Transactions[[#This Row],[Transaction Date]])/3,0)</f>
        <v>Q4</v>
      </c>
      <c r="P1208">
        <f>YEAR(Transactions[[#This Row],[Transaction Date]])</f>
        <v>2022</v>
      </c>
      <c r="Q1208" t="str">
        <f>IF(Transactions[[#This Row],[Sales Amount]]&lt;AVERAGE(Transactions[Sales Amount]),"Below Average","At/Above Average")</f>
        <v>Below Average</v>
      </c>
    </row>
    <row r="1209" spans="4:17" x14ac:dyDescent="0.2">
      <c r="D1209" t="s">
        <v>1299</v>
      </c>
      <c r="E1209" t="s">
        <v>74</v>
      </c>
      <c r="F1209" t="s">
        <v>88</v>
      </c>
      <c r="G1209">
        <v>226</v>
      </c>
      <c r="H1209">
        <v>1</v>
      </c>
      <c r="I1209">
        <v>56.35</v>
      </c>
      <c r="J1209">
        <v>9</v>
      </c>
      <c r="K1209" s="37">
        <v>44807</v>
      </c>
      <c r="L1209" t="s">
        <v>124</v>
      </c>
      <c r="M1209">
        <v>91.08</v>
      </c>
      <c r="N1209">
        <v>30</v>
      </c>
      <c r="O1209" t="str">
        <f>"Q"&amp;ROUNDUP(MONTH(Transactions[[#This Row],[Transaction Date]])/3,0)</f>
        <v>Q3</v>
      </c>
      <c r="P1209">
        <f>YEAR(Transactions[[#This Row],[Transaction Date]])</f>
        <v>2022</v>
      </c>
      <c r="Q1209" t="str">
        <f>IF(Transactions[[#This Row],[Sales Amount]]&lt;AVERAGE(Transactions[Sales Amount]),"Below Average","At/Above Average")</f>
        <v>Below Average</v>
      </c>
    </row>
    <row r="1210" spans="4:17" x14ac:dyDescent="0.2">
      <c r="D1210" t="s">
        <v>1300</v>
      </c>
      <c r="E1210" t="s">
        <v>75</v>
      </c>
      <c r="F1210" t="s">
        <v>105</v>
      </c>
      <c r="G1210">
        <v>246</v>
      </c>
      <c r="H1210">
        <v>2</v>
      </c>
      <c r="I1210">
        <v>53.57</v>
      </c>
      <c r="J1210">
        <v>10</v>
      </c>
      <c r="K1210" s="37">
        <v>45231</v>
      </c>
      <c r="L1210" t="s">
        <v>109</v>
      </c>
      <c r="M1210">
        <v>487.72</v>
      </c>
      <c r="N1210">
        <v>29</v>
      </c>
      <c r="O1210" t="str">
        <f>"Q"&amp;ROUNDUP(MONTH(Transactions[[#This Row],[Transaction Date]])/3,0)</f>
        <v>Q4</v>
      </c>
      <c r="P1210">
        <f>YEAR(Transactions[[#This Row],[Transaction Date]])</f>
        <v>2023</v>
      </c>
      <c r="Q1210" t="str">
        <f>IF(Transactions[[#This Row],[Sales Amount]]&lt;AVERAGE(Transactions[Sales Amount]),"Below Average","At/Above Average")</f>
        <v>At/Above Average</v>
      </c>
    </row>
    <row r="1211" spans="4:17" x14ac:dyDescent="0.2">
      <c r="D1211" t="s">
        <v>1301</v>
      </c>
      <c r="E1211" t="s">
        <v>77</v>
      </c>
      <c r="F1211" t="s">
        <v>94</v>
      </c>
      <c r="G1211">
        <v>143</v>
      </c>
      <c r="H1211">
        <v>1</v>
      </c>
      <c r="I1211">
        <v>47.37</v>
      </c>
      <c r="J1211">
        <v>7</v>
      </c>
      <c r="K1211" s="37">
        <v>45340</v>
      </c>
      <c r="L1211" t="s">
        <v>92</v>
      </c>
      <c r="M1211">
        <v>384.2</v>
      </c>
      <c r="N1211">
        <v>6</v>
      </c>
      <c r="O1211" t="str">
        <f>"Q"&amp;ROUNDUP(MONTH(Transactions[[#This Row],[Transaction Date]])/3,0)</f>
        <v>Q1</v>
      </c>
      <c r="P1211">
        <f>YEAR(Transactions[[#This Row],[Transaction Date]])</f>
        <v>2024</v>
      </c>
      <c r="Q1211" t="str">
        <f>IF(Transactions[[#This Row],[Sales Amount]]&lt;AVERAGE(Transactions[Sales Amount]),"Below Average","At/Above Average")</f>
        <v>At/Above Average</v>
      </c>
    </row>
    <row r="1212" spans="4:17" x14ac:dyDescent="0.2">
      <c r="D1212" t="s">
        <v>1302</v>
      </c>
      <c r="E1212" t="s">
        <v>87</v>
      </c>
      <c r="F1212" t="s">
        <v>96</v>
      </c>
      <c r="G1212">
        <v>241</v>
      </c>
      <c r="H1212">
        <v>4</v>
      </c>
      <c r="I1212">
        <v>48.29</v>
      </c>
      <c r="J1212">
        <v>7</v>
      </c>
      <c r="K1212" s="37">
        <v>45631</v>
      </c>
      <c r="L1212" t="s">
        <v>97</v>
      </c>
      <c r="M1212">
        <v>322.91000000000003</v>
      </c>
      <c r="N1212">
        <v>25</v>
      </c>
      <c r="O1212" t="str">
        <f>"Q"&amp;ROUNDUP(MONTH(Transactions[[#This Row],[Transaction Date]])/3,0)</f>
        <v>Q4</v>
      </c>
      <c r="P1212">
        <f>YEAR(Transactions[[#This Row],[Transaction Date]])</f>
        <v>2024</v>
      </c>
      <c r="Q1212" t="str">
        <f>IF(Transactions[[#This Row],[Sales Amount]]&lt;AVERAGE(Transactions[Sales Amount]),"Below Average","At/Above Average")</f>
        <v>At/Above Average</v>
      </c>
    </row>
    <row r="1213" spans="4:17" x14ac:dyDescent="0.2">
      <c r="D1213" t="s">
        <v>1303</v>
      </c>
      <c r="E1213" t="s">
        <v>75</v>
      </c>
      <c r="F1213" t="s">
        <v>88</v>
      </c>
      <c r="G1213">
        <v>275</v>
      </c>
      <c r="H1213">
        <v>1</v>
      </c>
      <c r="I1213">
        <v>57.57</v>
      </c>
      <c r="J1213">
        <v>1</v>
      </c>
      <c r="K1213" s="37">
        <v>44818</v>
      </c>
      <c r="L1213" t="s">
        <v>109</v>
      </c>
      <c r="M1213">
        <v>439.98</v>
      </c>
      <c r="N1213">
        <v>32</v>
      </c>
      <c r="O1213" t="str">
        <f>"Q"&amp;ROUNDUP(MONTH(Transactions[[#This Row],[Transaction Date]])/3,0)</f>
        <v>Q3</v>
      </c>
      <c r="P1213">
        <f>YEAR(Transactions[[#This Row],[Transaction Date]])</f>
        <v>2022</v>
      </c>
      <c r="Q1213" t="str">
        <f>IF(Transactions[[#This Row],[Sales Amount]]&lt;AVERAGE(Transactions[Sales Amount]),"Below Average","At/Above Average")</f>
        <v>At/Above Average</v>
      </c>
    </row>
    <row r="1214" spans="4:17" x14ac:dyDescent="0.2">
      <c r="D1214" t="s">
        <v>1304</v>
      </c>
      <c r="E1214" t="s">
        <v>87</v>
      </c>
      <c r="F1214" t="s">
        <v>88</v>
      </c>
      <c r="G1214">
        <v>252</v>
      </c>
      <c r="H1214">
        <v>10</v>
      </c>
      <c r="I1214">
        <v>50.16</v>
      </c>
      <c r="J1214">
        <v>2</v>
      </c>
      <c r="K1214" s="37">
        <v>45060</v>
      </c>
      <c r="L1214" t="s">
        <v>109</v>
      </c>
      <c r="M1214">
        <v>217.79</v>
      </c>
      <c r="N1214">
        <v>47</v>
      </c>
      <c r="O1214" t="str">
        <f>"Q"&amp;ROUNDUP(MONTH(Transactions[[#This Row],[Transaction Date]])/3,0)</f>
        <v>Q2</v>
      </c>
      <c r="P1214">
        <f>YEAR(Transactions[[#This Row],[Transaction Date]])</f>
        <v>2023</v>
      </c>
      <c r="Q1214" t="str">
        <f>IF(Transactions[[#This Row],[Sales Amount]]&lt;AVERAGE(Transactions[Sales Amount]),"Below Average","At/Above Average")</f>
        <v>Below Average</v>
      </c>
    </row>
    <row r="1215" spans="4:17" x14ac:dyDescent="0.2">
      <c r="D1215" t="s">
        <v>1305</v>
      </c>
      <c r="E1215" t="s">
        <v>78</v>
      </c>
      <c r="F1215" t="s">
        <v>94</v>
      </c>
      <c r="G1215">
        <v>262</v>
      </c>
      <c r="H1215">
        <v>5</v>
      </c>
      <c r="I1215">
        <v>52.18</v>
      </c>
      <c r="J1215">
        <v>9</v>
      </c>
      <c r="K1215" s="37">
        <v>44587</v>
      </c>
      <c r="L1215" t="s">
        <v>97</v>
      </c>
      <c r="M1215">
        <v>383.83</v>
      </c>
      <c r="N1215">
        <v>44</v>
      </c>
      <c r="O1215" t="str">
        <f>"Q"&amp;ROUNDUP(MONTH(Transactions[[#This Row],[Transaction Date]])/3,0)</f>
        <v>Q1</v>
      </c>
      <c r="P1215">
        <f>YEAR(Transactions[[#This Row],[Transaction Date]])</f>
        <v>2022</v>
      </c>
      <c r="Q1215" t="str">
        <f>IF(Transactions[[#This Row],[Sales Amount]]&lt;AVERAGE(Transactions[Sales Amount]),"Below Average","At/Above Average")</f>
        <v>At/Above Average</v>
      </c>
    </row>
    <row r="1216" spans="4:17" x14ac:dyDescent="0.2">
      <c r="D1216" t="s">
        <v>1306</v>
      </c>
      <c r="E1216" t="s">
        <v>87</v>
      </c>
      <c r="F1216" t="s">
        <v>88</v>
      </c>
      <c r="G1216">
        <v>113</v>
      </c>
      <c r="H1216">
        <v>9</v>
      </c>
      <c r="I1216">
        <v>54.82</v>
      </c>
      <c r="J1216">
        <v>8</v>
      </c>
      <c r="K1216" s="37">
        <v>45048</v>
      </c>
      <c r="L1216" t="s">
        <v>97</v>
      </c>
      <c r="M1216">
        <v>262.74</v>
      </c>
      <c r="N1216">
        <v>37</v>
      </c>
      <c r="O1216" t="str">
        <f>"Q"&amp;ROUNDUP(MONTH(Transactions[[#This Row],[Transaction Date]])/3,0)</f>
        <v>Q2</v>
      </c>
      <c r="P1216">
        <f>YEAR(Transactions[[#This Row],[Transaction Date]])</f>
        <v>2023</v>
      </c>
      <c r="Q1216" t="str">
        <f>IF(Transactions[[#This Row],[Sales Amount]]&lt;AVERAGE(Transactions[Sales Amount]),"Below Average","At/Above Average")</f>
        <v>At/Above Average</v>
      </c>
    </row>
    <row r="1217" spans="4:17" x14ac:dyDescent="0.2">
      <c r="D1217" t="s">
        <v>1307</v>
      </c>
      <c r="E1217" t="s">
        <v>78</v>
      </c>
      <c r="F1217" t="s">
        <v>88</v>
      </c>
      <c r="G1217">
        <v>120</v>
      </c>
      <c r="H1217">
        <v>9</v>
      </c>
      <c r="I1217">
        <v>54.33</v>
      </c>
      <c r="J1217">
        <v>9</v>
      </c>
      <c r="K1217" s="37">
        <v>45385</v>
      </c>
      <c r="L1217" t="s">
        <v>102</v>
      </c>
      <c r="M1217">
        <v>493.6</v>
      </c>
      <c r="N1217">
        <v>12</v>
      </c>
      <c r="O1217" t="str">
        <f>"Q"&amp;ROUNDUP(MONTH(Transactions[[#This Row],[Transaction Date]])/3,0)</f>
        <v>Q2</v>
      </c>
      <c r="P1217">
        <f>YEAR(Transactions[[#This Row],[Transaction Date]])</f>
        <v>2024</v>
      </c>
      <c r="Q1217" t="str">
        <f>IF(Transactions[[#This Row],[Sales Amount]]&lt;AVERAGE(Transactions[Sales Amount]),"Below Average","At/Above Average")</f>
        <v>At/Above Average</v>
      </c>
    </row>
    <row r="1218" spans="4:17" x14ac:dyDescent="0.2">
      <c r="D1218" t="s">
        <v>1308</v>
      </c>
      <c r="E1218" t="s">
        <v>74</v>
      </c>
      <c r="F1218" t="s">
        <v>105</v>
      </c>
      <c r="G1218">
        <v>170</v>
      </c>
      <c r="H1218">
        <v>1</v>
      </c>
      <c r="I1218">
        <v>55.53</v>
      </c>
      <c r="J1218">
        <v>2</v>
      </c>
      <c r="K1218" s="37">
        <v>44615</v>
      </c>
      <c r="L1218" t="s">
        <v>89</v>
      </c>
      <c r="M1218">
        <v>41.29</v>
      </c>
      <c r="N1218">
        <v>15</v>
      </c>
      <c r="O1218" t="str">
        <f>"Q"&amp;ROUNDUP(MONTH(Transactions[[#This Row],[Transaction Date]])/3,0)</f>
        <v>Q1</v>
      </c>
      <c r="P1218">
        <f>YEAR(Transactions[[#This Row],[Transaction Date]])</f>
        <v>2022</v>
      </c>
      <c r="Q1218" t="str">
        <f>IF(Transactions[[#This Row],[Sales Amount]]&lt;AVERAGE(Transactions[Sales Amount]),"Below Average","At/Above Average")</f>
        <v>Below Average</v>
      </c>
    </row>
    <row r="1219" spans="4:17" x14ac:dyDescent="0.2">
      <c r="D1219" t="s">
        <v>1309</v>
      </c>
      <c r="E1219" t="s">
        <v>75</v>
      </c>
      <c r="F1219" t="s">
        <v>94</v>
      </c>
      <c r="G1219">
        <v>167</v>
      </c>
      <c r="H1219">
        <v>3</v>
      </c>
      <c r="I1219">
        <v>59.21</v>
      </c>
      <c r="J1219">
        <v>7</v>
      </c>
      <c r="K1219" s="37">
        <v>44709</v>
      </c>
      <c r="L1219" t="s">
        <v>92</v>
      </c>
      <c r="M1219">
        <v>357.6</v>
      </c>
      <c r="N1219">
        <v>25</v>
      </c>
      <c r="O1219" t="str">
        <f>"Q"&amp;ROUNDUP(MONTH(Transactions[[#This Row],[Transaction Date]])/3,0)</f>
        <v>Q2</v>
      </c>
      <c r="P1219">
        <f>YEAR(Transactions[[#This Row],[Transaction Date]])</f>
        <v>2022</v>
      </c>
      <c r="Q1219" t="str">
        <f>IF(Transactions[[#This Row],[Sales Amount]]&lt;AVERAGE(Transactions[Sales Amount]),"Below Average","At/Above Average")</f>
        <v>At/Above Average</v>
      </c>
    </row>
    <row r="1220" spans="4:17" x14ac:dyDescent="0.2">
      <c r="D1220" t="s">
        <v>1310</v>
      </c>
      <c r="E1220" t="s">
        <v>87</v>
      </c>
      <c r="F1220" t="s">
        <v>129</v>
      </c>
      <c r="G1220">
        <v>207</v>
      </c>
      <c r="H1220">
        <v>10</v>
      </c>
      <c r="I1220">
        <v>57.99</v>
      </c>
      <c r="J1220">
        <v>2</v>
      </c>
      <c r="K1220" s="37">
        <v>45405</v>
      </c>
      <c r="L1220" t="s">
        <v>124</v>
      </c>
      <c r="M1220">
        <v>273.18</v>
      </c>
      <c r="N1220">
        <v>30</v>
      </c>
      <c r="O1220" t="str">
        <f>"Q"&amp;ROUNDUP(MONTH(Transactions[[#This Row],[Transaction Date]])/3,0)</f>
        <v>Q2</v>
      </c>
      <c r="P1220">
        <f>YEAR(Transactions[[#This Row],[Transaction Date]])</f>
        <v>2024</v>
      </c>
      <c r="Q1220" t="str">
        <f>IF(Transactions[[#This Row],[Sales Amount]]&lt;AVERAGE(Transactions[Sales Amount]),"Below Average","At/Above Average")</f>
        <v>At/Above Average</v>
      </c>
    </row>
    <row r="1221" spans="4:17" x14ac:dyDescent="0.2">
      <c r="D1221" t="s">
        <v>1311</v>
      </c>
      <c r="E1221" t="s">
        <v>75</v>
      </c>
      <c r="F1221" t="s">
        <v>91</v>
      </c>
      <c r="G1221">
        <v>112</v>
      </c>
      <c r="H1221">
        <v>8</v>
      </c>
      <c r="I1221">
        <v>57.53</v>
      </c>
      <c r="J1221">
        <v>4</v>
      </c>
      <c r="K1221" s="37">
        <v>44931</v>
      </c>
      <c r="L1221" t="s">
        <v>92</v>
      </c>
      <c r="M1221">
        <v>336.49</v>
      </c>
      <c r="N1221">
        <v>19</v>
      </c>
      <c r="O1221" t="str">
        <f>"Q"&amp;ROUNDUP(MONTH(Transactions[[#This Row],[Transaction Date]])/3,0)</f>
        <v>Q1</v>
      </c>
      <c r="P1221">
        <f>YEAR(Transactions[[#This Row],[Transaction Date]])</f>
        <v>2023</v>
      </c>
      <c r="Q1221" t="str">
        <f>IF(Transactions[[#This Row],[Sales Amount]]&lt;AVERAGE(Transactions[Sales Amount]),"Below Average","At/Above Average")</f>
        <v>At/Above Average</v>
      </c>
    </row>
    <row r="1222" spans="4:17" x14ac:dyDescent="0.2">
      <c r="D1222" t="s">
        <v>1312</v>
      </c>
      <c r="E1222" t="s">
        <v>87</v>
      </c>
      <c r="F1222" t="s">
        <v>91</v>
      </c>
      <c r="G1222">
        <v>145</v>
      </c>
      <c r="H1222">
        <v>6</v>
      </c>
      <c r="I1222">
        <v>58.13</v>
      </c>
      <c r="J1222">
        <v>6</v>
      </c>
      <c r="K1222" s="37">
        <v>44664</v>
      </c>
      <c r="L1222" t="s">
        <v>89</v>
      </c>
      <c r="M1222">
        <v>47.67</v>
      </c>
      <c r="N1222">
        <v>16</v>
      </c>
      <c r="O1222" t="str">
        <f>"Q"&amp;ROUNDUP(MONTH(Transactions[[#This Row],[Transaction Date]])/3,0)</f>
        <v>Q2</v>
      </c>
      <c r="P1222">
        <f>YEAR(Transactions[[#This Row],[Transaction Date]])</f>
        <v>2022</v>
      </c>
      <c r="Q1222" t="str">
        <f>IF(Transactions[[#This Row],[Sales Amount]]&lt;AVERAGE(Transactions[Sales Amount]),"Below Average","At/Above Average")</f>
        <v>Below Average</v>
      </c>
    </row>
    <row r="1223" spans="4:17" x14ac:dyDescent="0.2">
      <c r="D1223" t="s">
        <v>1313</v>
      </c>
      <c r="E1223" t="s">
        <v>75</v>
      </c>
      <c r="F1223" t="s">
        <v>105</v>
      </c>
      <c r="G1223">
        <v>215</v>
      </c>
      <c r="H1223">
        <v>5</v>
      </c>
      <c r="I1223">
        <v>57.57</v>
      </c>
      <c r="J1223">
        <v>9</v>
      </c>
      <c r="K1223" s="37">
        <v>45306</v>
      </c>
      <c r="L1223" t="s">
        <v>92</v>
      </c>
      <c r="M1223">
        <v>463.64</v>
      </c>
      <c r="N1223">
        <v>26</v>
      </c>
      <c r="O1223" t="str">
        <f>"Q"&amp;ROUNDUP(MONTH(Transactions[[#This Row],[Transaction Date]])/3,0)</f>
        <v>Q1</v>
      </c>
      <c r="P1223">
        <f>YEAR(Transactions[[#This Row],[Transaction Date]])</f>
        <v>2024</v>
      </c>
      <c r="Q1223" t="str">
        <f>IF(Transactions[[#This Row],[Sales Amount]]&lt;AVERAGE(Transactions[Sales Amount]),"Below Average","At/Above Average")</f>
        <v>At/Above Average</v>
      </c>
    </row>
    <row r="1224" spans="4:17" x14ac:dyDescent="0.2">
      <c r="D1224" t="s">
        <v>1314</v>
      </c>
      <c r="E1224" t="s">
        <v>78</v>
      </c>
      <c r="F1224" t="s">
        <v>88</v>
      </c>
      <c r="G1224">
        <v>284</v>
      </c>
      <c r="H1224">
        <v>1</v>
      </c>
      <c r="I1224">
        <v>53.3</v>
      </c>
      <c r="J1224">
        <v>5</v>
      </c>
      <c r="K1224" s="37">
        <v>45547</v>
      </c>
      <c r="L1224" t="s">
        <v>124</v>
      </c>
      <c r="M1224">
        <v>430.07</v>
      </c>
      <c r="N1224">
        <v>44</v>
      </c>
      <c r="O1224" t="str">
        <f>"Q"&amp;ROUNDUP(MONTH(Transactions[[#This Row],[Transaction Date]])/3,0)</f>
        <v>Q3</v>
      </c>
      <c r="P1224">
        <f>YEAR(Transactions[[#This Row],[Transaction Date]])</f>
        <v>2024</v>
      </c>
      <c r="Q1224" t="str">
        <f>IF(Transactions[[#This Row],[Sales Amount]]&lt;AVERAGE(Transactions[Sales Amount]),"Below Average","At/Above Average")</f>
        <v>At/Above Average</v>
      </c>
    </row>
    <row r="1225" spans="4:17" x14ac:dyDescent="0.2">
      <c r="D1225" t="s">
        <v>1315</v>
      </c>
      <c r="E1225" t="s">
        <v>78</v>
      </c>
      <c r="F1225" t="s">
        <v>108</v>
      </c>
      <c r="G1225">
        <v>127</v>
      </c>
      <c r="H1225">
        <v>9</v>
      </c>
      <c r="I1225">
        <v>59.42</v>
      </c>
      <c r="J1225">
        <v>9</v>
      </c>
      <c r="K1225" s="37">
        <v>44622</v>
      </c>
      <c r="L1225" t="s">
        <v>124</v>
      </c>
      <c r="M1225">
        <v>203.31</v>
      </c>
      <c r="N1225">
        <v>11</v>
      </c>
      <c r="O1225" t="str">
        <f>"Q"&amp;ROUNDUP(MONTH(Transactions[[#This Row],[Transaction Date]])/3,0)</f>
        <v>Q1</v>
      </c>
      <c r="P1225">
        <f>YEAR(Transactions[[#This Row],[Transaction Date]])</f>
        <v>2022</v>
      </c>
      <c r="Q1225" t="str">
        <f>IF(Transactions[[#This Row],[Sales Amount]]&lt;AVERAGE(Transactions[Sales Amount]),"Below Average","At/Above Average")</f>
        <v>Below Average</v>
      </c>
    </row>
    <row r="1226" spans="4:17" x14ac:dyDescent="0.2">
      <c r="D1226" t="s">
        <v>1316</v>
      </c>
      <c r="E1226" t="s">
        <v>74</v>
      </c>
      <c r="F1226" t="s">
        <v>108</v>
      </c>
      <c r="G1226">
        <v>248</v>
      </c>
      <c r="H1226">
        <v>10</v>
      </c>
      <c r="I1226">
        <v>57.31</v>
      </c>
      <c r="J1226">
        <v>10</v>
      </c>
      <c r="K1226" s="37">
        <v>45019</v>
      </c>
      <c r="L1226" t="s">
        <v>109</v>
      </c>
      <c r="M1226">
        <v>188.17</v>
      </c>
      <c r="N1226">
        <v>27</v>
      </c>
      <c r="O1226" t="str">
        <f>"Q"&amp;ROUNDUP(MONTH(Transactions[[#This Row],[Transaction Date]])/3,0)</f>
        <v>Q2</v>
      </c>
      <c r="P1226">
        <f>YEAR(Transactions[[#This Row],[Transaction Date]])</f>
        <v>2023</v>
      </c>
      <c r="Q1226" t="str">
        <f>IF(Transactions[[#This Row],[Sales Amount]]&lt;AVERAGE(Transactions[Sales Amount]),"Below Average","At/Above Average")</f>
        <v>Below Average</v>
      </c>
    </row>
    <row r="1227" spans="4:17" x14ac:dyDescent="0.2">
      <c r="D1227" t="s">
        <v>1317</v>
      </c>
      <c r="E1227" t="s">
        <v>87</v>
      </c>
      <c r="F1227" t="s">
        <v>129</v>
      </c>
      <c r="G1227">
        <v>203</v>
      </c>
      <c r="H1227">
        <v>1</v>
      </c>
      <c r="I1227">
        <v>58.54</v>
      </c>
      <c r="J1227">
        <v>2</v>
      </c>
      <c r="K1227" s="37">
        <v>44672</v>
      </c>
      <c r="L1227" t="s">
        <v>102</v>
      </c>
      <c r="M1227">
        <v>450.39</v>
      </c>
      <c r="N1227">
        <v>43</v>
      </c>
      <c r="O1227" t="str">
        <f>"Q"&amp;ROUNDUP(MONTH(Transactions[[#This Row],[Transaction Date]])/3,0)</f>
        <v>Q2</v>
      </c>
      <c r="P1227">
        <f>YEAR(Transactions[[#This Row],[Transaction Date]])</f>
        <v>2022</v>
      </c>
      <c r="Q1227" t="str">
        <f>IF(Transactions[[#This Row],[Sales Amount]]&lt;AVERAGE(Transactions[Sales Amount]),"Below Average","At/Above Average")</f>
        <v>At/Above Average</v>
      </c>
    </row>
    <row r="1228" spans="4:17" x14ac:dyDescent="0.2">
      <c r="D1228" t="s">
        <v>1318</v>
      </c>
      <c r="E1228" t="s">
        <v>76</v>
      </c>
      <c r="F1228" t="s">
        <v>88</v>
      </c>
      <c r="G1228">
        <v>240</v>
      </c>
      <c r="H1228">
        <v>8</v>
      </c>
      <c r="I1228">
        <v>54.64</v>
      </c>
      <c r="J1228">
        <v>10</v>
      </c>
      <c r="K1228" s="37">
        <v>45361</v>
      </c>
      <c r="L1228" t="s">
        <v>89</v>
      </c>
      <c r="M1228">
        <v>434.74</v>
      </c>
      <c r="N1228">
        <v>7</v>
      </c>
      <c r="O1228" t="str">
        <f>"Q"&amp;ROUNDUP(MONTH(Transactions[[#This Row],[Transaction Date]])/3,0)</f>
        <v>Q1</v>
      </c>
      <c r="P1228">
        <f>YEAR(Transactions[[#This Row],[Transaction Date]])</f>
        <v>2024</v>
      </c>
      <c r="Q1228" t="str">
        <f>IF(Transactions[[#This Row],[Sales Amount]]&lt;AVERAGE(Transactions[Sales Amount]),"Below Average","At/Above Average")</f>
        <v>At/Above Average</v>
      </c>
    </row>
    <row r="1229" spans="4:17" x14ac:dyDescent="0.2">
      <c r="D1229" t="s">
        <v>1319</v>
      </c>
      <c r="E1229" t="s">
        <v>74</v>
      </c>
      <c r="F1229" t="s">
        <v>129</v>
      </c>
      <c r="G1229">
        <v>114</v>
      </c>
      <c r="H1229">
        <v>10</v>
      </c>
      <c r="I1229">
        <v>58.35</v>
      </c>
      <c r="J1229">
        <v>8</v>
      </c>
      <c r="K1229" s="37">
        <v>45205</v>
      </c>
      <c r="L1229" t="s">
        <v>102</v>
      </c>
      <c r="M1229">
        <v>455.25</v>
      </c>
      <c r="N1229">
        <v>37</v>
      </c>
      <c r="O1229" t="str">
        <f>"Q"&amp;ROUNDUP(MONTH(Transactions[[#This Row],[Transaction Date]])/3,0)</f>
        <v>Q4</v>
      </c>
      <c r="P1229">
        <f>YEAR(Transactions[[#This Row],[Transaction Date]])</f>
        <v>2023</v>
      </c>
      <c r="Q1229" t="str">
        <f>IF(Transactions[[#This Row],[Sales Amount]]&lt;AVERAGE(Transactions[Sales Amount]),"Below Average","At/Above Average")</f>
        <v>At/Above Average</v>
      </c>
    </row>
    <row r="1230" spans="4:17" x14ac:dyDescent="0.2">
      <c r="D1230" t="s">
        <v>1320</v>
      </c>
      <c r="E1230" t="s">
        <v>87</v>
      </c>
      <c r="F1230" t="s">
        <v>96</v>
      </c>
      <c r="G1230">
        <v>189</v>
      </c>
      <c r="H1230">
        <v>3</v>
      </c>
      <c r="I1230">
        <v>51.95</v>
      </c>
      <c r="J1230">
        <v>6</v>
      </c>
      <c r="K1230" s="37">
        <v>45304</v>
      </c>
      <c r="L1230" t="s">
        <v>97</v>
      </c>
      <c r="M1230">
        <v>139.72</v>
      </c>
      <c r="N1230">
        <v>12</v>
      </c>
      <c r="O1230" t="str">
        <f>"Q"&amp;ROUNDUP(MONTH(Transactions[[#This Row],[Transaction Date]])/3,0)</f>
        <v>Q1</v>
      </c>
      <c r="P1230">
        <f>YEAR(Transactions[[#This Row],[Transaction Date]])</f>
        <v>2024</v>
      </c>
      <c r="Q1230" t="str">
        <f>IF(Transactions[[#This Row],[Sales Amount]]&lt;AVERAGE(Transactions[Sales Amount]),"Below Average","At/Above Average")</f>
        <v>Below Average</v>
      </c>
    </row>
    <row r="1231" spans="4:17" x14ac:dyDescent="0.2">
      <c r="D1231" t="s">
        <v>1321</v>
      </c>
      <c r="E1231" t="s">
        <v>87</v>
      </c>
      <c r="F1231" t="s">
        <v>91</v>
      </c>
      <c r="G1231">
        <v>224</v>
      </c>
      <c r="H1231">
        <v>7</v>
      </c>
      <c r="I1231">
        <v>59.23</v>
      </c>
      <c r="J1231">
        <v>8</v>
      </c>
      <c r="K1231" s="37">
        <v>45069</v>
      </c>
      <c r="L1231" t="s">
        <v>97</v>
      </c>
      <c r="M1231">
        <v>51.79</v>
      </c>
      <c r="N1231">
        <v>44</v>
      </c>
      <c r="O1231" t="str">
        <f>"Q"&amp;ROUNDUP(MONTH(Transactions[[#This Row],[Transaction Date]])/3,0)</f>
        <v>Q2</v>
      </c>
      <c r="P1231">
        <f>YEAR(Transactions[[#This Row],[Transaction Date]])</f>
        <v>2023</v>
      </c>
      <c r="Q1231" t="str">
        <f>IF(Transactions[[#This Row],[Sales Amount]]&lt;AVERAGE(Transactions[Sales Amount]),"Below Average","At/Above Average")</f>
        <v>Below Average</v>
      </c>
    </row>
    <row r="1232" spans="4:17" x14ac:dyDescent="0.2">
      <c r="D1232" t="s">
        <v>1322</v>
      </c>
      <c r="E1232" t="s">
        <v>77</v>
      </c>
      <c r="F1232" t="s">
        <v>105</v>
      </c>
      <c r="G1232">
        <v>227</v>
      </c>
      <c r="H1232">
        <v>3</v>
      </c>
      <c r="I1232">
        <v>52.44</v>
      </c>
      <c r="J1232">
        <v>10</v>
      </c>
      <c r="K1232" s="37">
        <v>45625</v>
      </c>
      <c r="L1232" t="s">
        <v>102</v>
      </c>
      <c r="M1232">
        <v>441.82</v>
      </c>
      <c r="N1232">
        <v>48</v>
      </c>
      <c r="O1232" t="str">
        <f>"Q"&amp;ROUNDUP(MONTH(Transactions[[#This Row],[Transaction Date]])/3,0)</f>
        <v>Q4</v>
      </c>
      <c r="P1232">
        <f>YEAR(Transactions[[#This Row],[Transaction Date]])</f>
        <v>2024</v>
      </c>
      <c r="Q1232" t="str">
        <f>IF(Transactions[[#This Row],[Sales Amount]]&lt;AVERAGE(Transactions[Sales Amount]),"Below Average","At/Above Average")</f>
        <v>At/Above Average</v>
      </c>
    </row>
    <row r="1233" spans="4:17" x14ac:dyDescent="0.2">
      <c r="D1233" t="s">
        <v>1323</v>
      </c>
      <c r="E1233" t="s">
        <v>78</v>
      </c>
      <c r="F1233" t="s">
        <v>91</v>
      </c>
      <c r="G1233">
        <v>273</v>
      </c>
      <c r="H1233">
        <v>5</v>
      </c>
      <c r="I1233">
        <v>53.56</v>
      </c>
      <c r="J1233">
        <v>7</v>
      </c>
      <c r="K1233" s="37">
        <v>44990</v>
      </c>
      <c r="L1233" t="s">
        <v>124</v>
      </c>
      <c r="M1233">
        <v>198.62</v>
      </c>
      <c r="N1233">
        <v>30</v>
      </c>
      <c r="O1233" t="str">
        <f>"Q"&amp;ROUNDUP(MONTH(Transactions[[#This Row],[Transaction Date]])/3,0)</f>
        <v>Q1</v>
      </c>
      <c r="P1233">
        <f>YEAR(Transactions[[#This Row],[Transaction Date]])</f>
        <v>2023</v>
      </c>
      <c r="Q1233" t="str">
        <f>IF(Transactions[[#This Row],[Sales Amount]]&lt;AVERAGE(Transactions[Sales Amount]),"Below Average","At/Above Average")</f>
        <v>Below Average</v>
      </c>
    </row>
    <row r="1234" spans="4:17" x14ac:dyDescent="0.2">
      <c r="D1234" t="s">
        <v>1324</v>
      </c>
      <c r="E1234" t="s">
        <v>76</v>
      </c>
      <c r="F1234" t="s">
        <v>94</v>
      </c>
      <c r="G1234">
        <v>145</v>
      </c>
      <c r="H1234">
        <v>2</v>
      </c>
      <c r="I1234">
        <v>52.11</v>
      </c>
      <c r="J1234">
        <v>2</v>
      </c>
      <c r="K1234" s="37">
        <v>45104</v>
      </c>
      <c r="L1234" t="s">
        <v>124</v>
      </c>
      <c r="M1234">
        <v>147.38999999999999</v>
      </c>
      <c r="N1234">
        <v>5</v>
      </c>
      <c r="O1234" t="str">
        <f>"Q"&amp;ROUNDUP(MONTH(Transactions[[#This Row],[Transaction Date]])/3,0)</f>
        <v>Q2</v>
      </c>
      <c r="P1234">
        <f>YEAR(Transactions[[#This Row],[Transaction Date]])</f>
        <v>2023</v>
      </c>
      <c r="Q1234" t="str">
        <f>IF(Transactions[[#This Row],[Sales Amount]]&lt;AVERAGE(Transactions[Sales Amount]),"Below Average","At/Above Average")</f>
        <v>Below Average</v>
      </c>
    </row>
    <row r="1235" spans="4:17" x14ac:dyDescent="0.2">
      <c r="D1235" t="s">
        <v>1325</v>
      </c>
      <c r="E1235" t="s">
        <v>75</v>
      </c>
      <c r="F1235" t="s">
        <v>108</v>
      </c>
      <c r="G1235">
        <v>190</v>
      </c>
      <c r="H1235">
        <v>1</v>
      </c>
      <c r="I1235">
        <v>58.69</v>
      </c>
      <c r="J1235">
        <v>2</v>
      </c>
      <c r="K1235" s="37">
        <v>45570</v>
      </c>
      <c r="L1235" t="s">
        <v>92</v>
      </c>
      <c r="M1235">
        <v>34.71</v>
      </c>
      <c r="N1235">
        <v>16</v>
      </c>
      <c r="O1235" t="str">
        <f>"Q"&amp;ROUNDUP(MONTH(Transactions[[#This Row],[Transaction Date]])/3,0)</f>
        <v>Q4</v>
      </c>
      <c r="P1235">
        <f>YEAR(Transactions[[#This Row],[Transaction Date]])</f>
        <v>2024</v>
      </c>
      <c r="Q1235" t="str">
        <f>IF(Transactions[[#This Row],[Sales Amount]]&lt;AVERAGE(Transactions[Sales Amount]),"Below Average","At/Above Average")</f>
        <v>Below Average</v>
      </c>
    </row>
    <row r="1236" spans="4:17" x14ac:dyDescent="0.2">
      <c r="D1236" t="s">
        <v>1326</v>
      </c>
      <c r="E1236" t="s">
        <v>78</v>
      </c>
      <c r="F1236" t="s">
        <v>105</v>
      </c>
      <c r="G1236">
        <v>174</v>
      </c>
      <c r="H1236">
        <v>5</v>
      </c>
      <c r="I1236">
        <v>54.06</v>
      </c>
      <c r="J1236">
        <v>1</v>
      </c>
      <c r="K1236" s="37">
        <v>45403</v>
      </c>
      <c r="L1236" t="s">
        <v>89</v>
      </c>
      <c r="M1236">
        <v>387.7</v>
      </c>
      <c r="N1236">
        <v>17</v>
      </c>
      <c r="O1236" t="str">
        <f>"Q"&amp;ROUNDUP(MONTH(Transactions[[#This Row],[Transaction Date]])/3,0)</f>
        <v>Q2</v>
      </c>
      <c r="P1236">
        <f>YEAR(Transactions[[#This Row],[Transaction Date]])</f>
        <v>2024</v>
      </c>
      <c r="Q1236" t="str">
        <f>IF(Transactions[[#This Row],[Sales Amount]]&lt;AVERAGE(Transactions[Sales Amount]),"Below Average","At/Above Average")</f>
        <v>At/Above Average</v>
      </c>
    </row>
    <row r="1237" spans="4:17" x14ac:dyDescent="0.2">
      <c r="D1237" t="s">
        <v>1327</v>
      </c>
      <c r="E1237" t="s">
        <v>87</v>
      </c>
      <c r="F1237" t="s">
        <v>88</v>
      </c>
      <c r="G1237">
        <v>215</v>
      </c>
      <c r="H1237">
        <v>4</v>
      </c>
      <c r="I1237">
        <v>57.41</v>
      </c>
      <c r="J1237">
        <v>9</v>
      </c>
      <c r="K1237" s="37">
        <v>44907</v>
      </c>
      <c r="L1237" t="s">
        <v>89</v>
      </c>
      <c r="M1237">
        <v>424.15</v>
      </c>
      <c r="N1237">
        <v>26</v>
      </c>
      <c r="O1237" t="str">
        <f>"Q"&amp;ROUNDUP(MONTH(Transactions[[#This Row],[Transaction Date]])/3,0)</f>
        <v>Q4</v>
      </c>
      <c r="P1237">
        <f>YEAR(Transactions[[#This Row],[Transaction Date]])</f>
        <v>2022</v>
      </c>
      <c r="Q1237" t="str">
        <f>IF(Transactions[[#This Row],[Sales Amount]]&lt;AVERAGE(Transactions[Sales Amount]),"Below Average","At/Above Average")</f>
        <v>At/Above Average</v>
      </c>
    </row>
    <row r="1238" spans="4:17" x14ac:dyDescent="0.2">
      <c r="D1238" t="s">
        <v>1328</v>
      </c>
      <c r="E1238" t="s">
        <v>76</v>
      </c>
      <c r="F1238" t="s">
        <v>96</v>
      </c>
      <c r="G1238">
        <v>230</v>
      </c>
      <c r="H1238">
        <v>8</v>
      </c>
      <c r="I1238">
        <v>56.52</v>
      </c>
      <c r="J1238">
        <v>9</v>
      </c>
      <c r="K1238" s="37">
        <v>45433</v>
      </c>
      <c r="L1238" t="s">
        <v>102</v>
      </c>
      <c r="M1238">
        <v>189.72</v>
      </c>
      <c r="N1238">
        <v>34</v>
      </c>
      <c r="O1238" t="str">
        <f>"Q"&amp;ROUNDUP(MONTH(Transactions[[#This Row],[Transaction Date]])/3,0)</f>
        <v>Q2</v>
      </c>
      <c r="P1238">
        <f>YEAR(Transactions[[#This Row],[Transaction Date]])</f>
        <v>2024</v>
      </c>
      <c r="Q1238" t="str">
        <f>IF(Transactions[[#This Row],[Sales Amount]]&lt;AVERAGE(Transactions[Sales Amount]),"Below Average","At/Above Average")</f>
        <v>Below Average</v>
      </c>
    </row>
    <row r="1239" spans="4:17" x14ac:dyDescent="0.2">
      <c r="D1239" t="s">
        <v>1329</v>
      </c>
      <c r="E1239" t="s">
        <v>76</v>
      </c>
      <c r="F1239" t="s">
        <v>108</v>
      </c>
      <c r="G1239">
        <v>136</v>
      </c>
      <c r="H1239">
        <v>8</v>
      </c>
      <c r="I1239">
        <v>49.54</v>
      </c>
      <c r="J1239">
        <v>10</v>
      </c>
      <c r="K1239" s="37">
        <v>45312</v>
      </c>
      <c r="L1239" t="s">
        <v>102</v>
      </c>
      <c r="M1239">
        <v>356.66</v>
      </c>
      <c r="N1239">
        <v>16</v>
      </c>
      <c r="O1239" t="str">
        <f>"Q"&amp;ROUNDUP(MONTH(Transactions[[#This Row],[Transaction Date]])/3,0)</f>
        <v>Q1</v>
      </c>
      <c r="P1239">
        <f>YEAR(Transactions[[#This Row],[Transaction Date]])</f>
        <v>2024</v>
      </c>
      <c r="Q1239" t="str">
        <f>IF(Transactions[[#This Row],[Sales Amount]]&lt;AVERAGE(Transactions[Sales Amount]),"Below Average","At/Above Average")</f>
        <v>At/Above Average</v>
      </c>
    </row>
    <row r="1240" spans="4:17" x14ac:dyDescent="0.2">
      <c r="D1240" t="s">
        <v>1330</v>
      </c>
      <c r="E1240" t="s">
        <v>78</v>
      </c>
      <c r="F1240" t="s">
        <v>105</v>
      </c>
      <c r="G1240">
        <v>258</v>
      </c>
      <c r="H1240">
        <v>7</v>
      </c>
      <c r="I1240">
        <v>46.83</v>
      </c>
      <c r="J1240">
        <v>5</v>
      </c>
      <c r="K1240" s="37">
        <v>45030</v>
      </c>
      <c r="L1240" t="s">
        <v>124</v>
      </c>
      <c r="M1240">
        <v>159.46</v>
      </c>
      <c r="N1240">
        <v>2</v>
      </c>
      <c r="O1240" t="str">
        <f>"Q"&amp;ROUNDUP(MONTH(Transactions[[#This Row],[Transaction Date]])/3,0)</f>
        <v>Q2</v>
      </c>
      <c r="P1240">
        <f>YEAR(Transactions[[#This Row],[Transaction Date]])</f>
        <v>2023</v>
      </c>
      <c r="Q1240" t="str">
        <f>IF(Transactions[[#This Row],[Sales Amount]]&lt;AVERAGE(Transactions[Sales Amount]),"Below Average","At/Above Average")</f>
        <v>Below Average</v>
      </c>
    </row>
    <row r="1241" spans="4:17" x14ac:dyDescent="0.2">
      <c r="D1241" t="s">
        <v>1331</v>
      </c>
      <c r="E1241" t="s">
        <v>75</v>
      </c>
      <c r="F1241" t="s">
        <v>99</v>
      </c>
      <c r="G1241">
        <v>119</v>
      </c>
      <c r="H1241">
        <v>8</v>
      </c>
      <c r="I1241">
        <v>48.89</v>
      </c>
      <c r="J1241">
        <v>8</v>
      </c>
      <c r="K1241" s="37">
        <v>44953</v>
      </c>
      <c r="L1241" t="s">
        <v>109</v>
      </c>
      <c r="M1241">
        <v>439.33</v>
      </c>
      <c r="N1241">
        <v>24</v>
      </c>
      <c r="O1241" t="str">
        <f>"Q"&amp;ROUNDUP(MONTH(Transactions[[#This Row],[Transaction Date]])/3,0)</f>
        <v>Q1</v>
      </c>
      <c r="P1241">
        <f>YEAR(Transactions[[#This Row],[Transaction Date]])</f>
        <v>2023</v>
      </c>
      <c r="Q1241" t="str">
        <f>IF(Transactions[[#This Row],[Sales Amount]]&lt;AVERAGE(Transactions[Sales Amount]),"Below Average","At/Above Average")</f>
        <v>At/Above Average</v>
      </c>
    </row>
    <row r="1242" spans="4:17" x14ac:dyDescent="0.2">
      <c r="D1242" t="s">
        <v>1332</v>
      </c>
      <c r="E1242" t="s">
        <v>74</v>
      </c>
      <c r="F1242" t="s">
        <v>96</v>
      </c>
      <c r="G1242">
        <v>226</v>
      </c>
      <c r="H1242">
        <v>9</v>
      </c>
      <c r="I1242">
        <v>57.48</v>
      </c>
      <c r="J1242">
        <v>3</v>
      </c>
      <c r="K1242" s="37">
        <v>44670</v>
      </c>
      <c r="L1242" t="s">
        <v>109</v>
      </c>
      <c r="M1242">
        <v>453.01</v>
      </c>
      <c r="N1242">
        <v>32</v>
      </c>
      <c r="O1242" t="str">
        <f>"Q"&amp;ROUNDUP(MONTH(Transactions[[#This Row],[Transaction Date]])/3,0)</f>
        <v>Q2</v>
      </c>
      <c r="P1242">
        <f>YEAR(Transactions[[#This Row],[Transaction Date]])</f>
        <v>2022</v>
      </c>
      <c r="Q1242" t="str">
        <f>IF(Transactions[[#This Row],[Sales Amount]]&lt;AVERAGE(Transactions[Sales Amount]),"Below Average","At/Above Average")</f>
        <v>At/Above Average</v>
      </c>
    </row>
    <row r="1243" spans="4:17" x14ac:dyDescent="0.2">
      <c r="D1243" t="s">
        <v>1333</v>
      </c>
      <c r="E1243" t="s">
        <v>75</v>
      </c>
      <c r="F1243" t="s">
        <v>99</v>
      </c>
      <c r="G1243">
        <v>151</v>
      </c>
      <c r="H1243">
        <v>6</v>
      </c>
      <c r="I1243">
        <v>56.68</v>
      </c>
      <c r="J1243">
        <v>9</v>
      </c>
      <c r="K1243" s="37">
        <v>45515</v>
      </c>
      <c r="L1243" t="s">
        <v>124</v>
      </c>
      <c r="M1243">
        <v>238.7</v>
      </c>
      <c r="N1243">
        <v>42</v>
      </c>
      <c r="O1243" t="str">
        <f>"Q"&amp;ROUNDUP(MONTH(Transactions[[#This Row],[Transaction Date]])/3,0)</f>
        <v>Q3</v>
      </c>
      <c r="P1243">
        <f>YEAR(Transactions[[#This Row],[Transaction Date]])</f>
        <v>2024</v>
      </c>
      <c r="Q1243" t="str">
        <f>IF(Transactions[[#This Row],[Sales Amount]]&lt;AVERAGE(Transactions[Sales Amount]),"Below Average","At/Above Average")</f>
        <v>Below Average</v>
      </c>
    </row>
    <row r="1244" spans="4:17" x14ac:dyDescent="0.2">
      <c r="D1244" t="s">
        <v>1334</v>
      </c>
      <c r="E1244" t="s">
        <v>75</v>
      </c>
      <c r="F1244" t="s">
        <v>108</v>
      </c>
      <c r="G1244">
        <v>157</v>
      </c>
      <c r="H1244">
        <v>2</v>
      </c>
      <c r="I1244">
        <v>47.31</v>
      </c>
      <c r="J1244">
        <v>1</v>
      </c>
      <c r="K1244" s="37">
        <v>44787</v>
      </c>
      <c r="L1244" t="s">
        <v>109</v>
      </c>
      <c r="M1244">
        <v>296.70999999999998</v>
      </c>
      <c r="N1244">
        <v>46</v>
      </c>
      <c r="O1244" t="str">
        <f>"Q"&amp;ROUNDUP(MONTH(Transactions[[#This Row],[Transaction Date]])/3,0)</f>
        <v>Q3</v>
      </c>
      <c r="P1244">
        <f>YEAR(Transactions[[#This Row],[Transaction Date]])</f>
        <v>2022</v>
      </c>
      <c r="Q1244" t="str">
        <f>IF(Transactions[[#This Row],[Sales Amount]]&lt;AVERAGE(Transactions[Sales Amount]),"Below Average","At/Above Average")</f>
        <v>At/Above Average</v>
      </c>
    </row>
    <row r="1245" spans="4:17" x14ac:dyDescent="0.2">
      <c r="D1245" t="s">
        <v>1335</v>
      </c>
      <c r="E1245" t="s">
        <v>87</v>
      </c>
      <c r="F1245" t="s">
        <v>99</v>
      </c>
      <c r="G1245">
        <v>156</v>
      </c>
      <c r="H1245">
        <v>8</v>
      </c>
      <c r="I1245">
        <v>51.41</v>
      </c>
      <c r="J1245">
        <v>8</v>
      </c>
      <c r="K1245" s="37">
        <v>45336</v>
      </c>
      <c r="L1245" t="s">
        <v>89</v>
      </c>
      <c r="M1245">
        <v>147.65</v>
      </c>
      <c r="N1245">
        <v>32</v>
      </c>
      <c r="O1245" t="str">
        <f>"Q"&amp;ROUNDUP(MONTH(Transactions[[#This Row],[Transaction Date]])/3,0)</f>
        <v>Q1</v>
      </c>
      <c r="P1245">
        <f>YEAR(Transactions[[#This Row],[Transaction Date]])</f>
        <v>2024</v>
      </c>
      <c r="Q1245" t="str">
        <f>IF(Transactions[[#This Row],[Sales Amount]]&lt;AVERAGE(Transactions[Sales Amount]),"Below Average","At/Above Average")</f>
        <v>Below Average</v>
      </c>
    </row>
    <row r="1246" spans="4:17" x14ac:dyDescent="0.2">
      <c r="D1246" t="s">
        <v>1336</v>
      </c>
      <c r="E1246" t="s">
        <v>76</v>
      </c>
      <c r="F1246" t="s">
        <v>105</v>
      </c>
      <c r="G1246">
        <v>136</v>
      </c>
      <c r="H1246">
        <v>3</v>
      </c>
      <c r="I1246">
        <v>54.87</v>
      </c>
      <c r="J1246">
        <v>6</v>
      </c>
      <c r="K1246" s="37">
        <v>44878</v>
      </c>
      <c r="L1246" t="s">
        <v>109</v>
      </c>
      <c r="M1246">
        <v>455.48</v>
      </c>
      <c r="N1246">
        <v>46</v>
      </c>
      <c r="O1246" t="str">
        <f>"Q"&amp;ROUNDUP(MONTH(Transactions[[#This Row],[Transaction Date]])/3,0)</f>
        <v>Q4</v>
      </c>
      <c r="P1246">
        <f>YEAR(Transactions[[#This Row],[Transaction Date]])</f>
        <v>2022</v>
      </c>
      <c r="Q1246" t="str">
        <f>IF(Transactions[[#This Row],[Sales Amount]]&lt;AVERAGE(Transactions[Sales Amount]),"Below Average","At/Above Average")</f>
        <v>At/Above Average</v>
      </c>
    </row>
    <row r="1247" spans="4:17" x14ac:dyDescent="0.2">
      <c r="D1247" t="s">
        <v>1337</v>
      </c>
      <c r="E1247" t="s">
        <v>77</v>
      </c>
      <c r="F1247" t="s">
        <v>108</v>
      </c>
      <c r="G1247">
        <v>232</v>
      </c>
      <c r="H1247">
        <v>1</v>
      </c>
      <c r="I1247">
        <v>50.84</v>
      </c>
      <c r="J1247">
        <v>6</v>
      </c>
      <c r="K1247" s="37">
        <v>44634</v>
      </c>
      <c r="L1247" t="s">
        <v>102</v>
      </c>
      <c r="M1247">
        <v>50.52</v>
      </c>
      <c r="N1247">
        <v>5</v>
      </c>
      <c r="O1247" t="str">
        <f>"Q"&amp;ROUNDUP(MONTH(Transactions[[#This Row],[Transaction Date]])/3,0)</f>
        <v>Q1</v>
      </c>
      <c r="P1247">
        <f>YEAR(Transactions[[#This Row],[Transaction Date]])</f>
        <v>2022</v>
      </c>
      <c r="Q1247" t="str">
        <f>IF(Transactions[[#This Row],[Sales Amount]]&lt;AVERAGE(Transactions[Sales Amount]),"Below Average","At/Above Average")</f>
        <v>Below Average</v>
      </c>
    </row>
    <row r="1248" spans="4:17" x14ac:dyDescent="0.2">
      <c r="D1248" t="s">
        <v>1338</v>
      </c>
      <c r="E1248" t="s">
        <v>87</v>
      </c>
      <c r="F1248" t="s">
        <v>129</v>
      </c>
      <c r="G1248">
        <v>215</v>
      </c>
      <c r="H1248">
        <v>6</v>
      </c>
      <c r="I1248">
        <v>56.03</v>
      </c>
      <c r="J1248">
        <v>7</v>
      </c>
      <c r="K1248" s="37">
        <v>44587</v>
      </c>
      <c r="L1248" t="s">
        <v>109</v>
      </c>
      <c r="M1248">
        <v>351.34</v>
      </c>
      <c r="N1248">
        <v>30</v>
      </c>
      <c r="O1248" t="str">
        <f>"Q"&amp;ROUNDUP(MONTH(Transactions[[#This Row],[Transaction Date]])/3,0)</f>
        <v>Q1</v>
      </c>
      <c r="P1248">
        <f>YEAR(Transactions[[#This Row],[Transaction Date]])</f>
        <v>2022</v>
      </c>
      <c r="Q1248" t="str">
        <f>IF(Transactions[[#This Row],[Sales Amount]]&lt;AVERAGE(Transactions[Sales Amount]),"Below Average","At/Above Average")</f>
        <v>At/Above Average</v>
      </c>
    </row>
    <row r="1249" spans="4:17" x14ac:dyDescent="0.2">
      <c r="D1249" t="s">
        <v>1339</v>
      </c>
      <c r="E1249" t="s">
        <v>75</v>
      </c>
      <c r="F1249" t="s">
        <v>99</v>
      </c>
      <c r="G1249">
        <v>101</v>
      </c>
      <c r="H1249">
        <v>8</v>
      </c>
      <c r="I1249">
        <v>56.93</v>
      </c>
      <c r="J1249">
        <v>3</v>
      </c>
      <c r="K1249" s="37">
        <v>45253</v>
      </c>
      <c r="L1249" t="s">
        <v>124</v>
      </c>
      <c r="M1249">
        <v>119.85</v>
      </c>
      <c r="N1249">
        <v>49</v>
      </c>
      <c r="O1249" t="str">
        <f>"Q"&amp;ROUNDUP(MONTH(Transactions[[#This Row],[Transaction Date]])/3,0)</f>
        <v>Q4</v>
      </c>
      <c r="P1249">
        <f>YEAR(Transactions[[#This Row],[Transaction Date]])</f>
        <v>2023</v>
      </c>
      <c r="Q1249" t="str">
        <f>IF(Transactions[[#This Row],[Sales Amount]]&lt;AVERAGE(Transactions[Sales Amount]),"Below Average","At/Above Average")</f>
        <v>Below Average</v>
      </c>
    </row>
    <row r="1250" spans="4:17" x14ac:dyDescent="0.2">
      <c r="D1250" t="s">
        <v>1340</v>
      </c>
      <c r="E1250" t="s">
        <v>78</v>
      </c>
      <c r="F1250" t="s">
        <v>105</v>
      </c>
      <c r="G1250">
        <v>249</v>
      </c>
      <c r="H1250">
        <v>10</v>
      </c>
      <c r="I1250">
        <v>47.02</v>
      </c>
      <c r="J1250">
        <v>8</v>
      </c>
      <c r="K1250" s="37">
        <v>44759</v>
      </c>
      <c r="L1250" t="s">
        <v>97</v>
      </c>
      <c r="M1250">
        <v>402.26</v>
      </c>
      <c r="N1250">
        <v>25</v>
      </c>
      <c r="O1250" t="str">
        <f>"Q"&amp;ROUNDUP(MONTH(Transactions[[#This Row],[Transaction Date]])/3,0)</f>
        <v>Q3</v>
      </c>
      <c r="P1250">
        <f>YEAR(Transactions[[#This Row],[Transaction Date]])</f>
        <v>2022</v>
      </c>
      <c r="Q1250" t="str">
        <f>IF(Transactions[[#This Row],[Sales Amount]]&lt;AVERAGE(Transactions[Sales Amount]),"Below Average","At/Above Average")</f>
        <v>At/Above Average</v>
      </c>
    </row>
    <row r="1251" spans="4:17" x14ac:dyDescent="0.2">
      <c r="D1251" t="s">
        <v>1341</v>
      </c>
      <c r="E1251" t="s">
        <v>76</v>
      </c>
      <c r="F1251" t="s">
        <v>91</v>
      </c>
      <c r="G1251">
        <v>135</v>
      </c>
      <c r="H1251">
        <v>8</v>
      </c>
      <c r="I1251">
        <v>48.73</v>
      </c>
      <c r="J1251">
        <v>5</v>
      </c>
      <c r="K1251" s="37">
        <v>45308</v>
      </c>
      <c r="L1251" t="s">
        <v>97</v>
      </c>
      <c r="M1251">
        <v>44.27</v>
      </c>
      <c r="N1251">
        <v>14</v>
      </c>
      <c r="O1251" t="str">
        <f>"Q"&amp;ROUNDUP(MONTH(Transactions[[#This Row],[Transaction Date]])/3,0)</f>
        <v>Q1</v>
      </c>
      <c r="P1251">
        <f>YEAR(Transactions[[#This Row],[Transaction Date]])</f>
        <v>2024</v>
      </c>
      <c r="Q1251" t="str">
        <f>IF(Transactions[[#This Row],[Sales Amount]]&lt;AVERAGE(Transactions[Sales Amount]),"Below Average","At/Above Average")</f>
        <v>Below Average</v>
      </c>
    </row>
    <row r="1252" spans="4:17" x14ac:dyDescent="0.2">
      <c r="D1252" t="s">
        <v>1342</v>
      </c>
      <c r="E1252" t="s">
        <v>87</v>
      </c>
      <c r="F1252" t="s">
        <v>99</v>
      </c>
      <c r="G1252">
        <v>279</v>
      </c>
      <c r="H1252">
        <v>8</v>
      </c>
      <c r="I1252">
        <v>59.68</v>
      </c>
      <c r="J1252">
        <v>2</v>
      </c>
      <c r="K1252" s="37">
        <v>45322</v>
      </c>
      <c r="L1252" t="s">
        <v>97</v>
      </c>
      <c r="M1252">
        <v>418.59</v>
      </c>
      <c r="N1252">
        <v>31</v>
      </c>
      <c r="O1252" t="str">
        <f>"Q"&amp;ROUNDUP(MONTH(Transactions[[#This Row],[Transaction Date]])/3,0)</f>
        <v>Q1</v>
      </c>
      <c r="P1252">
        <f>YEAR(Transactions[[#This Row],[Transaction Date]])</f>
        <v>2024</v>
      </c>
      <c r="Q1252" t="str">
        <f>IF(Transactions[[#This Row],[Sales Amount]]&lt;AVERAGE(Transactions[Sales Amount]),"Below Average","At/Above Average")</f>
        <v>At/Above Average</v>
      </c>
    </row>
    <row r="1253" spans="4:17" x14ac:dyDescent="0.2">
      <c r="D1253" t="s">
        <v>1343</v>
      </c>
      <c r="E1253" t="s">
        <v>78</v>
      </c>
      <c r="F1253" t="s">
        <v>88</v>
      </c>
      <c r="G1253">
        <v>136</v>
      </c>
      <c r="H1253">
        <v>1</v>
      </c>
      <c r="I1253">
        <v>55.94</v>
      </c>
      <c r="J1253">
        <v>7</v>
      </c>
      <c r="K1253" s="37">
        <v>44813</v>
      </c>
      <c r="L1253" t="s">
        <v>124</v>
      </c>
      <c r="M1253">
        <v>494.55</v>
      </c>
      <c r="N1253">
        <v>42</v>
      </c>
      <c r="O1253" t="str">
        <f>"Q"&amp;ROUNDUP(MONTH(Transactions[[#This Row],[Transaction Date]])/3,0)</f>
        <v>Q3</v>
      </c>
      <c r="P1253">
        <f>YEAR(Transactions[[#This Row],[Transaction Date]])</f>
        <v>2022</v>
      </c>
      <c r="Q1253" t="str">
        <f>IF(Transactions[[#This Row],[Sales Amount]]&lt;AVERAGE(Transactions[Sales Amount]),"Below Average","At/Above Average")</f>
        <v>At/Above Average</v>
      </c>
    </row>
    <row r="1254" spans="4:17" x14ac:dyDescent="0.2">
      <c r="D1254" t="s">
        <v>1344</v>
      </c>
      <c r="E1254" t="s">
        <v>76</v>
      </c>
      <c r="F1254" t="s">
        <v>91</v>
      </c>
      <c r="G1254">
        <v>262</v>
      </c>
      <c r="H1254">
        <v>7</v>
      </c>
      <c r="I1254">
        <v>56.23</v>
      </c>
      <c r="J1254">
        <v>2</v>
      </c>
      <c r="K1254" s="37">
        <v>45229</v>
      </c>
      <c r="L1254" t="s">
        <v>97</v>
      </c>
      <c r="M1254">
        <v>327.45</v>
      </c>
      <c r="N1254">
        <v>34</v>
      </c>
      <c r="O1254" t="str">
        <f>"Q"&amp;ROUNDUP(MONTH(Transactions[[#This Row],[Transaction Date]])/3,0)</f>
        <v>Q4</v>
      </c>
      <c r="P1254">
        <f>YEAR(Transactions[[#This Row],[Transaction Date]])</f>
        <v>2023</v>
      </c>
      <c r="Q1254" t="str">
        <f>IF(Transactions[[#This Row],[Sales Amount]]&lt;AVERAGE(Transactions[Sales Amount]),"Below Average","At/Above Average")</f>
        <v>At/Above Average</v>
      </c>
    </row>
    <row r="1255" spans="4:17" x14ac:dyDescent="0.2">
      <c r="D1255" t="s">
        <v>1345</v>
      </c>
      <c r="E1255" t="s">
        <v>74</v>
      </c>
      <c r="F1255" t="s">
        <v>129</v>
      </c>
      <c r="G1255">
        <v>116</v>
      </c>
      <c r="H1255">
        <v>3</v>
      </c>
      <c r="I1255">
        <v>55.84</v>
      </c>
      <c r="J1255">
        <v>4</v>
      </c>
      <c r="K1255" s="37">
        <v>44625</v>
      </c>
      <c r="L1255" t="s">
        <v>102</v>
      </c>
      <c r="M1255">
        <v>164.43</v>
      </c>
      <c r="N1255">
        <v>28</v>
      </c>
      <c r="O1255" t="str">
        <f>"Q"&amp;ROUNDUP(MONTH(Transactions[[#This Row],[Transaction Date]])/3,0)</f>
        <v>Q1</v>
      </c>
      <c r="P1255">
        <f>YEAR(Transactions[[#This Row],[Transaction Date]])</f>
        <v>2022</v>
      </c>
      <c r="Q1255" t="str">
        <f>IF(Transactions[[#This Row],[Sales Amount]]&lt;AVERAGE(Transactions[Sales Amount]),"Below Average","At/Above Average")</f>
        <v>Below Average</v>
      </c>
    </row>
    <row r="1256" spans="4:17" x14ac:dyDescent="0.2">
      <c r="D1256" t="s">
        <v>1346</v>
      </c>
      <c r="E1256" t="s">
        <v>76</v>
      </c>
      <c r="F1256" t="s">
        <v>91</v>
      </c>
      <c r="G1256">
        <v>181</v>
      </c>
      <c r="H1256">
        <v>10</v>
      </c>
      <c r="I1256">
        <v>45.15</v>
      </c>
      <c r="J1256">
        <v>4</v>
      </c>
      <c r="K1256" s="37">
        <v>45405</v>
      </c>
      <c r="L1256" t="s">
        <v>102</v>
      </c>
      <c r="M1256">
        <v>147.66</v>
      </c>
      <c r="N1256">
        <v>1</v>
      </c>
      <c r="O1256" t="str">
        <f>"Q"&amp;ROUNDUP(MONTH(Transactions[[#This Row],[Transaction Date]])/3,0)</f>
        <v>Q2</v>
      </c>
      <c r="P1256">
        <f>YEAR(Transactions[[#This Row],[Transaction Date]])</f>
        <v>2024</v>
      </c>
      <c r="Q1256" t="str">
        <f>IF(Transactions[[#This Row],[Sales Amount]]&lt;AVERAGE(Transactions[Sales Amount]),"Below Average","At/Above Average")</f>
        <v>Below Average</v>
      </c>
    </row>
    <row r="1257" spans="4:17" x14ac:dyDescent="0.2">
      <c r="D1257" t="s">
        <v>1347</v>
      </c>
      <c r="E1257" t="s">
        <v>87</v>
      </c>
      <c r="F1257" t="s">
        <v>108</v>
      </c>
      <c r="G1257">
        <v>139</v>
      </c>
      <c r="H1257">
        <v>7</v>
      </c>
      <c r="I1257">
        <v>50.29</v>
      </c>
      <c r="J1257">
        <v>1</v>
      </c>
      <c r="K1257" s="37">
        <v>45160</v>
      </c>
      <c r="L1257" t="s">
        <v>89</v>
      </c>
      <c r="M1257">
        <v>12.97</v>
      </c>
      <c r="N1257">
        <v>39</v>
      </c>
      <c r="O1257" t="str">
        <f>"Q"&amp;ROUNDUP(MONTH(Transactions[[#This Row],[Transaction Date]])/3,0)</f>
        <v>Q3</v>
      </c>
      <c r="P1257">
        <f>YEAR(Transactions[[#This Row],[Transaction Date]])</f>
        <v>2023</v>
      </c>
      <c r="Q1257" t="str">
        <f>IF(Transactions[[#This Row],[Sales Amount]]&lt;AVERAGE(Transactions[Sales Amount]),"Below Average","At/Above Average")</f>
        <v>Below Average</v>
      </c>
    </row>
    <row r="1258" spans="4:17" x14ac:dyDescent="0.2">
      <c r="D1258" t="s">
        <v>1348</v>
      </c>
      <c r="E1258" t="s">
        <v>87</v>
      </c>
      <c r="F1258" t="s">
        <v>88</v>
      </c>
      <c r="G1258">
        <v>172</v>
      </c>
      <c r="H1258">
        <v>7</v>
      </c>
      <c r="I1258">
        <v>51.31</v>
      </c>
      <c r="J1258">
        <v>6</v>
      </c>
      <c r="K1258" s="37">
        <v>45047</v>
      </c>
      <c r="L1258" t="s">
        <v>124</v>
      </c>
      <c r="M1258">
        <v>214.98</v>
      </c>
      <c r="N1258">
        <v>40</v>
      </c>
      <c r="O1258" t="str">
        <f>"Q"&amp;ROUNDUP(MONTH(Transactions[[#This Row],[Transaction Date]])/3,0)</f>
        <v>Q2</v>
      </c>
      <c r="P1258">
        <f>YEAR(Transactions[[#This Row],[Transaction Date]])</f>
        <v>2023</v>
      </c>
      <c r="Q1258" t="str">
        <f>IF(Transactions[[#This Row],[Sales Amount]]&lt;AVERAGE(Transactions[Sales Amount]),"Below Average","At/Above Average")</f>
        <v>Below Average</v>
      </c>
    </row>
    <row r="1259" spans="4:17" x14ac:dyDescent="0.2">
      <c r="D1259" t="s">
        <v>1349</v>
      </c>
      <c r="E1259" t="s">
        <v>75</v>
      </c>
      <c r="F1259" t="s">
        <v>99</v>
      </c>
      <c r="G1259">
        <v>193</v>
      </c>
      <c r="H1259">
        <v>3</v>
      </c>
      <c r="I1259">
        <v>45.24</v>
      </c>
      <c r="J1259">
        <v>3</v>
      </c>
      <c r="K1259" s="37">
        <v>45136</v>
      </c>
      <c r="L1259" t="s">
        <v>89</v>
      </c>
      <c r="M1259">
        <v>32.06</v>
      </c>
      <c r="N1259">
        <v>19</v>
      </c>
      <c r="O1259" t="str">
        <f>"Q"&amp;ROUNDUP(MONTH(Transactions[[#This Row],[Transaction Date]])/3,0)</f>
        <v>Q3</v>
      </c>
      <c r="P1259">
        <f>YEAR(Transactions[[#This Row],[Transaction Date]])</f>
        <v>2023</v>
      </c>
      <c r="Q1259" t="str">
        <f>IF(Transactions[[#This Row],[Sales Amount]]&lt;AVERAGE(Transactions[Sales Amount]),"Below Average","At/Above Average")</f>
        <v>Below Average</v>
      </c>
    </row>
    <row r="1260" spans="4:17" x14ac:dyDescent="0.2">
      <c r="D1260" t="s">
        <v>1350</v>
      </c>
      <c r="E1260" t="s">
        <v>76</v>
      </c>
      <c r="F1260" t="s">
        <v>99</v>
      </c>
      <c r="G1260">
        <v>243</v>
      </c>
      <c r="H1260">
        <v>8</v>
      </c>
      <c r="I1260">
        <v>54.35</v>
      </c>
      <c r="J1260">
        <v>4</v>
      </c>
      <c r="K1260" s="37">
        <v>45053</v>
      </c>
      <c r="L1260" t="s">
        <v>109</v>
      </c>
      <c r="M1260">
        <v>31.18</v>
      </c>
      <c r="N1260">
        <v>25</v>
      </c>
      <c r="O1260" t="str">
        <f>"Q"&amp;ROUNDUP(MONTH(Transactions[[#This Row],[Transaction Date]])/3,0)</f>
        <v>Q2</v>
      </c>
      <c r="P1260">
        <f>YEAR(Transactions[[#This Row],[Transaction Date]])</f>
        <v>2023</v>
      </c>
      <c r="Q1260" t="str">
        <f>IF(Transactions[[#This Row],[Sales Amount]]&lt;AVERAGE(Transactions[Sales Amount]),"Below Average","At/Above Average")</f>
        <v>Below Average</v>
      </c>
    </row>
    <row r="1261" spans="4:17" x14ac:dyDescent="0.2">
      <c r="D1261" t="s">
        <v>1351</v>
      </c>
      <c r="E1261" t="s">
        <v>77</v>
      </c>
      <c r="F1261" t="s">
        <v>108</v>
      </c>
      <c r="G1261">
        <v>270</v>
      </c>
      <c r="H1261">
        <v>4</v>
      </c>
      <c r="I1261">
        <v>48.29</v>
      </c>
      <c r="J1261">
        <v>8</v>
      </c>
      <c r="K1261" s="37">
        <v>45482</v>
      </c>
      <c r="L1261" t="s">
        <v>92</v>
      </c>
      <c r="M1261">
        <v>252.78</v>
      </c>
      <c r="N1261">
        <v>25</v>
      </c>
      <c r="O1261" t="str">
        <f>"Q"&amp;ROUNDUP(MONTH(Transactions[[#This Row],[Transaction Date]])/3,0)</f>
        <v>Q3</v>
      </c>
      <c r="P1261">
        <f>YEAR(Transactions[[#This Row],[Transaction Date]])</f>
        <v>2024</v>
      </c>
      <c r="Q1261" t="str">
        <f>IF(Transactions[[#This Row],[Sales Amount]]&lt;AVERAGE(Transactions[Sales Amount]),"Below Average","At/Above Average")</f>
        <v>Below Average</v>
      </c>
    </row>
    <row r="1262" spans="4:17" x14ac:dyDescent="0.2">
      <c r="D1262" t="s">
        <v>1352</v>
      </c>
      <c r="E1262" t="s">
        <v>87</v>
      </c>
      <c r="F1262" t="s">
        <v>108</v>
      </c>
      <c r="G1262">
        <v>109</v>
      </c>
      <c r="H1262">
        <v>4</v>
      </c>
      <c r="I1262">
        <v>45.5</v>
      </c>
      <c r="J1262">
        <v>3</v>
      </c>
      <c r="K1262" s="37">
        <v>45544</v>
      </c>
      <c r="L1262" t="s">
        <v>124</v>
      </c>
      <c r="M1262">
        <v>395.6</v>
      </c>
      <c r="N1262">
        <v>6</v>
      </c>
      <c r="O1262" t="str">
        <f>"Q"&amp;ROUNDUP(MONTH(Transactions[[#This Row],[Transaction Date]])/3,0)</f>
        <v>Q3</v>
      </c>
      <c r="P1262">
        <f>YEAR(Transactions[[#This Row],[Transaction Date]])</f>
        <v>2024</v>
      </c>
      <c r="Q1262" t="str">
        <f>IF(Transactions[[#This Row],[Sales Amount]]&lt;AVERAGE(Transactions[Sales Amount]),"Below Average","At/Above Average")</f>
        <v>At/Above Average</v>
      </c>
    </row>
    <row r="1263" spans="4:17" x14ac:dyDescent="0.2">
      <c r="D1263" t="s">
        <v>1353</v>
      </c>
      <c r="E1263" t="s">
        <v>76</v>
      </c>
      <c r="F1263" t="s">
        <v>88</v>
      </c>
      <c r="G1263">
        <v>169</v>
      </c>
      <c r="H1263">
        <v>7</v>
      </c>
      <c r="I1263">
        <v>51.1</v>
      </c>
      <c r="J1263">
        <v>5</v>
      </c>
      <c r="K1263" s="37">
        <v>44933</v>
      </c>
      <c r="L1263" t="s">
        <v>109</v>
      </c>
      <c r="M1263">
        <v>348.37</v>
      </c>
      <c r="N1263">
        <v>37</v>
      </c>
      <c r="O1263" t="str">
        <f>"Q"&amp;ROUNDUP(MONTH(Transactions[[#This Row],[Transaction Date]])/3,0)</f>
        <v>Q1</v>
      </c>
      <c r="P1263">
        <f>YEAR(Transactions[[#This Row],[Transaction Date]])</f>
        <v>2023</v>
      </c>
      <c r="Q1263" t="str">
        <f>IF(Transactions[[#This Row],[Sales Amount]]&lt;AVERAGE(Transactions[Sales Amount]),"Below Average","At/Above Average")</f>
        <v>At/Above Average</v>
      </c>
    </row>
    <row r="1264" spans="4:17" x14ac:dyDescent="0.2">
      <c r="D1264" t="s">
        <v>1354</v>
      </c>
      <c r="E1264" t="s">
        <v>76</v>
      </c>
      <c r="F1264" t="s">
        <v>94</v>
      </c>
      <c r="G1264">
        <v>101</v>
      </c>
      <c r="H1264">
        <v>9</v>
      </c>
      <c r="I1264">
        <v>52.83</v>
      </c>
      <c r="J1264">
        <v>7</v>
      </c>
      <c r="K1264" s="37">
        <v>45330</v>
      </c>
      <c r="L1264" t="s">
        <v>89</v>
      </c>
      <c r="M1264">
        <v>87.07</v>
      </c>
      <c r="N1264">
        <v>12</v>
      </c>
      <c r="O1264" t="str">
        <f>"Q"&amp;ROUNDUP(MONTH(Transactions[[#This Row],[Transaction Date]])/3,0)</f>
        <v>Q1</v>
      </c>
      <c r="P1264">
        <f>YEAR(Transactions[[#This Row],[Transaction Date]])</f>
        <v>2024</v>
      </c>
      <c r="Q1264" t="str">
        <f>IF(Transactions[[#This Row],[Sales Amount]]&lt;AVERAGE(Transactions[Sales Amount]),"Below Average","At/Above Average")</f>
        <v>Below Average</v>
      </c>
    </row>
    <row r="1265" spans="4:17" x14ac:dyDescent="0.2">
      <c r="D1265" t="s">
        <v>1355</v>
      </c>
      <c r="E1265" t="s">
        <v>74</v>
      </c>
      <c r="F1265" t="s">
        <v>105</v>
      </c>
      <c r="G1265">
        <v>151</v>
      </c>
      <c r="H1265">
        <v>2</v>
      </c>
      <c r="I1265">
        <v>58.36</v>
      </c>
      <c r="J1265">
        <v>10</v>
      </c>
      <c r="K1265" s="37">
        <v>45045</v>
      </c>
      <c r="L1265" t="s">
        <v>92</v>
      </c>
      <c r="M1265">
        <v>259.20999999999998</v>
      </c>
      <c r="N1265">
        <v>19</v>
      </c>
      <c r="O1265" t="str">
        <f>"Q"&amp;ROUNDUP(MONTH(Transactions[[#This Row],[Transaction Date]])/3,0)</f>
        <v>Q2</v>
      </c>
      <c r="P1265">
        <f>YEAR(Transactions[[#This Row],[Transaction Date]])</f>
        <v>2023</v>
      </c>
      <c r="Q1265" t="str">
        <f>IF(Transactions[[#This Row],[Sales Amount]]&lt;AVERAGE(Transactions[Sales Amount]),"Below Average","At/Above Average")</f>
        <v>At/Above Average</v>
      </c>
    </row>
    <row r="1266" spans="4:17" x14ac:dyDescent="0.2">
      <c r="D1266" t="s">
        <v>1356</v>
      </c>
      <c r="E1266" t="s">
        <v>87</v>
      </c>
      <c r="F1266" t="s">
        <v>96</v>
      </c>
      <c r="G1266">
        <v>130</v>
      </c>
      <c r="H1266">
        <v>7</v>
      </c>
      <c r="I1266">
        <v>58.22</v>
      </c>
      <c r="J1266">
        <v>4</v>
      </c>
      <c r="K1266" s="37">
        <v>44667</v>
      </c>
      <c r="L1266" t="s">
        <v>92</v>
      </c>
      <c r="M1266">
        <v>259.14999999999998</v>
      </c>
      <c r="N1266">
        <v>46</v>
      </c>
      <c r="O1266" t="str">
        <f>"Q"&amp;ROUNDUP(MONTH(Transactions[[#This Row],[Transaction Date]])/3,0)</f>
        <v>Q2</v>
      </c>
      <c r="P1266">
        <f>YEAR(Transactions[[#This Row],[Transaction Date]])</f>
        <v>2022</v>
      </c>
      <c r="Q1266" t="str">
        <f>IF(Transactions[[#This Row],[Sales Amount]]&lt;AVERAGE(Transactions[Sales Amount]),"Below Average","At/Above Average")</f>
        <v>At/Above Average</v>
      </c>
    </row>
    <row r="1267" spans="4:17" x14ac:dyDescent="0.2">
      <c r="D1267" t="s">
        <v>1357</v>
      </c>
      <c r="E1267" t="s">
        <v>75</v>
      </c>
      <c r="F1267" t="s">
        <v>99</v>
      </c>
      <c r="G1267">
        <v>208</v>
      </c>
      <c r="H1267">
        <v>5</v>
      </c>
      <c r="I1267">
        <v>45.46</v>
      </c>
      <c r="J1267">
        <v>6</v>
      </c>
      <c r="K1267" s="37">
        <v>45308</v>
      </c>
      <c r="L1267" t="s">
        <v>92</v>
      </c>
      <c r="M1267">
        <v>357.72</v>
      </c>
      <c r="N1267">
        <v>42</v>
      </c>
      <c r="O1267" t="str">
        <f>"Q"&amp;ROUNDUP(MONTH(Transactions[[#This Row],[Transaction Date]])/3,0)</f>
        <v>Q1</v>
      </c>
      <c r="P1267">
        <f>YEAR(Transactions[[#This Row],[Transaction Date]])</f>
        <v>2024</v>
      </c>
      <c r="Q1267" t="str">
        <f>IF(Transactions[[#This Row],[Sales Amount]]&lt;AVERAGE(Transactions[Sales Amount]),"Below Average","At/Above Average")</f>
        <v>At/Above Average</v>
      </c>
    </row>
    <row r="1268" spans="4:17" x14ac:dyDescent="0.2">
      <c r="D1268" t="s">
        <v>1358</v>
      </c>
      <c r="E1268" t="s">
        <v>74</v>
      </c>
      <c r="F1268" t="s">
        <v>129</v>
      </c>
      <c r="G1268">
        <v>235</v>
      </c>
      <c r="H1268">
        <v>10</v>
      </c>
      <c r="I1268">
        <v>56.02</v>
      </c>
      <c r="J1268">
        <v>5</v>
      </c>
      <c r="K1268" s="37">
        <v>44637</v>
      </c>
      <c r="L1268" t="s">
        <v>102</v>
      </c>
      <c r="M1268">
        <v>310.62</v>
      </c>
      <c r="N1268">
        <v>29</v>
      </c>
      <c r="O1268" t="str">
        <f>"Q"&amp;ROUNDUP(MONTH(Transactions[[#This Row],[Transaction Date]])/3,0)</f>
        <v>Q1</v>
      </c>
      <c r="P1268">
        <f>YEAR(Transactions[[#This Row],[Transaction Date]])</f>
        <v>2022</v>
      </c>
      <c r="Q1268" t="str">
        <f>IF(Transactions[[#This Row],[Sales Amount]]&lt;AVERAGE(Transactions[Sales Amount]),"Below Average","At/Above Average")</f>
        <v>At/Above Average</v>
      </c>
    </row>
    <row r="1269" spans="4:17" x14ac:dyDescent="0.2">
      <c r="D1269" t="s">
        <v>1359</v>
      </c>
      <c r="E1269" t="s">
        <v>76</v>
      </c>
      <c r="F1269" t="s">
        <v>99</v>
      </c>
      <c r="G1269">
        <v>126</v>
      </c>
      <c r="H1269">
        <v>3</v>
      </c>
      <c r="I1269">
        <v>51.68</v>
      </c>
      <c r="J1269">
        <v>6</v>
      </c>
      <c r="K1269" s="37">
        <v>44925</v>
      </c>
      <c r="L1269" t="s">
        <v>92</v>
      </c>
      <c r="M1269">
        <v>278.57</v>
      </c>
      <c r="N1269">
        <v>31</v>
      </c>
      <c r="O1269" t="str">
        <f>"Q"&amp;ROUNDUP(MONTH(Transactions[[#This Row],[Transaction Date]])/3,0)</f>
        <v>Q4</v>
      </c>
      <c r="P1269">
        <f>YEAR(Transactions[[#This Row],[Transaction Date]])</f>
        <v>2022</v>
      </c>
      <c r="Q1269" t="str">
        <f>IF(Transactions[[#This Row],[Sales Amount]]&lt;AVERAGE(Transactions[Sales Amount]),"Below Average","At/Above Average")</f>
        <v>At/Above Average</v>
      </c>
    </row>
    <row r="1270" spans="4:17" x14ac:dyDescent="0.2">
      <c r="D1270" t="s">
        <v>1360</v>
      </c>
      <c r="E1270" t="s">
        <v>78</v>
      </c>
      <c r="F1270" t="s">
        <v>99</v>
      </c>
      <c r="G1270">
        <v>194</v>
      </c>
      <c r="H1270">
        <v>4</v>
      </c>
      <c r="I1270">
        <v>46.23</v>
      </c>
      <c r="J1270">
        <v>9</v>
      </c>
      <c r="K1270" s="37">
        <v>45561</v>
      </c>
      <c r="L1270" t="s">
        <v>89</v>
      </c>
      <c r="M1270">
        <v>270.14999999999998</v>
      </c>
      <c r="N1270">
        <v>10</v>
      </c>
      <c r="O1270" t="str">
        <f>"Q"&amp;ROUNDUP(MONTH(Transactions[[#This Row],[Transaction Date]])/3,0)</f>
        <v>Q3</v>
      </c>
      <c r="P1270">
        <f>YEAR(Transactions[[#This Row],[Transaction Date]])</f>
        <v>2024</v>
      </c>
      <c r="Q1270" t="str">
        <f>IF(Transactions[[#This Row],[Sales Amount]]&lt;AVERAGE(Transactions[Sales Amount]),"Below Average","At/Above Average")</f>
        <v>At/Above Average</v>
      </c>
    </row>
    <row r="1271" spans="4:17" x14ac:dyDescent="0.2">
      <c r="D1271" t="s">
        <v>1361</v>
      </c>
      <c r="E1271" t="s">
        <v>78</v>
      </c>
      <c r="F1271" t="s">
        <v>91</v>
      </c>
      <c r="G1271">
        <v>209</v>
      </c>
      <c r="H1271">
        <v>7</v>
      </c>
      <c r="I1271">
        <v>49.8</v>
      </c>
      <c r="J1271">
        <v>2</v>
      </c>
      <c r="K1271" s="37">
        <v>44907</v>
      </c>
      <c r="L1271" t="s">
        <v>109</v>
      </c>
      <c r="M1271">
        <v>138.44</v>
      </c>
      <c r="N1271">
        <v>50</v>
      </c>
      <c r="O1271" t="str">
        <f>"Q"&amp;ROUNDUP(MONTH(Transactions[[#This Row],[Transaction Date]])/3,0)</f>
        <v>Q4</v>
      </c>
      <c r="P1271">
        <f>YEAR(Transactions[[#This Row],[Transaction Date]])</f>
        <v>2022</v>
      </c>
      <c r="Q1271" t="str">
        <f>IF(Transactions[[#This Row],[Sales Amount]]&lt;AVERAGE(Transactions[Sales Amount]),"Below Average","At/Above Average")</f>
        <v>Below Average</v>
      </c>
    </row>
    <row r="1272" spans="4:17" x14ac:dyDescent="0.2">
      <c r="D1272" t="s">
        <v>1362</v>
      </c>
      <c r="E1272" t="s">
        <v>87</v>
      </c>
      <c r="F1272" t="s">
        <v>94</v>
      </c>
      <c r="G1272">
        <v>214</v>
      </c>
      <c r="H1272">
        <v>10</v>
      </c>
      <c r="I1272">
        <v>47.99</v>
      </c>
      <c r="J1272">
        <v>3</v>
      </c>
      <c r="K1272" s="37">
        <v>44746</v>
      </c>
      <c r="L1272" t="s">
        <v>102</v>
      </c>
      <c r="M1272">
        <v>494.09</v>
      </c>
      <c r="N1272">
        <v>27</v>
      </c>
      <c r="O1272" t="str">
        <f>"Q"&amp;ROUNDUP(MONTH(Transactions[[#This Row],[Transaction Date]])/3,0)</f>
        <v>Q3</v>
      </c>
      <c r="P1272">
        <f>YEAR(Transactions[[#This Row],[Transaction Date]])</f>
        <v>2022</v>
      </c>
      <c r="Q1272" t="str">
        <f>IF(Transactions[[#This Row],[Sales Amount]]&lt;AVERAGE(Transactions[Sales Amount]),"Below Average","At/Above Average")</f>
        <v>At/Above Average</v>
      </c>
    </row>
    <row r="1273" spans="4:17" x14ac:dyDescent="0.2">
      <c r="D1273" t="s">
        <v>1363</v>
      </c>
      <c r="E1273" t="s">
        <v>78</v>
      </c>
      <c r="F1273" t="s">
        <v>88</v>
      </c>
      <c r="G1273">
        <v>281</v>
      </c>
      <c r="H1273">
        <v>3</v>
      </c>
      <c r="I1273">
        <v>59.45</v>
      </c>
      <c r="J1273">
        <v>6</v>
      </c>
      <c r="K1273" s="37">
        <v>45348</v>
      </c>
      <c r="L1273" t="s">
        <v>124</v>
      </c>
      <c r="M1273">
        <v>216.13</v>
      </c>
      <c r="N1273">
        <v>15</v>
      </c>
      <c r="O1273" t="str">
        <f>"Q"&amp;ROUNDUP(MONTH(Transactions[[#This Row],[Transaction Date]])/3,0)</f>
        <v>Q1</v>
      </c>
      <c r="P1273">
        <f>YEAR(Transactions[[#This Row],[Transaction Date]])</f>
        <v>2024</v>
      </c>
      <c r="Q1273" t="str">
        <f>IF(Transactions[[#This Row],[Sales Amount]]&lt;AVERAGE(Transactions[Sales Amount]),"Below Average","At/Above Average")</f>
        <v>Below Average</v>
      </c>
    </row>
    <row r="1274" spans="4:17" x14ac:dyDescent="0.2">
      <c r="D1274" t="s">
        <v>1364</v>
      </c>
      <c r="E1274" t="s">
        <v>77</v>
      </c>
      <c r="F1274" t="s">
        <v>129</v>
      </c>
      <c r="G1274">
        <v>274</v>
      </c>
      <c r="H1274">
        <v>10</v>
      </c>
      <c r="I1274">
        <v>46.93</v>
      </c>
      <c r="J1274">
        <v>6</v>
      </c>
      <c r="K1274" s="37">
        <v>45414</v>
      </c>
      <c r="L1274" t="s">
        <v>92</v>
      </c>
      <c r="M1274">
        <v>124.51</v>
      </c>
      <c r="N1274">
        <v>36</v>
      </c>
      <c r="O1274" t="str">
        <f>"Q"&amp;ROUNDUP(MONTH(Transactions[[#This Row],[Transaction Date]])/3,0)</f>
        <v>Q2</v>
      </c>
      <c r="P1274">
        <f>YEAR(Transactions[[#This Row],[Transaction Date]])</f>
        <v>2024</v>
      </c>
      <c r="Q1274" t="str">
        <f>IF(Transactions[[#This Row],[Sales Amount]]&lt;AVERAGE(Transactions[Sales Amount]),"Below Average","At/Above Average")</f>
        <v>Below Average</v>
      </c>
    </row>
    <row r="1275" spans="4:17" x14ac:dyDescent="0.2">
      <c r="D1275" t="s">
        <v>1365</v>
      </c>
      <c r="E1275" t="s">
        <v>77</v>
      </c>
      <c r="F1275" t="s">
        <v>96</v>
      </c>
      <c r="G1275">
        <v>161</v>
      </c>
      <c r="H1275">
        <v>5</v>
      </c>
      <c r="I1275">
        <v>56.77</v>
      </c>
      <c r="J1275">
        <v>4</v>
      </c>
      <c r="K1275" s="37">
        <v>44651</v>
      </c>
      <c r="L1275" t="s">
        <v>92</v>
      </c>
      <c r="M1275">
        <v>186.77</v>
      </c>
      <c r="N1275">
        <v>3</v>
      </c>
      <c r="O1275" t="str">
        <f>"Q"&amp;ROUNDUP(MONTH(Transactions[[#This Row],[Transaction Date]])/3,0)</f>
        <v>Q1</v>
      </c>
      <c r="P1275">
        <f>YEAR(Transactions[[#This Row],[Transaction Date]])</f>
        <v>2022</v>
      </c>
      <c r="Q1275" t="str">
        <f>IF(Transactions[[#This Row],[Sales Amount]]&lt;AVERAGE(Transactions[Sales Amount]),"Below Average","At/Above Average")</f>
        <v>Below Average</v>
      </c>
    </row>
    <row r="1276" spans="4:17" x14ac:dyDescent="0.2">
      <c r="D1276" t="s">
        <v>1366</v>
      </c>
      <c r="E1276" t="s">
        <v>87</v>
      </c>
      <c r="F1276" t="s">
        <v>96</v>
      </c>
      <c r="G1276">
        <v>179</v>
      </c>
      <c r="H1276">
        <v>5</v>
      </c>
      <c r="I1276">
        <v>56.58</v>
      </c>
      <c r="J1276">
        <v>2</v>
      </c>
      <c r="K1276" s="37">
        <v>45595</v>
      </c>
      <c r="L1276" t="s">
        <v>89</v>
      </c>
      <c r="M1276">
        <v>153.88999999999999</v>
      </c>
      <c r="N1276">
        <v>32</v>
      </c>
      <c r="O1276" t="str">
        <f>"Q"&amp;ROUNDUP(MONTH(Transactions[[#This Row],[Transaction Date]])/3,0)</f>
        <v>Q4</v>
      </c>
      <c r="P1276">
        <f>YEAR(Transactions[[#This Row],[Transaction Date]])</f>
        <v>2024</v>
      </c>
      <c r="Q1276" t="str">
        <f>IF(Transactions[[#This Row],[Sales Amount]]&lt;AVERAGE(Transactions[Sales Amount]),"Below Average","At/Above Average")</f>
        <v>Below Average</v>
      </c>
    </row>
    <row r="1277" spans="4:17" x14ac:dyDescent="0.2">
      <c r="D1277" t="s">
        <v>1367</v>
      </c>
      <c r="E1277" t="s">
        <v>74</v>
      </c>
      <c r="F1277" t="s">
        <v>99</v>
      </c>
      <c r="G1277">
        <v>289</v>
      </c>
      <c r="H1277">
        <v>5</v>
      </c>
      <c r="I1277">
        <v>46.37</v>
      </c>
      <c r="J1277">
        <v>10</v>
      </c>
      <c r="K1277" s="37">
        <v>45277</v>
      </c>
      <c r="L1277" t="s">
        <v>92</v>
      </c>
      <c r="M1277">
        <v>148.63</v>
      </c>
      <c r="N1277">
        <v>39</v>
      </c>
      <c r="O1277" t="str">
        <f>"Q"&amp;ROUNDUP(MONTH(Transactions[[#This Row],[Transaction Date]])/3,0)</f>
        <v>Q4</v>
      </c>
      <c r="P1277">
        <f>YEAR(Transactions[[#This Row],[Transaction Date]])</f>
        <v>2023</v>
      </c>
      <c r="Q1277" t="str">
        <f>IF(Transactions[[#This Row],[Sales Amount]]&lt;AVERAGE(Transactions[Sales Amount]),"Below Average","At/Above Average")</f>
        <v>Below Average</v>
      </c>
    </row>
    <row r="1278" spans="4:17" x14ac:dyDescent="0.2">
      <c r="D1278" t="s">
        <v>1368</v>
      </c>
      <c r="E1278" t="s">
        <v>75</v>
      </c>
      <c r="F1278" t="s">
        <v>88</v>
      </c>
      <c r="G1278">
        <v>217</v>
      </c>
      <c r="H1278">
        <v>3</v>
      </c>
      <c r="I1278">
        <v>51.21</v>
      </c>
      <c r="J1278">
        <v>3</v>
      </c>
      <c r="K1278" s="37">
        <v>45608</v>
      </c>
      <c r="L1278" t="s">
        <v>97</v>
      </c>
      <c r="M1278">
        <v>355.27</v>
      </c>
      <c r="N1278">
        <v>33</v>
      </c>
      <c r="O1278" t="str">
        <f>"Q"&amp;ROUNDUP(MONTH(Transactions[[#This Row],[Transaction Date]])/3,0)</f>
        <v>Q4</v>
      </c>
      <c r="P1278">
        <f>YEAR(Transactions[[#This Row],[Transaction Date]])</f>
        <v>2024</v>
      </c>
      <c r="Q1278" t="str">
        <f>IF(Transactions[[#This Row],[Sales Amount]]&lt;AVERAGE(Transactions[Sales Amount]),"Below Average","At/Above Average")</f>
        <v>At/Above Average</v>
      </c>
    </row>
    <row r="1279" spans="4:17" x14ac:dyDescent="0.2">
      <c r="D1279" t="s">
        <v>1369</v>
      </c>
      <c r="E1279" t="s">
        <v>75</v>
      </c>
      <c r="F1279" t="s">
        <v>88</v>
      </c>
      <c r="G1279">
        <v>173</v>
      </c>
      <c r="H1279">
        <v>3</v>
      </c>
      <c r="I1279">
        <v>48.53</v>
      </c>
      <c r="J1279">
        <v>3</v>
      </c>
      <c r="K1279" s="37">
        <v>44719</v>
      </c>
      <c r="L1279" t="s">
        <v>102</v>
      </c>
      <c r="M1279">
        <v>225.05</v>
      </c>
      <c r="N1279">
        <v>50</v>
      </c>
      <c r="O1279" t="str">
        <f>"Q"&amp;ROUNDUP(MONTH(Transactions[[#This Row],[Transaction Date]])/3,0)</f>
        <v>Q2</v>
      </c>
      <c r="P1279">
        <f>YEAR(Transactions[[#This Row],[Transaction Date]])</f>
        <v>2022</v>
      </c>
      <c r="Q1279" t="str">
        <f>IF(Transactions[[#This Row],[Sales Amount]]&lt;AVERAGE(Transactions[Sales Amount]),"Below Average","At/Above Average")</f>
        <v>Below Average</v>
      </c>
    </row>
    <row r="1280" spans="4:17" x14ac:dyDescent="0.2">
      <c r="D1280" t="s">
        <v>1370</v>
      </c>
      <c r="E1280" t="s">
        <v>78</v>
      </c>
      <c r="F1280" t="s">
        <v>108</v>
      </c>
      <c r="G1280">
        <v>199</v>
      </c>
      <c r="H1280">
        <v>3</v>
      </c>
      <c r="I1280">
        <v>50.4</v>
      </c>
      <c r="J1280">
        <v>10</v>
      </c>
      <c r="K1280" s="37">
        <v>45072</v>
      </c>
      <c r="L1280" t="s">
        <v>102</v>
      </c>
      <c r="M1280">
        <v>421.92</v>
      </c>
      <c r="N1280">
        <v>13</v>
      </c>
      <c r="O1280" t="str">
        <f>"Q"&amp;ROUNDUP(MONTH(Transactions[[#This Row],[Transaction Date]])/3,0)</f>
        <v>Q2</v>
      </c>
      <c r="P1280">
        <f>YEAR(Transactions[[#This Row],[Transaction Date]])</f>
        <v>2023</v>
      </c>
      <c r="Q1280" t="str">
        <f>IF(Transactions[[#This Row],[Sales Amount]]&lt;AVERAGE(Transactions[Sales Amount]),"Below Average","At/Above Average")</f>
        <v>At/Above Average</v>
      </c>
    </row>
    <row r="1281" spans="4:17" x14ac:dyDescent="0.2">
      <c r="D1281" t="s">
        <v>1371</v>
      </c>
      <c r="E1281" t="s">
        <v>75</v>
      </c>
      <c r="F1281" t="s">
        <v>96</v>
      </c>
      <c r="G1281">
        <v>258</v>
      </c>
      <c r="H1281">
        <v>3</v>
      </c>
      <c r="I1281">
        <v>47.23</v>
      </c>
      <c r="J1281">
        <v>7</v>
      </c>
      <c r="K1281" s="37">
        <v>44907</v>
      </c>
      <c r="L1281" t="s">
        <v>124</v>
      </c>
      <c r="M1281">
        <v>290.11</v>
      </c>
      <c r="N1281">
        <v>17</v>
      </c>
      <c r="O1281" t="str">
        <f>"Q"&amp;ROUNDUP(MONTH(Transactions[[#This Row],[Transaction Date]])/3,0)</f>
        <v>Q4</v>
      </c>
      <c r="P1281">
        <f>YEAR(Transactions[[#This Row],[Transaction Date]])</f>
        <v>2022</v>
      </c>
      <c r="Q1281" t="str">
        <f>IF(Transactions[[#This Row],[Sales Amount]]&lt;AVERAGE(Transactions[Sales Amount]),"Below Average","At/Above Average")</f>
        <v>At/Above Average</v>
      </c>
    </row>
    <row r="1282" spans="4:17" x14ac:dyDescent="0.2">
      <c r="D1282" t="s">
        <v>1372</v>
      </c>
      <c r="E1282" t="s">
        <v>74</v>
      </c>
      <c r="F1282" t="s">
        <v>99</v>
      </c>
      <c r="G1282">
        <v>273</v>
      </c>
      <c r="H1282">
        <v>6</v>
      </c>
      <c r="I1282">
        <v>51.57</v>
      </c>
      <c r="J1282">
        <v>7</v>
      </c>
      <c r="K1282" s="37">
        <v>44915</v>
      </c>
      <c r="L1282" t="s">
        <v>97</v>
      </c>
      <c r="M1282">
        <v>155.30000000000001</v>
      </c>
      <c r="N1282">
        <v>10</v>
      </c>
      <c r="O1282" t="str">
        <f>"Q"&amp;ROUNDUP(MONTH(Transactions[[#This Row],[Transaction Date]])/3,0)</f>
        <v>Q4</v>
      </c>
      <c r="P1282">
        <f>YEAR(Transactions[[#This Row],[Transaction Date]])</f>
        <v>2022</v>
      </c>
      <c r="Q1282" t="str">
        <f>IF(Transactions[[#This Row],[Sales Amount]]&lt;AVERAGE(Transactions[Sales Amount]),"Below Average","At/Above Average")</f>
        <v>Below Average</v>
      </c>
    </row>
    <row r="1283" spans="4:17" x14ac:dyDescent="0.2">
      <c r="D1283" t="s">
        <v>1373</v>
      </c>
      <c r="E1283" t="s">
        <v>78</v>
      </c>
      <c r="F1283" t="s">
        <v>105</v>
      </c>
      <c r="G1283">
        <v>110</v>
      </c>
      <c r="H1283">
        <v>4</v>
      </c>
      <c r="I1283">
        <v>45.27</v>
      </c>
      <c r="J1283">
        <v>6</v>
      </c>
      <c r="K1283" s="37">
        <v>45101</v>
      </c>
      <c r="L1283" t="s">
        <v>109</v>
      </c>
      <c r="M1283">
        <v>52.38</v>
      </c>
      <c r="N1283">
        <v>45</v>
      </c>
      <c r="O1283" t="str">
        <f>"Q"&amp;ROUNDUP(MONTH(Transactions[[#This Row],[Transaction Date]])/3,0)</f>
        <v>Q2</v>
      </c>
      <c r="P1283">
        <f>YEAR(Transactions[[#This Row],[Transaction Date]])</f>
        <v>2023</v>
      </c>
      <c r="Q1283" t="str">
        <f>IF(Transactions[[#This Row],[Sales Amount]]&lt;AVERAGE(Transactions[Sales Amount]),"Below Average","At/Above Average")</f>
        <v>Below Average</v>
      </c>
    </row>
    <row r="1284" spans="4:17" x14ac:dyDescent="0.2">
      <c r="D1284" t="s">
        <v>1374</v>
      </c>
      <c r="E1284" t="s">
        <v>76</v>
      </c>
      <c r="F1284" t="s">
        <v>129</v>
      </c>
      <c r="G1284">
        <v>128</v>
      </c>
      <c r="H1284">
        <v>3</v>
      </c>
      <c r="I1284">
        <v>58.06</v>
      </c>
      <c r="J1284">
        <v>2</v>
      </c>
      <c r="K1284" s="37">
        <v>45164</v>
      </c>
      <c r="L1284" t="s">
        <v>124</v>
      </c>
      <c r="M1284">
        <v>313.95999999999998</v>
      </c>
      <c r="N1284">
        <v>45</v>
      </c>
      <c r="O1284" t="str">
        <f>"Q"&amp;ROUNDUP(MONTH(Transactions[[#This Row],[Transaction Date]])/3,0)</f>
        <v>Q3</v>
      </c>
      <c r="P1284">
        <f>YEAR(Transactions[[#This Row],[Transaction Date]])</f>
        <v>2023</v>
      </c>
      <c r="Q1284" t="str">
        <f>IF(Transactions[[#This Row],[Sales Amount]]&lt;AVERAGE(Transactions[Sales Amount]),"Below Average","At/Above Average")</f>
        <v>At/Above Average</v>
      </c>
    </row>
    <row r="1285" spans="4:17" x14ac:dyDescent="0.2">
      <c r="D1285" t="s">
        <v>1375</v>
      </c>
      <c r="E1285" t="s">
        <v>87</v>
      </c>
      <c r="F1285" t="s">
        <v>108</v>
      </c>
      <c r="G1285">
        <v>143</v>
      </c>
      <c r="H1285">
        <v>2</v>
      </c>
      <c r="I1285">
        <v>59.61</v>
      </c>
      <c r="J1285">
        <v>8</v>
      </c>
      <c r="K1285" s="37">
        <v>45016</v>
      </c>
      <c r="L1285" t="s">
        <v>97</v>
      </c>
      <c r="M1285">
        <v>34.479999999999997</v>
      </c>
      <c r="N1285">
        <v>48</v>
      </c>
      <c r="O1285" t="str">
        <f>"Q"&amp;ROUNDUP(MONTH(Transactions[[#This Row],[Transaction Date]])/3,0)</f>
        <v>Q1</v>
      </c>
      <c r="P1285">
        <f>YEAR(Transactions[[#This Row],[Transaction Date]])</f>
        <v>2023</v>
      </c>
      <c r="Q1285" t="str">
        <f>IF(Transactions[[#This Row],[Sales Amount]]&lt;AVERAGE(Transactions[Sales Amount]),"Below Average","At/Above Average")</f>
        <v>Below Average</v>
      </c>
    </row>
    <row r="1286" spans="4:17" x14ac:dyDescent="0.2">
      <c r="D1286" t="s">
        <v>1376</v>
      </c>
      <c r="E1286" t="s">
        <v>74</v>
      </c>
      <c r="F1286" t="s">
        <v>91</v>
      </c>
      <c r="G1286">
        <v>100</v>
      </c>
      <c r="H1286">
        <v>7</v>
      </c>
      <c r="I1286">
        <v>50.5</v>
      </c>
      <c r="J1286">
        <v>2</v>
      </c>
      <c r="K1286" s="37">
        <v>44643</v>
      </c>
      <c r="L1286" t="s">
        <v>97</v>
      </c>
      <c r="M1286">
        <v>111.85</v>
      </c>
      <c r="N1286">
        <v>29</v>
      </c>
      <c r="O1286" t="str">
        <f>"Q"&amp;ROUNDUP(MONTH(Transactions[[#This Row],[Transaction Date]])/3,0)</f>
        <v>Q1</v>
      </c>
      <c r="P1286">
        <f>YEAR(Transactions[[#This Row],[Transaction Date]])</f>
        <v>2022</v>
      </c>
      <c r="Q1286" t="str">
        <f>IF(Transactions[[#This Row],[Sales Amount]]&lt;AVERAGE(Transactions[Sales Amount]),"Below Average","At/Above Average")</f>
        <v>Below Average</v>
      </c>
    </row>
    <row r="1287" spans="4:17" x14ac:dyDescent="0.2">
      <c r="D1287" t="s">
        <v>1377</v>
      </c>
      <c r="E1287" t="s">
        <v>76</v>
      </c>
      <c r="F1287" t="s">
        <v>91</v>
      </c>
      <c r="G1287">
        <v>208</v>
      </c>
      <c r="H1287">
        <v>3</v>
      </c>
      <c r="I1287">
        <v>52.53</v>
      </c>
      <c r="J1287">
        <v>9</v>
      </c>
      <c r="K1287" s="37">
        <v>45447</v>
      </c>
      <c r="L1287" t="s">
        <v>102</v>
      </c>
      <c r="M1287">
        <v>322.63</v>
      </c>
      <c r="N1287">
        <v>4</v>
      </c>
      <c r="O1287" t="str">
        <f>"Q"&amp;ROUNDUP(MONTH(Transactions[[#This Row],[Transaction Date]])/3,0)</f>
        <v>Q2</v>
      </c>
      <c r="P1287">
        <f>YEAR(Transactions[[#This Row],[Transaction Date]])</f>
        <v>2024</v>
      </c>
      <c r="Q1287" t="str">
        <f>IF(Transactions[[#This Row],[Sales Amount]]&lt;AVERAGE(Transactions[Sales Amount]),"Below Average","At/Above Average")</f>
        <v>At/Above Average</v>
      </c>
    </row>
    <row r="1288" spans="4:17" x14ac:dyDescent="0.2">
      <c r="D1288" t="s">
        <v>1378</v>
      </c>
      <c r="E1288" t="s">
        <v>74</v>
      </c>
      <c r="F1288" t="s">
        <v>99</v>
      </c>
      <c r="G1288">
        <v>174</v>
      </c>
      <c r="H1288">
        <v>7</v>
      </c>
      <c r="I1288">
        <v>45.69</v>
      </c>
      <c r="J1288">
        <v>7</v>
      </c>
      <c r="K1288" s="37">
        <v>45102</v>
      </c>
      <c r="L1288" t="s">
        <v>92</v>
      </c>
      <c r="M1288">
        <v>448.88</v>
      </c>
      <c r="N1288">
        <v>29</v>
      </c>
      <c r="O1288" t="str">
        <f>"Q"&amp;ROUNDUP(MONTH(Transactions[[#This Row],[Transaction Date]])/3,0)</f>
        <v>Q2</v>
      </c>
      <c r="P1288">
        <f>YEAR(Transactions[[#This Row],[Transaction Date]])</f>
        <v>2023</v>
      </c>
      <c r="Q1288" t="str">
        <f>IF(Transactions[[#This Row],[Sales Amount]]&lt;AVERAGE(Transactions[Sales Amount]),"Below Average","At/Above Average")</f>
        <v>At/Above Average</v>
      </c>
    </row>
    <row r="1289" spans="4:17" x14ac:dyDescent="0.2">
      <c r="D1289" t="s">
        <v>1379</v>
      </c>
      <c r="E1289" t="s">
        <v>76</v>
      </c>
      <c r="F1289" t="s">
        <v>129</v>
      </c>
      <c r="G1289">
        <v>259</v>
      </c>
      <c r="H1289">
        <v>4</v>
      </c>
      <c r="I1289">
        <v>56.42</v>
      </c>
      <c r="J1289">
        <v>4</v>
      </c>
      <c r="K1289" s="37">
        <v>44593</v>
      </c>
      <c r="L1289" t="s">
        <v>92</v>
      </c>
      <c r="M1289">
        <v>313.27999999999997</v>
      </c>
      <c r="N1289">
        <v>1</v>
      </c>
      <c r="O1289" t="str">
        <f>"Q"&amp;ROUNDUP(MONTH(Transactions[[#This Row],[Transaction Date]])/3,0)</f>
        <v>Q1</v>
      </c>
      <c r="P1289">
        <f>YEAR(Transactions[[#This Row],[Transaction Date]])</f>
        <v>2022</v>
      </c>
      <c r="Q1289" t="str">
        <f>IF(Transactions[[#This Row],[Sales Amount]]&lt;AVERAGE(Transactions[Sales Amount]),"Below Average","At/Above Average")</f>
        <v>At/Above Average</v>
      </c>
    </row>
    <row r="1290" spans="4:17" x14ac:dyDescent="0.2">
      <c r="D1290" t="s">
        <v>1380</v>
      </c>
      <c r="E1290" t="s">
        <v>75</v>
      </c>
      <c r="F1290" t="s">
        <v>108</v>
      </c>
      <c r="G1290">
        <v>109</v>
      </c>
      <c r="H1290">
        <v>9</v>
      </c>
      <c r="I1290">
        <v>51.1</v>
      </c>
      <c r="J1290">
        <v>3</v>
      </c>
      <c r="K1290" s="37">
        <v>45492</v>
      </c>
      <c r="L1290" t="s">
        <v>102</v>
      </c>
      <c r="M1290">
        <v>128.16999999999999</v>
      </c>
      <c r="N1290">
        <v>3</v>
      </c>
      <c r="O1290" t="str">
        <f>"Q"&amp;ROUNDUP(MONTH(Transactions[[#This Row],[Transaction Date]])/3,0)</f>
        <v>Q3</v>
      </c>
      <c r="P1290">
        <f>YEAR(Transactions[[#This Row],[Transaction Date]])</f>
        <v>2024</v>
      </c>
      <c r="Q1290" t="str">
        <f>IF(Transactions[[#This Row],[Sales Amount]]&lt;AVERAGE(Transactions[Sales Amount]),"Below Average","At/Above Average")</f>
        <v>Below Average</v>
      </c>
    </row>
    <row r="1291" spans="4:17" x14ac:dyDescent="0.2">
      <c r="D1291" t="s">
        <v>1381</v>
      </c>
      <c r="E1291" t="s">
        <v>74</v>
      </c>
      <c r="F1291" t="s">
        <v>91</v>
      </c>
      <c r="G1291">
        <v>241</v>
      </c>
      <c r="H1291">
        <v>6</v>
      </c>
      <c r="I1291">
        <v>55.88</v>
      </c>
      <c r="J1291">
        <v>8</v>
      </c>
      <c r="K1291" s="37">
        <v>45577</v>
      </c>
      <c r="L1291" t="s">
        <v>89</v>
      </c>
      <c r="M1291">
        <v>232.91</v>
      </c>
      <c r="N1291">
        <v>50</v>
      </c>
      <c r="O1291" t="str">
        <f>"Q"&amp;ROUNDUP(MONTH(Transactions[[#This Row],[Transaction Date]])/3,0)</f>
        <v>Q4</v>
      </c>
      <c r="P1291">
        <f>YEAR(Transactions[[#This Row],[Transaction Date]])</f>
        <v>2024</v>
      </c>
      <c r="Q1291" t="str">
        <f>IF(Transactions[[#This Row],[Sales Amount]]&lt;AVERAGE(Transactions[Sales Amount]),"Below Average","At/Above Average")</f>
        <v>Below Average</v>
      </c>
    </row>
    <row r="1292" spans="4:17" x14ac:dyDescent="0.2">
      <c r="D1292" t="s">
        <v>1382</v>
      </c>
      <c r="E1292" t="s">
        <v>74</v>
      </c>
      <c r="F1292" t="s">
        <v>99</v>
      </c>
      <c r="G1292">
        <v>213</v>
      </c>
      <c r="H1292">
        <v>1</v>
      </c>
      <c r="I1292">
        <v>56.05</v>
      </c>
      <c r="J1292">
        <v>8</v>
      </c>
      <c r="K1292" s="37">
        <v>45207</v>
      </c>
      <c r="L1292" t="s">
        <v>92</v>
      </c>
      <c r="M1292">
        <v>499.48</v>
      </c>
      <c r="N1292">
        <v>35</v>
      </c>
      <c r="O1292" t="str">
        <f>"Q"&amp;ROUNDUP(MONTH(Transactions[[#This Row],[Transaction Date]])/3,0)</f>
        <v>Q4</v>
      </c>
      <c r="P1292">
        <f>YEAR(Transactions[[#This Row],[Transaction Date]])</f>
        <v>2023</v>
      </c>
      <c r="Q1292" t="str">
        <f>IF(Transactions[[#This Row],[Sales Amount]]&lt;AVERAGE(Transactions[Sales Amount]),"Below Average","At/Above Average")</f>
        <v>At/Above Average</v>
      </c>
    </row>
    <row r="1293" spans="4:17" x14ac:dyDescent="0.2">
      <c r="D1293" t="s">
        <v>1383</v>
      </c>
      <c r="E1293" t="s">
        <v>75</v>
      </c>
      <c r="F1293" t="s">
        <v>129</v>
      </c>
      <c r="G1293">
        <v>222</v>
      </c>
      <c r="H1293">
        <v>2</v>
      </c>
      <c r="I1293">
        <v>53.82</v>
      </c>
      <c r="J1293">
        <v>5</v>
      </c>
      <c r="K1293" s="37">
        <v>44672</v>
      </c>
      <c r="L1293" t="s">
        <v>102</v>
      </c>
      <c r="M1293">
        <v>43.61</v>
      </c>
      <c r="N1293">
        <v>20</v>
      </c>
      <c r="O1293" t="str">
        <f>"Q"&amp;ROUNDUP(MONTH(Transactions[[#This Row],[Transaction Date]])/3,0)</f>
        <v>Q2</v>
      </c>
      <c r="P1293">
        <f>YEAR(Transactions[[#This Row],[Transaction Date]])</f>
        <v>2022</v>
      </c>
      <c r="Q1293" t="str">
        <f>IF(Transactions[[#This Row],[Sales Amount]]&lt;AVERAGE(Transactions[Sales Amount]),"Below Average","At/Above Average")</f>
        <v>Below Average</v>
      </c>
    </row>
    <row r="1294" spans="4:17" x14ac:dyDescent="0.2">
      <c r="D1294" t="s">
        <v>1384</v>
      </c>
      <c r="E1294" t="s">
        <v>77</v>
      </c>
      <c r="F1294" t="s">
        <v>91</v>
      </c>
      <c r="G1294">
        <v>136</v>
      </c>
      <c r="H1294">
        <v>5</v>
      </c>
      <c r="I1294">
        <v>54.54</v>
      </c>
      <c r="J1294">
        <v>3</v>
      </c>
      <c r="K1294" s="37">
        <v>44983</v>
      </c>
      <c r="L1294" t="s">
        <v>109</v>
      </c>
      <c r="M1294">
        <v>140.24</v>
      </c>
      <c r="N1294">
        <v>22</v>
      </c>
      <c r="O1294" t="str">
        <f>"Q"&amp;ROUNDUP(MONTH(Transactions[[#This Row],[Transaction Date]])/3,0)</f>
        <v>Q1</v>
      </c>
      <c r="P1294">
        <f>YEAR(Transactions[[#This Row],[Transaction Date]])</f>
        <v>2023</v>
      </c>
      <c r="Q1294" t="str">
        <f>IF(Transactions[[#This Row],[Sales Amount]]&lt;AVERAGE(Transactions[Sales Amount]),"Below Average","At/Above Average")</f>
        <v>Below Average</v>
      </c>
    </row>
    <row r="1295" spans="4:17" x14ac:dyDescent="0.2">
      <c r="D1295" t="s">
        <v>1385</v>
      </c>
      <c r="E1295" t="s">
        <v>78</v>
      </c>
      <c r="F1295" t="s">
        <v>99</v>
      </c>
      <c r="G1295">
        <v>200</v>
      </c>
      <c r="H1295">
        <v>1</v>
      </c>
      <c r="I1295">
        <v>50.17</v>
      </c>
      <c r="J1295">
        <v>9</v>
      </c>
      <c r="K1295" s="37">
        <v>44763</v>
      </c>
      <c r="L1295" t="s">
        <v>92</v>
      </c>
      <c r="M1295">
        <v>286.85000000000002</v>
      </c>
      <c r="N1295">
        <v>2</v>
      </c>
      <c r="O1295" t="str">
        <f>"Q"&amp;ROUNDUP(MONTH(Transactions[[#This Row],[Transaction Date]])/3,0)</f>
        <v>Q3</v>
      </c>
      <c r="P1295">
        <f>YEAR(Transactions[[#This Row],[Transaction Date]])</f>
        <v>2022</v>
      </c>
      <c r="Q1295" t="str">
        <f>IF(Transactions[[#This Row],[Sales Amount]]&lt;AVERAGE(Transactions[Sales Amount]),"Below Average","At/Above Average")</f>
        <v>At/Above Average</v>
      </c>
    </row>
    <row r="1296" spans="4:17" x14ac:dyDescent="0.2">
      <c r="D1296" t="s">
        <v>1386</v>
      </c>
      <c r="E1296" t="s">
        <v>77</v>
      </c>
      <c r="F1296" t="s">
        <v>96</v>
      </c>
      <c r="G1296">
        <v>239</v>
      </c>
      <c r="H1296">
        <v>3</v>
      </c>
      <c r="I1296">
        <v>49.67</v>
      </c>
      <c r="J1296">
        <v>5</v>
      </c>
      <c r="K1296" s="37">
        <v>44982</v>
      </c>
      <c r="L1296" t="s">
        <v>109</v>
      </c>
      <c r="M1296">
        <v>287.97000000000003</v>
      </c>
      <c r="N1296">
        <v>11</v>
      </c>
      <c r="O1296" t="str">
        <f>"Q"&amp;ROUNDUP(MONTH(Transactions[[#This Row],[Transaction Date]])/3,0)</f>
        <v>Q1</v>
      </c>
      <c r="P1296">
        <f>YEAR(Transactions[[#This Row],[Transaction Date]])</f>
        <v>2023</v>
      </c>
      <c r="Q1296" t="str">
        <f>IF(Transactions[[#This Row],[Sales Amount]]&lt;AVERAGE(Transactions[Sales Amount]),"Below Average","At/Above Average")</f>
        <v>At/Above Average</v>
      </c>
    </row>
    <row r="1297" spans="4:17" x14ac:dyDescent="0.2">
      <c r="D1297" t="s">
        <v>1387</v>
      </c>
      <c r="E1297" t="s">
        <v>87</v>
      </c>
      <c r="F1297" t="s">
        <v>96</v>
      </c>
      <c r="G1297">
        <v>154</v>
      </c>
      <c r="H1297">
        <v>10</v>
      </c>
      <c r="I1297">
        <v>54.93</v>
      </c>
      <c r="J1297">
        <v>8</v>
      </c>
      <c r="K1297" s="37">
        <v>45630</v>
      </c>
      <c r="L1297" t="s">
        <v>109</v>
      </c>
      <c r="M1297">
        <v>332.47</v>
      </c>
      <c r="N1297">
        <v>9</v>
      </c>
      <c r="O1297" t="str">
        <f>"Q"&amp;ROUNDUP(MONTH(Transactions[[#This Row],[Transaction Date]])/3,0)</f>
        <v>Q4</v>
      </c>
      <c r="P1297">
        <f>YEAR(Transactions[[#This Row],[Transaction Date]])</f>
        <v>2024</v>
      </c>
      <c r="Q1297" t="str">
        <f>IF(Transactions[[#This Row],[Sales Amount]]&lt;AVERAGE(Transactions[Sales Amount]),"Below Average","At/Above Average")</f>
        <v>At/Above Average</v>
      </c>
    </row>
    <row r="1298" spans="4:17" x14ac:dyDescent="0.2">
      <c r="D1298" t="s">
        <v>1388</v>
      </c>
      <c r="E1298" t="s">
        <v>76</v>
      </c>
      <c r="F1298" t="s">
        <v>96</v>
      </c>
      <c r="G1298">
        <v>185</v>
      </c>
      <c r="H1298">
        <v>5</v>
      </c>
      <c r="I1298">
        <v>50.72</v>
      </c>
      <c r="J1298">
        <v>5</v>
      </c>
      <c r="K1298" s="37">
        <v>45216</v>
      </c>
      <c r="L1298" t="s">
        <v>109</v>
      </c>
      <c r="M1298">
        <v>332.47</v>
      </c>
      <c r="N1298">
        <v>24</v>
      </c>
      <c r="O1298" t="str">
        <f>"Q"&amp;ROUNDUP(MONTH(Transactions[[#This Row],[Transaction Date]])/3,0)</f>
        <v>Q4</v>
      </c>
      <c r="P1298">
        <f>YEAR(Transactions[[#This Row],[Transaction Date]])</f>
        <v>2023</v>
      </c>
      <c r="Q1298" t="str">
        <f>IF(Transactions[[#This Row],[Sales Amount]]&lt;AVERAGE(Transactions[Sales Amount]),"Below Average","At/Above Average")</f>
        <v>At/Above Average</v>
      </c>
    </row>
    <row r="1299" spans="4:17" x14ac:dyDescent="0.2">
      <c r="D1299" t="s">
        <v>1389</v>
      </c>
      <c r="E1299" t="s">
        <v>87</v>
      </c>
      <c r="F1299" t="s">
        <v>94</v>
      </c>
      <c r="G1299">
        <v>275</v>
      </c>
      <c r="H1299">
        <v>2</v>
      </c>
      <c r="I1299">
        <v>50.79</v>
      </c>
      <c r="J1299">
        <v>9</v>
      </c>
      <c r="K1299" s="37">
        <v>44744</v>
      </c>
      <c r="L1299" t="s">
        <v>102</v>
      </c>
      <c r="M1299">
        <v>85.06</v>
      </c>
      <c r="N1299">
        <v>25</v>
      </c>
      <c r="O1299" t="str">
        <f>"Q"&amp;ROUNDUP(MONTH(Transactions[[#This Row],[Transaction Date]])/3,0)</f>
        <v>Q3</v>
      </c>
      <c r="P1299">
        <f>YEAR(Transactions[[#This Row],[Transaction Date]])</f>
        <v>2022</v>
      </c>
      <c r="Q1299" t="str">
        <f>IF(Transactions[[#This Row],[Sales Amount]]&lt;AVERAGE(Transactions[Sales Amount]),"Below Average","At/Above Average")</f>
        <v>Below Average</v>
      </c>
    </row>
    <row r="1300" spans="4:17" x14ac:dyDescent="0.2">
      <c r="D1300" t="s">
        <v>1390</v>
      </c>
      <c r="E1300" t="s">
        <v>74</v>
      </c>
      <c r="F1300" t="s">
        <v>91</v>
      </c>
      <c r="G1300">
        <v>174</v>
      </c>
      <c r="H1300">
        <v>3</v>
      </c>
      <c r="I1300">
        <v>49.49</v>
      </c>
      <c r="J1300">
        <v>7</v>
      </c>
      <c r="K1300" s="37">
        <v>44934</v>
      </c>
      <c r="L1300" t="s">
        <v>89</v>
      </c>
      <c r="M1300">
        <v>286.38</v>
      </c>
      <c r="N1300">
        <v>11</v>
      </c>
      <c r="O1300" t="str">
        <f>"Q"&amp;ROUNDUP(MONTH(Transactions[[#This Row],[Transaction Date]])/3,0)</f>
        <v>Q1</v>
      </c>
      <c r="P1300">
        <f>YEAR(Transactions[[#This Row],[Transaction Date]])</f>
        <v>2023</v>
      </c>
      <c r="Q1300" t="str">
        <f>IF(Transactions[[#This Row],[Sales Amount]]&lt;AVERAGE(Transactions[Sales Amount]),"Below Average","At/Above Average")</f>
        <v>At/Above Average</v>
      </c>
    </row>
    <row r="1301" spans="4:17" x14ac:dyDescent="0.2">
      <c r="D1301" t="s">
        <v>1391</v>
      </c>
      <c r="E1301" t="s">
        <v>78</v>
      </c>
      <c r="F1301" t="s">
        <v>88</v>
      </c>
      <c r="G1301">
        <v>295</v>
      </c>
      <c r="H1301">
        <v>9</v>
      </c>
      <c r="I1301">
        <v>51.78</v>
      </c>
      <c r="J1301">
        <v>4</v>
      </c>
      <c r="K1301" s="37">
        <v>45053</v>
      </c>
      <c r="L1301" t="s">
        <v>124</v>
      </c>
      <c r="M1301">
        <v>195.66</v>
      </c>
      <c r="N1301">
        <v>18</v>
      </c>
      <c r="O1301" t="str">
        <f>"Q"&amp;ROUNDUP(MONTH(Transactions[[#This Row],[Transaction Date]])/3,0)</f>
        <v>Q2</v>
      </c>
      <c r="P1301">
        <f>YEAR(Transactions[[#This Row],[Transaction Date]])</f>
        <v>2023</v>
      </c>
      <c r="Q1301" t="str">
        <f>IF(Transactions[[#This Row],[Sales Amount]]&lt;AVERAGE(Transactions[Sales Amount]),"Below Average","At/Above Average")</f>
        <v>Below Average</v>
      </c>
    </row>
    <row r="1302" spans="4:17" x14ac:dyDescent="0.2">
      <c r="D1302" t="s">
        <v>1392</v>
      </c>
      <c r="E1302" t="s">
        <v>87</v>
      </c>
      <c r="F1302" t="s">
        <v>96</v>
      </c>
      <c r="G1302">
        <v>298</v>
      </c>
      <c r="H1302">
        <v>4</v>
      </c>
      <c r="I1302">
        <v>50.4</v>
      </c>
      <c r="J1302">
        <v>10</v>
      </c>
      <c r="K1302" s="37">
        <v>45143</v>
      </c>
      <c r="L1302" t="s">
        <v>124</v>
      </c>
      <c r="M1302">
        <v>168.71</v>
      </c>
      <c r="N1302">
        <v>34</v>
      </c>
      <c r="O1302" t="str">
        <f>"Q"&amp;ROUNDUP(MONTH(Transactions[[#This Row],[Transaction Date]])/3,0)</f>
        <v>Q3</v>
      </c>
      <c r="P1302">
        <f>YEAR(Transactions[[#This Row],[Transaction Date]])</f>
        <v>2023</v>
      </c>
      <c r="Q1302" t="str">
        <f>IF(Transactions[[#This Row],[Sales Amount]]&lt;AVERAGE(Transactions[Sales Amount]),"Below Average","At/Above Average")</f>
        <v>Below Average</v>
      </c>
    </row>
    <row r="1303" spans="4:17" x14ac:dyDescent="0.2">
      <c r="D1303" t="s">
        <v>1393</v>
      </c>
      <c r="E1303" t="s">
        <v>74</v>
      </c>
      <c r="F1303" t="s">
        <v>99</v>
      </c>
      <c r="G1303">
        <v>183</v>
      </c>
      <c r="H1303">
        <v>3</v>
      </c>
      <c r="I1303">
        <v>45.44</v>
      </c>
      <c r="J1303">
        <v>8</v>
      </c>
      <c r="K1303" s="37">
        <v>45347</v>
      </c>
      <c r="L1303" t="s">
        <v>109</v>
      </c>
      <c r="M1303">
        <v>317.42</v>
      </c>
      <c r="N1303">
        <v>40</v>
      </c>
      <c r="O1303" t="str">
        <f>"Q"&amp;ROUNDUP(MONTH(Transactions[[#This Row],[Transaction Date]])/3,0)</f>
        <v>Q1</v>
      </c>
      <c r="P1303">
        <f>YEAR(Transactions[[#This Row],[Transaction Date]])</f>
        <v>2024</v>
      </c>
      <c r="Q1303" t="str">
        <f>IF(Transactions[[#This Row],[Sales Amount]]&lt;AVERAGE(Transactions[Sales Amount]),"Below Average","At/Above Average")</f>
        <v>At/Above Average</v>
      </c>
    </row>
    <row r="1304" spans="4:17" x14ac:dyDescent="0.2">
      <c r="D1304" t="s">
        <v>1394</v>
      </c>
      <c r="E1304" t="s">
        <v>76</v>
      </c>
      <c r="F1304" t="s">
        <v>91</v>
      </c>
      <c r="G1304">
        <v>222</v>
      </c>
      <c r="H1304">
        <v>2</v>
      </c>
      <c r="I1304">
        <v>50.65</v>
      </c>
      <c r="J1304">
        <v>7</v>
      </c>
      <c r="K1304" s="37">
        <v>44834</v>
      </c>
      <c r="L1304" t="s">
        <v>109</v>
      </c>
      <c r="M1304">
        <v>339.38</v>
      </c>
      <c r="N1304">
        <v>37</v>
      </c>
      <c r="O1304" t="str">
        <f>"Q"&amp;ROUNDUP(MONTH(Transactions[[#This Row],[Transaction Date]])/3,0)</f>
        <v>Q3</v>
      </c>
      <c r="P1304">
        <f>YEAR(Transactions[[#This Row],[Transaction Date]])</f>
        <v>2022</v>
      </c>
      <c r="Q1304" t="str">
        <f>IF(Transactions[[#This Row],[Sales Amount]]&lt;AVERAGE(Transactions[Sales Amount]),"Below Average","At/Above Average")</f>
        <v>At/Above Average</v>
      </c>
    </row>
    <row r="1305" spans="4:17" x14ac:dyDescent="0.2">
      <c r="D1305" t="s">
        <v>1395</v>
      </c>
      <c r="E1305" t="s">
        <v>87</v>
      </c>
      <c r="F1305" t="s">
        <v>96</v>
      </c>
      <c r="G1305">
        <v>148</v>
      </c>
      <c r="H1305">
        <v>1</v>
      </c>
      <c r="I1305">
        <v>55.01</v>
      </c>
      <c r="J1305">
        <v>4</v>
      </c>
      <c r="K1305" s="37">
        <v>44840</v>
      </c>
      <c r="L1305" t="s">
        <v>102</v>
      </c>
      <c r="M1305">
        <v>481.58</v>
      </c>
      <c r="N1305">
        <v>38</v>
      </c>
      <c r="O1305" t="str">
        <f>"Q"&amp;ROUNDUP(MONTH(Transactions[[#This Row],[Transaction Date]])/3,0)</f>
        <v>Q4</v>
      </c>
      <c r="P1305">
        <f>YEAR(Transactions[[#This Row],[Transaction Date]])</f>
        <v>2022</v>
      </c>
      <c r="Q1305" t="str">
        <f>IF(Transactions[[#This Row],[Sales Amount]]&lt;AVERAGE(Transactions[Sales Amount]),"Below Average","At/Above Average")</f>
        <v>At/Above Average</v>
      </c>
    </row>
    <row r="1306" spans="4:17" x14ac:dyDescent="0.2">
      <c r="D1306" t="s">
        <v>1396</v>
      </c>
      <c r="E1306" t="s">
        <v>76</v>
      </c>
      <c r="F1306" t="s">
        <v>96</v>
      </c>
      <c r="G1306">
        <v>114</v>
      </c>
      <c r="H1306">
        <v>5</v>
      </c>
      <c r="I1306">
        <v>51.9</v>
      </c>
      <c r="J1306">
        <v>9</v>
      </c>
      <c r="K1306" s="37">
        <v>45435</v>
      </c>
      <c r="L1306" t="s">
        <v>89</v>
      </c>
      <c r="M1306">
        <v>372.58</v>
      </c>
      <c r="N1306">
        <v>5</v>
      </c>
      <c r="O1306" t="str">
        <f>"Q"&amp;ROUNDUP(MONTH(Transactions[[#This Row],[Transaction Date]])/3,0)</f>
        <v>Q2</v>
      </c>
      <c r="P1306">
        <f>YEAR(Transactions[[#This Row],[Transaction Date]])</f>
        <v>2024</v>
      </c>
      <c r="Q1306" t="str">
        <f>IF(Transactions[[#This Row],[Sales Amount]]&lt;AVERAGE(Transactions[Sales Amount]),"Below Average","At/Above Average")</f>
        <v>At/Above Average</v>
      </c>
    </row>
    <row r="1307" spans="4:17" x14ac:dyDescent="0.2">
      <c r="D1307" t="s">
        <v>1397</v>
      </c>
      <c r="E1307" t="s">
        <v>74</v>
      </c>
      <c r="F1307" t="s">
        <v>129</v>
      </c>
      <c r="G1307">
        <v>299</v>
      </c>
      <c r="H1307">
        <v>4</v>
      </c>
      <c r="I1307">
        <v>52.55</v>
      </c>
      <c r="J1307">
        <v>3</v>
      </c>
      <c r="K1307" s="37">
        <v>45219</v>
      </c>
      <c r="L1307" t="s">
        <v>97</v>
      </c>
      <c r="M1307">
        <v>265.83999999999997</v>
      </c>
      <c r="N1307">
        <v>5</v>
      </c>
      <c r="O1307" t="str">
        <f>"Q"&amp;ROUNDUP(MONTH(Transactions[[#This Row],[Transaction Date]])/3,0)</f>
        <v>Q4</v>
      </c>
      <c r="P1307">
        <f>YEAR(Transactions[[#This Row],[Transaction Date]])</f>
        <v>2023</v>
      </c>
      <c r="Q1307" t="str">
        <f>IF(Transactions[[#This Row],[Sales Amount]]&lt;AVERAGE(Transactions[Sales Amount]),"Below Average","At/Above Average")</f>
        <v>At/Above Average</v>
      </c>
    </row>
    <row r="1308" spans="4:17" x14ac:dyDescent="0.2">
      <c r="D1308" t="s">
        <v>1398</v>
      </c>
      <c r="E1308" t="s">
        <v>78</v>
      </c>
      <c r="F1308" t="s">
        <v>129</v>
      </c>
      <c r="G1308">
        <v>274</v>
      </c>
      <c r="H1308">
        <v>2</v>
      </c>
      <c r="I1308">
        <v>45.54</v>
      </c>
      <c r="J1308">
        <v>4</v>
      </c>
      <c r="K1308" s="37">
        <v>44570</v>
      </c>
      <c r="L1308" t="s">
        <v>97</v>
      </c>
      <c r="M1308">
        <v>271.04000000000002</v>
      </c>
      <c r="N1308">
        <v>25</v>
      </c>
      <c r="O1308" t="str">
        <f>"Q"&amp;ROUNDUP(MONTH(Transactions[[#This Row],[Transaction Date]])/3,0)</f>
        <v>Q1</v>
      </c>
      <c r="P1308">
        <f>YEAR(Transactions[[#This Row],[Transaction Date]])</f>
        <v>2022</v>
      </c>
      <c r="Q1308" t="str">
        <f>IF(Transactions[[#This Row],[Sales Amount]]&lt;AVERAGE(Transactions[Sales Amount]),"Below Average","At/Above Average")</f>
        <v>At/Above Average</v>
      </c>
    </row>
    <row r="1309" spans="4:17" x14ac:dyDescent="0.2">
      <c r="D1309" t="s">
        <v>1399</v>
      </c>
      <c r="E1309" t="s">
        <v>77</v>
      </c>
      <c r="F1309" t="s">
        <v>88</v>
      </c>
      <c r="G1309">
        <v>150</v>
      </c>
      <c r="H1309">
        <v>7</v>
      </c>
      <c r="I1309">
        <v>53.27</v>
      </c>
      <c r="J1309">
        <v>4</v>
      </c>
      <c r="K1309" s="37">
        <v>44732</v>
      </c>
      <c r="L1309" t="s">
        <v>109</v>
      </c>
      <c r="M1309">
        <v>283.64</v>
      </c>
      <c r="N1309">
        <v>13</v>
      </c>
      <c r="O1309" t="str">
        <f>"Q"&amp;ROUNDUP(MONTH(Transactions[[#This Row],[Transaction Date]])/3,0)</f>
        <v>Q2</v>
      </c>
      <c r="P1309">
        <f>YEAR(Transactions[[#This Row],[Transaction Date]])</f>
        <v>2022</v>
      </c>
      <c r="Q1309" t="str">
        <f>IF(Transactions[[#This Row],[Sales Amount]]&lt;AVERAGE(Transactions[Sales Amount]),"Below Average","At/Above Average")</f>
        <v>At/Above Average</v>
      </c>
    </row>
    <row r="1310" spans="4:17" x14ac:dyDescent="0.2">
      <c r="D1310" t="s">
        <v>1400</v>
      </c>
      <c r="E1310" t="s">
        <v>74</v>
      </c>
      <c r="F1310" t="s">
        <v>129</v>
      </c>
      <c r="G1310">
        <v>299</v>
      </c>
      <c r="H1310">
        <v>9</v>
      </c>
      <c r="I1310">
        <v>49.08</v>
      </c>
      <c r="J1310">
        <v>2</v>
      </c>
      <c r="K1310" s="37">
        <v>45479</v>
      </c>
      <c r="L1310" t="s">
        <v>102</v>
      </c>
      <c r="M1310">
        <v>482.8</v>
      </c>
      <c r="N1310">
        <v>39</v>
      </c>
      <c r="O1310" t="str">
        <f>"Q"&amp;ROUNDUP(MONTH(Transactions[[#This Row],[Transaction Date]])/3,0)</f>
        <v>Q3</v>
      </c>
      <c r="P1310">
        <f>YEAR(Transactions[[#This Row],[Transaction Date]])</f>
        <v>2024</v>
      </c>
      <c r="Q1310" t="str">
        <f>IF(Transactions[[#This Row],[Sales Amount]]&lt;AVERAGE(Transactions[Sales Amount]),"Below Average","At/Above Average")</f>
        <v>At/Above Average</v>
      </c>
    </row>
    <row r="1311" spans="4:17" x14ac:dyDescent="0.2">
      <c r="D1311" t="s">
        <v>1401</v>
      </c>
      <c r="E1311" t="s">
        <v>75</v>
      </c>
      <c r="F1311" t="s">
        <v>88</v>
      </c>
      <c r="G1311">
        <v>150</v>
      </c>
      <c r="H1311">
        <v>1</v>
      </c>
      <c r="I1311">
        <v>53.07</v>
      </c>
      <c r="J1311">
        <v>2</v>
      </c>
      <c r="K1311" s="37">
        <v>44821</v>
      </c>
      <c r="L1311" t="s">
        <v>92</v>
      </c>
      <c r="M1311">
        <v>450.64</v>
      </c>
      <c r="N1311">
        <v>33</v>
      </c>
      <c r="O1311" t="str">
        <f>"Q"&amp;ROUNDUP(MONTH(Transactions[[#This Row],[Transaction Date]])/3,0)</f>
        <v>Q3</v>
      </c>
      <c r="P1311">
        <f>YEAR(Transactions[[#This Row],[Transaction Date]])</f>
        <v>2022</v>
      </c>
      <c r="Q1311" t="str">
        <f>IF(Transactions[[#This Row],[Sales Amount]]&lt;AVERAGE(Transactions[Sales Amount]),"Below Average","At/Above Average")</f>
        <v>At/Above Average</v>
      </c>
    </row>
    <row r="1312" spans="4:17" x14ac:dyDescent="0.2">
      <c r="D1312" t="s">
        <v>1402</v>
      </c>
      <c r="E1312" t="s">
        <v>75</v>
      </c>
      <c r="F1312" t="s">
        <v>105</v>
      </c>
      <c r="G1312">
        <v>288</v>
      </c>
      <c r="H1312">
        <v>5</v>
      </c>
      <c r="I1312">
        <v>53.48</v>
      </c>
      <c r="J1312">
        <v>1</v>
      </c>
      <c r="K1312" s="37">
        <v>44829</v>
      </c>
      <c r="L1312" t="s">
        <v>89</v>
      </c>
      <c r="M1312">
        <v>175.23</v>
      </c>
      <c r="N1312">
        <v>5</v>
      </c>
      <c r="O1312" t="str">
        <f>"Q"&amp;ROUNDUP(MONTH(Transactions[[#This Row],[Transaction Date]])/3,0)</f>
        <v>Q3</v>
      </c>
      <c r="P1312">
        <f>YEAR(Transactions[[#This Row],[Transaction Date]])</f>
        <v>2022</v>
      </c>
      <c r="Q1312" t="str">
        <f>IF(Transactions[[#This Row],[Sales Amount]]&lt;AVERAGE(Transactions[Sales Amount]),"Below Average","At/Above Average")</f>
        <v>Below Average</v>
      </c>
    </row>
    <row r="1313" spans="4:17" x14ac:dyDescent="0.2">
      <c r="D1313" t="s">
        <v>1403</v>
      </c>
      <c r="E1313" t="s">
        <v>75</v>
      </c>
      <c r="F1313" t="s">
        <v>105</v>
      </c>
      <c r="G1313">
        <v>207</v>
      </c>
      <c r="H1313">
        <v>7</v>
      </c>
      <c r="I1313">
        <v>45.81</v>
      </c>
      <c r="J1313">
        <v>9</v>
      </c>
      <c r="K1313" s="37">
        <v>45446</v>
      </c>
      <c r="L1313" t="s">
        <v>102</v>
      </c>
      <c r="M1313">
        <v>157.46</v>
      </c>
      <c r="N1313">
        <v>30</v>
      </c>
      <c r="O1313" t="str">
        <f>"Q"&amp;ROUNDUP(MONTH(Transactions[[#This Row],[Transaction Date]])/3,0)</f>
        <v>Q2</v>
      </c>
      <c r="P1313">
        <f>YEAR(Transactions[[#This Row],[Transaction Date]])</f>
        <v>2024</v>
      </c>
      <c r="Q1313" t="str">
        <f>IF(Transactions[[#This Row],[Sales Amount]]&lt;AVERAGE(Transactions[Sales Amount]),"Below Average","At/Above Average")</f>
        <v>Below Average</v>
      </c>
    </row>
    <row r="1314" spans="4:17" x14ac:dyDescent="0.2">
      <c r="D1314" t="s">
        <v>1404</v>
      </c>
      <c r="E1314" t="s">
        <v>78</v>
      </c>
      <c r="F1314" t="s">
        <v>129</v>
      </c>
      <c r="G1314">
        <v>177</v>
      </c>
      <c r="H1314">
        <v>6</v>
      </c>
      <c r="I1314">
        <v>53.41</v>
      </c>
      <c r="J1314">
        <v>7</v>
      </c>
      <c r="K1314" s="37">
        <v>45396</v>
      </c>
      <c r="L1314" t="s">
        <v>92</v>
      </c>
      <c r="M1314">
        <v>92.1</v>
      </c>
      <c r="N1314">
        <v>22</v>
      </c>
      <c r="O1314" t="str">
        <f>"Q"&amp;ROUNDUP(MONTH(Transactions[[#This Row],[Transaction Date]])/3,0)</f>
        <v>Q2</v>
      </c>
      <c r="P1314">
        <f>YEAR(Transactions[[#This Row],[Transaction Date]])</f>
        <v>2024</v>
      </c>
      <c r="Q1314" t="str">
        <f>IF(Transactions[[#This Row],[Sales Amount]]&lt;AVERAGE(Transactions[Sales Amount]),"Below Average","At/Above Average")</f>
        <v>Below Average</v>
      </c>
    </row>
    <row r="1315" spans="4:17" x14ac:dyDescent="0.2">
      <c r="D1315" t="s">
        <v>1405</v>
      </c>
      <c r="E1315" t="s">
        <v>75</v>
      </c>
      <c r="F1315" t="s">
        <v>105</v>
      </c>
      <c r="G1315">
        <v>197</v>
      </c>
      <c r="H1315">
        <v>5</v>
      </c>
      <c r="I1315">
        <v>56.06</v>
      </c>
      <c r="J1315">
        <v>10</v>
      </c>
      <c r="K1315" s="37">
        <v>45598</v>
      </c>
      <c r="L1315" t="s">
        <v>89</v>
      </c>
      <c r="M1315">
        <v>447.99</v>
      </c>
      <c r="N1315">
        <v>35</v>
      </c>
      <c r="O1315" t="str">
        <f>"Q"&amp;ROUNDUP(MONTH(Transactions[[#This Row],[Transaction Date]])/3,0)</f>
        <v>Q4</v>
      </c>
      <c r="P1315">
        <f>YEAR(Transactions[[#This Row],[Transaction Date]])</f>
        <v>2024</v>
      </c>
      <c r="Q1315" t="str">
        <f>IF(Transactions[[#This Row],[Sales Amount]]&lt;AVERAGE(Transactions[Sales Amount]),"Below Average","At/Above Average")</f>
        <v>At/Above Average</v>
      </c>
    </row>
    <row r="1316" spans="4:17" x14ac:dyDescent="0.2">
      <c r="D1316" t="s">
        <v>1406</v>
      </c>
      <c r="E1316" t="s">
        <v>76</v>
      </c>
      <c r="F1316" t="s">
        <v>105</v>
      </c>
      <c r="G1316">
        <v>283</v>
      </c>
      <c r="H1316">
        <v>3</v>
      </c>
      <c r="I1316">
        <v>55.86</v>
      </c>
      <c r="J1316">
        <v>1</v>
      </c>
      <c r="K1316" s="37">
        <v>45294</v>
      </c>
      <c r="L1316" t="s">
        <v>109</v>
      </c>
      <c r="M1316">
        <v>100.83</v>
      </c>
      <c r="N1316">
        <v>49</v>
      </c>
      <c r="O1316" t="str">
        <f>"Q"&amp;ROUNDUP(MONTH(Transactions[[#This Row],[Transaction Date]])/3,0)</f>
        <v>Q1</v>
      </c>
      <c r="P1316">
        <f>YEAR(Transactions[[#This Row],[Transaction Date]])</f>
        <v>2024</v>
      </c>
      <c r="Q1316" t="str">
        <f>IF(Transactions[[#This Row],[Sales Amount]]&lt;AVERAGE(Transactions[Sales Amount]),"Below Average","At/Above Average")</f>
        <v>Below Average</v>
      </c>
    </row>
    <row r="1317" spans="4:17" x14ac:dyDescent="0.2">
      <c r="D1317" t="s">
        <v>1407</v>
      </c>
      <c r="E1317" t="s">
        <v>74</v>
      </c>
      <c r="F1317" t="s">
        <v>91</v>
      </c>
      <c r="G1317">
        <v>260</v>
      </c>
      <c r="H1317">
        <v>6</v>
      </c>
      <c r="I1317">
        <v>53.89</v>
      </c>
      <c r="J1317">
        <v>2</v>
      </c>
      <c r="K1317" s="37">
        <v>45628</v>
      </c>
      <c r="L1317" t="s">
        <v>97</v>
      </c>
      <c r="M1317">
        <v>235.39</v>
      </c>
      <c r="N1317">
        <v>6</v>
      </c>
      <c r="O1317" t="str">
        <f>"Q"&amp;ROUNDUP(MONTH(Transactions[[#This Row],[Transaction Date]])/3,0)</f>
        <v>Q4</v>
      </c>
      <c r="P1317">
        <f>YEAR(Transactions[[#This Row],[Transaction Date]])</f>
        <v>2024</v>
      </c>
      <c r="Q1317" t="str">
        <f>IF(Transactions[[#This Row],[Sales Amount]]&lt;AVERAGE(Transactions[Sales Amount]),"Below Average","At/Above Average")</f>
        <v>Below Average</v>
      </c>
    </row>
    <row r="1318" spans="4:17" x14ac:dyDescent="0.2">
      <c r="D1318" t="s">
        <v>1408</v>
      </c>
      <c r="E1318" t="s">
        <v>75</v>
      </c>
      <c r="F1318" t="s">
        <v>94</v>
      </c>
      <c r="G1318">
        <v>108</v>
      </c>
      <c r="H1318">
        <v>10</v>
      </c>
      <c r="I1318">
        <v>57.13</v>
      </c>
      <c r="J1318">
        <v>5</v>
      </c>
      <c r="K1318" s="37">
        <v>45243</v>
      </c>
      <c r="L1318" t="s">
        <v>89</v>
      </c>
      <c r="M1318">
        <v>478.33</v>
      </c>
      <c r="N1318">
        <v>41</v>
      </c>
      <c r="O1318" t="str">
        <f>"Q"&amp;ROUNDUP(MONTH(Transactions[[#This Row],[Transaction Date]])/3,0)</f>
        <v>Q4</v>
      </c>
      <c r="P1318">
        <f>YEAR(Transactions[[#This Row],[Transaction Date]])</f>
        <v>2023</v>
      </c>
      <c r="Q1318" t="str">
        <f>IF(Transactions[[#This Row],[Sales Amount]]&lt;AVERAGE(Transactions[Sales Amount]),"Below Average","At/Above Average")</f>
        <v>At/Above Average</v>
      </c>
    </row>
    <row r="1319" spans="4:17" x14ac:dyDescent="0.2">
      <c r="D1319" t="s">
        <v>1409</v>
      </c>
      <c r="E1319" t="s">
        <v>87</v>
      </c>
      <c r="F1319" t="s">
        <v>129</v>
      </c>
      <c r="G1319">
        <v>276</v>
      </c>
      <c r="H1319">
        <v>4</v>
      </c>
      <c r="I1319">
        <v>50.5</v>
      </c>
      <c r="J1319">
        <v>9</v>
      </c>
      <c r="K1319" s="37">
        <v>45527</v>
      </c>
      <c r="L1319" t="s">
        <v>92</v>
      </c>
      <c r="M1319">
        <v>460.89</v>
      </c>
      <c r="N1319">
        <v>50</v>
      </c>
      <c r="O1319" t="str">
        <f>"Q"&amp;ROUNDUP(MONTH(Transactions[[#This Row],[Transaction Date]])/3,0)</f>
        <v>Q3</v>
      </c>
      <c r="P1319">
        <f>YEAR(Transactions[[#This Row],[Transaction Date]])</f>
        <v>2024</v>
      </c>
      <c r="Q1319" t="str">
        <f>IF(Transactions[[#This Row],[Sales Amount]]&lt;AVERAGE(Transactions[Sales Amount]),"Below Average","At/Above Average")</f>
        <v>At/Above Average</v>
      </c>
    </row>
    <row r="1320" spans="4:17" x14ac:dyDescent="0.2">
      <c r="D1320" t="s">
        <v>1410</v>
      </c>
      <c r="E1320" t="s">
        <v>78</v>
      </c>
      <c r="F1320" t="s">
        <v>99</v>
      </c>
      <c r="G1320">
        <v>277</v>
      </c>
      <c r="H1320">
        <v>9</v>
      </c>
      <c r="I1320">
        <v>54.52</v>
      </c>
      <c r="J1320">
        <v>2</v>
      </c>
      <c r="K1320" s="37">
        <v>45633</v>
      </c>
      <c r="L1320" t="s">
        <v>102</v>
      </c>
      <c r="M1320">
        <v>157.25</v>
      </c>
      <c r="N1320">
        <v>3</v>
      </c>
      <c r="O1320" t="str">
        <f>"Q"&amp;ROUNDUP(MONTH(Transactions[[#This Row],[Transaction Date]])/3,0)</f>
        <v>Q4</v>
      </c>
      <c r="P1320">
        <f>YEAR(Transactions[[#This Row],[Transaction Date]])</f>
        <v>2024</v>
      </c>
      <c r="Q1320" t="str">
        <f>IF(Transactions[[#This Row],[Sales Amount]]&lt;AVERAGE(Transactions[Sales Amount]),"Below Average","At/Above Average")</f>
        <v>Below Average</v>
      </c>
    </row>
    <row r="1321" spans="4:17" x14ac:dyDescent="0.2">
      <c r="D1321" t="s">
        <v>1411</v>
      </c>
      <c r="E1321" t="s">
        <v>76</v>
      </c>
      <c r="F1321" t="s">
        <v>99</v>
      </c>
      <c r="G1321">
        <v>162</v>
      </c>
      <c r="H1321">
        <v>4</v>
      </c>
      <c r="I1321">
        <v>48.44</v>
      </c>
      <c r="J1321">
        <v>10</v>
      </c>
      <c r="K1321" s="37">
        <v>45265</v>
      </c>
      <c r="L1321" t="s">
        <v>102</v>
      </c>
      <c r="M1321">
        <v>98.86</v>
      </c>
      <c r="N1321">
        <v>10</v>
      </c>
      <c r="O1321" t="str">
        <f>"Q"&amp;ROUNDUP(MONTH(Transactions[[#This Row],[Transaction Date]])/3,0)</f>
        <v>Q4</v>
      </c>
      <c r="P1321">
        <f>YEAR(Transactions[[#This Row],[Transaction Date]])</f>
        <v>2023</v>
      </c>
      <c r="Q1321" t="str">
        <f>IF(Transactions[[#This Row],[Sales Amount]]&lt;AVERAGE(Transactions[Sales Amount]),"Below Average","At/Above Average")</f>
        <v>Below Average</v>
      </c>
    </row>
    <row r="1322" spans="4:17" x14ac:dyDescent="0.2">
      <c r="D1322" t="s">
        <v>1412</v>
      </c>
      <c r="E1322" t="s">
        <v>78</v>
      </c>
      <c r="F1322" t="s">
        <v>88</v>
      </c>
      <c r="G1322">
        <v>107</v>
      </c>
      <c r="H1322">
        <v>10</v>
      </c>
      <c r="I1322">
        <v>50.2</v>
      </c>
      <c r="J1322">
        <v>8</v>
      </c>
      <c r="K1322" s="37">
        <v>44994</v>
      </c>
      <c r="L1322" t="s">
        <v>109</v>
      </c>
      <c r="M1322">
        <v>200.39</v>
      </c>
      <c r="N1322">
        <v>38</v>
      </c>
      <c r="O1322" t="str">
        <f>"Q"&amp;ROUNDUP(MONTH(Transactions[[#This Row],[Transaction Date]])/3,0)</f>
        <v>Q1</v>
      </c>
      <c r="P1322">
        <f>YEAR(Transactions[[#This Row],[Transaction Date]])</f>
        <v>2023</v>
      </c>
      <c r="Q1322" t="str">
        <f>IF(Transactions[[#This Row],[Sales Amount]]&lt;AVERAGE(Transactions[Sales Amount]),"Below Average","At/Above Average")</f>
        <v>Below Average</v>
      </c>
    </row>
    <row r="1323" spans="4:17" x14ac:dyDescent="0.2">
      <c r="D1323" t="s">
        <v>1413</v>
      </c>
      <c r="E1323" t="s">
        <v>75</v>
      </c>
      <c r="F1323" t="s">
        <v>94</v>
      </c>
      <c r="G1323">
        <v>294</v>
      </c>
      <c r="H1323">
        <v>4</v>
      </c>
      <c r="I1323">
        <v>46.53</v>
      </c>
      <c r="J1323">
        <v>1</v>
      </c>
      <c r="K1323" s="37">
        <v>45053</v>
      </c>
      <c r="L1323" t="s">
        <v>102</v>
      </c>
      <c r="M1323">
        <v>85.37</v>
      </c>
      <c r="N1323">
        <v>6</v>
      </c>
      <c r="O1323" t="str">
        <f>"Q"&amp;ROUNDUP(MONTH(Transactions[[#This Row],[Transaction Date]])/3,0)</f>
        <v>Q2</v>
      </c>
      <c r="P1323">
        <f>YEAR(Transactions[[#This Row],[Transaction Date]])</f>
        <v>2023</v>
      </c>
      <c r="Q1323" t="str">
        <f>IF(Transactions[[#This Row],[Sales Amount]]&lt;AVERAGE(Transactions[Sales Amount]),"Below Average","At/Above Average")</f>
        <v>Below Average</v>
      </c>
    </row>
    <row r="1324" spans="4:17" x14ac:dyDescent="0.2">
      <c r="D1324" t="s">
        <v>1414</v>
      </c>
      <c r="E1324" t="s">
        <v>76</v>
      </c>
      <c r="F1324" t="s">
        <v>129</v>
      </c>
      <c r="G1324">
        <v>139</v>
      </c>
      <c r="H1324">
        <v>6</v>
      </c>
      <c r="I1324">
        <v>48.79</v>
      </c>
      <c r="J1324">
        <v>4</v>
      </c>
      <c r="K1324" s="37">
        <v>44772</v>
      </c>
      <c r="L1324" t="s">
        <v>102</v>
      </c>
      <c r="M1324">
        <v>257.67</v>
      </c>
      <c r="N1324">
        <v>34</v>
      </c>
      <c r="O1324" t="str">
        <f>"Q"&amp;ROUNDUP(MONTH(Transactions[[#This Row],[Transaction Date]])/3,0)</f>
        <v>Q3</v>
      </c>
      <c r="P1324">
        <f>YEAR(Transactions[[#This Row],[Transaction Date]])</f>
        <v>2022</v>
      </c>
      <c r="Q1324" t="str">
        <f>IF(Transactions[[#This Row],[Sales Amount]]&lt;AVERAGE(Transactions[Sales Amount]),"Below Average","At/Above Average")</f>
        <v>Below Average</v>
      </c>
    </row>
    <row r="1325" spans="4:17" x14ac:dyDescent="0.2">
      <c r="D1325" t="s">
        <v>1415</v>
      </c>
      <c r="E1325" t="s">
        <v>87</v>
      </c>
      <c r="F1325" t="s">
        <v>88</v>
      </c>
      <c r="G1325">
        <v>134</v>
      </c>
      <c r="H1325">
        <v>5</v>
      </c>
      <c r="I1325">
        <v>57.15</v>
      </c>
      <c r="J1325">
        <v>3</v>
      </c>
      <c r="K1325" s="37">
        <v>45641</v>
      </c>
      <c r="L1325" t="s">
        <v>89</v>
      </c>
      <c r="M1325">
        <v>306.79000000000002</v>
      </c>
      <c r="N1325">
        <v>20</v>
      </c>
      <c r="O1325" t="str">
        <f>"Q"&amp;ROUNDUP(MONTH(Transactions[[#This Row],[Transaction Date]])/3,0)</f>
        <v>Q4</v>
      </c>
      <c r="P1325">
        <f>YEAR(Transactions[[#This Row],[Transaction Date]])</f>
        <v>2024</v>
      </c>
      <c r="Q1325" t="str">
        <f>IF(Transactions[[#This Row],[Sales Amount]]&lt;AVERAGE(Transactions[Sales Amount]),"Below Average","At/Above Average")</f>
        <v>At/Above Average</v>
      </c>
    </row>
    <row r="1326" spans="4:17" x14ac:dyDescent="0.2">
      <c r="D1326" t="s">
        <v>1416</v>
      </c>
      <c r="E1326" t="s">
        <v>76</v>
      </c>
      <c r="F1326" t="s">
        <v>99</v>
      </c>
      <c r="G1326">
        <v>285</v>
      </c>
      <c r="H1326">
        <v>10</v>
      </c>
      <c r="I1326">
        <v>51.89</v>
      </c>
      <c r="J1326">
        <v>10</v>
      </c>
      <c r="K1326" s="37">
        <v>45005</v>
      </c>
      <c r="L1326" t="s">
        <v>92</v>
      </c>
      <c r="M1326">
        <v>291.38</v>
      </c>
      <c r="N1326">
        <v>20</v>
      </c>
      <c r="O1326" t="str">
        <f>"Q"&amp;ROUNDUP(MONTH(Transactions[[#This Row],[Transaction Date]])/3,0)</f>
        <v>Q1</v>
      </c>
      <c r="P1326">
        <f>YEAR(Transactions[[#This Row],[Transaction Date]])</f>
        <v>2023</v>
      </c>
      <c r="Q1326" t="str">
        <f>IF(Transactions[[#This Row],[Sales Amount]]&lt;AVERAGE(Transactions[Sales Amount]),"Below Average","At/Above Average")</f>
        <v>At/Above Average</v>
      </c>
    </row>
    <row r="1327" spans="4:17" x14ac:dyDescent="0.2">
      <c r="D1327" t="s">
        <v>1417</v>
      </c>
      <c r="E1327" t="s">
        <v>76</v>
      </c>
      <c r="F1327" t="s">
        <v>108</v>
      </c>
      <c r="G1327">
        <v>250</v>
      </c>
      <c r="H1327">
        <v>9</v>
      </c>
      <c r="I1327">
        <v>53.9</v>
      </c>
      <c r="J1327">
        <v>8</v>
      </c>
      <c r="K1327" s="37">
        <v>45492</v>
      </c>
      <c r="L1327" t="s">
        <v>124</v>
      </c>
      <c r="M1327">
        <v>305.45</v>
      </c>
      <c r="N1327">
        <v>26</v>
      </c>
      <c r="O1327" t="str">
        <f>"Q"&amp;ROUNDUP(MONTH(Transactions[[#This Row],[Transaction Date]])/3,0)</f>
        <v>Q3</v>
      </c>
      <c r="P1327">
        <f>YEAR(Transactions[[#This Row],[Transaction Date]])</f>
        <v>2024</v>
      </c>
      <c r="Q1327" t="str">
        <f>IF(Transactions[[#This Row],[Sales Amount]]&lt;AVERAGE(Transactions[Sales Amount]),"Below Average","At/Above Average")</f>
        <v>At/Above Average</v>
      </c>
    </row>
    <row r="1328" spans="4:17" x14ac:dyDescent="0.2">
      <c r="D1328" t="s">
        <v>1418</v>
      </c>
      <c r="E1328" t="s">
        <v>78</v>
      </c>
      <c r="F1328" t="s">
        <v>94</v>
      </c>
      <c r="G1328">
        <v>109</v>
      </c>
      <c r="H1328">
        <v>6</v>
      </c>
      <c r="I1328">
        <v>52.42</v>
      </c>
      <c r="J1328">
        <v>10</v>
      </c>
      <c r="K1328" s="37">
        <v>45393</v>
      </c>
      <c r="L1328" t="s">
        <v>97</v>
      </c>
      <c r="M1328">
        <v>334.42</v>
      </c>
      <c r="N1328">
        <v>42</v>
      </c>
      <c r="O1328" t="str">
        <f>"Q"&amp;ROUNDUP(MONTH(Transactions[[#This Row],[Transaction Date]])/3,0)</f>
        <v>Q2</v>
      </c>
      <c r="P1328">
        <f>YEAR(Transactions[[#This Row],[Transaction Date]])</f>
        <v>2024</v>
      </c>
      <c r="Q1328" t="str">
        <f>IF(Transactions[[#This Row],[Sales Amount]]&lt;AVERAGE(Transactions[Sales Amount]),"Below Average","At/Above Average")</f>
        <v>At/Above Average</v>
      </c>
    </row>
    <row r="1329" spans="4:17" x14ac:dyDescent="0.2">
      <c r="D1329" t="s">
        <v>1419</v>
      </c>
      <c r="E1329" t="s">
        <v>74</v>
      </c>
      <c r="F1329" t="s">
        <v>96</v>
      </c>
      <c r="G1329">
        <v>136</v>
      </c>
      <c r="H1329">
        <v>1</v>
      </c>
      <c r="I1329">
        <v>59.33</v>
      </c>
      <c r="J1329">
        <v>1</v>
      </c>
      <c r="K1329" s="37">
        <v>44865</v>
      </c>
      <c r="L1329" t="s">
        <v>124</v>
      </c>
      <c r="M1329">
        <v>102.25</v>
      </c>
      <c r="N1329">
        <v>45</v>
      </c>
      <c r="O1329" t="str">
        <f>"Q"&amp;ROUNDUP(MONTH(Transactions[[#This Row],[Transaction Date]])/3,0)</f>
        <v>Q4</v>
      </c>
      <c r="P1329">
        <f>YEAR(Transactions[[#This Row],[Transaction Date]])</f>
        <v>2022</v>
      </c>
      <c r="Q1329" t="str">
        <f>IF(Transactions[[#This Row],[Sales Amount]]&lt;AVERAGE(Transactions[Sales Amount]),"Below Average","At/Above Average")</f>
        <v>Below Average</v>
      </c>
    </row>
    <row r="1330" spans="4:17" x14ac:dyDescent="0.2">
      <c r="D1330" t="s">
        <v>1420</v>
      </c>
      <c r="E1330" t="s">
        <v>87</v>
      </c>
      <c r="F1330" t="s">
        <v>129</v>
      </c>
      <c r="G1330">
        <v>213</v>
      </c>
      <c r="H1330">
        <v>2</v>
      </c>
      <c r="I1330">
        <v>56.15</v>
      </c>
      <c r="J1330">
        <v>7</v>
      </c>
      <c r="K1330" s="37">
        <v>45058</v>
      </c>
      <c r="L1330" t="s">
        <v>124</v>
      </c>
      <c r="M1330">
        <v>145.94999999999999</v>
      </c>
      <c r="N1330">
        <v>45</v>
      </c>
      <c r="O1330" t="str">
        <f>"Q"&amp;ROUNDUP(MONTH(Transactions[[#This Row],[Transaction Date]])/3,0)</f>
        <v>Q2</v>
      </c>
      <c r="P1330">
        <f>YEAR(Transactions[[#This Row],[Transaction Date]])</f>
        <v>2023</v>
      </c>
      <c r="Q1330" t="str">
        <f>IF(Transactions[[#This Row],[Sales Amount]]&lt;AVERAGE(Transactions[Sales Amount]),"Below Average","At/Above Average")</f>
        <v>Below Average</v>
      </c>
    </row>
    <row r="1331" spans="4:17" x14ac:dyDescent="0.2">
      <c r="D1331" t="s">
        <v>1421</v>
      </c>
      <c r="E1331" t="s">
        <v>74</v>
      </c>
      <c r="F1331" t="s">
        <v>105</v>
      </c>
      <c r="G1331">
        <v>228</v>
      </c>
      <c r="H1331">
        <v>2</v>
      </c>
      <c r="I1331">
        <v>58.18</v>
      </c>
      <c r="J1331">
        <v>3</v>
      </c>
      <c r="K1331" s="37">
        <v>44758</v>
      </c>
      <c r="L1331" t="s">
        <v>92</v>
      </c>
      <c r="M1331">
        <v>21.15</v>
      </c>
      <c r="N1331">
        <v>24</v>
      </c>
      <c r="O1331" t="str">
        <f>"Q"&amp;ROUNDUP(MONTH(Transactions[[#This Row],[Transaction Date]])/3,0)</f>
        <v>Q3</v>
      </c>
      <c r="P1331">
        <f>YEAR(Transactions[[#This Row],[Transaction Date]])</f>
        <v>2022</v>
      </c>
      <c r="Q1331" t="str">
        <f>IF(Transactions[[#This Row],[Sales Amount]]&lt;AVERAGE(Transactions[Sales Amount]),"Below Average","At/Above Average")</f>
        <v>Below Average</v>
      </c>
    </row>
    <row r="1332" spans="4:17" x14ac:dyDescent="0.2">
      <c r="D1332" t="s">
        <v>1422</v>
      </c>
      <c r="E1332" t="s">
        <v>74</v>
      </c>
      <c r="F1332" t="s">
        <v>88</v>
      </c>
      <c r="G1332">
        <v>296</v>
      </c>
      <c r="H1332">
        <v>3</v>
      </c>
      <c r="I1332">
        <v>52.41</v>
      </c>
      <c r="J1332">
        <v>5</v>
      </c>
      <c r="K1332" s="37">
        <v>44924</v>
      </c>
      <c r="L1332" t="s">
        <v>109</v>
      </c>
      <c r="M1332">
        <v>364.94</v>
      </c>
      <c r="N1332">
        <v>20</v>
      </c>
      <c r="O1332" t="str">
        <f>"Q"&amp;ROUNDUP(MONTH(Transactions[[#This Row],[Transaction Date]])/3,0)</f>
        <v>Q4</v>
      </c>
      <c r="P1332">
        <f>YEAR(Transactions[[#This Row],[Transaction Date]])</f>
        <v>2022</v>
      </c>
      <c r="Q1332" t="str">
        <f>IF(Transactions[[#This Row],[Sales Amount]]&lt;AVERAGE(Transactions[Sales Amount]),"Below Average","At/Above Average")</f>
        <v>At/Above Average</v>
      </c>
    </row>
    <row r="1333" spans="4:17" x14ac:dyDescent="0.2">
      <c r="D1333" t="s">
        <v>1423</v>
      </c>
      <c r="E1333" t="s">
        <v>75</v>
      </c>
      <c r="F1333" t="s">
        <v>108</v>
      </c>
      <c r="G1333">
        <v>299</v>
      </c>
      <c r="H1333">
        <v>9</v>
      </c>
      <c r="I1333">
        <v>49.06</v>
      </c>
      <c r="J1333">
        <v>9</v>
      </c>
      <c r="K1333" s="37">
        <v>44895</v>
      </c>
      <c r="L1333" t="s">
        <v>124</v>
      </c>
      <c r="M1333">
        <v>315.26</v>
      </c>
      <c r="N1333">
        <v>20</v>
      </c>
      <c r="O1333" t="str">
        <f>"Q"&amp;ROUNDUP(MONTH(Transactions[[#This Row],[Transaction Date]])/3,0)</f>
        <v>Q4</v>
      </c>
      <c r="P1333">
        <f>YEAR(Transactions[[#This Row],[Transaction Date]])</f>
        <v>2022</v>
      </c>
      <c r="Q1333" t="str">
        <f>IF(Transactions[[#This Row],[Sales Amount]]&lt;AVERAGE(Transactions[Sales Amount]),"Below Average","At/Above Average")</f>
        <v>At/Above Average</v>
      </c>
    </row>
    <row r="1334" spans="4:17" x14ac:dyDescent="0.2">
      <c r="D1334" t="s">
        <v>1424</v>
      </c>
      <c r="E1334" t="s">
        <v>76</v>
      </c>
      <c r="F1334" t="s">
        <v>94</v>
      </c>
      <c r="G1334">
        <v>142</v>
      </c>
      <c r="H1334">
        <v>2</v>
      </c>
      <c r="I1334">
        <v>51.01</v>
      </c>
      <c r="J1334">
        <v>7</v>
      </c>
      <c r="K1334" s="37">
        <v>44562</v>
      </c>
      <c r="L1334" t="s">
        <v>97</v>
      </c>
      <c r="M1334">
        <v>422.36</v>
      </c>
      <c r="N1334">
        <v>20</v>
      </c>
      <c r="O1334" t="str">
        <f>"Q"&amp;ROUNDUP(MONTH(Transactions[[#This Row],[Transaction Date]])/3,0)</f>
        <v>Q1</v>
      </c>
      <c r="P1334">
        <f>YEAR(Transactions[[#This Row],[Transaction Date]])</f>
        <v>2022</v>
      </c>
      <c r="Q1334" t="str">
        <f>IF(Transactions[[#This Row],[Sales Amount]]&lt;AVERAGE(Transactions[Sales Amount]),"Below Average","At/Above Average")</f>
        <v>At/Above Average</v>
      </c>
    </row>
    <row r="1335" spans="4:17" x14ac:dyDescent="0.2">
      <c r="D1335" t="s">
        <v>1425</v>
      </c>
      <c r="E1335" t="s">
        <v>74</v>
      </c>
      <c r="F1335" t="s">
        <v>96</v>
      </c>
      <c r="G1335">
        <v>222</v>
      </c>
      <c r="H1335">
        <v>3</v>
      </c>
      <c r="I1335">
        <v>46.8</v>
      </c>
      <c r="J1335">
        <v>2</v>
      </c>
      <c r="K1335" s="37">
        <v>44766</v>
      </c>
      <c r="L1335" t="s">
        <v>109</v>
      </c>
      <c r="M1335">
        <v>111.83</v>
      </c>
      <c r="N1335">
        <v>35</v>
      </c>
      <c r="O1335" t="str">
        <f>"Q"&amp;ROUNDUP(MONTH(Transactions[[#This Row],[Transaction Date]])/3,0)</f>
        <v>Q3</v>
      </c>
      <c r="P1335">
        <f>YEAR(Transactions[[#This Row],[Transaction Date]])</f>
        <v>2022</v>
      </c>
      <c r="Q1335" t="str">
        <f>IF(Transactions[[#This Row],[Sales Amount]]&lt;AVERAGE(Transactions[Sales Amount]),"Below Average","At/Above Average")</f>
        <v>Below Average</v>
      </c>
    </row>
    <row r="1336" spans="4:17" x14ac:dyDescent="0.2">
      <c r="D1336" t="s">
        <v>1426</v>
      </c>
      <c r="E1336" t="s">
        <v>75</v>
      </c>
      <c r="F1336" t="s">
        <v>108</v>
      </c>
      <c r="G1336">
        <v>191</v>
      </c>
      <c r="H1336">
        <v>2</v>
      </c>
      <c r="I1336">
        <v>56.38</v>
      </c>
      <c r="J1336">
        <v>7</v>
      </c>
      <c r="K1336" s="37">
        <v>44563</v>
      </c>
      <c r="L1336" t="s">
        <v>92</v>
      </c>
      <c r="M1336">
        <v>344.8</v>
      </c>
      <c r="N1336">
        <v>15</v>
      </c>
      <c r="O1336" t="str">
        <f>"Q"&amp;ROUNDUP(MONTH(Transactions[[#This Row],[Transaction Date]])/3,0)</f>
        <v>Q1</v>
      </c>
      <c r="P1336">
        <f>YEAR(Transactions[[#This Row],[Transaction Date]])</f>
        <v>2022</v>
      </c>
      <c r="Q1336" t="str">
        <f>IF(Transactions[[#This Row],[Sales Amount]]&lt;AVERAGE(Transactions[Sales Amount]),"Below Average","At/Above Average")</f>
        <v>At/Above Average</v>
      </c>
    </row>
    <row r="1337" spans="4:17" x14ac:dyDescent="0.2">
      <c r="D1337" t="s">
        <v>1427</v>
      </c>
      <c r="E1337" t="s">
        <v>75</v>
      </c>
      <c r="F1337" t="s">
        <v>105</v>
      </c>
      <c r="G1337">
        <v>260</v>
      </c>
      <c r="H1337">
        <v>7</v>
      </c>
      <c r="I1337">
        <v>50.6</v>
      </c>
      <c r="J1337">
        <v>10</v>
      </c>
      <c r="K1337" s="37">
        <v>45408</v>
      </c>
      <c r="L1337" t="s">
        <v>97</v>
      </c>
      <c r="M1337">
        <v>284.88</v>
      </c>
      <c r="N1337">
        <v>5</v>
      </c>
      <c r="O1337" t="str">
        <f>"Q"&amp;ROUNDUP(MONTH(Transactions[[#This Row],[Transaction Date]])/3,0)</f>
        <v>Q2</v>
      </c>
      <c r="P1337">
        <f>YEAR(Transactions[[#This Row],[Transaction Date]])</f>
        <v>2024</v>
      </c>
      <c r="Q1337" t="str">
        <f>IF(Transactions[[#This Row],[Sales Amount]]&lt;AVERAGE(Transactions[Sales Amount]),"Below Average","At/Above Average")</f>
        <v>At/Above Average</v>
      </c>
    </row>
    <row r="1338" spans="4:17" x14ac:dyDescent="0.2">
      <c r="D1338" t="s">
        <v>1428</v>
      </c>
      <c r="E1338" t="s">
        <v>75</v>
      </c>
      <c r="F1338" t="s">
        <v>105</v>
      </c>
      <c r="G1338">
        <v>157</v>
      </c>
      <c r="H1338">
        <v>7</v>
      </c>
      <c r="I1338">
        <v>50.87</v>
      </c>
      <c r="J1338">
        <v>8</v>
      </c>
      <c r="K1338" s="37">
        <v>44961</v>
      </c>
      <c r="L1338" t="s">
        <v>124</v>
      </c>
      <c r="M1338">
        <v>250.9</v>
      </c>
      <c r="N1338">
        <v>27</v>
      </c>
      <c r="O1338" t="str">
        <f>"Q"&amp;ROUNDUP(MONTH(Transactions[[#This Row],[Transaction Date]])/3,0)</f>
        <v>Q1</v>
      </c>
      <c r="P1338">
        <f>YEAR(Transactions[[#This Row],[Transaction Date]])</f>
        <v>2023</v>
      </c>
      <c r="Q1338" t="str">
        <f>IF(Transactions[[#This Row],[Sales Amount]]&lt;AVERAGE(Transactions[Sales Amount]),"Below Average","At/Above Average")</f>
        <v>Below Average</v>
      </c>
    </row>
    <row r="1339" spans="4:17" x14ac:dyDescent="0.2">
      <c r="D1339" t="s">
        <v>1429</v>
      </c>
      <c r="E1339" t="s">
        <v>76</v>
      </c>
      <c r="F1339" t="s">
        <v>129</v>
      </c>
      <c r="G1339">
        <v>122</v>
      </c>
      <c r="H1339">
        <v>4</v>
      </c>
      <c r="I1339">
        <v>55.48</v>
      </c>
      <c r="J1339">
        <v>8</v>
      </c>
      <c r="K1339" s="37">
        <v>45098</v>
      </c>
      <c r="L1339" t="s">
        <v>89</v>
      </c>
      <c r="M1339">
        <v>336.42</v>
      </c>
      <c r="N1339">
        <v>13</v>
      </c>
      <c r="O1339" t="str">
        <f>"Q"&amp;ROUNDUP(MONTH(Transactions[[#This Row],[Transaction Date]])/3,0)</f>
        <v>Q2</v>
      </c>
      <c r="P1339">
        <f>YEAR(Transactions[[#This Row],[Transaction Date]])</f>
        <v>2023</v>
      </c>
      <c r="Q1339" t="str">
        <f>IF(Transactions[[#This Row],[Sales Amount]]&lt;AVERAGE(Transactions[Sales Amount]),"Below Average","At/Above Average")</f>
        <v>At/Above Average</v>
      </c>
    </row>
    <row r="1340" spans="4:17" x14ac:dyDescent="0.2">
      <c r="D1340" t="s">
        <v>1430</v>
      </c>
      <c r="E1340" t="s">
        <v>77</v>
      </c>
      <c r="F1340" t="s">
        <v>91</v>
      </c>
      <c r="G1340">
        <v>122</v>
      </c>
      <c r="H1340">
        <v>10</v>
      </c>
      <c r="I1340">
        <v>52.55</v>
      </c>
      <c r="J1340">
        <v>1</v>
      </c>
      <c r="K1340" s="37">
        <v>45622</v>
      </c>
      <c r="L1340" t="s">
        <v>102</v>
      </c>
      <c r="M1340">
        <v>398.31</v>
      </c>
      <c r="N1340">
        <v>34</v>
      </c>
      <c r="O1340" t="str">
        <f>"Q"&amp;ROUNDUP(MONTH(Transactions[[#This Row],[Transaction Date]])/3,0)</f>
        <v>Q4</v>
      </c>
      <c r="P1340">
        <f>YEAR(Transactions[[#This Row],[Transaction Date]])</f>
        <v>2024</v>
      </c>
      <c r="Q1340" t="str">
        <f>IF(Transactions[[#This Row],[Sales Amount]]&lt;AVERAGE(Transactions[Sales Amount]),"Below Average","At/Above Average")</f>
        <v>At/Above Average</v>
      </c>
    </row>
    <row r="1341" spans="4:17" x14ac:dyDescent="0.2">
      <c r="D1341" t="s">
        <v>1431</v>
      </c>
      <c r="E1341" t="s">
        <v>76</v>
      </c>
      <c r="F1341" t="s">
        <v>94</v>
      </c>
      <c r="G1341">
        <v>166</v>
      </c>
      <c r="H1341">
        <v>7</v>
      </c>
      <c r="I1341">
        <v>49.41</v>
      </c>
      <c r="J1341">
        <v>10</v>
      </c>
      <c r="K1341" s="37">
        <v>45394</v>
      </c>
      <c r="L1341" t="s">
        <v>92</v>
      </c>
      <c r="M1341">
        <v>379.02</v>
      </c>
      <c r="N1341">
        <v>36</v>
      </c>
      <c r="O1341" t="str">
        <f>"Q"&amp;ROUNDUP(MONTH(Transactions[[#This Row],[Transaction Date]])/3,0)</f>
        <v>Q2</v>
      </c>
      <c r="P1341">
        <f>YEAR(Transactions[[#This Row],[Transaction Date]])</f>
        <v>2024</v>
      </c>
      <c r="Q1341" t="str">
        <f>IF(Transactions[[#This Row],[Sales Amount]]&lt;AVERAGE(Transactions[Sales Amount]),"Below Average","At/Above Average")</f>
        <v>At/Above Average</v>
      </c>
    </row>
    <row r="1342" spans="4:17" x14ac:dyDescent="0.2">
      <c r="D1342" t="s">
        <v>1432</v>
      </c>
      <c r="E1342" t="s">
        <v>75</v>
      </c>
      <c r="F1342" t="s">
        <v>96</v>
      </c>
      <c r="G1342">
        <v>156</v>
      </c>
      <c r="H1342">
        <v>9</v>
      </c>
      <c r="I1342">
        <v>59.39</v>
      </c>
      <c r="J1342">
        <v>10</v>
      </c>
      <c r="K1342" s="37">
        <v>45309</v>
      </c>
      <c r="L1342" t="s">
        <v>89</v>
      </c>
      <c r="M1342">
        <v>261.74</v>
      </c>
      <c r="N1342">
        <v>15</v>
      </c>
      <c r="O1342" t="str">
        <f>"Q"&amp;ROUNDUP(MONTH(Transactions[[#This Row],[Transaction Date]])/3,0)</f>
        <v>Q1</v>
      </c>
      <c r="P1342">
        <f>YEAR(Transactions[[#This Row],[Transaction Date]])</f>
        <v>2024</v>
      </c>
      <c r="Q1342" t="str">
        <f>IF(Transactions[[#This Row],[Sales Amount]]&lt;AVERAGE(Transactions[Sales Amount]),"Below Average","At/Above Average")</f>
        <v>At/Above Average</v>
      </c>
    </row>
    <row r="1343" spans="4:17" x14ac:dyDescent="0.2">
      <c r="D1343" t="s">
        <v>1433</v>
      </c>
      <c r="E1343" t="s">
        <v>87</v>
      </c>
      <c r="F1343" t="s">
        <v>88</v>
      </c>
      <c r="G1343">
        <v>105</v>
      </c>
      <c r="H1343">
        <v>10</v>
      </c>
      <c r="I1343">
        <v>55.05</v>
      </c>
      <c r="J1343">
        <v>6</v>
      </c>
      <c r="K1343" s="37">
        <v>45047</v>
      </c>
      <c r="L1343" t="s">
        <v>97</v>
      </c>
      <c r="M1343">
        <v>406.11</v>
      </c>
      <c r="N1343">
        <v>12</v>
      </c>
      <c r="O1343" t="str">
        <f>"Q"&amp;ROUNDUP(MONTH(Transactions[[#This Row],[Transaction Date]])/3,0)</f>
        <v>Q2</v>
      </c>
      <c r="P1343">
        <f>YEAR(Transactions[[#This Row],[Transaction Date]])</f>
        <v>2023</v>
      </c>
      <c r="Q1343" t="str">
        <f>IF(Transactions[[#This Row],[Sales Amount]]&lt;AVERAGE(Transactions[Sales Amount]),"Below Average","At/Above Average")</f>
        <v>At/Above Average</v>
      </c>
    </row>
    <row r="1344" spans="4:17" x14ac:dyDescent="0.2">
      <c r="D1344" t="s">
        <v>1434</v>
      </c>
      <c r="E1344" t="s">
        <v>78</v>
      </c>
      <c r="F1344" t="s">
        <v>129</v>
      </c>
      <c r="G1344">
        <v>204</v>
      </c>
      <c r="H1344">
        <v>1</v>
      </c>
      <c r="I1344">
        <v>54.95</v>
      </c>
      <c r="J1344">
        <v>10</v>
      </c>
      <c r="K1344" s="37">
        <v>44826</v>
      </c>
      <c r="L1344" t="s">
        <v>92</v>
      </c>
      <c r="M1344">
        <v>187.79</v>
      </c>
      <c r="N1344">
        <v>30</v>
      </c>
      <c r="O1344" t="str">
        <f>"Q"&amp;ROUNDUP(MONTH(Transactions[[#This Row],[Transaction Date]])/3,0)</f>
        <v>Q3</v>
      </c>
      <c r="P1344">
        <f>YEAR(Transactions[[#This Row],[Transaction Date]])</f>
        <v>2022</v>
      </c>
      <c r="Q1344" t="str">
        <f>IF(Transactions[[#This Row],[Sales Amount]]&lt;AVERAGE(Transactions[Sales Amount]),"Below Average","At/Above Average")</f>
        <v>Below Average</v>
      </c>
    </row>
    <row r="1345" spans="4:17" x14ac:dyDescent="0.2">
      <c r="D1345" t="s">
        <v>1435</v>
      </c>
      <c r="E1345" t="s">
        <v>78</v>
      </c>
      <c r="F1345" t="s">
        <v>129</v>
      </c>
      <c r="G1345">
        <v>295</v>
      </c>
      <c r="H1345">
        <v>8</v>
      </c>
      <c r="I1345">
        <v>55.8</v>
      </c>
      <c r="J1345">
        <v>7</v>
      </c>
      <c r="K1345" s="37">
        <v>44871</v>
      </c>
      <c r="L1345" t="s">
        <v>102</v>
      </c>
      <c r="M1345">
        <v>484.4</v>
      </c>
      <c r="N1345">
        <v>34</v>
      </c>
      <c r="O1345" t="str">
        <f>"Q"&amp;ROUNDUP(MONTH(Transactions[[#This Row],[Transaction Date]])/3,0)</f>
        <v>Q4</v>
      </c>
      <c r="P1345">
        <f>YEAR(Transactions[[#This Row],[Transaction Date]])</f>
        <v>2022</v>
      </c>
      <c r="Q1345" t="str">
        <f>IF(Transactions[[#This Row],[Sales Amount]]&lt;AVERAGE(Transactions[Sales Amount]),"Below Average","At/Above Average")</f>
        <v>At/Above Average</v>
      </c>
    </row>
    <row r="1346" spans="4:17" x14ac:dyDescent="0.2">
      <c r="D1346" t="s">
        <v>1436</v>
      </c>
      <c r="E1346" t="s">
        <v>75</v>
      </c>
      <c r="F1346" t="s">
        <v>91</v>
      </c>
      <c r="G1346">
        <v>245</v>
      </c>
      <c r="H1346">
        <v>8</v>
      </c>
      <c r="I1346">
        <v>52.56</v>
      </c>
      <c r="J1346">
        <v>1</v>
      </c>
      <c r="K1346" s="37">
        <v>45531</v>
      </c>
      <c r="L1346" t="s">
        <v>97</v>
      </c>
      <c r="M1346">
        <v>226.43</v>
      </c>
      <c r="N1346">
        <v>10</v>
      </c>
      <c r="O1346" t="str">
        <f>"Q"&amp;ROUNDUP(MONTH(Transactions[[#This Row],[Transaction Date]])/3,0)</f>
        <v>Q3</v>
      </c>
      <c r="P1346">
        <f>YEAR(Transactions[[#This Row],[Transaction Date]])</f>
        <v>2024</v>
      </c>
      <c r="Q1346" t="str">
        <f>IF(Transactions[[#This Row],[Sales Amount]]&lt;AVERAGE(Transactions[Sales Amount]),"Below Average","At/Above Average")</f>
        <v>Below Average</v>
      </c>
    </row>
    <row r="1347" spans="4:17" x14ac:dyDescent="0.2">
      <c r="D1347" t="s">
        <v>1437</v>
      </c>
      <c r="E1347" t="s">
        <v>74</v>
      </c>
      <c r="F1347" t="s">
        <v>96</v>
      </c>
      <c r="G1347">
        <v>138</v>
      </c>
      <c r="H1347">
        <v>3</v>
      </c>
      <c r="I1347">
        <v>55.02</v>
      </c>
      <c r="J1347">
        <v>5</v>
      </c>
      <c r="K1347" s="37">
        <v>45647</v>
      </c>
      <c r="L1347" t="s">
        <v>92</v>
      </c>
      <c r="M1347">
        <v>99.16</v>
      </c>
      <c r="N1347">
        <v>12</v>
      </c>
      <c r="O1347" t="str">
        <f>"Q"&amp;ROUNDUP(MONTH(Transactions[[#This Row],[Transaction Date]])/3,0)</f>
        <v>Q4</v>
      </c>
      <c r="P1347">
        <f>YEAR(Transactions[[#This Row],[Transaction Date]])</f>
        <v>2024</v>
      </c>
      <c r="Q1347" t="str">
        <f>IF(Transactions[[#This Row],[Sales Amount]]&lt;AVERAGE(Transactions[Sales Amount]),"Below Average","At/Above Average")</f>
        <v>Below Average</v>
      </c>
    </row>
    <row r="1348" spans="4:17" x14ac:dyDescent="0.2">
      <c r="D1348" t="s">
        <v>1438</v>
      </c>
      <c r="E1348" t="s">
        <v>78</v>
      </c>
      <c r="F1348" t="s">
        <v>94</v>
      </c>
      <c r="G1348">
        <v>248</v>
      </c>
      <c r="H1348">
        <v>7</v>
      </c>
      <c r="I1348">
        <v>48.15</v>
      </c>
      <c r="J1348">
        <v>5</v>
      </c>
      <c r="K1348" s="37">
        <v>44740</v>
      </c>
      <c r="L1348" t="s">
        <v>92</v>
      </c>
      <c r="M1348">
        <v>459.72</v>
      </c>
      <c r="N1348">
        <v>26</v>
      </c>
      <c r="O1348" t="str">
        <f>"Q"&amp;ROUNDUP(MONTH(Transactions[[#This Row],[Transaction Date]])/3,0)</f>
        <v>Q2</v>
      </c>
      <c r="P1348">
        <f>YEAR(Transactions[[#This Row],[Transaction Date]])</f>
        <v>2022</v>
      </c>
      <c r="Q1348" t="str">
        <f>IF(Transactions[[#This Row],[Sales Amount]]&lt;AVERAGE(Transactions[Sales Amount]),"Below Average","At/Above Average")</f>
        <v>At/Above Average</v>
      </c>
    </row>
    <row r="1349" spans="4:17" x14ac:dyDescent="0.2">
      <c r="D1349" t="s">
        <v>1439</v>
      </c>
      <c r="E1349" t="s">
        <v>87</v>
      </c>
      <c r="F1349" t="s">
        <v>88</v>
      </c>
      <c r="G1349">
        <v>212</v>
      </c>
      <c r="H1349">
        <v>6</v>
      </c>
      <c r="I1349">
        <v>58.03</v>
      </c>
      <c r="J1349">
        <v>6</v>
      </c>
      <c r="K1349" s="37">
        <v>45502</v>
      </c>
      <c r="L1349" t="s">
        <v>97</v>
      </c>
      <c r="M1349">
        <v>54.61</v>
      </c>
      <c r="N1349">
        <v>40</v>
      </c>
      <c r="O1349" t="str">
        <f>"Q"&amp;ROUNDUP(MONTH(Transactions[[#This Row],[Transaction Date]])/3,0)</f>
        <v>Q3</v>
      </c>
      <c r="P1349">
        <f>YEAR(Transactions[[#This Row],[Transaction Date]])</f>
        <v>2024</v>
      </c>
      <c r="Q1349" t="str">
        <f>IF(Transactions[[#This Row],[Sales Amount]]&lt;AVERAGE(Transactions[Sales Amount]),"Below Average","At/Above Average")</f>
        <v>Below Average</v>
      </c>
    </row>
    <row r="1350" spans="4:17" x14ac:dyDescent="0.2">
      <c r="D1350" t="s">
        <v>1440</v>
      </c>
      <c r="E1350" t="s">
        <v>76</v>
      </c>
      <c r="F1350" t="s">
        <v>99</v>
      </c>
      <c r="G1350">
        <v>217</v>
      </c>
      <c r="H1350">
        <v>6</v>
      </c>
      <c r="I1350">
        <v>57.11</v>
      </c>
      <c r="J1350">
        <v>6</v>
      </c>
      <c r="K1350" s="37">
        <v>45543</v>
      </c>
      <c r="L1350" t="s">
        <v>124</v>
      </c>
      <c r="M1350">
        <v>124.94</v>
      </c>
      <c r="N1350">
        <v>13</v>
      </c>
      <c r="O1350" t="str">
        <f>"Q"&amp;ROUNDUP(MONTH(Transactions[[#This Row],[Transaction Date]])/3,0)</f>
        <v>Q3</v>
      </c>
      <c r="P1350">
        <f>YEAR(Transactions[[#This Row],[Transaction Date]])</f>
        <v>2024</v>
      </c>
      <c r="Q1350" t="str">
        <f>IF(Transactions[[#This Row],[Sales Amount]]&lt;AVERAGE(Transactions[Sales Amount]),"Below Average","At/Above Average")</f>
        <v>Below Average</v>
      </c>
    </row>
    <row r="1351" spans="4:17" x14ac:dyDescent="0.2">
      <c r="D1351" t="s">
        <v>1441</v>
      </c>
      <c r="E1351" t="s">
        <v>75</v>
      </c>
      <c r="F1351" t="s">
        <v>88</v>
      </c>
      <c r="G1351">
        <v>268</v>
      </c>
      <c r="H1351">
        <v>9</v>
      </c>
      <c r="I1351">
        <v>59.54</v>
      </c>
      <c r="J1351">
        <v>3</v>
      </c>
      <c r="K1351" s="37">
        <v>45027</v>
      </c>
      <c r="L1351" t="s">
        <v>124</v>
      </c>
      <c r="M1351">
        <v>57.88</v>
      </c>
      <c r="N1351">
        <v>43</v>
      </c>
      <c r="O1351" t="str">
        <f>"Q"&amp;ROUNDUP(MONTH(Transactions[[#This Row],[Transaction Date]])/3,0)</f>
        <v>Q2</v>
      </c>
      <c r="P1351">
        <f>YEAR(Transactions[[#This Row],[Transaction Date]])</f>
        <v>2023</v>
      </c>
      <c r="Q1351" t="str">
        <f>IF(Transactions[[#This Row],[Sales Amount]]&lt;AVERAGE(Transactions[Sales Amount]),"Below Average","At/Above Average")</f>
        <v>Below Average</v>
      </c>
    </row>
    <row r="1352" spans="4:17" x14ac:dyDescent="0.2">
      <c r="D1352" t="s">
        <v>1442</v>
      </c>
      <c r="E1352" t="s">
        <v>87</v>
      </c>
      <c r="F1352" t="s">
        <v>88</v>
      </c>
      <c r="G1352">
        <v>144</v>
      </c>
      <c r="H1352">
        <v>7</v>
      </c>
      <c r="I1352">
        <v>59.53</v>
      </c>
      <c r="J1352">
        <v>2</v>
      </c>
      <c r="K1352" s="37">
        <v>45537</v>
      </c>
      <c r="L1352" t="s">
        <v>109</v>
      </c>
      <c r="M1352">
        <v>479.09</v>
      </c>
      <c r="N1352">
        <v>20</v>
      </c>
      <c r="O1352" t="str">
        <f>"Q"&amp;ROUNDUP(MONTH(Transactions[[#This Row],[Transaction Date]])/3,0)</f>
        <v>Q3</v>
      </c>
      <c r="P1352">
        <f>YEAR(Transactions[[#This Row],[Transaction Date]])</f>
        <v>2024</v>
      </c>
      <c r="Q1352" t="str">
        <f>IF(Transactions[[#This Row],[Sales Amount]]&lt;AVERAGE(Transactions[Sales Amount]),"Below Average","At/Above Average")</f>
        <v>At/Above Average</v>
      </c>
    </row>
    <row r="1353" spans="4:17" x14ac:dyDescent="0.2">
      <c r="D1353" t="s">
        <v>1443</v>
      </c>
      <c r="E1353" t="s">
        <v>77</v>
      </c>
      <c r="F1353" t="s">
        <v>129</v>
      </c>
      <c r="G1353">
        <v>161</v>
      </c>
      <c r="H1353">
        <v>6</v>
      </c>
      <c r="I1353">
        <v>45.17</v>
      </c>
      <c r="J1353">
        <v>10</v>
      </c>
      <c r="K1353" s="37">
        <v>45402</v>
      </c>
      <c r="L1353" t="s">
        <v>89</v>
      </c>
      <c r="M1353">
        <v>196.16</v>
      </c>
      <c r="N1353">
        <v>35</v>
      </c>
      <c r="O1353" t="str">
        <f>"Q"&amp;ROUNDUP(MONTH(Transactions[[#This Row],[Transaction Date]])/3,0)</f>
        <v>Q2</v>
      </c>
      <c r="P1353">
        <f>YEAR(Transactions[[#This Row],[Transaction Date]])</f>
        <v>2024</v>
      </c>
      <c r="Q1353" t="str">
        <f>IF(Transactions[[#This Row],[Sales Amount]]&lt;AVERAGE(Transactions[Sales Amount]),"Below Average","At/Above Average")</f>
        <v>Below Average</v>
      </c>
    </row>
    <row r="1354" spans="4:17" x14ac:dyDescent="0.2">
      <c r="D1354" t="s">
        <v>1444</v>
      </c>
      <c r="E1354" t="s">
        <v>76</v>
      </c>
      <c r="F1354" t="s">
        <v>108</v>
      </c>
      <c r="G1354">
        <v>101</v>
      </c>
      <c r="H1354">
        <v>6</v>
      </c>
      <c r="I1354">
        <v>47.64</v>
      </c>
      <c r="J1354">
        <v>5</v>
      </c>
      <c r="K1354" s="37">
        <v>44889</v>
      </c>
      <c r="L1354" t="s">
        <v>109</v>
      </c>
      <c r="M1354">
        <v>424.41</v>
      </c>
      <c r="N1354">
        <v>47</v>
      </c>
      <c r="O1354" t="str">
        <f>"Q"&amp;ROUNDUP(MONTH(Transactions[[#This Row],[Transaction Date]])/3,0)</f>
        <v>Q4</v>
      </c>
      <c r="P1354">
        <f>YEAR(Transactions[[#This Row],[Transaction Date]])</f>
        <v>2022</v>
      </c>
      <c r="Q1354" t="str">
        <f>IF(Transactions[[#This Row],[Sales Amount]]&lt;AVERAGE(Transactions[Sales Amount]),"Below Average","At/Above Average")</f>
        <v>At/Above Average</v>
      </c>
    </row>
    <row r="1355" spans="4:17" x14ac:dyDescent="0.2">
      <c r="D1355" t="s">
        <v>1445</v>
      </c>
      <c r="E1355" t="s">
        <v>78</v>
      </c>
      <c r="F1355" t="s">
        <v>96</v>
      </c>
      <c r="G1355">
        <v>271</v>
      </c>
      <c r="H1355">
        <v>5</v>
      </c>
      <c r="I1355">
        <v>46.95</v>
      </c>
      <c r="J1355">
        <v>1</v>
      </c>
      <c r="K1355" s="37">
        <v>45381</v>
      </c>
      <c r="L1355" t="s">
        <v>109</v>
      </c>
      <c r="M1355">
        <v>332.52</v>
      </c>
      <c r="N1355">
        <v>44</v>
      </c>
      <c r="O1355" t="str">
        <f>"Q"&amp;ROUNDUP(MONTH(Transactions[[#This Row],[Transaction Date]])/3,0)</f>
        <v>Q1</v>
      </c>
      <c r="P1355">
        <f>YEAR(Transactions[[#This Row],[Transaction Date]])</f>
        <v>2024</v>
      </c>
      <c r="Q1355" t="str">
        <f>IF(Transactions[[#This Row],[Sales Amount]]&lt;AVERAGE(Transactions[Sales Amount]),"Below Average","At/Above Average")</f>
        <v>At/Above Average</v>
      </c>
    </row>
    <row r="1356" spans="4:17" x14ac:dyDescent="0.2">
      <c r="D1356" t="s">
        <v>1446</v>
      </c>
      <c r="E1356" t="s">
        <v>75</v>
      </c>
      <c r="F1356" t="s">
        <v>105</v>
      </c>
      <c r="G1356">
        <v>186</v>
      </c>
      <c r="H1356">
        <v>9</v>
      </c>
      <c r="I1356">
        <v>56.62</v>
      </c>
      <c r="J1356">
        <v>10</v>
      </c>
      <c r="K1356" s="37">
        <v>44934</v>
      </c>
      <c r="L1356" t="s">
        <v>89</v>
      </c>
      <c r="M1356">
        <v>318.51</v>
      </c>
      <c r="N1356">
        <v>8</v>
      </c>
      <c r="O1356" t="str">
        <f>"Q"&amp;ROUNDUP(MONTH(Transactions[[#This Row],[Transaction Date]])/3,0)</f>
        <v>Q1</v>
      </c>
      <c r="P1356">
        <f>YEAR(Transactions[[#This Row],[Transaction Date]])</f>
        <v>2023</v>
      </c>
      <c r="Q1356" t="str">
        <f>IF(Transactions[[#This Row],[Sales Amount]]&lt;AVERAGE(Transactions[Sales Amount]),"Below Average","At/Above Average")</f>
        <v>At/Above Average</v>
      </c>
    </row>
    <row r="1357" spans="4:17" x14ac:dyDescent="0.2">
      <c r="D1357" t="s">
        <v>1447</v>
      </c>
      <c r="E1357" t="s">
        <v>87</v>
      </c>
      <c r="F1357" t="s">
        <v>99</v>
      </c>
      <c r="G1357">
        <v>118</v>
      </c>
      <c r="H1357">
        <v>5</v>
      </c>
      <c r="I1357">
        <v>56.52</v>
      </c>
      <c r="J1357">
        <v>8</v>
      </c>
      <c r="K1357" s="37">
        <v>45259</v>
      </c>
      <c r="L1357" t="s">
        <v>97</v>
      </c>
      <c r="M1357">
        <v>108.62</v>
      </c>
      <c r="N1357">
        <v>39</v>
      </c>
      <c r="O1357" t="str">
        <f>"Q"&amp;ROUNDUP(MONTH(Transactions[[#This Row],[Transaction Date]])/3,0)</f>
        <v>Q4</v>
      </c>
      <c r="P1357">
        <f>YEAR(Transactions[[#This Row],[Transaction Date]])</f>
        <v>2023</v>
      </c>
      <c r="Q1357" t="str">
        <f>IF(Transactions[[#This Row],[Sales Amount]]&lt;AVERAGE(Transactions[Sales Amount]),"Below Average","At/Above Average")</f>
        <v>Below Average</v>
      </c>
    </row>
    <row r="1358" spans="4:17" x14ac:dyDescent="0.2">
      <c r="D1358" t="s">
        <v>1448</v>
      </c>
      <c r="E1358" t="s">
        <v>76</v>
      </c>
      <c r="F1358" t="s">
        <v>91</v>
      </c>
      <c r="G1358">
        <v>257</v>
      </c>
      <c r="H1358">
        <v>4</v>
      </c>
      <c r="I1358">
        <v>50.06</v>
      </c>
      <c r="J1358">
        <v>9</v>
      </c>
      <c r="K1358" s="37">
        <v>45536</v>
      </c>
      <c r="L1358" t="s">
        <v>92</v>
      </c>
      <c r="M1358">
        <v>59.34</v>
      </c>
      <c r="N1358">
        <v>14</v>
      </c>
      <c r="O1358" t="str">
        <f>"Q"&amp;ROUNDUP(MONTH(Transactions[[#This Row],[Transaction Date]])/3,0)</f>
        <v>Q3</v>
      </c>
      <c r="P1358">
        <f>YEAR(Transactions[[#This Row],[Transaction Date]])</f>
        <v>2024</v>
      </c>
      <c r="Q1358" t="str">
        <f>IF(Transactions[[#This Row],[Sales Amount]]&lt;AVERAGE(Transactions[Sales Amount]),"Below Average","At/Above Average")</f>
        <v>Below Average</v>
      </c>
    </row>
    <row r="1359" spans="4:17" x14ac:dyDescent="0.2">
      <c r="D1359" t="s">
        <v>1449</v>
      </c>
      <c r="E1359" t="s">
        <v>78</v>
      </c>
      <c r="F1359" t="s">
        <v>88</v>
      </c>
      <c r="G1359">
        <v>113</v>
      </c>
      <c r="H1359">
        <v>4</v>
      </c>
      <c r="I1359">
        <v>53.56</v>
      </c>
      <c r="J1359">
        <v>8</v>
      </c>
      <c r="K1359" s="37">
        <v>44854</v>
      </c>
      <c r="L1359" t="s">
        <v>89</v>
      </c>
      <c r="M1359">
        <v>352.03</v>
      </c>
      <c r="N1359">
        <v>1</v>
      </c>
      <c r="O1359" t="str">
        <f>"Q"&amp;ROUNDUP(MONTH(Transactions[[#This Row],[Transaction Date]])/3,0)</f>
        <v>Q4</v>
      </c>
      <c r="P1359">
        <f>YEAR(Transactions[[#This Row],[Transaction Date]])</f>
        <v>2022</v>
      </c>
      <c r="Q1359" t="str">
        <f>IF(Transactions[[#This Row],[Sales Amount]]&lt;AVERAGE(Transactions[Sales Amount]),"Below Average","At/Above Average")</f>
        <v>At/Above Average</v>
      </c>
    </row>
    <row r="1360" spans="4:17" x14ac:dyDescent="0.2">
      <c r="D1360" t="s">
        <v>1450</v>
      </c>
      <c r="E1360" t="s">
        <v>74</v>
      </c>
      <c r="F1360" t="s">
        <v>99</v>
      </c>
      <c r="G1360">
        <v>115</v>
      </c>
      <c r="H1360">
        <v>8</v>
      </c>
      <c r="I1360">
        <v>54.13</v>
      </c>
      <c r="J1360">
        <v>7</v>
      </c>
      <c r="K1360" s="37">
        <v>44739</v>
      </c>
      <c r="L1360" t="s">
        <v>92</v>
      </c>
      <c r="M1360">
        <v>283.38</v>
      </c>
      <c r="N1360">
        <v>8</v>
      </c>
      <c r="O1360" t="str">
        <f>"Q"&amp;ROUNDUP(MONTH(Transactions[[#This Row],[Transaction Date]])/3,0)</f>
        <v>Q2</v>
      </c>
      <c r="P1360">
        <f>YEAR(Transactions[[#This Row],[Transaction Date]])</f>
        <v>2022</v>
      </c>
      <c r="Q1360" t="str">
        <f>IF(Transactions[[#This Row],[Sales Amount]]&lt;AVERAGE(Transactions[Sales Amount]),"Below Average","At/Above Average")</f>
        <v>At/Above Average</v>
      </c>
    </row>
    <row r="1361" spans="4:17" x14ac:dyDescent="0.2">
      <c r="D1361" t="s">
        <v>1451</v>
      </c>
      <c r="E1361" t="s">
        <v>78</v>
      </c>
      <c r="F1361" t="s">
        <v>129</v>
      </c>
      <c r="G1361">
        <v>219</v>
      </c>
      <c r="H1361">
        <v>6</v>
      </c>
      <c r="I1361">
        <v>48.79</v>
      </c>
      <c r="J1361">
        <v>4</v>
      </c>
      <c r="K1361" s="37">
        <v>45230</v>
      </c>
      <c r="L1361" t="s">
        <v>109</v>
      </c>
      <c r="M1361">
        <v>182.98</v>
      </c>
      <c r="N1361">
        <v>21</v>
      </c>
      <c r="O1361" t="str">
        <f>"Q"&amp;ROUNDUP(MONTH(Transactions[[#This Row],[Transaction Date]])/3,0)</f>
        <v>Q4</v>
      </c>
      <c r="P1361">
        <f>YEAR(Transactions[[#This Row],[Transaction Date]])</f>
        <v>2023</v>
      </c>
      <c r="Q1361" t="str">
        <f>IF(Transactions[[#This Row],[Sales Amount]]&lt;AVERAGE(Transactions[Sales Amount]),"Below Average","At/Above Average")</f>
        <v>Below Average</v>
      </c>
    </row>
    <row r="1362" spans="4:17" x14ac:dyDescent="0.2">
      <c r="D1362" t="s">
        <v>1452</v>
      </c>
      <c r="E1362" t="s">
        <v>87</v>
      </c>
      <c r="F1362" t="s">
        <v>105</v>
      </c>
      <c r="G1362">
        <v>195</v>
      </c>
      <c r="H1362">
        <v>8</v>
      </c>
      <c r="I1362">
        <v>45.48</v>
      </c>
      <c r="J1362">
        <v>10</v>
      </c>
      <c r="K1362" s="37">
        <v>45215</v>
      </c>
      <c r="L1362" t="s">
        <v>124</v>
      </c>
      <c r="M1362">
        <v>54</v>
      </c>
      <c r="N1362">
        <v>40</v>
      </c>
      <c r="O1362" t="str">
        <f>"Q"&amp;ROUNDUP(MONTH(Transactions[[#This Row],[Transaction Date]])/3,0)</f>
        <v>Q4</v>
      </c>
      <c r="P1362">
        <f>YEAR(Transactions[[#This Row],[Transaction Date]])</f>
        <v>2023</v>
      </c>
      <c r="Q1362" t="str">
        <f>IF(Transactions[[#This Row],[Sales Amount]]&lt;AVERAGE(Transactions[Sales Amount]),"Below Average","At/Above Average")</f>
        <v>Below Average</v>
      </c>
    </row>
    <row r="1363" spans="4:17" x14ac:dyDescent="0.2">
      <c r="D1363" t="s">
        <v>1453</v>
      </c>
      <c r="E1363" t="s">
        <v>74</v>
      </c>
      <c r="F1363" t="s">
        <v>105</v>
      </c>
      <c r="G1363">
        <v>220</v>
      </c>
      <c r="H1363">
        <v>8</v>
      </c>
      <c r="I1363">
        <v>52.83</v>
      </c>
      <c r="J1363">
        <v>2</v>
      </c>
      <c r="K1363" s="37">
        <v>45529</v>
      </c>
      <c r="L1363" t="s">
        <v>124</v>
      </c>
      <c r="M1363">
        <v>329.8</v>
      </c>
      <c r="N1363">
        <v>38</v>
      </c>
      <c r="O1363" t="str">
        <f>"Q"&amp;ROUNDUP(MONTH(Transactions[[#This Row],[Transaction Date]])/3,0)</f>
        <v>Q3</v>
      </c>
      <c r="P1363">
        <f>YEAR(Transactions[[#This Row],[Transaction Date]])</f>
        <v>2024</v>
      </c>
      <c r="Q1363" t="str">
        <f>IF(Transactions[[#This Row],[Sales Amount]]&lt;AVERAGE(Transactions[Sales Amount]),"Below Average","At/Above Average")</f>
        <v>At/Above Average</v>
      </c>
    </row>
    <row r="1364" spans="4:17" x14ac:dyDescent="0.2">
      <c r="D1364" t="s">
        <v>1454</v>
      </c>
      <c r="E1364" t="s">
        <v>76</v>
      </c>
      <c r="F1364" t="s">
        <v>99</v>
      </c>
      <c r="G1364">
        <v>168</v>
      </c>
      <c r="H1364">
        <v>8</v>
      </c>
      <c r="I1364">
        <v>57.33</v>
      </c>
      <c r="J1364">
        <v>8</v>
      </c>
      <c r="K1364" s="37">
        <v>45496</v>
      </c>
      <c r="L1364" t="s">
        <v>124</v>
      </c>
      <c r="M1364">
        <v>308.89</v>
      </c>
      <c r="N1364">
        <v>41</v>
      </c>
      <c r="O1364" t="str">
        <f>"Q"&amp;ROUNDUP(MONTH(Transactions[[#This Row],[Transaction Date]])/3,0)</f>
        <v>Q3</v>
      </c>
      <c r="P1364">
        <f>YEAR(Transactions[[#This Row],[Transaction Date]])</f>
        <v>2024</v>
      </c>
      <c r="Q1364" t="str">
        <f>IF(Transactions[[#This Row],[Sales Amount]]&lt;AVERAGE(Transactions[Sales Amount]),"Below Average","At/Above Average")</f>
        <v>At/Above Average</v>
      </c>
    </row>
    <row r="1365" spans="4:17" x14ac:dyDescent="0.2">
      <c r="D1365" t="s">
        <v>1455</v>
      </c>
      <c r="E1365" t="s">
        <v>78</v>
      </c>
      <c r="F1365" t="s">
        <v>129</v>
      </c>
      <c r="G1365">
        <v>187</v>
      </c>
      <c r="H1365">
        <v>6</v>
      </c>
      <c r="I1365">
        <v>45.32</v>
      </c>
      <c r="J1365">
        <v>2</v>
      </c>
      <c r="K1365" s="37">
        <v>45177</v>
      </c>
      <c r="L1365" t="s">
        <v>109</v>
      </c>
      <c r="M1365">
        <v>358.01</v>
      </c>
      <c r="N1365">
        <v>44</v>
      </c>
      <c r="O1365" t="str">
        <f>"Q"&amp;ROUNDUP(MONTH(Transactions[[#This Row],[Transaction Date]])/3,0)</f>
        <v>Q3</v>
      </c>
      <c r="P1365">
        <f>YEAR(Transactions[[#This Row],[Transaction Date]])</f>
        <v>2023</v>
      </c>
      <c r="Q1365" t="str">
        <f>IF(Transactions[[#This Row],[Sales Amount]]&lt;AVERAGE(Transactions[Sales Amount]),"Below Average","At/Above Average")</f>
        <v>At/Above Average</v>
      </c>
    </row>
    <row r="1366" spans="4:17" x14ac:dyDescent="0.2">
      <c r="D1366" t="s">
        <v>1456</v>
      </c>
      <c r="E1366" t="s">
        <v>78</v>
      </c>
      <c r="F1366" t="s">
        <v>129</v>
      </c>
      <c r="G1366">
        <v>296</v>
      </c>
      <c r="H1366">
        <v>10</v>
      </c>
      <c r="I1366">
        <v>48</v>
      </c>
      <c r="J1366">
        <v>3</v>
      </c>
      <c r="K1366" s="37">
        <v>44748</v>
      </c>
      <c r="L1366" t="s">
        <v>102</v>
      </c>
      <c r="M1366">
        <v>488.1</v>
      </c>
      <c r="N1366">
        <v>13</v>
      </c>
      <c r="O1366" t="str">
        <f>"Q"&amp;ROUNDUP(MONTH(Transactions[[#This Row],[Transaction Date]])/3,0)</f>
        <v>Q3</v>
      </c>
      <c r="P1366">
        <f>YEAR(Transactions[[#This Row],[Transaction Date]])</f>
        <v>2022</v>
      </c>
      <c r="Q1366" t="str">
        <f>IF(Transactions[[#This Row],[Sales Amount]]&lt;AVERAGE(Transactions[Sales Amount]),"Below Average","At/Above Average")</f>
        <v>At/Above Average</v>
      </c>
    </row>
    <row r="1367" spans="4:17" x14ac:dyDescent="0.2">
      <c r="D1367" t="s">
        <v>1457</v>
      </c>
      <c r="E1367" t="s">
        <v>76</v>
      </c>
      <c r="F1367" t="s">
        <v>94</v>
      </c>
      <c r="G1367">
        <v>152</v>
      </c>
      <c r="H1367">
        <v>2</v>
      </c>
      <c r="I1367">
        <v>56.23</v>
      </c>
      <c r="J1367">
        <v>10</v>
      </c>
      <c r="K1367" s="37">
        <v>44628</v>
      </c>
      <c r="L1367" t="s">
        <v>124</v>
      </c>
      <c r="M1367">
        <v>487.39</v>
      </c>
      <c r="N1367">
        <v>14</v>
      </c>
      <c r="O1367" t="str">
        <f>"Q"&amp;ROUNDUP(MONTH(Transactions[[#This Row],[Transaction Date]])/3,0)</f>
        <v>Q1</v>
      </c>
      <c r="P1367">
        <f>YEAR(Transactions[[#This Row],[Transaction Date]])</f>
        <v>2022</v>
      </c>
      <c r="Q1367" t="str">
        <f>IF(Transactions[[#This Row],[Sales Amount]]&lt;AVERAGE(Transactions[Sales Amount]),"Below Average","At/Above Average")</f>
        <v>At/Above Average</v>
      </c>
    </row>
    <row r="1368" spans="4:17" x14ac:dyDescent="0.2">
      <c r="D1368" t="s">
        <v>1458</v>
      </c>
      <c r="E1368" t="s">
        <v>78</v>
      </c>
      <c r="F1368" t="s">
        <v>88</v>
      </c>
      <c r="G1368">
        <v>200</v>
      </c>
      <c r="H1368">
        <v>8</v>
      </c>
      <c r="I1368">
        <v>59.28</v>
      </c>
      <c r="J1368">
        <v>6</v>
      </c>
      <c r="K1368" s="37">
        <v>45602</v>
      </c>
      <c r="L1368" t="s">
        <v>97</v>
      </c>
      <c r="M1368">
        <v>266.87</v>
      </c>
      <c r="N1368">
        <v>47</v>
      </c>
      <c r="O1368" t="str">
        <f>"Q"&amp;ROUNDUP(MONTH(Transactions[[#This Row],[Transaction Date]])/3,0)</f>
        <v>Q4</v>
      </c>
      <c r="P1368">
        <f>YEAR(Transactions[[#This Row],[Transaction Date]])</f>
        <v>2024</v>
      </c>
      <c r="Q1368" t="str">
        <f>IF(Transactions[[#This Row],[Sales Amount]]&lt;AVERAGE(Transactions[Sales Amount]),"Below Average","At/Above Average")</f>
        <v>At/Above Average</v>
      </c>
    </row>
    <row r="1369" spans="4:17" x14ac:dyDescent="0.2">
      <c r="D1369" t="s">
        <v>1459</v>
      </c>
      <c r="E1369" t="s">
        <v>78</v>
      </c>
      <c r="F1369" t="s">
        <v>105</v>
      </c>
      <c r="G1369">
        <v>256</v>
      </c>
      <c r="H1369">
        <v>2</v>
      </c>
      <c r="I1369">
        <v>48.26</v>
      </c>
      <c r="J1369">
        <v>7</v>
      </c>
      <c r="K1369" s="37">
        <v>45315</v>
      </c>
      <c r="L1369" t="s">
        <v>89</v>
      </c>
      <c r="M1369">
        <v>393.64</v>
      </c>
      <c r="N1369">
        <v>10</v>
      </c>
      <c r="O1369" t="str">
        <f>"Q"&amp;ROUNDUP(MONTH(Transactions[[#This Row],[Transaction Date]])/3,0)</f>
        <v>Q1</v>
      </c>
      <c r="P1369">
        <f>YEAR(Transactions[[#This Row],[Transaction Date]])</f>
        <v>2024</v>
      </c>
      <c r="Q1369" t="str">
        <f>IF(Transactions[[#This Row],[Sales Amount]]&lt;AVERAGE(Transactions[Sales Amount]),"Below Average","At/Above Average")</f>
        <v>At/Above Average</v>
      </c>
    </row>
    <row r="1370" spans="4:17" x14ac:dyDescent="0.2">
      <c r="D1370" t="s">
        <v>1460</v>
      </c>
      <c r="E1370" t="s">
        <v>77</v>
      </c>
      <c r="F1370" t="s">
        <v>129</v>
      </c>
      <c r="G1370">
        <v>112</v>
      </c>
      <c r="H1370">
        <v>1</v>
      </c>
      <c r="I1370">
        <v>52.16</v>
      </c>
      <c r="J1370">
        <v>5</v>
      </c>
      <c r="K1370" s="37">
        <v>45464</v>
      </c>
      <c r="L1370" t="s">
        <v>92</v>
      </c>
      <c r="M1370">
        <v>105.55</v>
      </c>
      <c r="N1370">
        <v>16</v>
      </c>
      <c r="O1370" t="str">
        <f>"Q"&amp;ROUNDUP(MONTH(Transactions[[#This Row],[Transaction Date]])/3,0)</f>
        <v>Q2</v>
      </c>
      <c r="P1370">
        <f>YEAR(Transactions[[#This Row],[Transaction Date]])</f>
        <v>2024</v>
      </c>
      <c r="Q1370" t="str">
        <f>IF(Transactions[[#This Row],[Sales Amount]]&lt;AVERAGE(Transactions[Sales Amount]),"Below Average","At/Above Average")</f>
        <v>Below Average</v>
      </c>
    </row>
    <row r="1371" spans="4:17" x14ac:dyDescent="0.2">
      <c r="D1371" t="s">
        <v>1461</v>
      </c>
      <c r="E1371" t="s">
        <v>77</v>
      </c>
      <c r="F1371" t="s">
        <v>88</v>
      </c>
      <c r="G1371">
        <v>192</v>
      </c>
      <c r="H1371">
        <v>5</v>
      </c>
      <c r="I1371">
        <v>53.25</v>
      </c>
      <c r="J1371">
        <v>1</v>
      </c>
      <c r="K1371" s="37">
        <v>44887</v>
      </c>
      <c r="L1371" t="s">
        <v>89</v>
      </c>
      <c r="M1371">
        <v>136.06</v>
      </c>
      <c r="N1371">
        <v>7</v>
      </c>
      <c r="O1371" t="str">
        <f>"Q"&amp;ROUNDUP(MONTH(Transactions[[#This Row],[Transaction Date]])/3,0)</f>
        <v>Q4</v>
      </c>
      <c r="P1371">
        <f>YEAR(Transactions[[#This Row],[Transaction Date]])</f>
        <v>2022</v>
      </c>
      <c r="Q1371" t="str">
        <f>IF(Transactions[[#This Row],[Sales Amount]]&lt;AVERAGE(Transactions[Sales Amount]),"Below Average","At/Above Average")</f>
        <v>Below Average</v>
      </c>
    </row>
    <row r="1372" spans="4:17" x14ac:dyDescent="0.2">
      <c r="D1372" t="s">
        <v>1462</v>
      </c>
      <c r="E1372" t="s">
        <v>87</v>
      </c>
      <c r="F1372" t="s">
        <v>88</v>
      </c>
      <c r="G1372">
        <v>283</v>
      </c>
      <c r="H1372">
        <v>6</v>
      </c>
      <c r="I1372">
        <v>52.35</v>
      </c>
      <c r="J1372">
        <v>7</v>
      </c>
      <c r="K1372" s="37">
        <v>44780</v>
      </c>
      <c r="L1372" t="s">
        <v>102</v>
      </c>
      <c r="M1372">
        <v>125.41</v>
      </c>
      <c r="N1372">
        <v>44</v>
      </c>
      <c r="O1372" t="str">
        <f>"Q"&amp;ROUNDUP(MONTH(Transactions[[#This Row],[Transaction Date]])/3,0)</f>
        <v>Q3</v>
      </c>
      <c r="P1372">
        <f>YEAR(Transactions[[#This Row],[Transaction Date]])</f>
        <v>2022</v>
      </c>
      <c r="Q1372" t="str">
        <f>IF(Transactions[[#This Row],[Sales Amount]]&lt;AVERAGE(Transactions[Sales Amount]),"Below Average","At/Above Average")</f>
        <v>Below Average</v>
      </c>
    </row>
    <row r="1373" spans="4:17" x14ac:dyDescent="0.2">
      <c r="D1373" t="s">
        <v>1463</v>
      </c>
      <c r="E1373" t="s">
        <v>76</v>
      </c>
      <c r="F1373" t="s">
        <v>96</v>
      </c>
      <c r="G1373">
        <v>286</v>
      </c>
      <c r="H1373">
        <v>4</v>
      </c>
      <c r="I1373">
        <v>50.82</v>
      </c>
      <c r="J1373">
        <v>1</v>
      </c>
      <c r="K1373" s="37">
        <v>45527</v>
      </c>
      <c r="L1373" t="s">
        <v>97</v>
      </c>
      <c r="M1373">
        <v>270.38</v>
      </c>
      <c r="N1373">
        <v>18</v>
      </c>
      <c r="O1373" t="str">
        <f>"Q"&amp;ROUNDUP(MONTH(Transactions[[#This Row],[Transaction Date]])/3,0)</f>
        <v>Q3</v>
      </c>
      <c r="P1373">
        <f>YEAR(Transactions[[#This Row],[Transaction Date]])</f>
        <v>2024</v>
      </c>
      <c r="Q1373" t="str">
        <f>IF(Transactions[[#This Row],[Sales Amount]]&lt;AVERAGE(Transactions[Sales Amount]),"Below Average","At/Above Average")</f>
        <v>At/Above Average</v>
      </c>
    </row>
    <row r="1374" spans="4:17" x14ac:dyDescent="0.2">
      <c r="D1374" t="s">
        <v>1464</v>
      </c>
      <c r="E1374" t="s">
        <v>78</v>
      </c>
      <c r="F1374" t="s">
        <v>99</v>
      </c>
      <c r="G1374">
        <v>189</v>
      </c>
      <c r="H1374">
        <v>6</v>
      </c>
      <c r="I1374">
        <v>58.6</v>
      </c>
      <c r="J1374">
        <v>6</v>
      </c>
      <c r="K1374" s="37">
        <v>45163</v>
      </c>
      <c r="L1374" t="s">
        <v>92</v>
      </c>
      <c r="M1374">
        <v>104.26</v>
      </c>
      <c r="N1374">
        <v>45</v>
      </c>
      <c r="O1374" t="str">
        <f>"Q"&amp;ROUNDUP(MONTH(Transactions[[#This Row],[Transaction Date]])/3,0)</f>
        <v>Q3</v>
      </c>
      <c r="P1374">
        <f>YEAR(Transactions[[#This Row],[Transaction Date]])</f>
        <v>2023</v>
      </c>
      <c r="Q1374" t="str">
        <f>IF(Transactions[[#This Row],[Sales Amount]]&lt;AVERAGE(Transactions[Sales Amount]),"Below Average","At/Above Average")</f>
        <v>Below Average</v>
      </c>
    </row>
    <row r="1375" spans="4:17" x14ac:dyDescent="0.2">
      <c r="D1375" t="s">
        <v>1465</v>
      </c>
      <c r="E1375" t="s">
        <v>78</v>
      </c>
      <c r="F1375" t="s">
        <v>105</v>
      </c>
      <c r="G1375">
        <v>202</v>
      </c>
      <c r="H1375">
        <v>8</v>
      </c>
      <c r="I1375">
        <v>55.76</v>
      </c>
      <c r="J1375">
        <v>7</v>
      </c>
      <c r="K1375" s="37">
        <v>45653</v>
      </c>
      <c r="L1375" t="s">
        <v>89</v>
      </c>
      <c r="M1375">
        <v>260.68</v>
      </c>
      <c r="N1375">
        <v>48</v>
      </c>
      <c r="O1375" t="str">
        <f>"Q"&amp;ROUNDUP(MONTH(Transactions[[#This Row],[Transaction Date]])/3,0)</f>
        <v>Q4</v>
      </c>
      <c r="P1375">
        <f>YEAR(Transactions[[#This Row],[Transaction Date]])</f>
        <v>2024</v>
      </c>
      <c r="Q1375" t="str">
        <f>IF(Transactions[[#This Row],[Sales Amount]]&lt;AVERAGE(Transactions[Sales Amount]),"Below Average","At/Above Average")</f>
        <v>At/Above Average</v>
      </c>
    </row>
    <row r="1376" spans="4:17" x14ac:dyDescent="0.2">
      <c r="D1376" t="s">
        <v>1466</v>
      </c>
      <c r="E1376" t="s">
        <v>77</v>
      </c>
      <c r="F1376" t="s">
        <v>108</v>
      </c>
      <c r="G1376">
        <v>184</v>
      </c>
      <c r="H1376">
        <v>2</v>
      </c>
      <c r="I1376">
        <v>46.22</v>
      </c>
      <c r="J1376">
        <v>1</v>
      </c>
      <c r="K1376" s="37">
        <v>45092</v>
      </c>
      <c r="L1376" t="s">
        <v>124</v>
      </c>
      <c r="M1376">
        <v>468.18</v>
      </c>
      <c r="N1376">
        <v>29</v>
      </c>
      <c r="O1376" t="str">
        <f>"Q"&amp;ROUNDUP(MONTH(Transactions[[#This Row],[Transaction Date]])/3,0)</f>
        <v>Q2</v>
      </c>
      <c r="P1376">
        <f>YEAR(Transactions[[#This Row],[Transaction Date]])</f>
        <v>2023</v>
      </c>
      <c r="Q1376" t="str">
        <f>IF(Transactions[[#This Row],[Sales Amount]]&lt;AVERAGE(Transactions[Sales Amount]),"Below Average","At/Above Average")</f>
        <v>At/Above Average</v>
      </c>
    </row>
    <row r="1377" spans="4:17" x14ac:dyDescent="0.2">
      <c r="D1377" t="s">
        <v>1467</v>
      </c>
      <c r="E1377" t="s">
        <v>87</v>
      </c>
      <c r="F1377" t="s">
        <v>91</v>
      </c>
      <c r="G1377">
        <v>163</v>
      </c>
      <c r="H1377">
        <v>10</v>
      </c>
      <c r="I1377">
        <v>48.68</v>
      </c>
      <c r="J1377">
        <v>2</v>
      </c>
      <c r="K1377" s="37">
        <v>45398</v>
      </c>
      <c r="L1377" t="s">
        <v>97</v>
      </c>
      <c r="M1377">
        <v>405.28</v>
      </c>
      <c r="N1377">
        <v>34</v>
      </c>
      <c r="O1377" t="str">
        <f>"Q"&amp;ROUNDUP(MONTH(Transactions[[#This Row],[Transaction Date]])/3,0)</f>
        <v>Q2</v>
      </c>
      <c r="P1377">
        <f>YEAR(Transactions[[#This Row],[Transaction Date]])</f>
        <v>2024</v>
      </c>
      <c r="Q1377" t="str">
        <f>IF(Transactions[[#This Row],[Sales Amount]]&lt;AVERAGE(Transactions[Sales Amount]),"Below Average","At/Above Average")</f>
        <v>At/Above Average</v>
      </c>
    </row>
    <row r="1378" spans="4:17" x14ac:dyDescent="0.2">
      <c r="D1378" t="s">
        <v>1468</v>
      </c>
      <c r="E1378" t="s">
        <v>75</v>
      </c>
      <c r="F1378" t="s">
        <v>88</v>
      </c>
      <c r="G1378">
        <v>270</v>
      </c>
      <c r="H1378">
        <v>10</v>
      </c>
      <c r="I1378">
        <v>48.71</v>
      </c>
      <c r="J1378">
        <v>8</v>
      </c>
      <c r="K1378" s="37">
        <v>44795</v>
      </c>
      <c r="L1378" t="s">
        <v>92</v>
      </c>
      <c r="M1378">
        <v>348.09</v>
      </c>
      <c r="N1378">
        <v>17</v>
      </c>
      <c r="O1378" t="str">
        <f>"Q"&amp;ROUNDUP(MONTH(Transactions[[#This Row],[Transaction Date]])/3,0)</f>
        <v>Q3</v>
      </c>
      <c r="P1378">
        <f>YEAR(Transactions[[#This Row],[Transaction Date]])</f>
        <v>2022</v>
      </c>
      <c r="Q1378" t="str">
        <f>IF(Transactions[[#This Row],[Sales Amount]]&lt;AVERAGE(Transactions[Sales Amount]),"Below Average","At/Above Average")</f>
        <v>At/Above Average</v>
      </c>
    </row>
    <row r="1379" spans="4:17" x14ac:dyDescent="0.2">
      <c r="D1379" t="s">
        <v>1469</v>
      </c>
      <c r="E1379" t="s">
        <v>75</v>
      </c>
      <c r="F1379" t="s">
        <v>88</v>
      </c>
      <c r="G1379">
        <v>219</v>
      </c>
      <c r="H1379">
        <v>4</v>
      </c>
      <c r="I1379">
        <v>49.64</v>
      </c>
      <c r="J1379">
        <v>5</v>
      </c>
      <c r="K1379" s="37">
        <v>45471</v>
      </c>
      <c r="L1379" t="s">
        <v>89</v>
      </c>
      <c r="M1379">
        <v>453.2</v>
      </c>
      <c r="N1379">
        <v>41</v>
      </c>
      <c r="O1379" t="str">
        <f>"Q"&amp;ROUNDUP(MONTH(Transactions[[#This Row],[Transaction Date]])/3,0)</f>
        <v>Q2</v>
      </c>
      <c r="P1379">
        <f>YEAR(Transactions[[#This Row],[Transaction Date]])</f>
        <v>2024</v>
      </c>
      <c r="Q1379" t="str">
        <f>IF(Transactions[[#This Row],[Sales Amount]]&lt;AVERAGE(Transactions[Sales Amount]),"Below Average","At/Above Average")</f>
        <v>At/Above Average</v>
      </c>
    </row>
    <row r="1380" spans="4:17" x14ac:dyDescent="0.2">
      <c r="D1380" t="s">
        <v>1470</v>
      </c>
      <c r="E1380" t="s">
        <v>78</v>
      </c>
      <c r="F1380" t="s">
        <v>88</v>
      </c>
      <c r="G1380">
        <v>273</v>
      </c>
      <c r="H1380">
        <v>9</v>
      </c>
      <c r="I1380">
        <v>58.23</v>
      </c>
      <c r="J1380">
        <v>6</v>
      </c>
      <c r="K1380" s="37">
        <v>45457</v>
      </c>
      <c r="L1380" t="s">
        <v>97</v>
      </c>
      <c r="M1380">
        <v>105.79</v>
      </c>
      <c r="N1380">
        <v>8</v>
      </c>
      <c r="O1380" t="str">
        <f>"Q"&amp;ROUNDUP(MONTH(Transactions[[#This Row],[Transaction Date]])/3,0)</f>
        <v>Q2</v>
      </c>
      <c r="P1380">
        <f>YEAR(Transactions[[#This Row],[Transaction Date]])</f>
        <v>2024</v>
      </c>
      <c r="Q1380" t="str">
        <f>IF(Transactions[[#This Row],[Sales Amount]]&lt;AVERAGE(Transactions[Sales Amount]),"Below Average","At/Above Average")</f>
        <v>Below Average</v>
      </c>
    </row>
    <row r="1381" spans="4:17" x14ac:dyDescent="0.2">
      <c r="D1381" t="s">
        <v>1471</v>
      </c>
      <c r="E1381" t="s">
        <v>77</v>
      </c>
      <c r="F1381" t="s">
        <v>108</v>
      </c>
      <c r="G1381">
        <v>123</v>
      </c>
      <c r="H1381">
        <v>1</v>
      </c>
      <c r="I1381">
        <v>53.85</v>
      </c>
      <c r="J1381">
        <v>6</v>
      </c>
      <c r="K1381" s="37">
        <v>45590</v>
      </c>
      <c r="L1381" t="s">
        <v>97</v>
      </c>
      <c r="M1381">
        <v>99.14</v>
      </c>
      <c r="N1381">
        <v>45</v>
      </c>
      <c r="O1381" t="str">
        <f>"Q"&amp;ROUNDUP(MONTH(Transactions[[#This Row],[Transaction Date]])/3,0)</f>
        <v>Q4</v>
      </c>
      <c r="P1381">
        <f>YEAR(Transactions[[#This Row],[Transaction Date]])</f>
        <v>2024</v>
      </c>
      <c r="Q1381" t="str">
        <f>IF(Transactions[[#This Row],[Sales Amount]]&lt;AVERAGE(Transactions[Sales Amount]),"Below Average","At/Above Average")</f>
        <v>Below Average</v>
      </c>
    </row>
    <row r="1382" spans="4:17" x14ac:dyDescent="0.2">
      <c r="D1382" t="s">
        <v>1472</v>
      </c>
      <c r="E1382" t="s">
        <v>87</v>
      </c>
      <c r="F1382" t="s">
        <v>108</v>
      </c>
      <c r="G1382">
        <v>143</v>
      </c>
      <c r="H1382">
        <v>8</v>
      </c>
      <c r="I1382">
        <v>51.27</v>
      </c>
      <c r="J1382">
        <v>3</v>
      </c>
      <c r="K1382" s="37">
        <v>45455</v>
      </c>
      <c r="L1382" t="s">
        <v>102</v>
      </c>
      <c r="M1382">
        <v>314.38</v>
      </c>
      <c r="N1382">
        <v>46</v>
      </c>
      <c r="O1382" t="str">
        <f>"Q"&amp;ROUNDUP(MONTH(Transactions[[#This Row],[Transaction Date]])/3,0)</f>
        <v>Q2</v>
      </c>
      <c r="P1382">
        <f>YEAR(Transactions[[#This Row],[Transaction Date]])</f>
        <v>2024</v>
      </c>
      <c r="Q1382" t="str">
        <f>IF(Transactions[[#This Row],[Sales Amount]]&lt;AVERAGE(Transactions[Sales Amount]),"Below Average","At/Above Average")</f>
        <v>At/Above Average</v>
      </c>
    </row>
    <row r="1383" spans="4:17" x14ac:dyDescent="0.2">
      <c r="D1383" t="s">
        <v>1473</v>
      </c>
      <c r="E1383" t="s">
        <v>76</v>
      </c>
      <c r="F1383" t="s">
        <v>108</v>
      </c>
      <c r="G1383">
        <v>186</v>
      </c>
      <c r="H1383">
        <v>3</v>
      </c>
      <c r="I1383">
        <v>53.22</v>
      </c>
      <c r="J1383">
        <v>8</v>
      </c>
      <c r="K1383" s="37">
        <v>45142</v>
      </c>
      <c r="L1383" t="s">
        <v>124</v>
      </c>
      <c r="M1383">
        <v>278.62</v>
      </c>
      <c r="N1383">
        <v>28</v>
      </c>
      <c r="O1383" t="str">
        <f>"Q"&amp;ROUNDUP(MONTH(Transactions[[#This Row],[Transaction Date]])/3,0)</f>
        <v>Q3</v>
      </c>
      <c r="P1383">
        <f>YEAR(Transactions[[#This Row],[Transaction Date]])</f>
        <v>2023</v>
      </c>
      <c r="Q1383" t="str">
        <f>IF(Transactions[[#This Row],[Sales Amount]]&lt;AVERAGE(Transactions[Sales Amount]),"Below Average","At/Above Average")</f>
        <v>At/Above Average</v>
      </c>
    </row>
    <row r="1384" spans="4:17" x14ac:dyDescent="0.2">
      <c r="D1384" t="s">
        <v>1474</v>
      </c>
      <c r="E1384" t="s">
        <v>74</v>
      </c>
      <c r="F1384" t="s">
        <v>94</v>
      </c>
      <c r="G1384">
        <v>239</v>
      </c>
      <c r="H1384">
        <v>4</v>
      </c>
      <c r="I1384">
        <v>58.37</v>
      </c>
      <c r="J1384">
        <v>1</v>
      </c>
      <c r="K1384" s="37">
        <v>44963</v>
      </c>
      <c r="L1384" t="s">
        <v>92</v>
      </c>
      <c r="M1384">
        <v>76.42</v>
      </c>
      <c r="N1384">
        <v>39</v>
      </c>
      <c r="O1384" t="str">
        <f>"Q"&amp;ROUNDUP(MONTH(Transactions[[#This Row],[Transaction Date]])/3,0)</f>
        <v>Q1</v>
      </c>
      <c r="P1384">
        <f>YEAR(Transactions[[#This Row],[Transaction Date]])</f>
        <v>2023</v>
      </c>
      <c r="Q1384" t="str">
        <f>IF(Transactions[[#This Row],[Sales Amount]]&lt;AVERAGE(Transactions[Sales Amount]),"Below Average","At/Above Average")</f>
        <v>Below Average</v>
      </c>
    </row>
    <row r="1385" spans="4:17" x14ac:dyDescent="0.2">
      <c r="D1385" t="s">
        <v>1475</v>
      </c>
      <c r="E1385" t="s">
        <v>77</v>
      </c>
      <c r="F1385" t="s">
        <v>88</v>
      </c>
      <c r="G1385">
        <v>279</v>
      </c>
      <c r="H1385">
        <v>10</v>
      </c>
      <c r="I1385">
        <v>47.46</v>
      </c>
      <c r="J1385">
        <v>5</v>
      </c>
      <c r="K1385" s="37">
        <v>45197</v>
      </c>
      <c r="L1385" t="s">
        <v>89</v>
      </c>
      <c r="M1385">
        <v>465.78</v>
      </c>
      <c r="N1385">
        <v>6</v>
      </c>
      <c r="O1385" t="str">
        <f>"Q"&amp;ROUNDUP(MONTH(Transactions[[#This Row],[Transaction Date]])/3,0)</f>
        <v>Q3</v>
      </c>
      <c r="P1385">
        <f>YEAR(Transactions[[#This Row],[Transaction Date]])</f>
        <v>2023</v>
      </c>
      <c r="Q1385" t="str">
        <f>IF(Transactions[[#This Row],[Sales Amount]]&lt;AVERAGE(Transactions[Sales Amount]),"Below Average","At/Above Average")</f>
        <v>At/Above Average</v>
      </c>
    </row>
    <row r="1386" spans="4:17" x14ac:dyDescent="0.2">
      <c r="D1386" t="s">
        <v>1476</v>
      </c>
      <c r="E1386" t="s">
        <v>76</v>
      </c>
      <c r="F1386" t="s">
        <v>96</v>
      </c>
      <c r="G1386">
        <v>117</v>
      </c>
      <c r="H1386">
        <v>9</v>
      </c>
      <c r="I1386">
        <v>58.15</v>
      </c>
      <c r="J1386">
        <v>6</v>
      </c>
      <c r="K1386" s="37">
        <v>45346</v>
      </c>
      <c r="L1386" t="s">
        <v>97</v>
      </c>
      <c r="M1386">
        <v>350.28</v>
      </c>
      <c r="N1386">
        <v>38</v>
      </c>
      <c r="O1386" t="str">
        <f>"Q"&amp;ROUNDUP(MONTH(Transactions[[#This Row],[Transaction Date]])/3,0)</f>
        <v>Q1</v>
      </c>
      <c r="P1386">
        <f>YEAR(Transactions[[#This Row],[Transaction Date]])</f>
        <v>2024</v>
      </c>
      <c r="Q1386" t="str">
        <f>IF(Transactions[[#This Row],[Sales Amount]]&lt;AVERAGE(Transactions[Sales Amount]),"Below Average","At/Above Average")</f>
        <v>At/Above Average</v>
      </c>
    </row>
    <row r="1387" spans="4:17" x14ac:dyDescent="0.2">
      <c r="D1387" t="s">
        <v>1477</v>
      </c>
      <c r="E1387" t="s">
        <v>87</v>
      </c>
      <c r="F1387" t="s">
        <v>105</v>
      </c>
      <c r="G1387">
        <v>186</v>
      </c>
      <c r="H1387">
        <v>2</v>
      </c>
      <c r="I1387">
        <v>57.85</v>
      </c>
      <c r="J1387">
        <v>3</v>
      </c>
      <c r="K1387" s="37">
        <v>45600</v>
      </c>
      <c r="L1387" t="s">
        <v>102</v>
      </c>
      <c r="M1387">
        <v>152.79</v>
      </c>
      <c r="N1387">
        <v>22</v>
      </c>
      <c r="O1387" t="str">
        <f>"Q"&amp;ROUNDUP(MONTH(Transactions[[#This Row],[Transaction Date]])/3,0)</f>
        <v>Q4</v>
      </c>
      <c r="P1387">
        <f>YEAR(Transactions[[#This Row],[Transaction Date]])</f>
        <v>2024</v>
      </c>
      <c r="Q1387" t="str">
        <f>IF(Transactions[[#This Row],[Sales Amount]]&lt;AVERAGE(Transactions[Sales Amount]),"Below Average","At/Above Average")</f>
        <v>Below Average</v>
      </c>
    </row>
    <row r="1388" spans="4:17" x14ac:dyDescent="0.2">
      <c r="D1388" t="s">
        <v>1478</v>
      </c>
      <c r="E1388" t="s">
        <v>87</v>
      </c>
      <c r="F1388" t="s">
        <v>105</v>
      </c>
      <c r="G1388">
        <v>215</v>
      </c>
      <c r="H1388">
        <v>7</v>
      </c>
      <c r="I1388">
        <v>45.69</v>
      </c>
      <c r="J1388">
        <v>4</v>
      </c>
      <c r="K1388" s="37">
        <v>45305</v>
      </c>
      <c r="L1388" t="s">
        <v>102</v>
      </c>
      <c r="M1388">
        <v>27.7</v>
      </c>
      <c r="N1388">
        <v>6</v>
      </c>
      <c r="O1388" t="str">
        <f>"Q"&amp;ROUNDUP(MONTH(Transactions[[#This Row],[Transaction Date]])/3,0)</f>
        <v>Q1</v>
      </c>
      <c r="P1388">
        <f>YEAR(Transactions[[#This Row],[Transaction Date]])</f>
        <v>2024</v>
      </c>
      <c r="Q1388" t="str">
        <f>IF(Transactions[[#This Row],[Sales Amount]]&lt;AVERAGE(Transactions[Sales Amount]),"Below Average","At/Above Average")</f>
        <v>Below Average</v>
      </c>
    </row>
    <row r="1389" spans="4:17" x14ac:dyDescent="0.2">
      <c r="D1389" t="s">
        <v>1479</v>
      </c>
      <c r="E1389" t="s">
        <v>78</v>
      </c>
      <c r="F1389" t="s">
        <v>88</v>
      </c>
      <c r="G1389">
        <v>186</v>
      </c>
      <c r="H1389">
        <v>6</v>
      </c>
      <c r="I1389">
        <v>45.51</v>
      </c>
      <c r="J1389">
        <v>3</v>
      </c>
      <c r="K1389" s="37">
        <v>44887</v>
      </c>
      <c r="L1389" t="s">
        <v>124</v>
      </c>
      <c r="M1389">
        <v>462.04</v>
      </c>
      <c r="N1389">
        <v>30</v>
      </c>
      <c r="O1389" t="str">
        <f>"Q"&amp;ROUNDUP(MONTH(Transactions[[#This Row],[Transaction Date]])/3,0)</f>
        <v>Q4</v>
      </c>
      <c r="P1389">
        <f>YEAR(Transactions[[#This Row],[Transaction Date]])</f>
        <v>2022</v>
      </c>
      <c r="Q1389" t="str">
        <f>IF(Transactions[[#This Row],[Sales Amount]]&lt;AVERAGE(Transactions[Sales Amount]),"Below Average","At/Above Average")</f>
        <v>At/Above Average</v>
      </c>
    </row>
    <row r="1390" spans="4:17" x14ac:dyDescent="0.2">
      <c r="D1390" t="s">
        <v>1480</v>
      </c>
      <c r="E1390" t="s">
        <v>77</v>
      </c>
      <c r="F1390" t="s">
        <v>105</v>
      </c>
      <c r="G1390">
        <v>269</v>
      </c>
      <c r="H1390">
        <v>4</v>
      </c>
      <c r="I1390">
        <v>54.99</v>
      </c>
      <c r="J1390">
        <v>1</v>
      </c>
      <c r="K1390" s="37">
        <v>44600</v>
      </c>
      <c r="L1390" t="s">
        <v>97</v>
      </c>
      <c r="M1390">
        <v>338.84</v>
      </c>
      <c r="N1390">
        <v>11</v>
      </c>
      <c r="O1390" t="str">
        <f>"Q"&amp;ROUNDUP(MONTH(Transactions[[#This Row],[Transaction Date]])/3,0)</f>
        <v>Q1</v>
      </c>
      <c r="P1390">
        <f>YEAR(Transactions[[#This Row],[Transaction Date]])</f>
        <v>2022</v>
      </c>
      <c r="Q1390" t="str">
        <f>IF(Transactions[[#This Row],[Sales Amount]]&lt;AVERAGE(Transactions[Sales Amount]),"Below Average","At/Above Average")</f>
        <v>At/Above Average</v>
      </c>
    </row>
    <row r="1391" spans="4:17" x14ac:dyDescent="0.2">
      <c r="D1391" t="s">
        <v>1481</v>
      </c>
      <c r="E1391" t="s">
        <v>75</v>
      </c>
      <c r="F1391" t="s">
        <v>99</v>
      </c>
      <c r="G1391">
        <v>231</v>
      </c>
      <c r="H1391">
        <v>5</v>
      </c>
      <c r="I1391">
        <v>49.11</v>
      </c>
      <c r="J1391">
        <v>8</v>
      </c>
      <c r="K1391" s="37">
        <v>45495</v>
      </c>
      <c r="L1391" t="s">
        <v>124</v>
      </c>
      <c r="M1391">
        <v>237.58</v>
      </c>
      <c r="N1391">
        <v>38</v>
      </c>
      <c r="O1391" t="str">
        <f>"Q"&amp;ROUNDUP(MONTH(Transactions[[#This Row],[Transaction Date]])/3,0)</f>
        <v>Q3</v>
      </c>
      <c r="P1391">
        <f>YEAR(Transactions[[#This Row],[Transaction Date]])</f>
        <v>2024</v>
      </c>
      <c r="Q1391" t="str">
        <f>IF(Transactions[[#This Row],[Sales Amount]]&lt;AVERAGE(Transactions[Sales Amount]),"Below Average","At/Above Average")</f>
        <v>Below Average</v>
      </c>
    </row>
    <row r="1392" spans="4:17" x14ac:dyDescent="0.2">
      <c r="D1392" t="s">
        <v>1482</v>
      </c>
      <c r="E1392" t="s">
        <v>76</v>
      </c>
      <c r="F1392" t="s">
        <v>91</v>
      </c>
      <c r="G1392">
        <v>182</v>
      </c>
      <c r="H1392">
        <v>5</v>
      </c>
      <c r="I1392">
        <v>56.57</v>
      </c>
      <c r="J1392">
        <v>8</v>
      </c>
      <c r="K1392" s="37">
        <v>45620</v>
      </c>
      <c r="L1392" t="s">
        <v>102</v>
      </c>
      <c r="M1392">
        <v>122.99</v>
      </c>
      <c r="N1392">
        <v>34</v>
      </c>
      <c r="O1392" t="str">
        <f>"Q"&amp;ROUNDUP(MONTH(Transactions[[#This Row],[Transaction Date]])/3,0)</f>
        <v>Q4</v>
      </c>
      <c r="P1392">
        <f>YEAR(Transactions[[#This Row],[Transaction Date]])</f>
        <v>2024</v>
      </c>
      <c r="Q1392" t="str">
        <f>IF(Transactions[[#This Row],[Sales Amount]]&lt;AVERAGE(Transactions[Sales Amount]),"Below Average","At/Above Average")</f>
        <v>Below Average</v>
      </c>
    </row>
    <row r="1393" spans="4:17" x14ac:dyDescent="0.2">
      <c r="D1393" t="s">
        <v>1483</v>
      </c>
      <c r="E1393" t="s">
        <v>76</v>
      </c>
      <c r="F1393" t="s">
        <v>91</v>
      </c>
      <c r="G1393">
        <v>222</v>
      </c>
      <c r="H1393">
        <v>5</v>
      </c>
      <c r="I1393">
        <v>54.47</v>
      </c>
      <c r="J1393">
        <v>9</v>
      </c>
      <c r="K1393" s="37">
        <v>45209</v>
      </c>
      <c r="L1393" t="s">
        <v>89</v>
      </c>
      <c r="M1393">
        <v>97.47</v>
      </c>
      <c r="N1393">
        <v>19</v>
      </c>
      <c r="O1393" t="str">
        <f>"Q"&amp;ROUNDUP(MONTH(Transactions[[#This Row],[Transaction Date]])/3,0)</f>
        <v>Q4</v>
      </c>
      <c r="P1393">
        <f>YEAR(Transactions[[#This Row],[Transaction Date]])</f>
        <v>2023</v>
      </c>
      <c r="Q1393" t="str">
        <f>IF(Transactions[[#This Row],[Sales Amount]]&lt;AVERAGE(Transactions[Sales Amount]),"Below Average","At/Above Average")</f>
        <v>Below Average</v>
      </c>
    </row>
    <row r="1394" spans="4:17" x14ac:dyDescent="0.2">
      <c r="D1394" t="s">
        <v>1484</v>
      </c>
      <c r="E1394" t="s">
        <v>87</v>
      </c>
      <c r="F1394" t="s">
        <v>96</v>
      </c>
      <c r="G1394">
        <v>143</v>
      </c>
      <c r="H1394">
        <v>6</v>
      </c>
      <c r="I1394">
        <v>56.98</v>
      </c>
      <c r="J1394">
        <v>7</v>
      </c>
      <c r="K1394" s="37">
        <v>45588</v>
      </c>
      <c r="L1394" t="s">
        <v>89</v>
      </c>
      <c r="M1394">
        <v>173.92</v>
      </c>
      <c r="N1394">
        <v>49</v>
      </c>
      <c r="O1394" t="str">
        <f>"Q"&amp;ROUNDUP(MONTH(Transactions[[#This Row],[Transaction Date]])/3,0)</f>
        <v>Q4</v>
      </c>
      <c r="P1394">
        <f>YEAR(Transactions[[#This Row],[Transaction Date]])</f>
        <v>2024</v>
      </c>
      <c r="Q1394" t="str">
        <f>IF(Transactions[[#This Row],[Sales Amount]]&lt;AVERAGE(Transactions[Sales Amount]),"Below Average","At/Above Average")</f>
        <v>Below Average</v>
      </c>
    </row>
    <row r="1395" spans="4:17" x14ac:dyDescent="0.2">
      <c r="D1395" t="s">
        <v>1485</v>
      </c>
      <c r="E1395" t="s">
        <v>87</v>
      </c>
      <c r="F1395" t="s">
        <v>96</v>
      </c>
      <c r="G1395">
        <v>172</v>
      </c>
      <c r="H1395">
        <v>1</v>
      </c>
      <c r="I1395">
        <v>45.85</v>
      </c>
      <c r="J1395">
        <v>8</v>
      </c>
      <c r="K1395" s="37">
        <v>44852</v>
      </c>
      <c r="L1395" t="s">
        <v>102</v>
      </c>
      <c r="M1395">
        <v>35.68</v>
      </c>
      <c r="N1395">
        <v>37</v>
      </c>
      <c r="O1395" t="str">
        <f>"Q"&amp;ROUNDUP(MONTH(Transactions[[#This Row],[Transaction Date]])/3,0)</f>
        <v>Q4</v>
      </c>
      <c r="P1395">
        <f>YEAR(Transactions[[#This Row],[Transaction Date]])</f>
        <v>2022</v>
      </c>
      <c r="Q1395" t="str">
        <f>IF(Transactions[[#This Row],[Sales Amount]]&lt;AVERAGE(Transactions[Sales Amount]),"Below Average","At/Above Average")</f>
        <v>Below Average</v>
      </c>
    </row>
    <row r="1396" spans="4:17" x14ac:dyDescent="0.2">
      <c r="D1396" t="s">
        <v>1486</v>
      </c>
      <c r="E1396" t="s">
        <v>77</v>
      </c>
      <c r="F1396" t="s">
        <v>94</v>
      </c>
      <c r="G1396">
        <v>172</v>
      </c>
      <c r="H1396">
        <v>7</v>
      </c>
      <c r="I1396">
        <v>55.45</v>
      </c>
      <c r="J1396">
        <v>3</v>
      </c>
      <c r="K1396" s="37">
        <v>45656</v>
      </c>
      <c r="L1396" t="s">
        <v>102</v>
      </c>
      <c r="M1396">
        <v>15.76</v>
      </c>
      <c r="N1396">
        <v>25</v>
      </c>
      <c r="O1396" t="str">
        <f>"Q"&amp;ROUNDUP(MONTH(Transactions[[#This Row],[Transaction Date]])/3,0)</f>
        <v>Q4</v>
      </c>
      <c r="P1396">
        <f>YEAR(Transactions[[#This Row],[Transaction Date]])</f>
        <v>2024</v>
      </c>
      <c r="Q1396" t="str">
        <f>IF(Transactions[[#This Row],[Sales Amount]]&lt;AVERAGE(Transactions[Sales Amount]),"Below Average","At/Above Average")</f>
        <v>Below Average</v>
      </c>
    </row>
    <row r="1397" spans="4:17" x14ac:dyDescent="0.2">
      <c r="D1397" t="s">
        <v>1487</v>
      </c>
      <c r="E1397" t="s">
        <v>74</v>
      </c>
      <c r="F1397" t="s">
        <v>105</v>
      </c>
      <c r="G1397">
        <v>151</v>
      </c>
      <c r="H1397">
        <v>10</v>
      </c>
      <c r="I1397">
        <v>59.71</v>
      </c>
      <c r="J1397">
        <v>7</v>
      </c>
      <c r="K1397" s="37">
        <v>45158</v>
      </c>
      <c r="L1397" t="s">
        <v>97</v>
      </c>
      <c r="M1397">
        <v>369.98</v>
      </c>
      <c r="N1397">
        <v>19</v>
      </c>
      <c r="O1397" t="str">
        <f>"Q"&amp;ROUNDUP(MONTH(Transactions[[#This Row],[Transaction Date]])/3,0)</f>
        <v>Q3</v>
      </c>
      <c r="P1397">
        <f>YEAR(Transactions[[#This Row],[Transaction Date]])</f>
        <v>2023</v>
      </c>
      <c r="Q1397" t="str">
        <f>IF(Transactions[[#This Row],[Sales Amount]]&lt;AVERAGE(Transactions[Sales Amount]),"Below Average","At/Above Average")</f>
        <v>At/Above Average</v>
      </c>
    </row>
    <row r="1398" spans="4:17" x14ac:dyDescent="0.2">
      <c r="D1398" t="s">
        <v>1488</v>
      </c>
      <c r="E1398" t="s">
        <v>78</v>
      </c>
      <c r="F1398" t="s">
        <v>91</v>
      </c>
      <c r="G1398">
        <v>218</v>
      </c>
      <c r="H1398">
        <v>10</v>
      </c>
      <c r="I1398">
        <v>47.1</v>
      </c>
      <c r="J1398">
        <v>2</v>
      </c>
      <c r="K1398" s="37">
        <v>45384</v>
      </c>
      <c r="L1398" t="s">
        <v>102</v>
      </c>
      <c r="M1398">
        <v>107.32</v>
      </c>
      <c r="N1398">
        <v>42</v>
      </c>
      <c r="O1398" t="str">
        <f>"Q"&amp;ROUNDUP(MONTH(Transactions[[#This Row],[Transaction Date]])/3,0)</f>
        <v>Q2</v>
      </c>
      <c r="P1398">
        <f>YEAR(Transactions[[#This Row],[Transaction Date]])</f>
        <v>2024</v>
      </c>
      <c r="Q1398" t="str">
        <f>IF(Transactions[[#This Row],[Sales Amount]]&lt;AVERAGE(Transactions[Sales Amount]),"Below Average","At/Above Average")</f>
        <v>Below Average</v>
      </c>
    </row>
    <row r="1399" spans="4:17" x14ac:dyDescent="0.2">
      <c r="D1399" t="s">
        <v>1489</v>
      </c>
      <c r="E1399" t="s">
        <v>76</v>
      </c>
      <c r="F1399" t="s">
        <v>105</v>
      </c>
      <c r="G1399">
        <v>230</v>
      </c>
      <c r="H1399">
        <v>10</v>
      </c>
      <c r="I1399">
        <v>50.38</v>
      </c>
      <c r="J1399">
        <v>4</v>
      </c>
      <c r="K1399" s="37">
        <v>45097</v>
      </c>
      <c r="L1399" t="s">
        <v>124</v>
      </c>
      <c r="M1399">
        <v>257.8</v>
      </c>
      <c r="N1399">
        <v>28</v>
      </c>
      <c r="O1399" t="str">
        <f>"Q"&amp;ROUNDUP(MONTH(Transactions[[#This Row],[Transaction Date]])/3,0)</f>
        <v>Q2</v>
      </c>
      <c r="P1399">
        <f>YEAR(Transactions[[#This Row],[Transaction Date]])</f>
        <v>2023</v>
      </c>
      <c r="Q1399" t="str">
        <f>IF(Transactions[[#This Row],[Sales Amount]]&lt;AVERAGE(Transactions[Sales Amount]),"Below Average","At/Above Average")</f>
        <v>Below Average</v>
      </c>
    </row>
    <row r="1400" spans="4:17" x14ac:dyDescent="0.2">
      <c r="D1400" t="s">
        <v>1490</v>
      </c>
      <c r="E1400" t="s">
        <v>75</v>
      </c>
      <c r="F1400" t="s">
        <v>108</v>
      </c>
      <c r="G1400">
        <v>115</v>
      </c>
      <c r="H1400">
        <v>4</v>
      </c>
      <c r="I1400">
        <v>56.96</v>
      </c>
      <c r="J1400">
        <v>8</v>
      </c>
      <c r="K1400" s="37">
        <v>45620</v>
      </c>
      <c r="L1400" t="s">
        <v>92</v>
      </c>
      <c r="M1400">
        <v>87.4</v>
      </c>
      <c r="N1400">
        <v>22</v>
      </c>
      <c r="O1400" t="str">
        <f>"Q"&amp;ROUNDUP(MONTH(Transactions[[#This Row],[Transaction Date]])/3,0)</f>
        <v>Q4</v>
      </c>
      <c r="P1400">
        <f>YEAR(Transactions[[#This Row],[Transaction Date]])</f>
        <v>2024</v>
      </c>
      <c r="Q1400" t="str">
        <f>IF(Transactions[[#This Row],[Sales Amount]]&lt;AVERAGE(Transactions[Sales Amount]),"Below Average","At/Above Average")</f>
        <v>Below Average</v>
      </c>
    </row>
    <row r="1401" spans="4:17" x14ac:dyDescent="0.2">
      <c r="D1401" t="s">
        <v>1491</v>
      </c>
      <c r="E1401" t="s">
        <v>74</v>
      </c>
      <c r="F1401" t="s">
        <v>91</v>
      </c>
      <c r="G1401">
        <v>138</v>
      </c>
      <c r="H1401">
        <v>6</v>
      </c>
      <c r="I1401">
        <v>46.73</v>
      </c>
      <c r="J1401">
        <v>4</v>
      </c>
      <c r="K1401" s="37">
        <v>44816</v>
      </c>
      <c r="L1401" t="s">
        <v>109</v>
      </c>
      <c r="M1401">
        <v>358.5</v>
      </c>
      <c r="N1401">
        <v>19</v>
      </c>
      <c r="O1401" t="str">
        <f>"Q"&amp;ROUNDUP(MONTH(Transactions[[#This Row],[Transaction Date]])/3,0)</f>
        <v>Q3</v>
      </c>
      <c r="P1401">
        <f>YEAR(Transactions[[#This Row],[Transaction Date]])</f>
        <v>2022</v>
      </c>
      <c r="Q1401" t="str">
        <f>IF(Transactions[[#This Row],[Sales Amount]]&lt;AVERAGE(Transactions[Sales Amount]),"Below Average","At/Above Average")</f>
        <v>At/Above Average</v>
      </c>
    </row>
    <row r="1402" spans="4:17" x14ac:dyDescent="0.2">
      <c r="D1402" t="s">
        <v>1492</v>
      </c>
      <c r="E1402" t="s">
        <v>78</v>
      </c>
      <c r="F1402" t="s">
        <v>96</v>
      </c>
      <c r="G1402">
        <v>100</v>
      </c>
      <c r="H1402">
        <v>7</v>
      </c>
      <c r="I1402">
        <v>58.71</v>
      </c>
      <c r="J1402">
        <v>9</v>
      </c>
      <c r="K1402" s="37">
        <v>45469</v>
      </c>
      <c r="L1402" t="s">
        <v>92</v>
      </c>
      <c r="M1402">
        <v>275.68</v>
      </c>
      <c r="N1402">
        <v>43</v>
      </c>
      <c r="O1402" t="str">
        <f>"Q"&amp;ROUNDUP(MONTH(Transactions[[#This Row],[Transaction Date]])/3,0)</f>
        <v>Q2</v>
      </c>
      <c r="P1402">
        <f>YEAR(Transactions[[#This Row],[Transaction Date]])</f>
        <v>2024</v>
      </c>
      <c r="Q1402" t="str">
        <f>IF(Transactions[[#This Row],[Sales Amount]]&lt;AVERAGE(Transactions[Sales Amount]),"Below Average","At/Above Average")</f>
        <v>At/Above Average</v>
      </c>
    </row>
    <row r="1403" spans="4:17" x14ac:dyDescent="0.2">
      <c r="D1403" t="s">
        <v>1493</v>
      </c>
      <c r="E1403" t="s">
        <v>75</v>
      </c>
      <c r="F1403" t="s">
        <v>99</v>
      </c>
      <c r="G1403">
        <v>243</v>
      </c>
      <c r="H1403">
        <v>2</v>
      </c>
      <c r="I1403">
        <v>57.13</v>
      </c>
      <c r="J1403">
        <v>1</v>
      </c>
      <c r="K1403" s="37">
        <v>44869</v>
      </c>
      <c r="L1403" t="s">
        <v>92</v>
      </c>
      <c r="M1403">
        <v>171.58</v>
      </c>
      <c r="N1403">
        <v>21</v>
      </c>
      <c r="O1403" t="str">
        <f>"Q"&amp;ROUNDUP(MONTH(Transactions[[#This Row],[Transaction Date]])/3,0)</f>
        <v>Q4</v>
      </c>
      <c r="P1403">
        <f>YEAR(Transactions[[#This Row],[Transaction Date]])</f>
        <v>2022</v>
      </c>
      <c r="Q1403" t="str">
        <f>IF(Transactions[[#This Row],[Sales Amount]]&lt;AVERAGE(Transactions[Sales Amount]),"Below Average","At/Above Average")</f>
        <v>Below Average</v>
      </c>
    </row>
    <row r="1404" spans="4:17" x14ac:dyDescent="0.2">
      <c r="D1404" t="s">
        <v>1494</v>
      </c>
      <c r="E1404" t="s">
        <v>75</v>
      </c>
      <c r="F1404" t="s">
        <v>88</v>
      </c>
      <c r="G1404">
        <v>214</v>
      </c>
      <c r="H1404">
        <v>10</v>
      </c>
      <c r="I1404">
        <v>45.87</v>
      </c>
      <c r="J1404">
        <v>10</v>
      </c>
      <c r="K1404" s="37">
        <v>45446</v>
      </c>
      <c r="L1404" t="s">
        <v>124</v>
      </c>
      <c r="M1404">
        <v>152.27000000000001</v>
      </c>
      <c r="N1404">
        <v>48</v>
      </c>
      <c r="O1404" t="str">
        <f>"Q"&amp;ROUNDUP(MONTH(Transactions[[#This Row],[Transaction Date]])/3,0)</f>
        <v>Q2</v>
      </c>
      <c r="P1404">
        <f>YEAR(Transactions[[#This Row],[Transaction Date]])</f>
        <v>2024</v>
      </c>
      <c r="Q1404" t="str">
        <f>IF(Transactions[[#This Row],[Sales Amount]]&lt;AVERAGE(Transactions[Sales Amount]),"Below Average","At/Above Average")</f>
        <v>Below Average</v>
      </c>
    </row>
    <row r="1405" spans="4:17" x14ac:dyDescent="0.2">
      <c r="D1405" t="s">
        <v>1495</v>
      </c>
      <c r="E1405" t="s">
        <v>87</v>
      </c>
      <c r="F1405" t="s">
        <v>91</v>
      </c>
      <c r="G1405">
        <v>189</v>
      </c>
      <c r="H1405">
        <v>4</v>
      </c>
      <c r="I1405">
        <v>54.5</v>
      </c>
      <c r="J1405">
        <v>6</v>
      </c>
      <c r="K1405" s="37">
        <v>45302</v>
      </c>
      <c r="L1405" t="s">
        <v>92</v>
      </c>
      <c r="M1405">
        <v>97.6</v>
      </c>
      <c r="N1405">
        <v>16</v>
      </c>
      <c r="O1405" t="str">
        <f>"Q"&amp;ROUNDUP(MONTH(Transactions[[#This Row],[Transaction Date]])/3,0)</f>
        <v>Q1</v>
      </c>
      <c r="P1405">
        <f>YEAR(Transactions[[#This Row],[Transaction Date]])</f>
        <v>2024</v>
      </c>
      <c r="Q1405" t="str">
        <f>IF(Transactions[[#This Row],[Sales Amount]]&lt;AVERAGE(Transactions[Sales Amount]),"Below Average","At/Above Average")</f>
        <v>Below Average</v>
      </c>
    </row>
    <row r="1406" spans="4:17" x14ac:dyDescent="0.2">
      <c r="D1406" t="s">
        <v>1496</v>
      </c>
      <c r="E1406" t="s">
        <v>76</v>
      </c>
      <c r="F1406" t="s">
        <v>99</v>
      </c>
      <c r="G1406">
        <v>225</v>
      </c>
      <c r="H1406">
        <v>10</v>
      </c>
      <c r="I1406">
        <v>56.2</v>
      </c>
      <c r="J1406">
        <v>3</v>
      </c>
      <c r="K1406" s="37">
        <v>44739</v>
      </c>
      <c r="L1406" t="s">
        <v>97</v>
      </c>
      <c r="M1406">
        <v>63.77</v>
      </c>
      <c r="N1406">
        <v>16</v>
      </c>
      <c r="O1406" t="str">
        <f>"Q"&amp;ROUNDUP(MONTH(Transactions[[#This Row],[Transaction Date]])/3,0)</f>
        <v>Q2</v>
      </c>
      <c r="P1406">
        <f>YEAR(Transactions[[#This Row],[Transaction Date]])</f>
        <v>2022</v>
      </c>
      <c r="Q1406" t="str">
        <f>IF(Transactions[[#This Row],[Sales Amount]]&lt;AVERAGE(Transactions[Sales Amount]),"Below Average","At/Above Average")</f>
        <v>Below Average</v>
      </c>
    </row>
    <row r="1407" spans="4:17" x14ac:dyDescent="0.2">
      <c r="D1407" t="s">
        <v>1497</v>
      </c>
      <c r="E1407" t="s">
        <v>78</v>
      </c>
      <c r="F1407" t="s">
        <v>96</v>
      </c>
      <c r="G1407">
        <v>176</v>
      </c>
      <c r="H1407">
        <v>5</v>
      </c>
      <c r="I1407">
        <v>54.74</v>
      </c>
      <c r="J1407">
        <v>1</v>
      </c>
      <c r="K1407" s="37">
        <v>45347</v>
      </c>
      <c r="L1407" t="s">
        <v>97</v>
      </c>
      <c r="M1407">
        <v>343.31</v>
      </c>
      <c r="N1407">
        <v>38</v>
      </c>
      <c r="O1407" t="str">
        <f>"Q"&amp;ROUNDUP(MONTH(Transactions[[#This Row],[Transaction Date]])/3,0)</f>
        <v>Q1</v>
      </c>
      <c r="P1407">
        <f>YEAR(Transactions[[#This Row],[Transaction Date]])</f>
        <v>2024</v>
      </c>
      <c r="Q1407" t="str">
        <f>IF(Transactions[[#This Row],[Sales Amount]]&lt;AVERAGE(Transactions[Sales Amount]),"Below Average","At/Above Average")</f>
        <v>At/Above Average</v>
      </c>
    </row>
    <row r="1408" spans="4:17" x14ac:dyDescent="0.2">
      <c r="D1408" t="s">
        <v>1498</v>
      </c>
      <c r="E1408" t="s">
        <v>75</v>
      </c>
      <c r="F1408" t="s">
        <v>108</v>
      </c>
      <c r="G1408">
        <v>248</v>
      </c>
      <c r="H1408">
        <v>9</v>
      </c>
      <c r="I1408">
        <v>59.92</v>
      </c>
      <c r="J1408">
        <v>10</v>
      </c>
      <c r="K1408" s="37">
        <v>44735</v>
      </c>
      <c r="L1408" t="s">
        <v>89</v>
      </c>
      <c r="M1408">
        <v>105</v>
      </c>
      <c r="N1408">
        <v>34</v>
      </c>
      <c r="O1408" t="str">
        <f>"Q"&amp;ROUNDUP(MONTH(Transactions[[#This Row],[Transaction Date]])/3,0)</f>
        <v>Q2</v>
      </c>
      <c r="P1408">
        <f>YEAR(Transactions[[#This Row],[Transaction Date]])</f>
        <v>2022</v>
      </c>
      <c r="Q1408" t="str">
        <f>IF(Transactions[[#This Row],[Sales Amount]]&lt;AVERAGE(Transactions[Sales Amount]),"Below Average","At/Above Average")</f>
        <v>Below Average</v>
      </c>
    </row>
    <row r="1409" spans="4:17" x14ac:dyDescent="0.2">
      <c r="D1409" t="s">
        <v>1499</v>
      </c>
      <c r="E1409" t="s">
        <v>78</v>
      </c>
      <c r="F1409" t="s">
        <v>96</v>
      </c>
      <c r="G1409">
        <v>129</v>
      </c>
      <c r="H1409">
        <v>8</v>
      </c>
      <c r="I1409">
        <v>51.7</v>
      </c>
      <c r="J1409">
        <v>2</v>
      </c>
      <c r="K1409" s="37">
        <v>44689</v>
      </c>
      <c r="L1409" t="s">
        <v>124</v>
      </c>
      <c r="M1409">
        <v>152.49</v>
      </c>
      <c r="N1409">
        <v>36</v>
      </c>
      <c r="O1409" t="str">
        <f>"Q"&amp;ROUNDUP(MONTH(Transactions[[#This Row],[Transaction Date]])/3,0)</f>
        <v>Q2</v>
      </c>
      <c r="P1409">
        <f>YEAR(Transactions[[#This Row],[Transaction Date]])</f>
        <v>2022</v>
      </c>
      <c r="Q1409" t="str">
        <f>IF(Transactions[[#This Row],[Sales Amount]]&lt;AVERAGE(Transactions[Sales Amount]),"Below Average","At/Above Average")</f>
        <v>Below Average</v>
      </c>
    </row>
    <row r="1410" spans="4:17" x14ac:dyDescent="0.2">
      <c r="D1410" t="s">
        <v>1500</v>
      </c>
      <c r="E1410" t="s">
        <v>74</v>
      </c>
      <c r="F1410" t="s">
        <v>94</v>
      </c>
      <c r="G1410">
        <v>218</v>
      </c>
      <c r="H1410">
        <v>10</v>
      </c>
      <c r="I1410">
        <v>48.56</v>
      </c>
      <c r="J1410">
        <v>9</v>
      </c>
      <c r="K1410" s="37">
        <v>44566</v>
      </c>
      <c r="L1410" t="s">
        <v>124</v>
      </c>
      <c r="M1410">
        <v>54.24</v>
      </c>
      <c r="N1410">
        <v>17</v>
      </c>
      <c r="O1410" t="str">
        <f>"Q"&amp;ROUNDUP(MONTH(Transactions[[#This Row],[Transaction Date]])/3,0)</f>
        <v>Q1</v>
      </c>
      <c r="P1410">
        <f>YEAR(Transactions[[#This Row],[Transaction Date]])</f>
        <v>2022</v>
      </c>
      <c r="Q1410" t="str">
        <f>IF(Transactions[[#This Row],[Sales Amount]]&lt;AVERAGE(Transactions[Sales Amount]),"Below Average","At/Above Average")</f>
        <v>Below Average</v>
      </c>
    </row>
    <row r="1411" spans="4:17" x14ac:dyDescent="0.2">
      <c r="D1411" t="s">
        <v>1501</v>
      </c>
      <c r="E1411" t="s">
        <v>74</v>
      </c>
      <c r="F1411" t="s">
        <v>88</v>
      </c>
      <c r="G1411">
        <v>273</v>
      </c>
      <c r="H1411">
        <v>10</v>
      </c>
      <c r="I1411">
        <v>54.35</v>
      </c>
      <c r="J1411">
        <v>6</v>
      </c>
      <c r="K1411" s="37">
        <v>45361</v>
      </c>
      <c r="L1411" t="s">
        <v>109</v>
      </c>
      <c r="M1411">
        <v>309.7</v>
      </c>
      <c r="N1411">
        <v>47</v>
      </c>
      <c r="O1411" t="str">
        <f>"Q"&amp;ROUNDUP(MONTH(Transactions[[#This Row],[Transaction Date]])/3,0)</f>
        <v>Q1</v>
      </c>
      <c r="P1411">
        <f>YEAR(Transactions[[#This Row],[Transaction Date]])</f>
        <v>2024</v>
      </c>
      <c r="Q1411" t="str">
        <f>IF(Transactions[[#This Row],[Sales Amount]]&lt;AVERAGE(Transactions[Sales Amount]),"Below Average","At/Above Average")</f>
        <v>At/Above Average</v>
      </c>
    </row>
    <row r="1412" spans="4:17" x14ac:dyDescent="0.2">
      <c r="D1412" t="s">
        <v>1502</v>
      </c>
      <c r="E1412" t="s">
        <v>74</v>
      </c>
      <c r="F1412" t="s">
        <v>99</v>
      </c>
      <c r="G1412">
        <v>300</v>
      </c>
      <c r="H1412">
        <v>1</v>
      </c>
      <c r="I1412">
        <v>48.74</v>
      </c>
      <c r="J1412">
        <v>5</v>
      </c>
      <c r="K1412" s="37">
        <v>45591</v>
      </c>
      <c r="L1412" t="s">
        <v>124</v>
      </c>
      <c r="M1412">
        <v>390.42</v>
      </c>
      <c r="N1412">
        <v>41</v>
      </c>
      <c r="O1412" t="str">
        <f>"Q"&amp;ROUNDUP(MONTH(Transactions[[#This Row],[Transaction Date]])/3,0)</f>
        <v>Q4</v>
      </c>
      <c r="P1412">
        <f>YEAR(Transactions[[#This Row],[Transaction Date]])</f>
        <v>2024</v>
      </c>
      <c r="Q1412" t="str">
        <f>IF(Transactions[[#This Row],[Sales Amount]]&lt;AVERAGE(Transactions[Sales Amount]),"Below Average","At/Above Average")</f>
        <v>At/Above Average</v>
      </c>
    </row>
    <row r="1413" spans="4:17" x14ac:dyDescent="0.2">
      <c r="D1413" t="s">
        <v>1503</v>
      </c>
      <c r="E1413" t="s">
        <v>75</v>
      </c>
      <c r="F1413" t="s">
        <v>99</v>
      </c>
      <c r="G1413">
        <v>133</v>
      </c>
      <c r="H1413">
        <v>6</v>
      </c>
      <c r="I1413">
        <v>56.96</v>
      </c>
      <c r="J1413">
        <v>2</v>
      </c>
      <c r="K1413" s="37">
        <v>44988</v>
      </c>
      <c r="L1413" t="s">
        <v>92</v>
      </c>
      <c r="M1413">
        <v>313.68</v>
      </c>
      <c r="N1413">
        <v>7</v>
      </c>
      <c r="O1413" t="str">
        <f>"Q"&amp;ROUNDUP(MONTH(Transactions[[#This Row],[Transaction Date]])/3,0)</f>
        <v>Q1</v>
      </c>
      <c r="P1413">
        <f>YEAR(Transactions[[#This Row],[Transaction Date]])</f>
        <v>2023</v>
      </c>
      <c r="Q1413" t="str">
        <f>IF(Transactions[[#This Row],[Sales Amount]]&lt;AVERAGE(Transactions[Sales Amount]),"Below Average","At/Above Average")</f>
        <v>At/Above Average</v>
      </c>
    </row>
    <row r="1414" spans="4:17" x14ac:dyDescent="0.2">
      <c r="D1414" t="s">
        <v>1504</v>
      </c>
      <c r="E1414" t="s">
        <v>76</v>
      </c>
      <c r="F1414" t="s">
        <v>91</v>
      </c>
      <c r="G1414">
        <v>110</v>
      </c>
      <c r="H1414">
        <v>3</v>
      </c>
      <c r="I1414">
        <v>52.03</v>
      </c>
      <c r="J1414">
        <v>9</v>
      </c>
      <c r="K1414" s="37">
        <v>44670</v>
      </c>
      <c r="L1414" t="s">
        <v>89</v>
      </c>
      <c r="M1414">
        <v>91.44</v>
      </c>
      <c r="N1414">
        <v>13</v>
      </c>
      <c r="O1414" t="str">
        <f>"Q"&amp;ROUNDUP(MONTH(Transactions[[#This Row],[Transaction Date]])/3,0)</f>
        <v>Q2</v>
      </c>
      <c r="P1414">
        <f>YEAR(Transactions[[#This Row],[Transaction Date]])</f>
        <v>2022</v>
      </c>
      <c r="Q1414" t="str">
        <f>IF(Transactions[[#This Row],[Sales Amount]]&lt;AVERAGE(Transactions[Sales Amount]),"Below Average","At/Above Average")</f>
        <v>Below Average</v>
      </c>
    </row>
    <row r="1415" spans="4:17" x14ac:dyDescent="0.2">
      <c r="D1415" t="s">
        <v>1505</v>
      </c>
      <c r="E1415" t="s">
        <v>78</v>
      </c>
      <c r="F1415" t="s">
        <v>105</v>
      </c>
      <c r="G1415">
        <v>287</v>
      </c>
      <c r="H1415">
        <v>9</v>
      </c>
      <c r="I1415">
        <v>52.51</v>
      </c>
      <c r="J1415">
        <v>3</v>
      </c>
      <c r="K1415" s="37">
        <v>45460</v>
      </c>
      <c r="L1415" t="s">
        <v>109</v>
      </c>
      <c r="M1415">
        <v>338.34</v>
      </c>
      <c r="N1415">
        <v>43</v>
      </c>
      <c r="O1415" t="str">
        <f>"Q"&amp;ROUNDUP(MONTH(Transactions[[#This Row],[Transaction Date]])/3,0)</f>
        <v>Q2</v>
      </c>
      <c r="P1415">
        <f>YEAR(Transactions[[#This Row],[Transaction Date]])</f>
        <v>2024</v>
      </c>
      <c r="Q1415" t="str">
        <f>IF(Transactions[[#This Row],[Sales Amount]]&lt;AVERAGE(Transactions[Sales Amount]),"Below Average","At/Above Average")</f>
        <v>At/Above Average</v>
      </c>
    </row>
    <row r="1416" spans="4:17" x14ac:dyDescent="0.2">
      <c r="D1416" t="s">
        <v>1506</v>
      </c>
      <c r="E1416" t="s">
        <v>75</v>
      </c>
      <c r="F1416" t="s">
        <v>88</v>
      </c>
      <c r="G1416">
        <v>125</v>
      </c>
      <c r="H1416">
        <v>6</v>
      </c>
      <c r="I1416">
        <v>51.97</v>
      </c>
      <c r="J1416">
        <v>8</v>
      </c>
      <c r="K1416" s="37">
        <v>45577</v>
      </c>
      <c r="L1416" t="s">
        <v>92</v>
      </c>
      <c r="M1416">
        <v>163.72999999999999</v>
      </c>
      <c r="N1416">
        <v>41</v>
      </c>
      <c r="O1416" t="str">
        <f>"Q"&amp;ROUNDUP(MONTH(Transactions[[#This Row],[Transaction Date]])/3,0)</f>
        <v>Q4</v>
      </c>
      <c r="P1416">
        <f>YEAR(Transactions[[#This Row],[Transaction Date]])</f>
        <v>2024</v>
      </c>
      <c r="Q1416" t="str">
        <f>IF(Transactions[[#This Row],[Sales Amount]]&lt;AVERAGE(Transactions[Sales Amount]),"Below Average","At/Above Average")</f>
        <v>Below Average</v>
      </c>
    </row>
    <row r="1417" spans="4:17" x14ac:dyDescent="0.2">
      <c r="D1417" t="s">
        <v>1507</v>
      </c>
      <c r="E1417" t="s">
        <v>87</v>
      </c>
      <c r="F1417" t="s">
        <v>108</v>
      </c>
      <c r="G1417">
        <v>101</v>
      </c>
      <c r="H1417">
        <v>9</v>
      </c>
      <c r="I1417">
        <v>50.44</v>
      </c>
      <c r="J1417">
        <v>2</v>
      </c>
      <c r="K1417" s="37">
        <v>45290</v>
      </c>
      <c r="L1417" t="s">
        <v>102</v>
      </c>
      <c r="M1417">
        <v>196.57</v>
      </c>
      <c r="N1417">
        <v>24</v>
      </c>
      <c r="O1417" t="str">
        <f>"Q"&amp;ROUNDUP(MONTH(Transactions[[#This Row],[Transaction Date]])/3,0)</f>
        <v>Q4</v>
      </c>
      <c r="P1417">
        <f>YEAR(Transactions[[#This Row],[Transaction Date]])</f>
        <v>2023</v>
      </c>
      <c r="Q1417" t="str">
        <f>IF(Transactions[[#This Row],[Sales Amount]]&lt;AVERAGE(Transactions[Sales Amount]),"Below Average","At/Above Average")</f>
        <v>Below Average</v>
      </c>
    </row>
    <row r="1418" spans="4:17" x14ac:dyDescent="0.2">
      <c r="D1418" t="s">
        <v>1508</v>
      </c>
      <c r="E1418" t="s">
        <v>75</v>
      </c>
      <c r="F1418" t="s">
        <v>91</v>
      </c>
      <c r="G1418">
        <v>230</v>
      </c>
      <c r="H1418">
        <v>9</v>
      </c>
      <c r="I1418">
        <v>59.25</v>
      </c>
      <c r="J1418">
        <v>10</v>
      </c>
      <c r="K1418" s="37">
        <v>44903</v>
      </c>
      <c r="L1418" t="s">
        <v>109</v>
      </c>
      <c r="M1418">
        <v>397.67</v>
      </c>
      <c r="N1418">
        <v>17</v>
      </c>
      <c r="O1418" t="str">
        <f>"Q"&amp;ROUNDUP(MONTH(Transactions[[#This Row],[Transaction Date]])/3,0)</f>
        <v>Q4</v>
      </c>
      <c r="P1418">
        <f>YEAR(Transactions[[#This Row],[Transaction Date]])</f>
        <v>2022</v>
      </c>
      <c r="Q1418" t="str">
        <f>IF(Transactions[[#This Row],[Sales Amount]]&lt;AVERAGE(Transactions[Sales Amount]),"Below Average","At/Above Average")</f>
        <v>At/Above Average</v>
      </c>
    </row>
    <row r="1419" spans="4:17" x14ac:dyDescent="0.2">
      <c r="D1419" t="s">
        <v>1509</v>
      </c>
      <c r="E1419" t="s">
        <v>74</v>
      </c>
      <c r="F1419" t="s">
        <v>96</v>
      </c>
      <c r="G1419">
        <v>207</v>
      </c>
      <c r="H1419">
        <v>3</v>
      </c>
      <c r="I1419">
        <v>59.71</v>
      </c>
      <c r="J1419">
        <v>6</v>
      </c>
      <c r="K1419" s="37">
        <v>44721</v>
      </c>
      <c r="L1419" t="s">
        <v>97</v>
      </c>
      <c r="M1419">
        <v>310.82</v>
      </c>
      <c r="N1419">
        <v>30</v>
      </c>
      <c r="O1419" t="str">
        <f>"Q"&amp;ROUNDUP(MONTH(Transactions[[#This Row],[Transaction Date]])/3,0)</f>
        <v>Q2</v>
      </c>
      <c r="P1419">
        <f>YEAR(Transactions[[#This Row],[Transaction Date]])</f>
        <v>2022</v>
      </c>
      <c r="Q1419" t="str">
        <f>IF(Transactions[[#This Row],[Sales Amount]]&lt;AVERAGE(Transactions[Sales Amount]),"Below Average","At/Above Average")</f>
        <v>At/Above Average</v>
      </c>
    </row>
    <row r="1420" spans="4:17" x14ac:dyDescent="0.2">
      <c r="D1420" t="s">
        <v>1510</v>
      </c>
      <c r="E1420" t="s">
        <v>74</v>
      </c>
      <c r="F1420" t="s">
        <v>129</v>
      </c>
      <c r="G1420">
        <v>270</v>
      </c>
      <c r="H1420">
        <v>9</v>
      </c>
      <c r="I1420">
        <v>49.09</v>
      </c>
      <c r="J1420">
        <v>6</v>
      </c>
      <c r="K1420" s="37">
        <v>44922</v>
      </c>
      <c r="L1420" t="s">
        <v>97</v>
      </c>
      <c r="M1420">
        <v>119.8</v>
      </c>
      <c r="N1420">
        <v>33</v>
      </c>
      <c r="O1420" t="str">
        <f>"Q"&amp;ROUNDUP(MONTH(Transactions[[#This Row],[Transaction Date]])/3,0)</f>
        <v>Q4</v>
      </c>
      <c r="P1420">
        <f>YEAR(Transactions[[#This Row],[Transaction Date]])</f>
        <v>2022</v>
      </c>
      <c r="Q1420" t="str">
        <f>IF(Transactions[[#This Row],[Sales Amount]]&lt;AVERAGE(Transactions[Sales Amount]),"Below Average","At/Above Average")</f>
        <v>Below Average</v>
      </c>
    </row>
    <row r="1421" spans="4:17" x14ac:dyDescent="0.2">
      <c r="D1421" t="s">
        <v>1511</v>
      </c>
      <c r="E1421" t="s">
        <v>78</v>
      </c>
      <c r="F1421" t="s">
        <v>88</v>
      </c>
      <c r="G1421">
        <v>246</v>
      </c>
      <c r="H1421">
        <v>6</v>
      </c>
      <c r="I1421">
        <v>53.27</v>
      </c>
      <c r="J1421">
        <v>7</v>
      </c>
      <c r="K1421" s="37">
        <v>45512</v>
      </c>
      <c r="L1421" t="s">
        <v>97</v>
      </c>
      <c r="M1421">
        <v>78.510000000000005</v>
      </c>
      <c r="N1421">
        <v>12</v>
      </c>
      <c r="O1421" t="str">
        <f>"Q"&amp;ROUNDUP(MONTH(Transactions[[#This Row],[Transaction Date]])/3,0)</f>
        <v>Q3</v>
      </c>
      <c r="P1421">
        <f>YEAR(Transactions[[#This Row],[Transaction Date]])</f>
        <v>2024</v>
      </c>
      <c r="Q1421" t="str">
        <f>IF(Transactions[[#This Row],[Sales Amount]]&lt;AVERAGE(Transactions[Sales Amount]),"Below Average","At/Above Average")</f>
        <v>Below Average</v>
      </c>
    </row>
    <row r="1422" spans="4:17" x14ac:dyDescent="0.2">
      <c r="D1422" t="s">
        <v>1512</v>
      </c>
      <c r="E1422" t="s">
        <v>74</v>
      </c>
      <c r="F1422" t="s">
        <v>88</v>
      </c>
      <c r="G1422">
        <v>175</v>
      </c>
      <c r="H1422">
        <v>1</v>
      </c>
      <c r="I1422">
        <v>46.99</v>
      </c>
      <c r="J1422">
        <v>3</v>
      </c>
      <c r="K1422" s="37">
        <v>44777</v>
      </c>
      <c r="L1422" t="s">
        <v>92</v>
      </c>
      <c r="M1422">
        <v>32.659999999999997</v>
      </c>
      <c r="N1422">
        <v>10</v>
      </c>
      <c r="O1422" t="str">
        <f>"Q"&amp;ROUNDUP(MONTH(Transactions[[#This Row],[Transaction Date]])/3,0)</f>
        <v>Q3</v>
      </c>
      <c r="P1422">
        <f>YEAR(Transactions[[#This Row],[Transaction Date]])</f>
        <v>2022</v>
      </c>
      <c r="Q1422" t="str">
        <f>IF(Transactions[[#This Row],[Sales Amount]]&lt;AVERAGE(Transactions[Sales Amount]),"Below Average","At/Above Average")</f>
        <v>Below Average</v>
      </c>
    </row>
    <row r="1423" spans="4:17" x14ac:dyDescent="0.2">
      <c r="D1423" t="s">
        <v>1513</v>
      </c>
      <c r="E1423" t="s">
        <v>87</v>
      </c>
      <c r="F1423" t="s">
        <v>129</v>
      </c>
      <c r="G1423">
        <v>272</v>
      </c>
      <c r="H1423">
        <v>9</v>
      </c>
      <c r="I1423">
        <v>54.04</v>
      </c>
      <c r="J1423">
        <v>7</v>
      </c>
      <c r="K1423" s="37">
        <v>45557</v>
      </c>
      <c r="L1423" t="s">
        <v>102</v>
      </c>
      <c r="M1423">
        <v>478.19</v>
      </c>
      <c r="N1423">
        <v>1</v>
      </c>
      <c r="O1423" t="str">
        <f>"Q"&amp;ROUNDUP(MONTH(Transactions[[#This Row],[Transaction Date]])/3,0)</f>
        <v>Q3</v>
      </c>
      <c r="P1423">
        <f>YEAR(Transactions[[#This Row],[Transaction Date]])</f>
        <v>2024</v>
      </c>
      <c r="Q1423" t="str">
        <f>IF(Transactions[[#This Row],[Sales Amount]]&lt;AVERAGE(Transactions[Sales Amount]),"Below Average","At/Above Average")</f>
        <v>At/Above Average</v>
      </c>
    </row>
    <row r="1424" spans="4:17" x14ac:dyDescent="0.2">
      <c r="D1424" t="s">
        <v>1514</v>
      </c>
      <c r="E1424" t="s">
        <v>76</v>
      </c>
      <c r="F1424" t="s">
        <v>88</v>
      </c>
      <c r="G1424">
        <v>100</v>
      </c>
      <c r="H1424">
        <v>9</v>
      </c>
      <c r="I1424">
        <v>51.72</v>
      </c>
      <c r="J1424">
        <v>10</v>
      </c>
      <c r="K1424" s="37">
        <v>45463</v>
      </c>
      <c r="L1424" t="s">
        <v>97</v>
      </c>
      <c r="M1424">
        <v>190.33</v>
      </c>
      <c r="N1424">
        <v>9</v>
      </c>
      <c r="O1424" t="str">
        <f>"Q"&amp;ROUNDUP(MONTH(Transactions[[#This Row],[Transaction Date]])/3,0)</f>
        <v>Q2</v>
      </c>
      <c r="P1424">
        <f>YEAR(Transactions[[#This Row],[Transaction Date]])</f>
        <v>2024</v>
      </c>
      <c r="Q1424" t="str">
        <f>IF(Transactions[[#This Row],[Sales Amount]]&lt;AVERAGE(Transactions[Sales Amount]),"Below Average","At/Above Average")</f>
        <v>Below Average</v>
      </c>
    </row>
    <row r="1425" spans="4:17" x14ac:dyDescent="0.2">
      <c r="D1425" t="s">
        <v>1515</v>
      </c>
      <c r="E1425" t="s">
        <v>87</v>
      </c>
      <c r="F1425" t="s">
        <v>96</v>
      </c>
      <c r="G1425">
        <v>143</v>
      </c>
      <c r="H1425">
        <v>5</v>
      </c>
      <c r="I1425">
        <v>52.33</v>
      </c>
      <c r="J1425">
        <v>5</v>
      </c>
      <c r="K1425" s="37">
        <v>45171</v>
      </c>
      <c r="L1425" t="s">
        <v>109</v>
      </c>
      <c r="M1425">
        <v>237.93</v>
      </c>
      <c r="N1425">
        <v>22</v>
      </c>
      <c r="O1425" t="str">
        <f>"Q"&amp;ROUNDUP(MONTH(Transactions[[#This Row],[Transaction Date]])/3,0)</f>
        <v>Q3</v>
      </c>
      <c r="P1425">
        <f>YEAR(Transactions[[#This Row],[Transaction Date]])</f>
        <v>2023</v>
      </c>
      <c r="Q1425" t="str">
        <f>IF(Transactions[[#This Row],[Sales Amount]]&lt;AVERAGE(Transactions[Sales Amount]),"Below Average","At/Above Average")</f>
        <v>Below Average</v>
      </c>
    </row>
    <row r="1426" spans="4:17" x14ac:dyDescent="0.2">
      <c r="D1426" t="s">
        <v>1516</v>
      </c>
      <c r="E1426" t="s">
        <v>77</v>
      </c>
      <c r="F1426" t="s">
        <v>91</v>
      </c>
      <c r="G1426">
        <v>108</v>
      </c>
      <c r="H1426">
        <v>7</v>
      </c>
      <c r="I1426">
        <v>57.33</v>
      </c>
      <c r="J1426">
        <v>7</v>
      </c>
      <c r="K1426" s="37">
        <v>44705</v>
      </c>
      <c r="L1426" t="s">
        <v>124</v>
      </c>
      <c r="M1426">
        <v>263.66000000000003</v>
      </c>
      <c r="N1426">
        <v>26</v>
      </c>
      <c r="O1426" t="str">
        <f>"Q"&amp;ROUNDUP(MONTH(Transactions[[#This Row],[Transaction Date]])/3,0)</f>
        <v>Q2</v>
      </c>
      <c r="P1426">
        <f>YEAR(Transactions[[#This Row],[Transaction Date]])</f>
        <v>2022</v>
      </c>
      <c r="Q1426" t="str">
        <f>IF(Transactions[[#This Row],[Sales Amount]]&lt;AVERAGE(Transactions[Sales Amount]),"Below Average","At/Above Average")</f>
        <v>At/Above Average</v>
      </c>
    </row>
    <row r="1427" spans="4:17" x14ac:dyDescent="0.2">
      <c r="D1427" t="s">
        <v>1517</v>
      </c>
      <c r="E1427" t="s">
        <v>76</v>
      </c>
      <c r="F1427" t="s">
        <v>94</v>
      </c>
      <c r="G1427">
        <v>194</v>
      </c>
      <c r="H1427">
        <v>4</v>
      </c>
      <c r="I1427">
        <v>49.63</v>
      </c>
      <c r="J1427">
        <v>4</v>
      </c>
      <c r="K1427" s="37">
        <v>45201</v>
      </c>
      <c r="L1427" t="s">
        <v>97</v>
      </c>
      <c r="M1427">
        <v>406.13</v>
      </c>
      <c r="N1427">
        <v>14</v>
      </c>
      <c r="O1427" t="str">
        <f>"Q"&amp;ROUNDUP(MONTH(Transactions[[#This Row],[Transaction Date]])/3,0)</f>
        <v>Q4</v>
      </c>
      <c r="P1427">
        <f>YEAR(Transactions[[#This Row],[Transaction Date]])</f>
        <v>2023</v>
      </c>
      <c r="Q1427" t="str">
        <f>IF(Transactions[[#This Row],[Sales Amount]]&lt;AVERAGE(Transactions[Sales Amount]),"Below Average","At/Above Average")</f>
        <v>At/Above Average</v>
      </c>
    </row>
    <row r="1428" spans="4:17" x14ac:dyDescent="0.2">
      <c r="D1428" t="s">
        <v>1518</v>
      </c>
      <c r="E1428" t="s">
        <v>78</v>
      </c>
      <c r="F1428" t="s">
        <v>96</v>
      </c>
      <c r="G1428">
        <v>244</v>
      </c>
      <c r="H1428">
        <v>10</v>
      </c>
      <c r="I1428">
        <v>57.17</v>
      </c>
      <c r="J1428">
        <v>6</v>
      </c>
      <c r="K1428" s="37">
        <v>45033</v>
      </c>
      <c r="L1428" t="s">
        <v>92</v>
      </c>
      <c r="M1428">
        <v>488.36</v>
      </c>
      <c r="N1428">
        <v>32</v>
      </c>
      <c r="O1428" t="str">
        <f>"Q"&amp;ROUNDUP(MONTH(Transactions[[#This Row],[Transaction Date]])/3,0)</f>
        <v>Q2</v>
      </c>
      <c r="P1428">
        <f>YEAR(Transactions[[#This Row],[Transaction Date]])</f>
        <v>2023</v>
      </c>
      <c r="Q1428" t="str">
        <f>IF(Transactions[[#This Row],[Sales Amount]]&lt;AVERAGE(Transactions[Sales Amount]),"Below Average","At/Above Average")</f>
        <v>At/Above Average</v>
      </c>
    </row>
    <row r="1429" spans="4:17" x14ac:dyDescent="0.2">
      <c r="D1429" t="s">
        <v>1519</v>
      </c>
      <c r="E1429" t="s">
        <v>76</v>
      </c>
      <c r="F1429" t="s">
        <v>91</v>
      </c>
      <c r="G1429">
        <v>289</v>
      </c>
      <c r="H1429">
        <v>8</v>
      </c>
      <c r="I1429">
        <v>53.28</v>
      </c>
      <c r="J1429">
        <v>9</v>
      </c>
      <c r="K1429" s="37">
        <v>45112</v>
      </c>
      <c r="L1429" t="s">
        <v>97</v>
      </c>
      <c r="M1429">
        <v>209.29</v>
      </c>
      <c r="N1429">
        <v>33</v>
      </c>
      <c r="O1429" t="str">
        <f>"Q"&amp;ROUNDUP(MONTH(Transactions[[#This Row],[Transaction Date]])/3,0)</f>
        <v>Q3</v>
      </c>
      <c r="P1429">
        <f>YEAR(Transactions[[#This Row],[Transaction Date]])</f>
        <v>2023</v>
      </c>
      <c r="Q1429" t="str">
        <f>IF(Transactions[[#This Row],[Sales Amount]]&lt;AVERAGE(Transactions[Sales Amount]),"Below Average","At/Above Average")</f>
        <v>Below Average</v>
      </c>
    </row>
    <row r="1430" spans="4:17" x14ac:dyDescent="0.2">
      <c r="D1430" t="s">
        <v>1520</v>
      </c>
      <c r="E1430" t="s">
        <v>87</v>
      </c>
      <c r="F1430" t="s">
        <v>94</v>
      </c>
      <c r="G1430">
        <v>184</v>
      </c>
      <c r="H1430">
        <v>6</v>
      </c>
      <c r="I1430">
        <v>46.39</v>
      </c>
      <c r="J1430">
        <v>8</v>
      </c>
      <c r="K1430" s="37">
        <v>45125</v>
      </c>
      <c r="L1430" t="s">
        <v>102</v>
      </c>
      <c r="M1430">
        <v>434.86</v>
      </c>
      <c r="N1430">
        <v>47</v>
      </c>
      <c r="O1430" t="str">
        <f>"Q"&amp;ROUNDUP(MONTH(Transactions[[#This Row],[Transaction Date]])/3,0)</f>
        <v>Q3</v>
      </c>
      <c r="P1430">
        <f>YEAR(Transactions[[#This Row],[Transaction Date]])</f>
        <v>2023</v>
      </c>
      <c r="Q1430" t="str">
        <f>IF(Transactions[[#This Row],[Sales Amount]]&lt;AVERAGE(Transactions[Sales Amount]),"Below Average","At/Above Average")</f>
        <v>At/Above Average</v>
      </c>
    </row>
    <row r="1431" spans="4:17" x14ac:dyDescent="0.2">
      <c r="D1431" t="s">
        <v>1521</v>
      </c>
      <c r="E1431" t="s">
        <v>75</v>
      </c>
      <c r="F1431" t="s">
        <v>105</v>
      </c>
      <c r="G1431">
        <v>274</v>
      </c>
      <c r="H1431">
        <v>7</v>
      </c>
      <c r="I1431">
        <v>45.71</v>
      </c>
      <c r="J1431">
        <v>9</v>
      </c>
      <c r="K1431" s="37">
        <v>44627</v>
      </c>
      <c r="L1431" t="s">
        <v>124</v>
      </c>
      <c r="M1431">
        <v>285.61</v>
      </c>
      <c r="N1431">
        <v>28</v>
      </c>
      <c r="O1431" t="str">
        <f>"Q"&amp;ROUNDUP(MONTH(Transactions[[#This Row],[Transaction Date]])/3,0)</f>
        <v>Q1</v>
      </c>
      <c r="P1431">
        <f>YEAR(Transactions[[#This Row],[Transaction Date]])</f>
        <v>2022</v>
      </c>
      <c r="Q1431" t="str">
        <f>IF(Transactions[[#This Row],[Sales Amount]]&lt;AVERAGE(Transactions[Sales Amount]),"Below Average","At/Above Average")</f>
        <v>At/Above Average</v>
      </c>
    </row>
    <row r="1432" spans="4:17" x14ac:dyDescent="0.2">
      <c r="D1432" t="s">
        <v>1522</v>
      </c>
      <c r="E1432" t="s">
        <v>74</v>
      </c>
      <c r="F1432" t="s">
        <v>108</v>
      </c>
      <c r="G1432">
        <v>145</v>
      </c>
      <c r="H1432">
        <v>10</v>
      </c>
      <c r="I1432">
        <v>54.41</v>
      </c>
      <c r="J1432">
        <v>8</v>
      </c>
      <c r="K1432" s="37">
        <v>45108</v>
      </c>
      <c r="L1432" t="s">
        <v>102</v>
      </c>
      <c r="M1432">
        <v>187.18</v>
      </c>
      <c r="N1432">
        <v>32</v>
      </c>
      <c r="O1432" t="str">
        <f>"Q"&amp;ROUNDUP(MONTH(Transactions[[#This Row],[Transaction Date]])/3,0)</f>
        <v>Q3</v>
      </c>
      <c r="P1432">
        <f>YEAR(Transactions[[#This Row],[Transaction Date]])</f>
        <v>2023</v>
      </c>
      <c r="Q1432" t="str">
        <f>IF(Transactions[[#This Row],[Sales Amount]]&lt;AVERAGE(Transactions[Sales Amount]),"Below Average","At/Above Average")</f>
        <v>Below Average</v>
      </c>
    </row>
    <row r="1433" spans="4:17" x14ac:dyDescent="0.2">
      <c r="D1433" t="s">
        <v>1523</v>
      </c>
      <c r="E1433" t="s">
        <v>77</v>
      </c>
      <c r="F1433" t="s">
        <v>96</v>
      </c>
      <c r="G1433">
        <v>175</v>
      </c>
      <c r="H1433">
        <v>10</v>
      </c>
      <c r="I1433">
        <v>58</v>
      </c>
      <c r="J1433">
        <v>2</v>
      </c>
      <c r="K1433" s="37">
        <v>45146</v>
      </c>
      <c r="L1433" t="s">
        <v>124</v>
      </c>
      <c r="M1433">
        <v>75.12</v>
      </c>
      <c r="N1433">
        <v>46</v>
      </c>
      <c r="O1433" t="str">
        <f>"Q"&amp;ROUNDUP(MONTH(Transactions[[#This Row],[Transaction Date]])/3,0)</f>
        <v>Q3</v>
      </c>
      <c r="P1433">
        <f>YEAR(Transactions[[#This Row],[Transaction Date]])</f>
        <v>2023</v>
      </c>
      <c r="Q1433" t="str">
        <f>IF(Transactions[[#This Row],[Sales Amount]]&lt;AVERAGE(Transactions[Sales Amount]),"Below Average","At/Above Average")</f>
        <v>Below Average</v>
      </c>
    </row>
    <row r="1434" spans="4:17" x14ac:dyDescent="0.2">
      <c r="D1434" t="s">
        <v>1524</v>
      </c>
      <c r="E1434" t="s">
        <v>77</v>
      </c>
      <c r="F1434" t="s">
        <v>94</v>
      </c>
      <c r="G1434">
        <v>116</v>
      </c>
      <c r="H1434">
        <v>4</v>
      </c>
      <c r="I1434">
        <v>53.85</v>
      </c>
      <c r="J1434">
        <v>1</v>
      </c>
      <c r="K1434" s="37">
        <v>45253</v>
      </c>
      <c r="L1434" t="s">
        <v>89</v>
      </c>
      <c r="M1434">
        <v>159.97</v>
      </c>
      <c r="N1434">
        <v>36</v>
      </c>
      <c r="O1434" t="str">
        <f>"Q"&amp;ROUNDUP(MONTH(Transactions[[#This Row],[Transaction Date]])/3,0)</f>
        <v>Q4</v>
      </c>
      <c r="P1434">
        <f>YEAR(Transactions[[#This Row],[Transaction Date]])</f>
        <v>2023</v>
      </c>
      <c r="Q1434" t="str">
        <f>IF(Transactions[[#This Row],[Sales Amount]]&lt;AVERAGE(Transactions[Sales Amount]),"Below Average","At/Above Average")</f>
        <v>Below Average</v>
      </c>
    </row>
    <row r="1435" spans="4:17" x14ac:dyDescent="0.2">
      <c r="D1435" t="s">
        <v>1525</v>
      </c>
      <c r="E1435" t="s">
        <v>87</v>
      </c>
      <c r="F1435" t="s">
        <v>99</v>
      </c>
      <c r="G1435">
        <v>105</v>
      </c>
      <c r="H1435">
        <v>1</v>
      </c>
      <c r="I1435">
        <v>49.35</v>
      </c>
      <c r="J1435">
        <v>3</v>
      </c>
      <c r="K1435" s="37">
        <v>45124</v>
      </c>
      <c r="L1435" t="s">
        <v>97</v>
      </c>
      <c r="M1435">
        <v>111.61</v>
      </c>
      <c r="N1435">
        <v>17</v>
      </c>
      <c r="O1435" t="str">
        <f>"Q"&amp;ROUNDUP(MONTH(Transactions[[#This Row],[Transaction Date]])/3,0)</f>
        <v>Q3</v>
      </c>
      <c r="P1435">
        <f>YEAR(Transactions[[#This Row],[Transaction Date]])</f>
        <v>2023</v>
      </c>
      <c r="Q1435" t="str">
        <f>IF(Transactions[[#This Row],[Sales Amount]]&lt;AVERAGE(Transactions[Sales Amount]),"Below Average","At/Above Average")</f>
        <v>Below Average</v>
      </c>
    </row>
    <row r="1436" spans="4:17" x14ac:dyDescent="0.2">
      <c r="D1436" t="s">
        <v>1526</v>
      </c>
      <c r="E1436" t="s">
        <v>75</v>
      </c>
      <c r="F1436" t="s">
        <v>96</v>
      </c>
      <c r="G1436">
        <v>151</v>
      </c>
      <c r="H1436">
        <v>8</v>
      </c>
      <c r="I1436">
        <v>50.85</v>
      </c>
      <c r="J1436">
        <v>2</v>
      </c>
      <c r="K1436" s="37">
        <v>45259</v>
      </c>
      <c r="L1436" t="s">
        <v>89</v>
      </c>
      <c r="M1436">
        <v>160.78</v>
      </c>
      <c r="N1436">
        <v>6</v>
      </c>
      <c r="O1436" t="str">
        <f>"Q"&amp;ROUNDUP(MONTH(Transactions[[#This Row],[Transaction Date]])/3,0)</f>
        <v>Q4</v>
      </c>
      <c r="P1436">
        <f>YEAR(Transactions[[#This Row],[Transaction Date]])</f>
        <v>2023</v>
      </c>
      <c r="Q1436" t="str">
        <f>IF(Transactions[[#This Row],[Sales Amount]]&lt;AVERAGE(Transactions[Sales Amount]),"Below Average","At/Above Average")</f>
        <v>Below Average</v>
      </c>
    </row>
    <row r="1437" spans="4:17" x14ac:dyDescent="0.2">
      <c r="D1437" t="s">
        <v>1527</v>
      </c>
      <c r="E1437" t="s">
        <v>74</v>
      </c>
      <c r="F1437" t="s">
        <v>108</v>
      </c>
      <c r="G1437">
        <v>129</v>
      </c>
      <c r="H1437">
        <v>9</v>
      </c>
      <c r="I1437">
        <v>55.94</v>
      </c>
      <c r="J1437">
        <v>2</v>
      </c>
      <c r="K1437" s="37">
        <v>45313</v>
      </c>
      <c r="L1437" t="s">
        <v>109</v>
      </c>
      <c r="M1437">
        <v>362.87</v>
      </c>
      <c r="N1437">
        <v>37</v>
      </c>
      <c r="O1437" t="str">
        <f>"Q"&amp;ROUNDUP(MONTH(Transactions[[#This Row],[Transaction Date]])/3,0)</f>
        <v>Q1</v>
      </c>
      <c r="P1437">
        <f>YEAR(Transactions[[#This Row],[Transaction Date]])</f>
        <v>2024</v>
      </c>
      <c r="Q1437" t="str">
        <f>IF(Transactions[[#This Row],[Sales Amount]]&lt;AVERAGE(Transactions[Sales Amount]),"Below Average","At/Above Average")</f>
        <v>At/Above Average</v>
      </c>
    </row>
    <row r="1438" spans="4:17" x14ac:dyDescent="0.2">
      <c r="D1438" t="s">
        <v>1528</v>
      </c>
      <c r="E1438" t="s">
        <v>78</v>
      </c>
      <c r="F1438" t="s">
        <v>99</v>
      </c>
      <c r="G1438">
        <v>280</v>
      </c>
      <c r="H1438">
        <v>3</v>
      </c>
      <c r="I1438">
        <v>50.7</v>
      </c>
      <c r="J1438">
        <v>8</v>
      </c>
      <c r="K1438" s="37">
        <v>45580</v>
      </c>
      <c r="L1438" t="s">
        <v>124</v>
      </c>
      <c r="M1438">
        <v>285.33999999999997</v>
      </c>
      <c r="N1438">
        <v>46</v>
      </c>
      <c r="O1438" t="str">
        <f>"Q"&amp;ROUNDUP(MONTH(Transactions[[#This Row],[Transaction Date]])/3,0)</f>
        <v>Q4</v>
      </c>
      <c r="P1438">
        <f>YEAR(Transactions[[#This Row],[Transaction Date]])</f>
        <v>2024</v>
      </c>
      <c r="Q1438" t="str">
        <f>IF(Transactions[[#This Row],[Sales Amount]]&lt;AVERAGE(Transactions[Sales Amount]),"Below Average","At/Above Average")</f>
        <v>At/Above Average</v>
      </c>
    </row>
    <row r="1439" spans="4:17" x14ac:dyDescent="0.2">
      <c r="D1439" t="s">
        <v>1529</v>
      </c>
      <c r="E1439" t="s">
        <v>87</v>
      </c>
      <c r="F1439" t="s">
        <v>94</v>
      </c>
      <c r="G1439">
        <v>133</v>
      </c>
      <c r="H1439">
        <v>1</v>
      </c>
      <c r="I1439">
        <v>56.69</v>
      </c>
      <c r="J1439">
        <v>3</v>
      </c>
      <c r="K1439" s="37">
        <v>44888</v>
      </c>
      <c r="L1439" t="s">
        <v>97</v>
      </c>
      <c r="M1439">
        <v>488.61</v>
      </c>
      <c r="N1439">
        <v>8</v>
      </c>
      <c r="O1439" t="str">
        <f>"Q"&amp;ROUNDUP(MONTH(Transactions[[#This Row],[Transaction Date]])/3,0)</f>
        <v>Q4</v>
      </c>
      <c r="P1439">
        <f>YEAR(Transactions[[#This Row],[Transaction Date]])</f>
        <v>2022</v>
      </c>
      <c r="Q1439" t="str">
        <f>IF(Transactions[[#This Row],[Sales Amount]]&lt;AVERAGE(Transactions[Sales Amount]),"Below Average","At/Above Average")</f>
        <v>At/Above Average</v>
      </c>
    </row>
    <row r="1440" spans="4:17" x14ac:dyDescent="0.2">
      <c r="D1440" t="s">
        <v>1530</v>
      </c>
      <c r="E1440" t="s">
        <v>77</v>
      </c>
      <c r="F1440" t="s">
        <v>96</v>
      </c>
      <c r="G1440">
        <v>258</v>
      </c>
      <c r="H1440">
        <v>3</v>
      </c>
      <c r="I1440">
        <v>48.73</v>
      </c>
      <c r="J1440">
        <v>8</v>
      </c>
      <c r="K1440" s="37">
        <v>45516</v>
      </c>
      <c r="L1440" t="s">
        <v>97</v>
      </c>
      <c r="M1440">
        <v>221.95</v>
      </c>
      <c r="N1440">
        <v>43</v>
      </c>
      <c r="O1440" t="str">
        <f>"Q"&amp;ROUNDUP(MONTH(Transactions[[#This Row],[Transaction Date]])/3,0)</f>
        <v>Q3</v>
      </c>
      <c r="P1440">
        <f>YEAR(Transactions[[#This Row],[Transaction Date]])</f>
        <v>2024</v>
      </c>
      <c r="Q1440" t="str">
        <f>IF(Transactions[[#This Row],[Sales Amount]]&lt;AVERAGE(Transactions[Sales Amount]),"Below Average","At/Above Average")</f>
        <v>Below Average</v>
      </c>
    </row>
    <row r="1441" spans="4:17" x14ac:dyDescent="0.2">
      <c r="D1441" t="s">
        <v>1531</v>
      </c>
      <c r="E1441" t="s">
        <v>87</v>
      </c>
      <c r="F1441" t="s">
        <v>94</v>
      </c>
      <c r="G1441">
        <v>267</v>
      </c>
      <c r="H1441">
        <v>4</v>
      </c>
      <c r="I1441">
        <v>46.23</v>
      </c>
      <c r="J1441">
        <v>2</v>
      </c>
      <c r="K1441" s="37">
        <v>44702</v>
      </c>
      <c r="L1441" t="s">
        <v>92</v>
      </c>
      <c r="M1441">
        <v>15.09</v>
      </c>
      <c r="N1441">
        <v>24</v>
      </c>
      <c r="O1441" t="str">
        <f>"Q"&amp;ROUNDUP(MONTH(Transactions[[#This Row],[Transaction Date]])/3,0)</f>
        <v>Q2</v>
      </c>
      <c r="P1441">
        <f>YEAR(Transactions[[#This Row],[Transaction Date]])</f>
        <v>2022</v>
      </c>
      <c r="Q1441" t="str">
        <f>IF(Transactions[[#This Row],[Sales Amount]]&lt;AVERAGE(Transactions[Sales Amount]),"Below Average","At/Above Average")</f>
        <v>Below Average</v>
      </c>
    </row>
    <row r="1442" spans="4:17" x14ac:dyDescent="0.2">
      <c r="D1442" t="s">
        <v>1532</v>
      </c>
      <c r="E1442" t="s">
        <v>87</v>
      </c>
      <c r="F1442" t="s">
        <v>105</v>
      </c>
      <c r="G1442">
        <v>231</v>
      </c>
      <c r="H1442">
        <v>10</v>
      </c>
      <c r="I1442">
        <v>50.18</v>
      </c>
      <c r="J1442">
        <v>5</v>
      </c>
      <c r="K1442" s="37">
        <v>45589</v>
      </c>
      <c r="L1442" t="s">
        <v>92</v>
      </c>
      <c r="M1442">
        <v>495.86</v>
      </c>
      <c r="N1442">
        <v>34</v>
      </c>
      <c r="O1442" t="str">
        <f>"Q"&amp;ROUNDUP(MONTH(Transactions[[#This Row],[Transaction Date]])/3,0)</f>
        <v>Q4</v>
      </c>
      <c r="P1442">
        <f>YEAR(Transactions[[#This Row],[Transaction Date]])</f>
        <v>2024</v>
      </c>
      <c r="Q1442" t="str">
        <f>IF(Transactions[[#This Row],[Sales Amount]]&lt;AVERAGE(Transactions[Sales Amount]),"Below Average","At/Above Average")</f>
        <v>At/Above Average</v>
      </c>
    </row>
    <row r="1443" spans="4:17" x14ac:dyDescent="0.2">
      <c r="D1443" t="s">
        <v>1533</v>
      </c>
      <c r="E1443" t="s">
        <v>75</v>
      </c>
      <c r="F1443" t="s">
        <v>96</v>
      </c>
      <c r="G1443">
        <v>266</v>
      </c>
      <c r="H1443">
        <v>10</v>
      </c>
      <c r="I1443">
        <v>47.87</v>
      </c>
      <c r="J1443">
        <v>1</v>
      </c>
      <c r="K1443" s="37">
        <v>45024</v>
      </c>
      <c r="L1443" t="s">
        <v>109</v>
      </c>
      <c r="M1443">
        <v>260.27</v>
      </c>
      <c r="N1443">
        <v>12</v>
      </c>
      <c r="O1443" t="str">
        <f>"Q"&amp;ROUNDUP(MONTH(Transactions[[#This Row],[Transaction Date]])/3,0)</f>
        <v>Q2</v>
      </c>
      <c r="P1443">
        <f>YEAR(Transactions[[#This Row],[Transaction Date]])</f>
        <v>2023</v>
      </c>
      <c r="Q1443" t="str">
        <f>IF(Transactions[[#This Row],[Sales Amount]]&lt;AVERAGE(Transactions[Sales Amount]),"Below Average","At/Above Average")</f>
        <v>At/Above Average</v>
      </c>
    </row>
    <row r="1444" spans="4:17" x14ac:dyDescent="0.2">
      <c r="D1444" t="s">
        <v>1534</v>
      </c>
      <c r="E1444" t="s">
        <v>74</v>
      </c>
      <c r="F1444" t="s">
        <v>105</v>
      </c>
      <c r="G1444">
        <v>225</v>
      </c>
      <c r="H1444">
        <v>6</v>
      </c>
      <c r="I1444">
        <v>58.02</v>
      </c>
      <c r="J1444">
        <v>1</v>
      </c>
      <c r="K1444" s="37">
        <v>44638</v>
      </c>
      <c r="L1444" t="s">
        <v>124</v>
      </c>
      <c r="M1444">
        <v>432.26</v>
      </c>
      <c r="N1444">
        <v>43</v>
      </c>
      <c r="O1444" t="str">
        <f>"Q"&amp;ROUNDUP(MONTH(Transactions[[#This Row],[Transaction Date]])/3,0)</f>
        <v>Q1</v>
      </c>
      <c r="P1444">
        <f>YEAR(Transactions[[#This Row],[Transaction Date]])</f>
        <v>2022</v>
      </c>
      <c r="Q1444" t="str">
        <f>IF(Transactions[[#This Row],[Sales Amount]]&lt;AVERAGE(Transactions[Sales Amount]),"Below Average","At/Above Average")</f>
        <v>At/Above Average</v>
      </c>
    </row>
    <row r="1445" spans="4:17" x14ac:dyDescent="0.2">
      <c r="D1445" t="s">
        <v>1535</v>
      </c>
      <c r="E1445" t="s">
        <v>75</v>
      </c>
      <c r="F1445" t="s">
        <v>99</v>
      </c>
      <c r="G1445">
        <v>191</v>
      </c>
      <c r="H1445">
        <v>3</v>
      </c>
      <c r="I1445">
        <v>57.85</v>
      </c>
      <c r="J1445">
        <v>8</v>
      </c>
      <c r="K1445" s="37">
        <v>45153</v>
      </c>
      <c r="L1445" t="s">
        <v>109</v>
      </c>
      <c r="M1445">
        <v>499.73</v>
      </c>
      <c r="N1445">
        <v>37</v>
      </c>
      <c r="O1445" t="str">
        <f>"Q"&amp;ROUNDUP(MONTH(Transactions[[#This Row],[Transaction Date]])/3,0)</f>
        <v>Q3</v>
      </c>
      <c r="P1445">
        <f>YEAR(Transactions[[#This Row],[Transaction Date]])</f>
        <v>2023</v>
      </c>
      <c r="Q1445" t="str">
        <f>IF(Transactions[[#This Row],[Sales Amount]]&lt;AVERAGE(Transactions[Sales Amount]),"Below Average","At/Above Average")</f>
        <v>At/Above Average</v>
      </c>
    </row>
    <row r="1446" spans="4:17" x14ac:dyDescent="0.2">
      <c r="D1446" t="s">
        <v>1536</v>
      </c>
      <c r="E1446" t="s">
        <v>87</v>
      </c>
      <c r="F1446" t="s">
        <v>94</v>
      </c>
      <c r="G1446">
        <v>282</v>
      </c>
      <c r="H1446">
        <v>6</v>
      </c>
      <c r="I1446">
        <v>48.93</v>
      </c>
      <c r="J1446">
        <v>9</v>
      </c>
      <c r="K1446" s="37">
        <v>44775</v>
      </c>
      <c r="L1446" t="s">
        <v>97</v>
      </c>
      <c r="M1446">
        <v>27.78</v>
      </c>
      <c r="N1446">
        <v>17</v>
      </c>
      <c r="O1446" t="str">
        <f>"Q"&amp;ROUNDUP(MONTH(Transactions[[#This Row],[Transaction Date]])/3,0)</f>
        <v>Q3</v>
      </c>
      <c r="P1446">
        <f>YEAR(Transactions[[#This Row],[Transaction Date]])</f>
        <v>2022</v>
      </c>
      <c r="Q1446" t="str">
        <f>IF(Transactions[[#This Row],[Sales Amount]]&lt;AVERAGE(Transactions[Sales Amount]),"Below Average","At/Above Average")</f>
        <v>Below Average</v>
      </c>
    </row>
    <row r="1447" spans="4:17" x14ac:dyDescent="0.2">
      <c r="D1447" t="s">
        <v>1537</v>
      </c>
      <c r="E1447" t="s">
        <v>87</v>
      </c>
      <c r="F1447" t="s">
        <v>99</v>
      </c>
      <c r="G1447">
        <v>112</v>
      </c>
      <c r="H1447">
        <v>9</v>
      </c>
      <c r="I1447">
        <v>49.05</v>
      </c>
      <c r="J1447">
        <v>6</v>
      </c>
      <c r="K1447" s="37">
        <v>44772</v>
      </c>
      <c r="L1447" t="s">
        <v>124</v>
      </c>
      <c r="M1447">
        <v>383.99</v>
      </c>
      <c r="N1447">
        <v>34</v>
      </c>
      <c r="O1447" t="str">
        <f>"Q"&amp;ROUNDUP(MONTH(Transactions[[#This Row],[Transaction Date]])/3,0)</f>
        <v>Q3</v>
      </c>
      <c r="P1447">
        <f>YEAR(Transactions[[#This Row],[Transaction Date]])</f>
        <v>2022</v>
      </c>
      <c r="Q1447" t="str">
        <f>IF(Transactions[[#This Row],[Sales Amount]]&lt;AVERAGE(Transactions[Sales Amount]),"Below Average","At/Above Average")</f>
        <v>At/Above Average</v>
      </c>
    </row>
    <row r="1448" spans="4:17" x14ac:dyDescent="0.2">
      <c r="D1448" t="s">
        <v>1538</v>
      </c>
      <c r="E1448" t="s">
        <v>78</v>
      </c>
      <c r="F1448" t="s">
        <v>96</v>
      </c>
      <c r="G1448">
        <v>262</v>
      </c>
      <c r="H1448">
        <v>3</v>
      </c>
      <c r="I1448">
        <v>58.79</v>
      </c>
      <c r="J1448">
        <v>6</v>
      </c>
      <c r="K1448" s="37">
        <v>44948</v>
      </c>
      <c r="L1448" t="s">
        <v>97</v>
      </c>
      <c r="M1448">
        <v>444.15</v>
      </c>
      <c r="N1448">
        <v>4</v>
      </c>
      <c r="O1448" t="str">
        <f>"Q"&amp;ROUNDUP(MONTH(Transactions[[#This Row],[Transaction Date]])/3,0)</f>
        <v>Q1</v>
      </c>
      <c r="P1448">
        <f>YEAR(Transactions[[#This Row],[Transaction Date]])</f>
        <v>2023</v>
      </c>
      <c r="Q1448" t="str">
        <f>IF(Transactions[[#This Row],[Sales Amount]]&lt;AVERAGE(Transactions[Sales Amount]),"Below Average","At/Above Average")</f>
        <v>At/Above Average</v>
      </c>
    </row>
    <row r="1449" spans="4:17" x14ac:dyDescent="0.2">
      <c r="D1449" t="s">
        <v>1539</v>
      </c>
      <c r="E1449" t="s">
        <v>77</v>
      </c>
      <c r="F1449" t="s">
        <v>91</v>
      </c>
      <c r="G1449">
        <v>188</v>
      </c>
      <c r="H1449">
        <v>5</v>
      </c>
      <c r="I1449">
        <v>58.6</v>
      </c>
      <c r="J1449">
        <v>1</v>
      </c>
      <c r="K1449" s="37">
        <v>44613</v>
      </c>
      <c r="L1449" t="s">
        <v>124</v>
      </c>
      <c r="M1449">
        <v>461.66</v>
      </c>
      <c r="N1449">
        <v>34</v>
      </c>
      <c r="O1449" t="str">
        <f>"Q"&amp;ROUNDUP(MONTH(Transactions[[#This Row],[Transaction Date]])/3,0)</f>
        <v>Q1</v>
      </c>
      <c r="P1449">
        <f>YEAR(Transactions[[#This Row],[Transaction Date]])</f>
        <v>2022</v>
      </c>
      <c r="Q1449" t="str">
        <f>IF(Transactions[[#This Row],[Sales Amount]]&lt;AVERAGE(Transactions[Sales Amount]),"Below Average","At/Above Average")</f>
        <v>At/Above Average</v>
      </c>
    </row>
    <row r="1450" spans="4:17" x14ac:dyDescent="0.2">
      <c r="D1450" t="s">
        <v>1540</v>
      </c>
      <c r="E1450" t="s">
        <v>87</v>
      </c>
      <c r="F1450" t="s">
        <v>105</v>
      </c>
      <c r="G1450">
        <v>223</v>
      </c>
      <c r="H1450">
        <v>9</v>
      </c>
      <c r="I1450">
        <v>58.75</v>
      </c>
      <c r="J1450">
        <v>9</v>
      </c>
      <c r="K1450" s="37">
        <v>44934</v>
      </c>
      <c r="L1450" t="s">
        <v>109</v>
      </c>
      <c r="M1450">
        <v>456.51</v>
      </c>
      <c r="N1450">
        <v>9</v>
      </c>
      <c r="O1450" t="str">
        <f>"Q"&amp;ROUNDUP(MONTH(Transactions[[#This Row],[Transaction Date]])/3,0)</f>
        <v>Q1</v>
      </c>
      <c r="P1450">
        <f>YEAR(Transactions[[#This Row],[Transaction Date]])</f>
        <v>2023</v>
      </c>
      <c r="Q1450" t="str">
        <f>IF(Transactions[[#This Row],[Sales Amount]]&lt;AVERAGE(Transactions[Sales Amount]),"Below Average","At/Above Average")</f>
        <v>At/Above Average</v>
      </c>
    </row>
    <row r="1451" spans="4:17" x14ac:dyDescent="0.2">
      <c r="D1451" t="s">
        <v>1541</v>
      </c>
      <c r="E1451" t="s">
        <v>74</v>
      </c>
      <c r="F1451" t="s">
        <v>88</v>
      </c>
      <c r="G1451">
        <v>162</v>
      </c>
      <c r="H1451">
        <v>4</v>
      </c>
      <c r="I1451">
        <v>57.53</v>
      </c>
      <c r="J1451">
        <v>6</v>
      </c>
      <c r="K1451" s="37">
        <v>44837</v>
      </c>
      <c r="L1451" t="s">
        <v>97</v>
      </c>
      <c r="M1451">
        <v>311.99</v>
      </c>
      <c r="N1451">
        <v>8</v>
      </c>
      <c r="O1451" t="str">
        <f>"Q"&amp;ROUNDUP(MONTH(Transactions[[#This Row],[Transaction Date]])/3,0)</f>
        <v>Q4</v>
      </c>
      <c r="P1451">
        <f>YEAR(Transactions[[#This Row],[Transaction Date]])</f>
        <v>2022</v>
      </c>
      <c r="Q1451" t="str">
        <f>IF(Transactions[[#This Row],[Sales Amount]]&lt;AVERAGE(Transactions[Sales Amount]),"Below Average","At/Above Average")</f>
        <v>At/Above Average</v>
      </c>
    </row>
    <row r="1452" spans="4:17" x14ac:dyDescent="0.2">
      <c r="D1452" t="s">
        <v>1542</v>
      </c>
      <c r="E1452" t="s">
        <v>76</v>
      </c>
      <c r="F1452" t="s">
        <v>129</v>
      </c>
      <c r="G1452">
        <v>183</v>
      </c>
      <c r="H1452">
        <v>8</v>
      </c>
      <c r="I1452">
        <v>53.44</v>
      </c>
      <c r="J1452">
        <v>5</v>
      </c>
      <c r="K1452" s="37">
        <v>45043</v>
      </c>
      <c r="L1452" t="s">
        <v>109</v>
      </c>
      <c r="M1452">
        <v>345.08</v>
      </c>
      <c r="N1452">
        <v>18</v>
      </c>
      <c r="O1452" t="str">
        <f>"Q"&amp;ROUNDUP(MONTH(Transactions[[#This Row],[Transaction Date]])/3,0)</f>
        <v>Q2</v>
      </c>
      <c r="P1452">
        <f>YEAR(Transactions[[#This Row],[Transaction Date]])</f>
        <v>2023</v>
      </c>
      <c r="Q1452" t="str">
        <f>IF(Transactions[[#This Row],[Sales Amount]]&lt;AVERAGE(Transactions[Sales Amount]),"Below Average","At/Above Average")</f>
        <v>At/Above Average</v>
      </c>
    </row>
    <row r="1453" spans="4:17" x14ac:dyDescent="0.2">
      <c r="D1453" t="s">
        <v>1543</v>
      </c>
      <c r="E1453" t="s">
        <v>76</v>
      </c>
      <c r="F1453" t="s">
        <v>108</v>
      </c>
      <c r="G1453">
        <v>187</v>
      </c>
      <c r="H1453">
        <v>6</v>
      </c>
      <c r="I1453">
        <v>51.21</v>
      </c>
      <c r="J1453">
        <v>9</v>
      </c>
      <c r="K1453" s="37">
        <v>44898</v>
      </c>
      <c r="L1453" t="s">
        <v>97</v>
      </c>
      <c r="M1453">
        <v>335.12</v>
      </c>
      <c r="N1453">
        <v>13</v>
      </c>
      <c r="O1453" t="str">
        <f>"Q"&amp;ROUNDUP(MONTH(Transactions[[#This Row],[Transaction Date]])/3,0)</f>
        <v>Q4</v>
      </c>
      <c r="P1453">
        <f>YEAR(Transactions[[#This Row],[Transaction Date]])</f>
        <v>2022</v>
      </c>
      <c r="Q1453" t="str">
        <f>IF(Transactions[[#This Row],[Sales Amount]]&lt;AVERAGE(Transactions[Sales Amount]),"Below Average","At/Above Average")</f>
        <v>At/Above Average</v>
      </c>
    </row>
    <row r="1454" spans="4:17" x14ac:dyDescent="0.2">
      <c r="D1454" t="s">
        <v>1544</v>
      </c>
      <c r="E1454" t="s">
        <v>78</v>
      </c>
      <c r="F1454" t="s">
        <v>88</v>
      </c>
      <c r="G1454">
        <v>264</v>
      </c>
      <c r="H1454">
        <v>8</v>
      </c>
      <c r="I1454">
        <v>46.84</v>
      </c>
      <c r="J1454">
        <v>2</v>
      </c>
      <c r="K1454" s="37">
        <v>44929</v>
      </c>
      <c r="L1454" t="s">
        <v>92</v>
      </c>
      <c r="M1454">
        <v>257.83999999999997</v>
      </c>
      <c r="N1454">
        <v>48</v>
      </c>
      <c r="O1454" t="str">
        <f>"Q"&amp;ROUNDUP(MONTH(Transactions[[#This Row],[Transaction Date]])/3,0)</f>
        <v>Q1</v>
      </c>
      <c r="P1454">
        <f>YEAR(Transactions[[#This Row],[Transaction Date]])</f>
        <v>2023</v>
      </c>
      <c r="Q1454" t="str">
        <f>IF(Transactions[[#This Row],[Sales Amount]]&lt;AVERAGE(Transactions[Sales Amount]),"Below Average","At/Above Average")</f>
        <v>Below Average</v>
      </c>
    </row>
    <row r="1455" spans="4:17" x14ac:dyDescent="0.2">
      <c r="D1455" t="s">
        <v>1545</v>
      </c>
      <c r="E1455" t="s">
        <v>76</v>
      </c>
      <c r="F1455" t="s">
        <v>129</v>
      </c>
      <c r="G1455">
        <v>126</v>
      </c>
      <c r="H1455">
        <v>1</v>
      </c>
      <c r="I1455">
        <v>52.3</v>
      </c>
      <c r="J1455">
        <v>6</v>
      </c>
      <c r="K1455" s="37">
        <v>45397</v>
      </c>
      <c r="L1455" t="s">
        <v>102</v>
      </c>
      <c r="M1455">
        <v>300.79000000000002</v>
      </c>
      <c r="N1455">
        <v>7</v>
      </c>
      <c r="O1455" t="str">
        <f>"Q"&amp;ROUNDUP(MONTH(Transactions[[#This Row],[Transaction Date]])/3,0)</f>
        <v>Q2</v>
      </c>
      <c r="P1455">
        <f>YEAR(Transactions[[#This Row],[Transaction Date]])</f>
        <v>2024</v>
      </c>
      <c r="Q1455" t="str">
        <f>IF(Transactions[[#This Row],[Sales Amount]]&lt;AVERAGE(Transactions[Sales Amount]),"Below Average","At/Above Average")</f>
        <v>At/Above Average</v>
      </c>
    </row>
    <row r="1456" spans="4:17" x14ac:dyDescent="0.2">
      <c r="D1456" t="s">
        <v>1546</v>
      </c>
      <c r="E1456" t="s">
        <v>87</v>
      </c>
      <c r="F1456" t="s">
        <v>129</v>
      </c>
      <c r="G1456">
        <v>165</v>
      </c>
      <c r="H1456">
        <v>1</v>
      </c>
      <c r="I1456">
        <v>52.7</v>
      </c>
      <c r="J1456">
        <v>1</v>
      </c>
      <c r="K1456" s="37">
        <v>45285</v>
      </c>
      <c r="L1456" t="s">
        <v>89</v>
      </c>
      <c r="M1456">
        <v>124.85</v>
      </c>
      <c r="N1456">
        <v>37</v>
      </c>
      <c r="O1456" t="str">
        <f>"Q"&amp;ROUNDUP(MONTH(Transactions[[#This Row],[Transaction Date]])/3,0)</f>
        <v>Q4</v>
      </c>
      <c r="P1456">
        <f>YEAR(Transactions[[#This Row],[Transaction Date]])</f>
        <v>2023</v>
      </c>
      <c r="Q1456" t="str">
        <f>IF(Transactions[[#This Row],[Sales Amount]]&lt;AVERAGE(Transactions[Sales Amount]),"Below Average","At/Above Average")</f>
        <v>Below Average</v>
      </c>
    </row>
    <row r="1457" spans="4:17" x14ac:dyDescent="0.2">
      <c r="D1457" t="s">
        <v>1547</v>
      </c>
      <c r="E1457" t="s">
        <v>78</v>
      </c>
      <c r="F1457" t="s">
        <v>108</v>
      </c>
      <c r="G1457">
        <v>200</v>
      </c>
      <c r="H1457">
        <v>7</v>
      </c>
      <c r="I1457">
        <v>54.12</v>
      </c>
      <c r="J1457">
        <v>9</v>
      </c>
      <c r="K1457" s="37">
        <v>44749</v>
      </c>
      <c r="L1457" t="s">
        <v>102</v>
      </c>
      <c r="M1457">
        <v>290.52</v>
      </c>
      <c r="N1457">
        <v>47</v>
      </c>
      <c r="O1457" t="str">
        <f>"Q"&amp;ROUNDUP(MONTH(Transactions[[#This Row],[Transaction Date]])/3,0)</f>
        <v>Q3</v>
      </c>
      <c r="P1457">
        <f>YEAR(Transactions[[#This Row],[Transaction Date]])</f>
        <v>2022</v>
      </c>
      <c r="Q1457" t="str">
        <f>IF(Transactions[[#This Row],[Sales Amount]]&lt;AVERAGE(Transactions[Sales Amount]),"Below Average","At/Above Average")</f>
        <v>At/Above Average</v>
      </c>
    </row>
    <row r="1458" spans="4:17" x14ac:dyDescent="0.2">
      <c r="D1458" t="s">
        <v>1548</v>
      </c>
      <c r="E1458" t="s">
        <v>78</v>
      </c>
      <c r="F1458" t="s">
        <v>129</v>
      </c>
      <c r="G1458">
        <v>248</v>
      </c>
      <c r="H1458">
        <v>9</v>
      </c>
      <c r="I1458">
        <v>56.63</v>
      </c>
      <c r="J1458">
        <v>4</v>
      </c>
      <c r="K1458" s="37">
        <v>45453</v>
      </c>
      <c r="L1458" t="s">
        <v>92</v>
      </c>
      <c r="M1458">
        <v>486.38</v>
      </c>
      <c r="N1458">
        <v>3</v>
      </c>
      <c r="O1458" t="str">
        <f>"Q"&amp;ROUNDUP(MONTH(Transactions[[#This Row],[Transaction Date]])/3,0)</f>
        <v>Q2</v>
      </c>
      <c r="P1458">
        <f>YEAR(Transactions[[#This Row],[Transaction Date]])</f>
        <v>2024</v>
      </c>
      <c r="Q1458" t="str">
        <f>IF(Transactions[[#This Row],[Sales Amount]]&lt;AVERAGE(Transactions[Sales Amount]),"Below Average","At/Above Average")</f>
        <v>At/Above Average</v>
      </c>
    </row>
    <row r="1459" spans="4:17" x14ac:dyDescent="0.2">
      <c r="D1459" t="s">
        <v>1549</v>
      </c>
      <c r="E1459" t="s">
        <v>77</v>
      </c>
      <c r="F1459" t="s">
        <v>91</v>
      </c>
      <c r="G1459">
        <v>249</v>
      </c>
      <c r="H1459">
        <v>6</v>
      </c>
      <c r="I1459">
        <v>49.6</v>
      </c>
      <c r="J1459">
        <v>1</v>
      </c>
      <c r="K1459" s="37">
        <v>45431</v>
      </c>
      <c r="L1459" t="s">
        <v>97</v>
      </c>
      <c r="M1459">
        <v>358.15</v>
      </c>
      <c r="N1459">
        <v>2</v>
      </c>
      <c r="O1459" t="str">
        <f>"Q"&amp;ROUNDUP(MONTH(Transactions[[#This Row],[Transaction Date]])/3,0)</f>
        <v>Q2</v>
      </c>
      <c r="P1459">
        <f>YEAR(Transactions[[#This Row],[Transaction Date]])</f>
        <v>2024</v>
      </c>
      <c r="Q1459" t="str">
        <f>IF(Transactions[[#This Row],[Sales Amount]]&lt;AVERAGE(Transactions[Sales Amount]),"Below Average","At/Above Average")</f>
        <v>At/Above Average</v>
      </c>
    </row>
    <row r="1460" spans="4:17" x14ac:dyDescent="0.2">
      <c r="D1460" t="s">
        <v>1550</v>
      </c>
      <c r="E1460" t="s">
        <v>74</v>
      </c>
      <c r="F1460" t="s">
        <v>94</v>
      </c>
      <c r="G1460">
        <v>284</v>
      </c>
      <c r="H1460">
        <v>1</v>
      </c>
      <c r="I1460">
        <v>59.04</v>
      </c>
      <c r="J1460">
        <v>7</v>
      </c>
      <c r="K1460" s="37">
        <v>45613</v>
      </c>
      <c r="L1460" t="s">
        <v>109</v>
      </c>
      <c r="M1460">
        <v>414.36</v>
      </c>
      <c r="N1460">
        <v>32</v>
      </c>
      <c r="O1460" t="str">
        <f>"Q"&amp;ROUNDUP(MONTH(Transactions[[#This Row],[Transaction Date]])/3,0)</f>
        <v>Q4</v>
      </c>
      <c r="P1460">
        <f>YEAR(Transactions[[#This Row],[Transaction Date]])</f>
        <v>2024</v>
      </c>
      <c r="Q1460" t="str">
        <f>IF(Transactions[[#This Row],[Sales Amount]]&lt;AVERAGE(Transactions[Sales Amount]),"Below Average","At/Above Average")</f>
        <v>At/Above Average</v>
      </c>
    </row>
    <row r="1461" spans="4:17" x14ac:dyDescent="0.2">
      <c r="D1461" t="s">
        <v>1551</v>
      </c>
      <c r="E1461" t="s">
        <v>78</v>
      </c>
      <c r="F1461" t="s">
        <v>105</v>
      </c>
      <c r="G1461">
        <v>189</v>
      </c>
      <c r="H1461">
        <v>3</v>
      </c>
      <c r="I1461">
        <v>57.67</v>
      </c>
      <c r="J1461">
        <v>10</v>
      </c>
      <c r="K1461" s="37">
        <v>44634</v>
      </c>
      <c r="L1461" t="s">
        <v>92</v>
      </c>
      <c r="M1461">
        <v>65.78</v>
      </c>
      <c r="N1461">
        <v>32</v>
      </c>
      <c r="O1461" t="str">
        <f>"Q"&amp;ROUNDUP(MONTH(Transactions[[#This Row],[Transaction Date]])/3,0)</f>
        <v>Q1</v>
      </c>
      <c r="P1461">
        <f>YEAR(Transactions[[#This Row],[Transaction Date]])</f>
        <v>2022</v>
      </c>
      <c r="Q1461" t="str">
        <f>IF(Transactions[[#This Row],[Sales Amount]]&lt;AVERAGE(Transactions[Sales Amount]),"Below Average","At/Above Average")</f>
        <v>Below Average</v>
      </c>
    </row>
    <row r="1462" spans="4:17" x14ac:dyDescent="0.2">
      <c r="D1462" t="s">
        <v>1552</v>
      </c>
      <c r="E1462" t="s">
        <v>75</v>
      </c>
      <c r="F1462" t="s">
        <v>108</v>
      </c>
      <c r="G1462">
        <v>193</v>
      </c>
      <c r="H1462">
        <v>3</v>
      </c>
      <c r="I1462">
        <v>46.21</v>
      </c>
      <c r="J1462">
        <v>6</v>
      </c>
      <c r="K1462" s="37">
        <v>44892</v>
      </c>
      <c r="L1462" t="s">
        <v>109</v>
      </c>
      <c r="M1462">
        <v>215.27</v>
      </c>
      <c r="N1462">
        <v>23</v>
      </c>
      <c r="O1462" t="str">
        <f>"Q"&amp;ROUNDUP(MONTH(Transactions[[#This Row],[Transaction Date]])/3,0)</f>
        <v>Q4</v>
      </c>
      <c r="P1462">
        <f>YEAR(Transactions[[#This Row],[Transaction Date]])</f>
        <v>2022</v>
      </c>
      <c r="Q1462" t="str">
        <f>IF(Transactions[[#This Row],[Sales Amount]]&lt;AVERAGE(Transactions[Sales Amount]),"Below Average","At/Above Average")</f>
        <v>Below Average</v>
      </c>
    </row>
    <row r="1463" spans="4:17" x14ac:dyDescent="0.2">
      <c r="D1463" t="s">
        <v>1553</v>
      </c>
      <c r="E1463" t="s">
        <v>75</v>
      </c>
      <c r="F1463" t="s">
        <v>91</v>
      </c>
      <c r="G1463">
        <v>107</v>
      </c>
      <c r="H1463">
        <v>4</v>
      </c>
      <c r="I1463">
        <v>59.49</v>
      </c>
      <c r="J1463">
        <v>10</v>
      </c>
      <c r="K1463" s="37">
        <v>44977</v>
      </c>
      <c r="L1463" t="s">
        <v>89</v>
      </c>
      <c r="M1463">
        <v>489.51</v>
      </c>
      <c r="N1463">
        <v>8</v>
      </c>
      <c r="O1463" t="str">
        <f>"Q"&amp;ROUNDUP(MONTH(Transactions[[#This Row],[Transaction Date]])/3,0)</f>
        <v>Q1</v>
      </c>
      <c r="P1463">
        <f>YEAR(Transactions[[#This Row],[Transaction Date]])</f>
        <v>2023</v>
      </c>
      <c r="Q1463" t="str">
        <f>IF(Transactions[[#This Row],[Sales Amount]]&lt;AVERAGE(Transactions[Sales Amount]),"Below Average","At/Above Average")</f>
        <v>At/Above Average</v>
      </c>
    </row>
    <row r="1464" spans="4:17" x14ac:dyDescent="0.2">
      <c r="D1464" t="s">
        <v>1554</v>
      </c>
      <c r="E1464" t="s">
        <v>78</v>
      </c>
      <c r="F1464" t="s">
        <v>88</v>
      </c>
      <c r="G1464">
        <v>166</v>
      </c>
      <c r="H1464">
        <v>6</v>
      </c>
      <c r="I1464">
        <v>56.3</v>
      </c>
      <c r="J1464">
        <v>4</v>
      </c>
      <c r="K1464" s="37">
        <v>45375</v>
      </c>
      <c r="L1464" t="s">
        <v>92</v>
      </c>
      <c r="M1464">
        <v>243.96</v>
      </c>
      <c r="N1464">
        <v>7</v>
      </c>
      <c r="O1464" t="str">
        <f>"Q"&amp;ROUNDUP(MONTH(Transactions[[#This Row],[Transaction Date]])/3,0)</f>
        <v>Q1</v>
      </c>
      <c r="P1464">
        <f>YEAR(Transactions[[#This Row],[Transaction Date]])</f>
        <v>2024</v>
      </c>
      <c r="Q1464" t="str">
        <f>IF(Transactions[[#This Row],[Sales Amount]]&lt;AVERAGE(Transactions[Sales Amount]),"Below Average","At/Above Average")</f>
        <v>Below Average</v>
      </c>
    </row>
    <row r="1465" spans="4:17" x14ac:dyDescent="0.2">
      <c r="D1465" t="s">
        <v>1555</v>
      </c>
      <c r="E1465" t="s">
        <v>77</v>
      </c>
      <c r="F1465" t="s">
        <v>91</v>
      </c>
      <c r="G1465">
        <v>114</v>
      </c>
      <c r="H1465">
        <v>2</v>
      </c>
      <c r="I1465">
        <v>50.13</v>
      </c>
      <c r="J1465">
        <v>2</v>
      </c>
      <c r="K1465" s="37">
        <v>45426</v>
      </c>
      <c r="L1465" t="s">
        <v>102</v>
      </c>
      <c r="M1465">
        <v>269.08999999999997</v>
      </c>
      <c r="N1465">
        <v>18</v>
      </c>
      <c r="O1465" t="str">
        <f>"Q"&amp;ROUNDUP(MONTH(Transactions[[#This Row],[Transaction Date]])/3,0)</f>
        <v>Q2</v>
      </c>
      <c r="P1465">
        <f>YEAR(Transactions[[#This Row],[Transaction Date]])</f>
        <v>2024</v>
      </c>
      <c r="Q1465" t="str">
        <f>IF(Transactions[[#This Row],[Sales Amount]]&lt;AVERAGE(Transactions[Sales Amount]),"Below Average","At/Above Average")</f>
        <v>At/Above Average</v>
      </c>
    </row>
    <row r="1466" spans="4:17" x14ac:dyDescent="0.2">
      <c r="D1466" t="s">
        <v>1556</v>
      </c>
      <c r="E1466" t="s">
        <v>78</v>
      </c>
      <c r="F1466" t="s">
        <v>99</v>
      </c>
      <c r="G1466">
        <v>251</v>
      </c>
      <c r="H1466">
        <v>9</v>
      </c>
      <c r="I1466">
        <v>56.3</v>
      </c>
      <c r="J1466">
        <v>1</v>
      </c>
      <c r="K1466" s="37">
        <v>45046</v>
      </c>
      <c r="L1466" t="s">
        <v>102</v>
      </c>
      <c r="M1466">
        <v>453.13</v>
      </c>
      <c r="N1466">
        <v>33</v>
      </c>
      <c r="O1466" t="str">
        <f>"Q"&amp;ROUNDUP(MONTH(Transactions[[#This Row],[Transaction Date]])/3,0)</f>
        <v>Q2</v>
      </c>
      <c r="P1466">
        <f>YEAR(Transactions[[#This Row],[Transaction Date]])</f>
        <v>2023</v>
      </c>
      <c r="Q1466" t="str">
        <f>IF(Transactions[[#This Row],[Sales Amount]]&lt;AVERAGE(Transactions[Sales Amount]),"Below Average","At/Above Average")</f>
        <v>At/Above Average</v>
      </c>
    </row>
    <row r="1467" spans="4:17" x14ac:dyDescent="0.2">
      <c r="D1467" t="s">
        <v>1557</v>
      </c>
      <c r="E1467" t="s">
        <v>87</v>
      </c>
      <c r="F1467" t="s">
        <v>105</v>
      </c>
      <c r="G1467">
        <v>199</v>
      </c>
      <c r="H1467">
        <v>10</v>
      </c>
      <c r="I1467">
        <v>47.32</v>
      </c>
      <c r="J1467">
        <v>8</v>
      </c>
      <c r="K1467" s="37">
        <v>44848</v>
      </c>
      <c r="L1467" t="s">
        <v>124</v>
      </c>
      <c r="M1467">
        <v>495.15</v>
      </c>
      <c r="N1467">
        <v>35</v>
      </c>
      <c r="O1467" t="str">
        <f>"Q"&amp;ROUNDUP(MONTH(Transactions[[#This Row],[Transaction Date]])/3,0)</f>
        <v>Q4</v>
      </c>
      <c r="P1467">
        <f>YEAR(Transactions[[#This Row],[Transaction Date]])</f>
        <v>2022</v>
      </c>
      <c r="Q1467" t="str">
        <f>IF(Transactions[[#This Row],[Sales Amount]]&lt;AVERAGE(Transactions[Sales Amount]),"Below Average","At/Above Average")</f>
        <v>At/Above Average</v>
      </c>
    </row>
    <row r="1468" spans="4:17" x14ac:dyDescent="0.2">
      <c r="D1468" t="s">
        <v>1558</v>
      </c>
      <c r="E1468" t="s">
        <v>77</v>
      </c>
      <c r="F1468" t="s">
        <v>96</v>
      </c>
      <c r="G1468">
        <v>162</v>
      </c>
      <c r="H1468">
        <v>1</v>
      </c>
      <c r="I1468">
        <v>56.9</v>
      </c>
      <c r="J1468">
        <v>6</v>
      </c>
      <c r="K1468" s="37">
        <v>45064</v>
      </c>
      <c r="L1468" t="s">
        <v>97</v>
      </c>
      <c r="M1468">
        <v>296.44</v>
      </c>
      <c r="N1468">
        <v>1</v>
      </c>
      <c r="O1468" t="str">
        <f>"Q"&amp;ROUNDUP(MONTH(Transactions[[#This Row],[Transaction Date]])/3,0)</f>
        <v>Q2</v>
      </c>
      <c r="P1468">
        <f>YEAR(Transactions[[#This Row],[Transaction Date]])</f>
        <v>2023</v>
      </c>
      <c r="Q1468" t="str">
        <f>IF(Transactions[[#This Row],[Sales Amount]]&lt;AVERAGE(Transactions[Sales Amount]),"Below Average","At/Above Average")</f>
        <v>At/Above Average</v>
      </c>
    </row>
    <row r="1469" spans="4:17" x14ac:dyDescent="0.2">
      <c r="D1469" t="s">
        <v>1559</v>
      </c>
      <c r="E1469" t="s">
        <v>76</v>
      </c>
      <c r="F1469" t="s">
        <v>99</v>
      </c>
      <c r="G1469">
        <v>190</v>
      </c>
      <c r="H1469">
        <v>6</v>
      </c>
      <c r="I1469">
        <v>52.79</v>
      </c>
      <c r="J1469">
        <v>9</v>
      </c>
      <c r="K1469" s="37">
        <v>44800</v>
      </c>
      <c r="L1469" t="s">
        <v>124</v>
      </c>
      <c r="M1469">
        <v>396.18</v>
      </c>
      <c r="N1469">
        <v>26</v>
      </c>
      <c r="O1469" t="str">
        <f>"Q"&amp;ROUNDUP(MONTH(Transactions[[#This Row],[Transaction Date]])/3,0)</f>
        <v>Q3</v>
      </c>
      <c r="P1469">
        <f>YEAR(Transactions[[#This Row],[Transaction Date]])</f>
        <v>2022</v>
      </c>
      <c r="Q1469" t="str">
        <f>IF(Transactions[[#This Row],[Sales Amount]]&lt;AVERAGE(Transactions[Sales Amount]),"Below Average","At/Above Average")</f>
        <v>At/Above Average</v>
      </c>
    </row>
    <row r="1470" spans="4:17" x14ac:dyDescent="0.2">
      <c r="D1470" t="s">
        <v>1560</v>
      </c>
      <c r="E1470" t="s">
        <v>74</v>
      </c>
      <c r="F1470" t="s">
        <v>91</v>
      </c>
      <c r="G1470">
        <v>159</v>
      </c>
      <c r="H1470">
        <v>8</v>
      </c>
      <c r="I1470">
        <v>59.13</v>
      </c>
      <c r="J1470">
        <v>2</v>
      </c>
      <c r="K1470" s="37">
        <v>44820</v>
      </c>
      <c r="L1470" t="s">
        <v>109</v>
      </c>
      <c r="M1470">
        <v>172.96</v>
      </c>
      <c r="N1470">
        <v>32</v>
      </c>
      <c r="O1470" t="str">
        <f>"Q"&amp;ROUNDUP(MONTH(Transactions[[#This Row],[Transaction Date]])/3,0)</f>
        <v>Q3</v>
      </c>
      <c r="P1470">
        <f>YEAR(Transactions[[#This Row],[Transaction Date]])</f>
        <v>2022</v>
      </c>
      <c r="Q1470" t="str">
        <f>IF(Transactions[[#This Row],[Sales Amount]]&lt;AVERAGE(Transactions[Sales Amount]),"Below Average","At/Above Average")</f>
        <v>Below Average</v>
      </c>
    </row>
    <row r="1471" spans="4:17" x14ac:dyDescent="0.2">
      <c r="D1471" t="s">
        <v>1561</v>
      </c>
      <c r="E1471" t="s">
        <v>74</v>
      </c>
      <c r="F1471" t="s">
        <v>96</v>
      </c>
      <c r="G1471">
        <v>282</v>
      </c>
      <c r="H1471">
        <v>2</v>
      </c>
      <c r="I1471">
        <v>51.67</v>
      </c>
      <c r="J1471">
        <v>6</v>
      </c>
      <c r="K1471" s="37">
        <v>44846</v>
      </c>
      <c r="L1471" t="s">
        <v>102</v>
      </c>
      <c r="M1471">
        <v>32.049999999999997</v>
      </c>
      <c r="N1471">
        <v>50</v>
      </c>
      <c r="O1471" t="str">
        <f>"Q"&amp;ROUNDUP(MONTH(Transactions[[#This Row],[Transaction Date]])/3,0)</f>
        <v>Q4</v>
      </c>
      <c r="P1471">
        <f>YEAR(Transactions[[#This Row],[Transaction Date]])</f>
        <v>2022</v>
      </c>
      <c r="Q1471" t="str">
        <f>IF(Transactions[[#This Row],[Sales Amount]]&lt;AVERAGE(Transactions[Sales Amount]),"Below Average","At/Above Average")</f>
        <v>Below Average</v>
      </c>
    </row>
    <row r="1472" spans="4:17" x14ac:dyDescent="0.2">
      <c r="D1472" t="s">
        <v>1562</v>
      </c>
      <c r="E1472" t="s">
        <v>87</v>
      </c>
      <c r="F1472" t="s">
        <v>108</v>
      </c>
      <c r="G1472">
        <v>122</v>
      </c>
      <c r="H1472">
        <v>10</v>
      </c>
      <c r="I1472">
        <v>54.02</v>
      </c>
      <c r="J1472">
        <v>1</v>
      </c>
      <c r="K1472" s="37">
        <v>45280</v>
      </c>
      <c r="L1472" t="s">
        <v>92</v>
      </c>
      <c r="M1472">
        <v>195.11</v>
      </c>
      <c r="N1472">
        <v>21</v>
      </c>
      <c r="O1472" t="str">
        <f>"Q"&amp;ROUNDUP(MONTH(Transactions[[#This Row],[Transaction Date]])/3,0)</f>
        <v>Q4</v>
      </c>
      <c r="P1472">
        <f>YEAR(Transactions[[#This Row],[Transaction Date]])</f>
        <v>2023</v>
      </c>
      <c r="Q1472" t="str">
        <f>IF(Transactions[[#This Row],[Sales Amount]]&lt;AVERAGE(Transactions[Sales Amount]),"Below Average","At/Above Average")</f>
        <v>Below Average</v>
      </c>
    </row>
    <row r="1473" spans="4:17" x14ac:dyDescent="0.2">
      <c r="D1473" t="s">
        <v>1563</v>
      </c>
      <c r="E1473" t="s">
        <v>75</v>
      </c>
      <c r="F1473" t="s">
        <v>108</v>
      </c>
      <c r="G1473">
        <v>100</v>
      </c>
      <c r="H1473">
        <v>9</v>
      </c>
      <c r="I1473">
        <v>49.52</v>
      </c>
      <c r="J1473">
        <v>4</v>
      </c>
      <c r="K1473" s="37">
        <v>45315</v>
      </c>
      <c r="L1473" t="s">
        <v>109</v>
      </c>
      <c r="M1473">
        <v>350.2</v>
      </c>
      <c r="N1473">
        <v>32</v>
      </c>
      <c r="O1473" t="str">
        <f>"Q"&amp;ROUNDUP(MONTH(Transactions[[#This Row],[Transaction Date]])/3,0)</f>
        <v>Q1</v>
      </c>
      <c r="P1473">
        <f>YEAR(Transactions[[#This Row],[Transaction Date]])</f>
        <v>2024</v>
      </c>
      <c r="Q1473" t="str">
        <f>IF(Transactions[[#This Row],[Sales Amount]]&lt;AVERAGE(Transactions[Sales Amount]),"Below Average","At/Above Average")</f>
        <v>At/Above Average</v>
      </c>
    </row>
    <row r="1474" spans="4:17" x14ac:dyDescent="0.2">
      <c r="D1474" t="s">
        <v>1564</v>
      </c>
      <c r="E1474" t="s">
        <v>78</v>
      </c>
      <c r="F1474" t="s">
        <v>108</v>
      </c>
      <c r="G1474">
        <v>120</v>
      </c>
      <c r="H1474">
        <v>2</v>
      </c>
      <c r="I1474">
        <v>46.83</v>
      </c>
      <c r="J1474">
        <v>1</v>
      </c>
      <c r="K1474" s="37">
        <v>45175</v>
      </c>
      <c r="L1474" t="s">
        <v>102</v>
      </c>
      <c r="M1474">
        <v>50.49</v>
      </c>
      <c r="N1474">
        <v>35</v>
      </c>
      <c r="O1474" t="str">
        <f>"Q"&amp;ROUNDUP(MONTH(Transactions[[#This Row],[Transaction Date]])/3,0)</f>
        <v>Q3</v>
      </c>
      <c r="P1474">
        <f>YEAR(Transactions[[#This Row],[Transaction Date]])</f>
        <v>2023</v>
      </c>
      <c r="Q1474" t="str">
        <f>IF(Transactions[[#This Row],[Sales Amount]]&lt;AVERAGE(Transactions[Sales Amount]),"Below Average","At/Above Average")</f>
        <v>Below Average</v>
      </c>
    </row>
    <row r="1475" spans="4:17" x14ac:dyDescent="0.2">
      <c r="D1475" t="s">
        <v>1565</v>
      </c>
      <c r="E1475" t="s">
        <v>74</v>
      </c>
      <c r="F1475" t="s">
        <v>96</v>
      </c>
      <c r="G1475">
        <v>115</v>
      </c>
      <c r="H1475">
        <v>2</v>
      </c>
      <c r="I1475">
        <v>58.74</v>
      </c>
      <c r="J1475">
        <v>7</v>
      </c>
      <c r="K1475" s="37">
        <v>45591</v>
      </c>
      <c r="L1475" t="s">
        <v>89</v>
      </c>
      <c r="M1475">
        <v>467.64</v>
      </c>
      <c r="N1475">
        <v>17</v>
      </c>
      <c r="O1475" t="str">
        <f>"Q"&amp;ROUNDUP(MONTH(Transactions[[#This Row],[Transaction Date]])/3,0)</f>
        <v>Q4</v>
      </c>
      <c r="P1475">
        <f>YEAR(Transactions[[#This Row],[Transaction Date]])</f>
        <v>2024</v>
      </c>
      <c r="Q1475" t="str">
        <f>IF(Transactions[[#This Row],[Sales Amount]]&lt;AVERAGE(Transactions[Sales Amount]),"Below Average","At/Above Average")</f>
        <v>At/Above Average</v>
      </c>
    </row>
    <row r="1476" spans="4:17" x14ac:dyDescent="0.2">
      <c r="D1476" t="s">
        <v>1566</v>
      </c>
      <c r="E1476" t="s">
        <v>77</v>
      </c>
      <c r="F1476" t="s">
        <v>129</v>
      </c>
      <c r="G1476">
        <v>215</v>
      </c>
      <c r="H1476">
        <v>2</v>
      </c>
      <c r="I1476">
        <v>47.08</v>
      </c>
      <c r="J1476">
        <v>7</v>
      </c>
      <c r="K1476" s="37">
        <v>44666</v>
      </c>
      <c r="L1476" t="s">
        <v>124</v>
      </c>
      <c r="M1476">
        <v>221.87</v>
      </c>
      <c r="N1476">
        <v>40</v>
      </c>
      <c r="O1476" t="str">
        <f>"Q"&amp;ROUNDUP(MONTH(Transactions[[#This Row],[Transaction Date]])/3,0)</f>
        <v>Q2</v>
      </c>
      <c r="P1476">
        <f>YEAR(Transactions[[#This Row],[Transaction Date]])</f>
        <v>2022</v>
      </c>
      <c r="Q1476" t="str">
        <f>IF(Transactions[[#This Row],[Sales Amount]]&lt;AVERAGE(Transactions[Sales Amount]),"Below Average","At/Above Average")</f>
        <v>Below Average</v>
      </c>
    </row>
    <row r="1477" spans="4:17" x14ac:dyDescent="0.2">
      <c r="D1477" t="s">
        <v>1567</v>
      </c>
      <c r="E1477" t="s">
        <v>87</v>
      </c>
      <c r="F1477" t="s">
        <v>96</v>
      </c>
      <c r="G1477">
        <v>121</v>
      </c>
      <c r="H1477">
        <v>9</v>
      </c>
      <c r="I1477">
        <v>56.65</v>
      </c>
      <c r="J1477">
        <v>6</v>
      </c>
      <c r="K1477" s="37">
        <v>44972</v>
      </c>
      <c r="L1477" t="s">
        <v>92</v>
      </c>
      <c r="M1477">
        <v>427.43</v>
      </c>
      <c r="N1477">
        <v>22</v>
      </c>
      <c r="O1477" t="str">
        <f>"Q"&amp;ROUNDUP(MONTH(Transactions[[#This Row],[Transaction Date]])/3,0)</f>
        <v>Q1</v>
      </c>
      <c r="P1477">
        <f>YEAR(Transactions[[#This Row],[Transaction Date]])</f>
        <v>2023</v>
      </c>
      <c r="Q1477" t="str">
        <f>IF(Transactions[[#This Row],[Sales Amount]]&lt;AVERAGE(Transactions[Sales Amount]),"Below Average","At/Above Average")</f>
        <v>At/Above Average</v>
      </c>
    </row>
    <row r="1478" spans="4:17" x14ac:dyDescent="0.2">
      <c r="D1478" t="s">
        <v>1568</v>
      </c>
      <c r="E1478" t="s">
        <v>75</v>
      </c>
      <c r="F1478" t="s">
        <v>108</v>
      </c>
      <c r="G1478">
        <v>230</v>
      </c>
      <c r="H1478">
        <v>1</v>
      </c>
      <c r="I1478">
        <v>45.71</v>
      </c>
      <c r="J1478">
        <v>3</v>
      </c>
      <c r="K1478" s="37">
        <v>45624</v>
      </c>
      <c r="L1478" t="s">
        <v>124</v>
      </c>
      <c r="M1478">
        <v>170.81</v>
      </c>
      <c r="N1478">
        <v>16</v>
      </c>
      <c r="O1478" t="str">
        <f>"Q"&amp;ROUNDUP(MONTH(Transactions[[#This Row],[Transaction Date]])/3,0)</f>
        <v>Q4</v>
      </c>
      <c r="P1478">
        <f>YEAR(Transactions[[#This Row],[Transaction Date]])</f>
        <v>2024</v>
      </c>
      <c r="Q1478" t="str">
        <f>IF(Transactions[[#This Row],[Sales Amount]]&lt;AVERAGE(Transactions[Sales Amount]),"Below Average","At/Above Average")</f>
        <v>Below Average</v>
      </c>
    </row>
    <row r="1479" spans="4:17" x14ac:dyDescent="0.2">
      <c r="D1479" t="s">
        <v>1569</v>
      </c>
      <c r="E1479" t="s">
        <v>77</v>
      </c>
      <c r="F1479" t="s">
        <v>94</v>
      </c>
      <c r="G1479">
        <v>216</v>
      </c>
      <c r="H1479">
        <v>4</v>
      </c>
      <c r="I1479">
        <v>55.02</v>
      </c>
      <c r="J1479">
        <v>1</v>
      </c>
      <c r="K1479" s="37">
        <v>45551</v>
      </c>
      <c r="L1479" t="s">
        <v>89</v>
      </c>
      <c r="M1479">
        <v>62.01</v>
      </c>
      <c r="N1479">
        <v>39</v>
      </c>
      <c r="O1479" t="str">
        <f>"Q"&amp;ROUNDUP(MONTH(Transactions[[#This Row],[Transaction Date]])/3,0)</f>
        <v>Q3</v>
      </c>
      <c r="P1479">
        <f>YEAR(Transactions[[#This Row],[Transaction Date]])</f>
        <v>2024</v>
      </c>
      <c r="Q1479" t="str">
        <f>IF(Transactions[[#This Row],[Sales Amount]]&lt;AVERAGE(Transactions[Sales Amount]),"Below Average","At/Above Average")</f>
        <v>Below Average</v>
      </c>
    </row>
    <row r="1480" spans="4:17" x14ac:dyDescent="0.2">
      <c r="D1480" t="s">
        <v>1570</v>
      </c>
      <c r="E1480" t="s">
        <v>78</v>
      </c>
      <c r="F1480" t="s">
        <v>88</v>
      </c>
      <c r="G1480">
        <v>143</v>
      </c>
      <c r="H1480">
        <v>4</v>
      </c>
      <c r="I1480">
        <v>49.36</v>
      </c>
      <c r="J1480">
        <v>7</v>
      </c>
      <c r="K1480" s="37">
        <v>45073</v>
      </c>
      <c r="L1480" t="s">
        <v>102</v>
      </c>
      <c r="M1480">
        <v>355.76</v>
      </c>
      <c r="N1480">
        <v>39</v>
      </c>
      <c r="O1480" t="str">
        <f>"Q"&amp;ROUNDUP(MONTH(Transactions[[#This Row],[Transaction Date]])/3,0)</f>
        <v>Q2</v>
      </c>
      <c r="P1480">
        <f>YEAR(Transactions[[#This Row],[Transaction Date]])</f>
        <v>2023</v>
      </c>
      <c r="Q1480" t="str">
        <f>IF(Transactions[[#This Row],[Sales Amount]]&lt;AVERAGE(Transactions[Sales Amount]),"Below Average","At/Above Average")</f>
        <v>At/Above Average</v>
      </c>
    </row>
    <row r="1481" spans="4:17" x14ac:dyDescent="0.2">
      <c r="D1481" t="s">
        <v>1571</v>
      </c>
      <c r="E1481" t="s">
        <v>75</v>
      </c>
      <c r="F1481" t="s">
        <v>88</v>
      </c>
      <c r="G1481">
        <v>245</v>
      </c>
      <c r="H1481">
        <v>4</v>
      </c>
      <c r="I1481">
        <v>58.99</v>
      </c>
      <c r="J1481">
        <v>6</v>
      </c>
      <c r="K1481" s="37">
        <v>45139</v>
      </c>
      <c r="L1481" t="s">
        <v>89</v>
      </c>
      <c r="M1481">
        <v>302.49</v>
      </c>
      <c r="N1481">
        <v>10</v>
      </c>
      <c r="O1481" t="str">
        <f>"Q"&amp;ROUNDUP(MONTH(Transactions[[#This Row],[Transaction Date]])/3,0)</f>
        <v>Q3</v>
      </c>
      <c r="P1481">
        <f>YEAR(Transactions[[#This Row],[Transaction Date]])</f>
        <v>2023</v>
      </c>
      <c r="Q1481" t="str">
        <f>IF(Transactions[[#This Row],[Sales Amount]]&lt;AVERAGE(Transactions[Sales Amount]),"Below Average","At/Above Average")</f>
        <v>At/Above Average</v>
      </c>
    </row>
    <row r="1482" spans="4:17" x14ac:dyDescent="0.2">
      <c r="D1482" t="s">
        <v>1572</v>
      </c>
      <c r="E1482" t="s">
        <v>78</v>
      </c>
      <c r="F1482" t="s">
        <v>129</v>
      </c>
      <c r="G1482">
        <v>159</v>
      </c>
      <c r="H1482">
        <v>8</v>
      </c>
      <c r="I1482">
        <v>58.16</v>
      </c>
      <c r="J1482">
        <v>6</v>
      </c>
      <c r="K1482" s="37">
        <v>45155</v>
      </c>
      <c r="L1482" t="s">
        <v>92</v>
      </c>
      <c r="M1482">
        <v>240.75</v>
      </c>
      <c r="N1482">
        <v>22</v>
      </c>
      <c r="O1482" t="str">
        <f>"Q"&amp;ROUNDUP(MONTH(Transactions[[#This Row],[Transaction Date]])/3,0)</f>
        <v>Q3</v>
      </c>
      <c r="P1482">
        <f>YEAR(Transactions[[#This Row],[Transaction Date]])</f>
        <v>2023</v>
      </c>
      <c r="Q1482" t="str">
        <f>IF(Transactions[[#This Row],[Sales Amount]]&lt;AVERAGE(Transactions[Sales Amount]),"Below Average","At/Above Average")</f>
        <v>Below Average</v>
      </c>
    </row>
    <row r="1483" spans="4:17" x14ac:dyDescent="0.2">
      <c r="D1483" t="s">
        <v>1573</v>
      </c>
      <c r="E1483" t="s">
        <v>74</v>
      </c>
      <c r="F1483" t="s">
        <v>96</v>
      </c>
      <c r="G1483">
        <v>233</v>
      </c>
      <c r="H1483">
        <v>6</v>
      </c>
      <c r="I1483">
        <v>57.55</v>
      </c>
      <c r="J1483">
        <v>9</v>
      </c>
      <c r="K1483" s="37">
        <v>45651</v>
      </c>
      <c r="L1483" t="s">
        <v>109</v>
      </c>
      <c r="M1483">
        <v>49.65</v>
      </c>
      <c r="N1483">
        <v>32</v>
      </c>
      <c r="O1483" t="str">
        <f>"Q"&amp;ROUNDUP(MONTH(Transactions[[#This Row],[Transaction Date]])/3,0)</f>
        <v>Q4</v>
      </c>
      <c r="P1483">
        <f>YEAR(Transactions[[#This Row],[Transaction Date]])</f>
        <v>2024</v>
      </c>
      <c r="Q1483" t="str">
        <f>IF(Transactions[[#This Row],[Sales Amount]]&lt;AVERAGE(Transactions[Sales Amount]),"Below Average","At/Above Average")</f>
        <v>Below Average</v>
      </c>
    </row>
    <row r="1484" spans="4:17" x14ac:dyDescent="0.2">
      <c r="D1484" t="s">
        <v>1574</v>
      </c>
      <c r="E1484" t="s">
        <v>87</v>
      </c>
      <c r="F1484" t="s">
        <v>129</v>
      </c>
      <c r="G1484">
        <v>161</v>
      </c>
      <c r="H1484">
        <v>9</v>
      </c>
      <c r="I1484">
        <v>58.83</v>
      </c>
      <c r="J1484">
        <v>6</v>
      </c>
      <c r="K1484" s="37">
        <v>44700</v>
      </c>
      <c r="L1484" t="s">
        <v>102</v>
      </c>
      <c r="M1484">
        <v>158.08000000000001</v>
      </c>
      <c r="N1484">
        <v>49</v>
      </c>
      <c r="O1484" t="str">
        <f>"Q"&amp;ROUNDUP(MONTH(Transactions[[#This Row],[Transaction Date]])/3,0)</f>
        <v>Q2</v>
      </c>
      <c r="P1484">
        <f>YEAR(Transactions[[#This Row],[Transaction Date]])</f>
        <v>2022</v>
      </c>
      <c r="Q1484" t="str">
        <f>IF(Transactions[[#This Row],[Sales Amount]]&lt;AVERAGE(Transactions[Sales Amount]),"Below Average","At/Above Average")</f>
        <v>Below Average</v>
      </c>
    </row>
    <row r="1485" spans="4:17" x14ac:dyDescent="0.2">
      <c r="D1485" t="s">
        <v>1575</v>
      </c>
      <c r="E1485" t="s">
        <v>77</v>
      </c>
      <c r="F1485" t="s">
        <v>88</v>
      </c>
      <c r="G1485">
        <v>123</v>
      </c>
      <c r="H1485">
        <v>10</v>
      </c>
      <c r="I1485">
        <v>56.82</v>
      </c>
      <c r="J1485">
        <v>6</v>
      </c>
      <c r="K1485" s="37">
        <v>45333</v>
      </c>
      <c r="L1485" t="s">
        <v>109</v>
      </c>
      <c r="M1485">
        <v>484.25</v>
      </c>
      <c r="N1485">
        <v>20</v>
      </c>
      <c r="O1485" t="str">
        <f>"Q"&amp;ROUNDUP(MONTH(Transactions[[#This Row],[Transaction Date]])/3,0)</f>
        <v>Q1</v>
      </c>
      <c r="P1485">
        <f>YEAR(Transactions[[#This Row],[Transaction Date]])</f>
        <v>2024</v>
      </c>
      <c r="Q1485" t="str">
        <f>IF(Transactions[[#This Row],[Sales Amount]]&lt;AVERAGE(Transactions[Sales Amount]),"Below Average","At/Above Average")</f>
        <v>At/Above Average</v>
      </c>
    </row>
    <row r="1486" spans="4:17" x14ac:dyDescent="0.2">
      <c r="D1486" t="s">
        <v>1576</v>
      </c>
      <c r="E1486" t="s">
        <v>75</v>
      </c>
      <c r="F1486" t="s">
        <v>105</v>
      </c>
      <c r="G1486">
        <v>220</v>
      </c>
      <c r="H1486">
        <v>10</v>
      </c>
      <c r="I1486">
        <v>54.4</v>
      </c>
      <c r="J1486">
        <v>9</v>
      </c>
      <c r="K1486" s="37">
        <v>45279</v>
      </c>
      <c r="L1486" t="s">
        <v>124</v>
      </c>
      <c r="M1486">
        <v>180.74</v>
      </c>
      <c r="N1486">
        <v>41</v>
      </c>
      <c r="O1486" t="str">
        <f>"Q"&amp;ROUNDUP(MONTH(Transactions[[#This Row],[Transaction Date]])/3,0)</f>
        <v>Q4</v>
      </c>
      <c r="P1486">
        <f>YEAR(Transactions[[#This Row],[Transaction Date]])</f>
        <v>2023</v>
      </c>
      <c r="Q1486" t="str">
        <f>IF(Transactions[[#This Row],[Sales Amount]]&lt;AVERAGE(Transactions[Sales Amount]),"Below Average","At/Above Average")</f>
        <v>Below Average</v>
      </c>
    </row>
    <row r="1487" spans="4:17" x14ac:dyDescent="0.2">
      <c r="D1487" t="s">
        <v>1577</v>
      </c>
      <c r="E1487" t="s">
        <v>78</v>
      </c>
      <c r="F1487" t="s">
        <v>129</v>
      </c>
      <c r="G1487">
        <v>197</v>
      </c>
      <c r="H1487">
        <v>1</v>
      </c>
      <c r="I1487">
        <v>58.86</v>
      </c>
      <c r="J1487">
        <v>7</v>
      </c>
      <c r="K1487" s="37">
        <v>45130</v>
      </c>
      <c r="L1487" t="s">
        <v>109</v>
      </c>
      <c r="M1487">
        <v>379.93</v>
      </c>
      <c r="N1487">
        <v>3</v>
      </c>
      <c r="O1487" t="str">
        <f>"Q"&amp;ROUNDUP(MONTH(Transactions[[#This Row],[Transaction Date]])/3,0)</f>
        <v>Q3</v>
      </c>
      <c r="P1487">
        <f>YEAR(Transactions[[#This Row],[Transaction Date]])</f>
        <v>2023</v>
      </c>
      <c r="Q1487" t="str">
        <f>IF(Transactions[[#This Row],[Sales Amount]]&lt;AVERAGE(Transactions[Sales Amount]),"Below Average","At/Above Average")</f>
        <v>At/Above Average</v>
      </c>
    </row>
    <row r="1488" spans="4:17" x14ac:dyDescent="0.2">
      <c r="D1488" t="s">
        <v>1578</v>
      </c>
      <c r="E1488" t="s">
        <v>74</v>
      </c>
      <c r="F1488" t="s">
        <v>108</v>
      </c>
      <c r="G1488">
        <v>142</v>
      </c>
      <c r="H1488">
        <v>7</v>
      </c>
      <c r="I1488">
        <v>56.83</v>
      </c>
      <c r="J1488">
        <v>4</v>
      </c>
      <c r="K1488" s="37">
        <v>45625</v>
      </c>
      <c r="L1488" t="s">
        <v>97</v>
      </c>
      <c r="M1488">
        <v>148.72</v>
      </c>
      <c r="N1488">
        <v>33</v>
      </c>
      <c r="O1488" t="str">
        <f>"Q"&amp;ROUNDUP(MONTH(Transactions[[#This Row],[Transaction Date]])/3,0)</f>
        <v>Q4</v>
      </c>
      <c r="P1488">
        <f>YEAR(Transactions[[#This Row],[Transaction Date]])</f>
        <v>2024</v>
      </c>
      <c r="Q1488" t="str">
        <f>IF(Transactions[[#This Row],[Sales Amount]]&lt;AVERAGE(Transactions[Sales Amount]),"Below Average","At/Above Average")</f>
        <v>Below Average</v>
      </c>
    </row>
    <row r="1489" spans="4:17" x14ac:dyDescent="0.2">
      <c r="D1489" t="s">
        <v>1579</v>
      </c>
      <c r="E1489" t="s">
        <v>76</v>
      </c>
      <c r="F1489" t="s">
        <v>94</v>
      </c>
      <c r="G1489">
        <v>216</v>
      </c>
      <c r="H1489">
        <v>4</v>
      </c>
      <c r="I1489">
        <v>47.3</v>
      </c>
      <c r="J1489">
        <v>1</v>
      </c>
      <c r="K1489" s="37">
        <v>45379</v>
      </c>
      <c r="L1489" t="s">
        <v>102</v>
      </c>
      <c r="M1489">
        <v>474.04</v>
      </c>
      <c r="N1489">
        <v>37</v>
      </c>
      <c r="O1489" t="str">
        <f>"Q"&amp;ROUNDUP(MONTH(Transactions[[#This Row],[Transaction Date]])/3,0)</f>
        <v>Q1</v>
      </c>
      <c r="P1489">
        <f>YEAR(Transactions[[#This Row],[Transaction Date]])</f>
        <v>2024</v>
      </c>
      <c r="Q1489" t="str">
        <f>IF(Transactions[[#This Row],[Sales Amount]]&lt;AVERAGE(Transactions[Sales Amount]),"Below Average","At/Above Average")</f>
        <v>At/Above Average</v>
      </c>
    </row>
    <row r="1490" spans="4:17" x14ac:dyDescent="0.2">
      <c r="D1490" t="s">
        <v>1580</v>
      </c>
      <c r="E1490" t="s">
        <v>77</v>
      </c>
      <c r="F1490" t="s">
        <v>94</v>
      </c>
      <c r="G1490">
        <v>206</v>
      </c>
      <c r="H1490">
        <v>2</v>
      </c>
      <c r="I1490">
        <v>53.46</v>
      </c>
      <c r="J1490">
        <v>4</v>
      </c>
      <c r="K1490" s="37">
        <v>45536</v>
      </c>
      <c r="L1490" t="s">
        <v>124</v>
      </c>
      <c r="M1490">
        <v>159.01</v>
      </c>
      <c r="N1490">
        <v>41</v>
      </c>
      <c r="O1490" t="str">
        <f>"Q"&amp;ROUNDUP(MONTH(Transactions[[#This Row],[Transaction Date]])/3,0)</f>
        <v>Q3</v>
      </c>
      <c r="P1490">
        <f>YEAR(Transactions[[#This Row],[Transaction Date]])</f>
        <v>2024</v>
      </c>
      <c r="Q1490" t="str">
        <f>IF(Transactions[[#This Row],[Sales Amount]]&lt;AVERAGE(Transactions[Sales Amount]),"Below Average","At/Above Average")</f>
        <v>Below Average</v>
      </c>
    </row>
    <row r="1491" spans="4:17" x14ac:dyDescent="0.2">
      <c r="D1491" t="s">
        <v>1581</v>
      </c>
      <c r="E1491" t="s">
        <v>87</v>
      </c>
      <c r="F1491" t="s">
        <v>108</v>
      </c>
      <c r="G1491">
        <v>292</v>
      </c>
      <c r="H1491">
        <v>10</v>
      </c>
      <c r="I1491">
        <v>59.73</v>
      </c>
      <c r="J1491">
        <v>9</v>
      </c>
      <c r="K1491" s="37">
        <v>45403</v>
      </c>
      <c r="L1491" t="s">
        <v>97</v>
      </c>
      <c r="M1491">
        <v>223.52</v>
      </c>
      <c r="N1491">
        <v>25</v>
      </c>
      <c r="O1491" t="str">
        <f>"Q"&amp;ROUNDUP(MONTH(Transactions[[#This Row],[Transaction Date]])/3,0)</f>
        <v>Q2</v>
      </c>
      <c r="P1491">
        <f>YEAR(Transactions[[#This Row],[Transaction Date]])</f>
        <v>2024</v>
      </c>
      <c r="Q1491" t="str">
        <f>IF(Transactions[[#This Row],[Sales Amount]]&lt;AVERAGE(Transactions[Sales Amount]),"Below Average","At/Above Average")</f>
        <v>Below Average</v>
      </c>
    </row>
    <row r="1492" spans="4:17" x14ac:dyDescent="0.2">
      <c r="D1492" t="s">
        <v>1582</v>
      </c>
      <c r="E1492" t="s">
        <v>87</v>
      </c>
      <c r="F1492" t="s">
        <v>96</v>
      </c>
      <c r="G1492">
        <v>143</v>
      </c>
      <c r="H1492">
        <v>3</v>
      </c>
      <c r="I1492">
        <v>50.07</v>
      </c>
      <c r="J1492">
        <v>1</v>
      </c>
      <c r="K1492" s="37">
        <v>45401</v>
      </c>
      <c r="L1492" t="s">
        <v>89</v>
      </c>
      <c r="M1492">
        <v>116.13</v>
      </c>
      <c r="N1492">
        <v>29</v>
      </c>
      <c r="O1492" t="str">
        <f>"Q"&amp;ROUNDUP(MONTH(Transactions[[#This Row],[Transaction Date]])/3,0)</f>
        <v>Q2</v>
      </c>
      <c r="P1492">
        <f>YEAR(Transactions[[#This Row],[Transaction Date]])</f>
        <v>2024</v>
      </c>
      <c r="Q1492" t="str">
        <f>IF(Transactions[[#This Row],[Sales Amount]]&lt;AVERAGE(Transactions[Sales Amount]),"Below Average","At/Above Average")</f>
        <v>Below Average</v>
      </c>
    </row>
    <row r="1493" spans="4:17" x14ac:dyDescent="0.2">
      <c r="D1493" t="s">
        <v>1583</v>
      </c>
      <c r="E1493" t="s">
        <v>76</v>
      </c>
      <c r="F1493" t="s">
        <v>99</v>
      </c>
      <c r="G1493">
        <v>201</v>
      </c>
      <c r="H1493">
        <v>7</v>
      </c>
      <c r="I1493">
        <v>48.66</v>
      </c>
      <c r="J1493">
        <v>9</v>
      </c>
      <c r="K1493" s="37">
        <v>45251</v>
      </c>
      <c r="L1493" t="s">
        <v>97</v>
      </c>
      <c r="M1493">
        <v>445.69</v>
      </c>
      <c r="N1493">
        <v>42</v>
      </c>
      <c r="O1493" t="str">
        <f>"Q"&amp;ROUNDUP(MONTH(Transactions[[#This Row],[Transaction Date]])/3,0)</f>
        <v>Q4</v>
      </c>
      <c r="P1493">
        <f>YEAR(Transactions[[#This Row],[Transaction Date]])</f>
        <v>2023</v>
      </c>
      <c r="Q1493" t="str">
        <f>IF(Transactions[[#This Row],[Sales Amount]]&lt;AVERAGE(Transactions[Sales Amount]),"Below Average","At/Above Average")</f>
        <v>At/Above Average</v>
      </c>
    </row>
    <row r="1494" spans="4:17" x14ac:dyDescent="0.2">
      <c r="D1494" t="s">
        <v>1584</v>
      </c>
      <c r="E1494" t="s">
        <v>75</v>
      </c>
      <c r="F1494" t="s">
        <v>105</v>
      </c>
      <c r="G1494">
        <v>278</v>
      </c>
      <c r="H1494">
        <v>2</v>
      </c>
      <c r="I1494">
        <v>54.62</v>
      </c>
      <c r="J1494">
        <v>6</v>
      </c>
      <c r="K1494" s="37">
        <v>44793</v>
      </c>
      <c r="L1494" t="s">
        <v>102</v>
      </c>
      <c r="M1494">
        <v>163.05000000000001</v>
      </c>
      <c r="N1494">
        <v>32</v>
      </c>
      <c r="O1494" t="str">
        <f>"Q"&amp;ROUNDUP(MONTH(Transactions[[#This Row],[Transaction Date]])/3,0)</f>
        <v>Q3</v>
      </c>
      <c r="P1494">
        <f>YEAR(Transactions[[#This Row],[Transaction Date]])</f>
        <v>2022</v>
      </c>
      <c r="Q1494" t="str">
        <f>IF(Transactions[[#This Row],[Sales Amount]]&lt;AVERAGE(Transactions[Sales Amount]),"Below Average","At/Above Average")</f>
        <v>Below Average</v>
      </c>
    </row>
    <row r="1495" spans="4:17" x14ac:dyDescent="0.2">
      <c r="D1495" t="s">
        <v>1585</v>
      </c>
      <c r="E1495" t="s">
        <v>78</v>
      </c>
      <c r="F1495" t="s">
        <v>108</v>
      </c>
      <c r="G1495">
        <v>300</v>
      </c>
      <c r="H1495">
        <v>5</v>
      </c>
      <c r="I1495">
        <v>48.63</v>
      </c>
      <c r="J1495">
        <v>1</v>
      </c>
      <c r="K1495" s="37">
        <v>44805</v>
      </c>
      <c r="L1495" t="s">
        <v>102</v>
      </c>
      <c r="M1495">
        <v>178.53</v>
      </c>
      <c r="N1495">
        <v>46</v>
      </c>
      <c r="O1495" t="str">
        <f>"Q"&amp;ROUNDUP(MONTH(Transactions[[#This Row],[Transaction Date]])/3,0)</f>
        <v>Q3</v>
      </c>
      <c r="P1495">
        <f>YEAR(Transactions[[#This Row],[Transaction Date]])</f>
        <v>2022</v>
      </c>
      <c r="Q1495" t="str">
        <f>IF(Transactions[[#This Row],[Sales Amount]]&lt;AVERAGE(Transactions[Sales Amount]),"Below Average","At/Above Average")</f>
        <v>Below Average</v>
      </c>
    </row>
    <row r="1496" spans="4:17" x14ac:dyDescent="0.2">
      <c r="D1496" t="s">
        <v>1586</v>
      </c>
      <c r="E1496" t="s">
        <v>78</v>
      </c>
      <c r="F1496" t="s">
        <v>129</v>
      </c>
      <c r="G1496">
        <v>263</v>
      </c>
      <c r="H1496">
        <v>1</v>
      </c>
      <c r="I1496">
        <v>55.39</v>
      </c>
      <c r="J1496">
        <v>8</v>
      </c>
      <c r="K1496" s="37">
        <v>44679</v>
      </c>
      <c r="L1496" t="s">
        <v>92</v>
      </c>
      <c r="M1496">
        <v>120.43</v>
      </c>
      <c r="N1496">
        <v>19</v>
      </c>
      <c r="O1496" t="str">
        <f>"Q"&amp;ROUNDUP(MONTH(Transactions[[#This Row],[Transaction Date]])/3,0)</f>
        <v>Q2</v>
      </c>
      <c r="P1496">
        <f>YEAR(Transactions[[#This Row],[Transaction Date]])</f>
        <v>2022</v>
      </c>
      <c r="Q1496" t="str">
        <f>IF(Transactions[[#This Row],[Sales Amount]]&lt;AVERAGE(Transactions[Sales Amount]),"Below Average","At/Above Average")</f>
        <v>Below Average</v>
      </c>
    </row>
    <row r="1497" spans="4:17" x14ac:dyDescent="0.2">
      <c r="D1497" t="s">
        <v>1587</v>
      </c>
      <c r="E1497" t="s">
        <v>78</v>
      </c>
      <c r="F1497" t="s">
        <v>129</v>
      </c>
      <c r="G1497">
        <v>280</v>
      </c>
      <c r="H1497">
        <v>2</v>
      </c>
      <c r="I1497">
        <v>45.58</v>
      </c>
      <c r="J1497">
        <v>10</v>
      </c>
      <c r="K1497" s="37">
        <v>44651</v>
      </c>
      <c r="L1497" t="s">
        <v>89</v>
      </c>
      <c r="M1497">
        <v>366.77</v>
      </c>
      <c r="N1497">
        <v>11</v>
      </c>
      <c r="O1497" t="str">
        <f>"Q"&amp;ROUNDUP(MONTH(Transactions[[#This Row],[Transaction Date]])/3,0)</f>
        <v>Q1</v>
      </c>
      <c r="P1497">
        <f>YEAR(Transactions[[#This Row],[Transaction Date]])</f>
        <v>2022</v>
      </c>
      <c r="Q1497" t="str">
        <f>IF(Transactions[[#This Row],[Sales Amount]]&lt;AVERAGE(Transactions[Sales Amount]),"Below Average","At/Above Average")</f>
        <v>At/Above Average</v>
      </c>
    </row>
    <row r="1498" spans="4:17" x14ac:dyDescent="0.2">
      <c r="D1498" t="s">
        <v>1588</v>
      </c>
      <c r="E1498" t="s">
        <v>87</v>
      </c>
      <c r="F1498" t="s">
        <v>91</v>
      </c>
      <c r="G1498">
        <v>218</v>
      </c>
      <c r="H1498">
        <v>8</v>
      </c>
      <c r="I1498">
        <v>45.28</v>
      </c>
      <c r="J1498">
        <v>5</v>
      </c>
      <c r="K1498" s="37">
        <v>44795</v>
      </c>
      <c r="L1498" t="s">
        <v>92</v>
      </c>
      <c r="M1498">
        <v>395.31</v>
      </c>
      <c r="N1498">
        <v>34</v>
      </c>
      <c r="O1498" t="str">
        <f>"Q"&amp;ROUNDUP(MONTH(Transactions[[#This Row],[Transaction Date]])/3,0)</f>
        <v>Q3</v>
      </c>
      <c r="P1498">
        <f>YEAR(Transactions[[#This Row],[Transaction Date]])</f>
        <v>2022</v>
      </c>
      <c r="Q1498" t="str">
        <f>IF(Transactions[[#This Row],[Sales Amount]]&lt;AVERAGE(Transactions[Sales Amount]),"Below Average","At/Above Average")</f>
        <v>At/Above Average</v>
      </c>
    </row>
    <row r="1499" spans="4:17" x14ac:dyDescent="0.2">
      <c r="D1499" t="s">
        <v>1589</v>
      </c>
      <c r="E1499" t="s">
        <v>77</v>
      </c>
      <c r="F1499" t="s">
        <v>105</v>
      </c>
      <c r="G1499">
        <v>255</v>
      </c>
      <c r="H1499">
        <v>2</v>
      </c>
      <c r="I1499">
        <v>49.99</v>
      </c>
      <c r="J1499">
        <v>5</v>
      </c>
      <c r="K1499" s="37">
        <v>45068</v>
      </c>
      <c r="L1499" t="s">
        <v>124</v>
      </c>
      <c r="M1499">
        <v>293.12</v>
      </c>
      <c r="N1499">
        <v>21</v>
      </c>
      <c r="O1499" t="str">
        <f>"Q"&amp;ROUNDUP(MONTH(Transactions[[#This Row],[Transaction Date]])/3,0)</f>
        <v>Q2</v>
      </c>
      <c r="P1499">
        <f>YEAR(Transactions[[#This Row],[Transaction Date]])</f>
        <v>2023</v>
      </c>
      <c r="Q1499" t="str">
        <f>IF(Transactions[[#This Row],[Sales Amount]]&lt;AVERAGE(Transactions[Sales Amount]),"Below Average","At/Above Average")</f>
        <v>At/Above Average</v>
      </c>
    </row>
    <row r="1500" spans="4:17" x14ac:dyDescent="0.2">
      <c r="D1500" t="s">
        <v>1590</v>
      </c>
      <c r="E1500" t="s">
        <v>75</v>
      </c>
      <c r="F1500" t="s">
        <v>108</v>
      </c>
      <c r="G1500">
        <v>160</v>
      </c>
      <c r="H1500">
        <v>9</v>
      </c>
      <c r="I1500">
        <v>56.34</v>
      </c>
      <c r="J1500">
        <v>1</v>
      </c>
      <c r="K1500" s="37">
        <v>45450</v>
      </c>
      <c r="L1500" t="s">
        <v>109</v>
      </c>
      <c r="M1500">
        <v>347.3</v>
      </c>
      <c r="N1500">
        <v>5</v>
      </c>
      <c r="O1500" t="str">
        <f>"Q"&amp;ROUNDUP(MONTH(Transactions[[#This Row],[Transaction Date]])/3,0)</f>
        <v>Q2</v>
      </c>
      <c r="P1500">
        <f>YEAR(Transactions[[#This Row],[Transaction Date]])</f>
        <v>2024</v>
      </c>
      <c r="Q1500" t="str">
        <f>IF(Transactions[[#This Row],[Sales Amount]]&lt;AVERAGE(Transactions[Sales Amount]),"Below Average","At/Above Average")</f>
        <v>At/Above Average</v>
      </c>
    </row>
    <row r="1501" spans="4:17" x14ac:dyDescent="0.2">
      <c r="D1501" t="s">
        <v>1591</v>
      </c>
      <c r="E1501" t="s">
        <v>76</v>
      </c>
      <c r="F1501" t="s">
        <v>96</v>
      </c>
      <c r="G1501">
        <v>282</v>
      </c>
      <c r="H1501">
        <v>5</v>
      </c>
      <c r="I1501">
        <v>57.78</v>
      </c>
      <c r="J1501">
        <v>6</v>
      </c>
      <c r="K1501" s="37">
        <v>44565</v>
      </c>
      <c r="L1501" t="s">
        <v>102</v>
      </c>
      <c r="M1501">
        <v>130.96</v>
      </c>
      <c r="N1501">
        <v>30</v>
      </c>
      <c r="O1501" t="str">
        <f>"Q"&amp;ROUNDUP(MONTH(Transactions[[#This Row],[Transaction Date]])/3,0)</f>
        <v>Q1</v>
      </c>
      <c r="P1501">
        <f>YEAR(Transactions[[#This Row],[Transaction Date]])</f>
        <v>2022</v>
      </c>
      <c r="Q1501" t="str">
        <f>IF(Transactions[[#This Row],[Sales Amount]]&lt;AVERAGE(Transactions[Sales Amount]),"Below Average","At/Above Average")</f>
        <v>Below Average</v>
      </c>
    </row>
    <row r="1502" spans="4:17" x14ac:dyDescent="0.2">
      <c r="D1502" t="s">
        <v>1592</v>
      </c>
      <c r="E1502" t="s">
        <v>74</v>
      </c>
      <c r="F1502" t="s">
        <v>96</v>
      </c>
      <c r="G1502">
        <v>174</v>
      </c>
      <c r="H1502">
        <v>1</v>
      </c>
      <c r="I1502">
        <v>57.19</v>
      </c>
      <c r="J1502">
        <v>6</v>
      </c>
      <c r="K1502" s="37">
        <v>45285</v>
      </c>
      <c r="L1502" t="s">
        <v>89</v>
      </c>
      <c r="M1502">
        <v>333.61</v>
      </c>
      <c r="N1502">
        <v>1</v>
      </c>
      <c r="O1502" t="str">
        <f>"Q"&amp;ROUNDUP(MONTH(Transactions[[#This Row],[Transaction Date]])/3,0)</f>
        <v>Q4</v>
      </c>
      <c r="P1502">
        <f>YEAR(Transactions[[#This Row],[Transaction Date]])</f>
        <v>2023</v>
      </c>
      <c r="Q1502" t="str">
        <f>IF(Transactions[[#This Row],[Sales Amount]]&lt;AVERAGE(Transactions[Sales Amount]),"Below Average","At/Above Average")</f>
        <v>At/Above Average</v>
      </c>
    </row>
    <row r="1503" spans="4:17" x14ac:dyDescent="0.2">
      <c r="D1503" t="s">
        <v>1593</v>
      </c>
      <c r="E1503" t="s">
        <v>74</v>
      </c>
      <c r="F1503" t="s">
        <v>94</v>
      </c>
      <c r="G1503">
        <v>230</v>
      </c>
      <c r="H1503">
        <v>6</v>
      </c>
      <c r="I1503">
        <v>55.14</v>
      </c>
      <c r="J1503">
        <v>6</v>
      </c>
      <c r="K1503" s="37">
        <v>44829</v>
      </c>
      <c r="L1503" t="s">
        <v>92</v>
      </c>
      <c r="M1503">
        <v>449.76</v>
      </c>
      <c r="N1503">
        <v>35</v>
      </c>
      <c r="O1503" t="str">
        <f>"Q"&amp;ROUNDUP(MONTH(Transactions[[#This Row],[Transaction Date]])/3,0)</f>
        <v>Q3</v>
      </c>
      <c r="P1503">
        <f>YEAR(Transactions[[#This Row],[Transaction Date]])</f>
        <v>2022</v>
      </c>
      <c r="Q1503" t="str">
        <f>IF(Transactions[[#This Row],[Sales Amount]]&lt;AVERAGE(Transactions[Sales Amount]),"Below Average","At/Above Average")</f>
        <v>At/Above Average</v>
      </c>
    </row>
    <row r="1504" spans="4:17" x14ac:dyDescent="0.2">
      <c r="D1504" t="s">
        <v>1594</v>
      </c>
      <c r="E1504" t="s">
        <v>78</v>
      </c>
      <c r="F1504" t="s">
        <v>99</v>
      </c>
      <c r="G1504">
        <v>196</v>
      </c>
      <c r="H1504">
        <v>4</v>
      </c>
      <c r="I1504">
        <v>51.57</v>
      </c>
      <c r="J1504">
        <v>7</v>
      </c>
      <c r="K1504" s="37">
        <v>45123</v>
      </c>
      <c r="L1504" t="s">
        <v>92</v>
      </c>
      <c r="M1504">
        <v>364.36</v>
      </c>
      <c r="N1504">
        <v>44</v>
      </c>
      <c r="O1504" t="str">
        <f>"Q"&amp;ROUNDUP(MONTH(Transactions[[#This Row],[Transaction Date]])/3,0)</f>
        <v>Q3</v>
      </c>
      <c r="P1504">
        <f>YEAR(Transactions[[#This Row],[Transaction Date]])</f>
        <v>2023</v>
      </c>
      <c r="Q1504" t="str">
        <f>IF(Transactions[[#This Row],[Sales Amount]]&lt;AVERAGE(Transactions[Sales Amount]),"Below Average","At/Above Average")</f>
        <v>At/Above Average</v>
      </c>
    </row>
    <row r="1505" spans="4:17" x14ac:dyDescent="0.2">
      <c r="D1505" t="s">
        <v>1595</v>
      </c>
      <c r="E1505" t="s">
        <v>74</v>
      </c>
      <c r="F1505" t="s">
        <v>105</v>
      </c>
      <c r="G1505">
        <v>211</v>
      </c>
      <c r="H1505">
        <v>2</v>
      </c>
      <c r="I1505">
        <v>53.95</v>
      </c>
      <c r="J1505">
        <v>8</v>
      </c>
      <c r="K1505" s="37">
        <v>45192</v>
      </c>
      <c r="L1505" t="s">
        <v>97</v>
      </c>
      <c r="M1505">
        <v>108.87</v>
      </c>
      <c r="N1505">
        <v>16</v>
      </c>
      <c r="O1505" t="str">
        <f>"Q"&amp;ROUNDUP(MONTH(Transactions[[#This Row],[Transaction Date]])/3,0)</f>
        <v>Q3</v>
      </c>
      <c r="P1505">
        <f>YEAR(Transactions[[#This Row],[Transaction Date]])</f>
        <v>2023</v>
      </c>
      <c r="Q1505" t="str">
        <f>IF(Transactions[[#This Row],[Sales Amount]]&lt;AVERAGE(Transactions[Sales Amount]),"Below Average","At/Above Average")</f>
        <v>Below Average</v>
      </c>
    </row>
    <row r="1506" spans="4:17" x14ac:dyDescent="0.2">
      <c r="D1506" t="s">
        <v>1596</v>
      </c>
      <c r="E1506" t="s">
        <v>76</v>
      </c>
      <c r="F1506" t="s">
        <v>96</v>
      </c>
      <c r="G1506">
        <v>245</v>
      </c>
      <c r="H1506">
        <v>6</v>
      </c>
      <c r="I1506">
        <v>50.07</v>
      </c>
      <c r="J1506">
        <v>9</v>
      </c>
      <c r="K1506" s="37">
        <v>45639</v>
      </c>
      <c r="L1506" t="s">
        <v>97</v>
      </c>
      <c r="M1506">
        <v>345.48</v>
      </c>
      <c r="N1506">
        <v>10</v>
      </c>
      <c r="O1506" t="str">
        <f>"Q"&amp;ROUNDUP(MONTH(Transactions[[#This Row],[Transaction Date]])/3,0)</f>
        <v>Q4</v>
      </c>
      <c r="P1506">
        <f>YEAR(Transactions[[#This Row],[Transaction Date]])</f>
        <v>2024</v>
      </c>
      <c r="Q1506" t="str">
        <f>IF(Transactions[[#This Row],[Sales Amount]]&lt;AVERAGE(Transactions[Sales Amount]),"Below Average","At/Above Average")</f>
        <v>At/Above Average</v>
      </c>
    </row>
    <row r="1507" spans="4:17" x14ac:dyDescent="0.2">
      <c r="D1507" t="s">
        <v>1597</v>
      </c>
      <c r="E1507" t="s">
        <v>74</v>
      </c>
      <c r="F1507" t="s">
        <v>91</v>
      </c>
      <c r="G1507">
        <v>160</v>
      </c>
      <c r="H1507">
        <v>2</v>
      </c>
      <c r="I1507">
        <v>52.86</v>
      </c>
      <c r="J1507">
        <v>7</v>
      </c>
      <c r="K1507" s="37">
        <v>44903</v>
      </c>
      <c r="L1507" t="s">
        <v>92</v>
      </c>
      <c r="M1507">
        <v>37.39</v>
      </c>
      <c r="N1507">
        <v>47</v>
      </c>
      <c r="O1507" t="str">
        <f>"Q"&amp;ROUNDUP(MONTH(Transactions[[#This Row],[Transaction Date]])/3,0)</f>
        <v>Q4</v>
      </c>
      <c r="P1507">
        <f>YEAR(Transactions[[#This Row],[Transaction Date]])</f>
        <v>2022</v>
      </c>
      <c r="Q1507" t="str">
        <f>IF(Transactions[[#This Row],[Sales Amount]]&lt;AVERAGE(Transactions[Sales Amount]),"Below Average","At/Above Average")</f>
        <v>Below Average</v>
      </c>
    </row>
    <row r="1508" spans="4:17" x14ac:dyDescent="0.2">
      <c r="D1508" t="s">
        <v>1598</v>
      </c>
      <c r="E1508" t="s">
        <v>74</v>
      </c>
      <c r="F1508" t="s">
        <v>108</v>
      </c>
      <c r="G1508">
        <v>199</v>
      </c>
      <c r="H1508">
        <v>7</v>
      </c>
      <c r="I1508">
        <v>57.54</v>
      </c>
      <c r="J1508">
        <v>10</v>
      </c>
      <c r="K1508" s="37">
        <v>44734</v>
      </c>
      <c r="L1508" t="s">
        <v>109</v>
      </c>
      <c r="M1508">
        <v>420.73</v>
      </c>
      <c r="N1508">
        <v>22</v>
      </c>
      <c r="O1508" t="str">
        <f>"Q"&amp;ROUNDUP(MONTH(Transactions[[#This Row],[Transaction Date]])/3,0)</f>
        <v>Q2</v>
      </c>
      <c r="P1508">
        <f>YEAR(Transactions[[#This Row],[Transaction Date]])</f>
        <v>2022</v>
      </c>
      <c r="Q1508" t="str">
        <f>IF(Transactions[[#This Row],[Sales Amount]]&lt;AVERAGE(Transactions[Sales Amount]),"Below Average","At/Above Average")</f>
        <v>At/Above Average</v>
      </c>
    </row>
    <row r="1509" spans="4:17" x14ac:dyDescent="0.2">
      <c r="D1509" t="s">
        <v>1599</v>
      </c>
      <c r="E1509" t="s">
        <v>76</v>
      </c>
      <c r="F1509" t="s">
        <v>105</v>
      </c>
      <c r="G1509">
        <v>236</v>
      </c>
      <c r="H1509">
        <v>5</v>
      </c>
      <c r="I1509">
        <v>49.76</v>
      </c>
      <c r="J1509">
        <v>9</v>
      </c>
      <c r="K1509" s="37">
        <v>45464</v>
      </c>
      <c r="L1509" t="s">
        <v>102</v>
      </c>
      <c r="M1509">
        <v>74.540000000000006</v>
      </c>
      <c r="N1509">
        <v>18</v>
      </c>
      <c r="O1509" t="str">
        <f>"Q"&amp;ROUNDUP(MONTH(Transactions[[#This Row],[Transaction Date]])/3,0)</f>
        <v>Q2</v>
      </c>
      <c r="P1509">
        <f>YEAR(Transactions[[#This Row],[Transaction Date]])</f>
        <v>2024</v>
      </c>
      <c r="Q1509" t="str">
        <f>IF(Transactions[[#This Row],[Sales Amount]]&lt;AVERAGE(Transactions[Sales Amount]),"Below Average","At/Above Average")</f>
        <v>Below Average</v>
      </c>
    </row>
    <row r="1510" spans="4:17" x14ac:dyDescent="0.2">
      <c r="D1510" t="s">
        <v>1600</v>
      </c>
      <c r="E1510" t="s">
        <v>75</v>
      </c>
      <c r="F1510" t="s">
        <v>88</v>
      </c>
      <c r="G1510">
        <v>208</v>
      </c>
      <c r="H1510">
        <v>5</v>
      </c>
      <c r="I1510">
        <v>52.56</v>
      </c>
      <c r="J1510">
        <v>3</v>
      </c>
      <c r="K1510" s="37">
        <v>45499</v>
      </c>
      <c r="L1510" t="s">
        <v>109</v>
      </c>
      <c r="M1510">
        <v>384.7</v>
      </c>
      <c r="N1510">
        <v>24</v>
      </c>
      <c r="O1510" t="str">
        <f>"Q"&amp;ROUNDUP(MONTH(Transactions[[#This Row],[Transaction Date]])/3,0)</f>
        <v>Q3</v>
      </c>
      <c r="P1510">
        <f>YEAR(Transactions[[#This Row],[Transaction Date]])</f>
        <v>2024</v>
      </c>
      <c r="Q1510" t="str">
        <f>IF(Transactions[[#This Row],[Sales Amount]]&lt;AVERAGE(Transactions[Sales Amount]),"Below Average","At/Above Average")</f>
        <v>At/Above Average</v>
      </c>
    </row>
  </sheetData>
  <conditionalFormatting sqref="F4">
    <cfRule type="cellIs" dxfId="4" priority="1" operator="notEqual">
      <formula>0</formula>
    </cfRule>
  </conditionalFormatting>
  <hyperlinks>
    <hyperlink ref="F4" location="Overall_Error_Check" tooltip="Go to Overall Error Check" display="Overall_Error_Check" xr:uid="{2F724FFF-6E15-4DE1-A77D-5403D7AC42D1}"/>
    <hyperlink ref="A3:E3" location="HL_Navigator" tooltip="Go to Navigator (Table of Contents)" display="Navigator" xr:uid="{6BB948A9-0640-4A0B-9A02-9C7AFACDBACD}"/>
    <hyperlink ref="A3" location="HL_Navigator" display="Navigator" xr:uid="{8A3D2EDD-9CBD-4895-8739-76421E47D003}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4BA0C-CAA2-484F-986A-B1BE5164EE07}">
  <dimension ref="A1:B9"/>
  <sheetViews>
    <sheetView tabSelected="1" workbookViewId="0">
      <selection activeCell="A10" sqref="A10"/>
    </sheetView>
  </sheetViews>
  <sheetFormatPr defaultRowHeight="11.4" x14ac:dyDescent="0.2"/>
  <cols>
    <col min="1" max="1" width="37.5" bestFit="1" customWidth="1"/>
    <col min="2" max="2" width="105.75" bestFit="1" customWidth="1"/>
  </cols>
  <sheetData>
    <row r="1" spans="1:2" x14ac:dyDescent="0.2">
      <c r="B1" t="s">
        <v>8692</v>
      </c>
    </row>
    <row r="2" spans="1:2" ht="15.6" x14ac:dyDescent="0.3">
      <c r="A2" t="s">
        <v>8691</v>
      </c>
      <c r="B2" s="73" t="s">
        <v>8676</v>
      </c>
    </row>
    <row r="3" spans="1:2" x14ac:dyDescent="0.2">
      <c r="A3" t="s">
        <v>8715</v>
      </c>
      <c r="B3" t="s">
        <v>8693</v>
      </c>
    </row>
    <row r="4" spans="1:2" ht="12" x14ac:dyDescent="0.25">
      <c r="A4" t="s">
        <v>8820</v>
      </c>
      <c r="B4" s="111" t="s">
        <v>8819</v>
      </c>
    </row>
    <row r="5" spans="1:2" x14ac:dyDescent="0.2">
      <c r="A5" t="s">
        <v>8825</v>
      </c>
      <c r="B5" t="s">
        <v>8821</v>
      </c>
    </row>
    <row r="6" spans="1:2" ht="12" x14ac:dyDescent="0.25">
      <c r="A6" t="s">
        <v>8826</v>
      </c>
      <c r="B6" s="111" t="s">
        <v>8822</v>
      </c>
    </row>
    <row r="7" spans="1:2" x14ac:dyDescent="0.2">
      <c r="A7" t="s">
        <v>8862</v>
      </c>
      <c r="B7" t="s">
        <v>8824</v>
      </c>
    </row>
    <row r="8" spans="1:2" ht="12" x14ac:dyDescent="0.25">
      <c r="A8" t="s">
        <v>8906</v>
      </c>
      <c r="B8" s="111" t="s">
        <v>8863</v>
      </c>
    </row>
    <row r="9" spans="1:2" ht="12" x14ac:dyDescent="0.25">
      <c r="A9" t="s">
        <v>8907</v>
      </c>
      <c r="B9" s="111" t="s">
        <v>8905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2F45E-50F4-4C8E-8905-B5B401592FBB}">
  <sheetPr codeName="Sheet11">
    <outlinePr summaryBelow="0" summaryRight="0"/>
  </sheetPr>
  <dimension ref="A1:V13506"/>
  <sheetViews>
    <sheetView showGridLines="0" topLeftCell="O1" workbookViewId="0">
      <pane ySplit="4" topLeftCell="A18" activePane="bottomLeft" state="frozen"/>
      <selection pane="bottomLeft" activeCell="R12" sqref="R12"/>
    </sheetView>
  </sheetViews>
  <sheetFormatPr defaultRowHeight="11.4" x14ac:dyDescent="0.2"/>
  <cols>
    <col min="1" max="3" width="3.75" customWidth="1"/>
    <col min="4" max="4" width="15.625" bestFit="1" customWidth="1"/>
    <col min="5" max="5" width="28.625" bestFit="1" customWidth="1"/>
    <col min="6" max="6" width="7.875" bestFit="1" customWidth="1"/>
    <col min="7" max="7" width="15.125" bestFit="1" customWidth="1"/>
    <col min="8" max="8" width="4.25" bestFit="1" customWidth="1"/>
    <col min="9" max="9" width="8.875" bestFit="1" customWidth="1"/>
    <col min="10" max="10" width="8" bestFit="1" customWidth="1"/>
    <col min="11" max="11" width="12.375" bestFit="1" customWidth="1"/>
    <col min="12" max="12" width="13.375" bestFit="1" customWidth="1"/>
    <col min="13" max="13" width="16.625" bestFit="1" customWidth="1"/>
    <col min="14" max="14" width="14.625" bestFit="1" customWidth="1"/>
    <col min="15" max="15" width="28.625" bestFit="1" customWidth="1"/>
    <col min="16" max="16" width="9" bestFit="1" customWidth="1"/>
    <col min="18" max="18" width="51.125" bestFit="1" customWidth="1"/>
    <col min="19" max="19" width="12.5" bestFit="1" customWidth="1"/>
    <col min="20" max="20" width="14.75" bestFit="1" customWidth="1"/>
  </cols>
  <sheetData>
    <row r="1" spans="1:22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Financial</v>
      </c>
    </row>
    <row r="2" spans="1:22" ht="17.399999999999999" x14ac:dyDescent="0.3">
      <c r="A2" s="41" t="str">
        <f>Model_Name</f>
        <v>SP Python in Excel Example Starter File Chapter 5</v>
      </c>
    </row>
    <row r="3" spans="1:22" ht="12" x14ac:dyDescent="0.25">
      <c r="A3" s="11" t="s">
        <v>0</v>
      </c>
      <c r="B3" s="11"/>
      <c r="C3" s="11"/>
      <c r="D3" s="11"/>
      <c r="E3" s="11"/>
    </row>
    <row r="4" spans="1:22" ht="13.8" x14ac:dyDescent="0.25">
      <c r="B4" t="s">
        <v>5</v>
      </c>
      <c r="F4" s="1">
        <f>Overall_Error_Check</f>
        <v>0</v>
      </c>
    </row>
    <row r="6" spans="1:22" ht="16.2" thickBot="1" x14ac:dyDescent="0.35">
      <c r="B6" s="42">
        <f>MAX($B$5:$B5)+1</f>
        <v>1</v>
      </c>
      <c r="C6" s="2" t="str">
        <f ca="1">A1</f>
        <v>Financial</v>
      </c>
      <c r="D6" s="2"/>
      <c r="E6" s="2"/>
      <c r="F6" s="2"/>
      <c r="G6" s="2"/>
      <c r="H6" s="2"/>
      <c r="I6" s="2"/>
      <c r="J6" s="2"/>
      <c r="K6" s="2"/>
      <c r="L6" s="2"/>
      <c r="Q6" t="s">
        <v>8904</v>
      </c>
      <c r="R6">
        <f>MAX(Finance[Date])</f>
        <v>45657</v>
      </c>
    </row>
    <row r="7" spans="1:22" ht="12" thickTop="1" x14ac:dyDescent="0.2"/>
    <row r="8" spans="1:22" ht="17.399999999999999" x14ac:dyDescent="0.3">
      <c r="C8" s="3" t="s">
        <v>73</v>
      </c>
      <c r="F8" s="3"/>
      <c r="R8" s="54" t="s">
        <v>8903</v>
      </c>
    </row>
    <row r="9" spans="1:22" ht="16.8" x14ac:dyDescent="0.3">
      <c r="C9" s="3"/>
      <c r="R9" s="66" t="s">
        <v>8900</v>
      </c>
      <c r="S9" s="66" t="s">
        <v>8901</v>
      </c>
      <c r="T9" s="66" t="s">
        <v>8902</v>
      </c>
    </row>
    <row r="10" spans="1:22" ht="12" x14ac:dyDescent="0.25">
      <c r="D10" s="13" t="s">
        <v>1605</v>
      </c>
      <c r="E10" s="13" t="s">
        <v>47</v>
      </c>
      <c r="F10" s="13" t="s">
        <v>1606</v>
      </c>
      <c r="G10" s="13" t="s">
        <v>1607</v>
      </c>
      <c r="H10" s="13" t="s">
        <v>1608</v>
      </c>
      <c r="I10" s="13" t="s">
        <v>1609</v>
      </c>
      <c r="J10" s="13" t="s">
        <v>1610</v>
      </c>
      <c r="K10" s="13" t="s">
        <v>1611</v>
      </c>
      <c r="L10" s="13" t="s">
        <v>1612</v>
      </c>
      <c r="M10" s="13" t="s">
        <v>79</v>
      </c>
      <c r="N10" s="13" t="s">
        <v>1613</v>
      </c>
      <c r="O10" s="13" t="s">
        <v>1614</v>
      </c>
      <c r="P10" s="13" t="s">
        <v>1615</v>
      </c>
      <c r="R10" s="115">
        <f>EOMONTH($R$6,-12)+1</f>
        <v>45292</v>
      </c>
      <c r="S10" s="76">
        <f>SUMIFS(Finance[Amount],Finance[Date],"&gt;="&amp;EOMONTH($R$6,-12)+1,Finance[Date],"&lt;="&amp;EOMONTH($R$6,-11))</f>
        <v>106357.18999999999</v>
      </c>
      <c r="T10" s="76">
        <f>SUMIFS(Finance[Expenses],Finance[Date],"&gt;="&amp;EOMONTH($R$6,-12)+1,Finance[Date],"&lt;="&amp;EOMONTH($R$6,-11))</f>
        <v>47860.735499999981</v>
      </c>
    </row>
    <row r="11" spans="1:22" x14ac:dyDescent="0.2">
      <c r="D11">
        <v>100000001</v>
      </c>
      <c r="E11" s="49">
        <v>45526</v>
      </c>
      <c r="F11" t="s">
        <v>1616</v>
      </c>
      <c r="G11" t="s">
        <v>1617</v>
      </c>
      <c r="H11">
        <v>7</v>
      </c>
      <c r="I11">
        <v>82.6</v>
      </c>
      <c r="J11" s="50">
        <v>578.19999999999993</v>
      </c>
      <c r="K11" t="s">
        <v>1618</v>
      </c>
      <c r="M11" t="s">
        <v>1619</v>
      </c>
      <c r="N11">
        <v>43.59</v>
      </c>
      <c r="O11" s="49">
        <v>45527</v>
      </c>
      <c r="P11" s="50">
        <v>260.19</v>
      </c>
      <c r="R11" s="115">
        <f>EOMONTH($R$6,-11)+1</f>
        <v>45323</v>
      </c>
      <c r="S11" s="76">
        <f>SUMIFS(Finance[Amount],Finance[Date],"&gt;="&amp;EOMONTH($R$6,-11)+1,Finance[Date],"&lt;="&amp;EOMONTH($R$6,-10))</f>
        <v>97531.480000000069</v>
      </c>
      <c r="T11" s="76">
        <f>SUMIFS(Finance[Expenses],Finance[Date],"&gt;="&amp;EOMONTH($R$6,-11)+1,Finance[Date],"&lt;="&amp;EOMONTH($R$6,-10))</f>
        <v>43889.166000000012</v>
      </c>
    </row>
    <row r="12" spans="1:22" x14ac:dyDescent="0.2">
      <c r="D12">
        <v>100000001</v>
      </c>
      <c r="E12" s="49">
        <v>44923</v>
      </c>
      <c r="F12" t="s">
        <v>1616</v>
      </c>
      <c r="G12" t="s">
        <v>1620</v>
      </c>
      <c r="H12">
        <v>5</v>
      </c>
      <c r="I12">
        <v>74.83</v>
      </c>
      <c r="J12" s="50">
        <v>374.15</v>
      </c>
      <c r="K12" t="s">
        <v>1618</v>
      </c>
      <c r="M12" t="s">
        <v>1621</v>
      </c>
      <c r="N12">
        <v>39.49</v>
      </c>
      <c r="O12" s="49">
        <v>44928</v>
      </c>
      <c r="P12" s="50">
        <v>168.36750000000001</v>
      </c>
      <c r="R12" s="115">
        <f>EOMONTH($R$6,-10)+1</f>
        <v>45352</v>
      </c>
      <c r="S12" s="76">
        <f>SUMIFS(Finance[Amount],Finance[Date],"&gt;="&amp;EOMONTH($R$6,-10)+1,Finance[Date],"&lt;="&amp;EOMONTH($R$6,-9))</f>
        <v>102584.45999999998</v>
      </c>
      <c r="T12" s="76">
        <f>SUMIFS(Finance[Expenses],Finance[Date],"&gt;="&amp;EOMONTH($R$6,-10)+1,Finance[Date],"&lt;="&amp;EOMONTH($R$6,-9))</f>
        <v>46163.007000000027</v>
      </c>
    </row>
    <row r="13" spans="1:22" ht="12" customHeight="1" x14ac:dyDescent="0.3">
      <c r="C13" s="3"/>
      <c r="D13">
        <v>100000002</v>
      </c>
      <c r="E13" s="49">
        <v>45396</v>
      </c>
      <c r="F13" t="s">
        <v>1622</v>
      </c>
      <c r="G13" t="s">
        <v>1623</v>
      </c>
      <c r="H13">
        <v>3</v>
      </c>
      <c r="I13">
        <v>40.47</v>
      </c>
      <c r="J13" s="50">
        <v>121.41</v>
      </c>
      <c r="K13" t="s">
        <v>1618</v>
      </c>
      <c r="M13" t="s">
        <v>1624</v>
      </c>
      <c r="N13">
        <v>21.36</v>
      </c>
      <c r="O13" s="49">
        <v>45400</v>
      </c>
      <c r="P13" s="50">
        <v>54.634500000000003</v>
      </c>
      <c r="Q13" s="3"/>
      <c r="R13" s="116">
        <f>EOMONTH($R$6,-9)+1</f>
        <v>45383</v>
      </c>
      <c r="S13" s="76">
        <f>SUMIFS(Finance[Amount],Finance[Date],"&gt;="&amp;EOMONTH($R$6,-9)+1,Finance[Date],"&lt;="&amp;EOMONTH($R$6,-8))</f>
        <v>83369.549999999988</v>
      </c>
      <c r="T13" s="76">
        <f>SUMIFS(Finance[Expenses],Finance[Date],"&gt;="&amp;EOMONTH($R$6,-9)+1,Finance[Date],"&lt;="&amp;EOMONTH($R$6,-8))</f>
        <v>37516.29750000003</v>
      </c>
      <c r="V13" s="3"/>
    </row>
    <row r="14" spans="1:22" x14ac:dyDescent="0.2">
      <c r="D14">
        <v>100000003</v>
      </c>
      <c r="E14" s="49">
        <v>44833</v>
      </c>
      <c r="F14" t="s">
        <v>1625</v>
      </c>
      <c r="G14" t="s">
        <v>1626</v>
      </c>
      <c r="H14">
        <v>10</v>
      </c>
      <c r="I14">
        <v>67</v>
      </c>
      <c r="J14" s="50">
        <v>670</v>
      </c>
      <c r="K14" t="s">
        <v>1618</v>
      </c>
      <c r="M14" t="s">
        <v>1627</v>
      </c>
      <c r="N14">
        <v>35.36</v>
      </c>
      <c r="O14" s="49">
        <v>44837</v>
      </c>
      <c r="P14" s="50">
        <v>301.5</v>
      </c>
      <c r="R14" s="115">
        <f>EOMONTH($R$6,-8)+1</f>
        <v>45413</v>
      </c>
      <c r="S14" s="76">
        <f>SUMIFS(Finance[Amount],Finance[Date],"&gt;="&amp;EOMONTH($R$6,-8)+1,Finance[Date],"&lt;="&amp;EOMONTH($R$6,-7))</f>
        <v>99130.83000000006</v>
      </c>
      <c r="T14" s="76">
        <f>SUMIFS(Finance[Expenses],Finance[Date],"&gt;="&amp;EOMONTH($R$6,-8)+1,Finance[Date],"&lt;="&amp;EOMONTH($R$6,-7))</f>
        <v>44608.873500000009</v>
      </c>
    </row>
    <row r="15" spans="1:22" x14ac:dyDescent="0.2">
      <c r="D15">
        <v>100000003</v>
      </c>
      <c r="E15" s="49">
        <v>44303</v>
      </c>
      <c r="F15" t="s">
        <v>1625</v>
      </c>
      <c r="G15" t="s">
        <v>1628</v>
      </c>
      <c r="H15">
        <v>7</v>
      </c>
      <c r="I15">
        <v>18.71</v>
      </c>
      <c r="J15" s="50">
        <v>130.97</v>
      </c>
      <c r="K15" t="s">
        <v>1618</v>
      </c>
      <c r="M15" t="s">
        <v>1629</v>
      </c>
      <c r="N15">
        <v>9.8699999999999992</v>
      </c>
      <c r="O15" s="49">
        <v>44308</v>
      </c>
      <c r="P15" s="50">
        <v>58.936500000000002</v>
      </c>
      <c r="R15" s="115">
        <f>EOMONTH($R$6,-7)+1</f>
        <v>45444</v>
      </c>
      <c r="S15" s="76">
        <f>SUMIFS(Finance[Amount],Finance[Date],"&gt;="&amp;EOMONTH($R$6,-7)+1,Finance[Date],"&lt;="&amp;EOMONTH($R$6,-6))</f>
        <v>106716.71999999996</v>
      </c>
      <c r="T15" s="76">
        <f>SUMIFS(Finance[Expenses],Finance[Date],"&gt;="&amp;EOMONTH($R$6,-7)+1,Finance[Date],"&lt;="&amp;EOMONTH($R$6,-6))</f>
        <v>48022.524000000019</v>
      </c>
    </row>
    <row r="16" spans="1:22" x14ac:dyDescent="0.2">
      <c r="D16">
        <v>100000004</v>
      </c>
      <c r="E16" s="49">
        <v>44458</v>
      </c>
      <c r="F16" t="s">
        <v>1630</v>
      </c>
      <c r="G16" t="s">
        <v>1631</v>
      </c>
      <c r="H16">
        <v>2</v>
      </c>
      <c r="I16">
        <v>45.38</v>
      </c>
      <c r="J16" s="50">
        <v>90.76</v>
      </c>
      <c r="K16" t="s">
        <v>1632</v>
      </c>
      <c r="M16" t="s">
        <v>1624</v>
      </c>
      <c r="N16">
        <v>23.95</v>
      </c>
      <c r="O16" s="49">
        <v>44461</v>
      </c>
      <c r="P16" s="50">
        <v>40.842000000000006</v>
      </c>
      <c r="R16" s="115">
        <f>EOMONTH($R$6,-6)+1</f>
        <v>45474</v>
      </c>
      <c r="S16" s="76">
        <f>SUMIFS(Finance[Amount],Finance[Date],"&gt;="&amp;EOMONTH($R$6,-6)+1,Finance[Date],"&lt;="&amp;EOMONTH($R$6,-5))</f>
        <v>113568.20999999995</v>
      </c>
      <c r="T16" s="76">
        <f>SUMIFS(Finance[Expenses],Finance[Date],"&gt;="&amp;EOMONTH($R$6,-6)+1,Finance[Date],"&lt;="&amp;EOMONTH($R$6,-5))</f>
        <v>51105.694499999983</v>
      </c>
    </row>
    <row r="17" spans="3:20" x14ac:dyDescent="0.2">
      <c r="D17">
        <v>100000005</v>
      </c>
      <c r="E17" s="49">
        <v>45522</v>
      </c>
      <c r="F17" t="s">
        <v>1633</v>
      </c>
      <c r="G17" t="s">
        <v>1634</v>
      </c>
      <c r="H17">
        <v>4</v>
      </c>
      <c r="I17">
        <v>43.36</v>
      </c>
      <c r="J17" s="50">
        <v>173.44</v>
      </c>
      <c r="K17" t="s">
        <v>1618</v>
      </c>
      <c r="L17" t="s">
        <v>1635</v>
      </c>
      <c r="M17" t="s">
        <v>1629</v>
      </c>
      <c r="N17">
        <v>22.88</v>
      </c>
      <c r="O17" s="49">
        <v>45527</v>
      </c>
      <c r="P17" s="50">
        <v>78.048000000000002</v>
      </c>
      <c r="R17" s="115">
        <f>EOMONTH($R$6,-5)+1</f>
        <v>45505</v>
      </c>
      <c r="S17" s="76">
        <f>SUMIFS(Finance[Amount],Finance[Date],"&gt;="&amp;EOMONTH($R$6,-5)+1,Finance[Date],"&lt;="&amp;EOMONTH($R$6,-4))</f>
        <v>97413.02999999997</v>
      </c>
      <c r="T17" s="76">
        <f>SUMIFS(Finance[Expenses],Finance[Date],"&gt;="&amp;EOMONTH($R$6,-5)+1,Finance[Date],"&lt;="&amp;EOMONTH($R$6,-4))</f>
        <v>43835.863500000021</v>
      </c>
    </row>
    <row r="18" spans="3:20" x14ac:dyDescent="0.2">
      <c r="D18">
        <v>100000005</v>
      </c>
      <c r="E18" s="49">
        <v>44396</v>
      </c>
      <c r="F18" t="s">
        <v>1633</v>
      </c>
      <c r="G18" t="s">
        <v>1636</v>
      </c>
      <c r="H18">
        <v>8</v>
      </c>
      <c r="I18">
        <v>45.75</v>
      </c>
      <c r="J18" s="50">
        <v>366</v>
      </c>
      <c r="K18" t="s">
        <v>1618</v>
      </c>
      <c r="L18" t="s">
        <v>1635</v>
      </c>
      <c r="M18" t="s">
        <v>1627</v>
      </c>
      <c r="N18">
        <v>24.15</v>
      </c>
      <c r="O18" s="49">
        <v>44398</v>
      </c>
      <c r="P18" s="50">
        <v>164.70000000000002</v>
      </c>
      <c r="R18" s="115">
        <f>EOMONTH($R$6,-4)+1</f>
        <v>45536</v>
      </c>
      <c r="S18" s="76">
        <f>SUMIFS(Finance[Amount],Finance[Date],"&gt;="&amp;EOMONTH($R$6,-4)+1,Finance[Date],"&lt;="&amp;EOMONTH($R$6,-3))</f>
        <v>106073.10000000002</v>
      </c>
      <c r="T18" s="76">
        <f>SUMIFS(Finance[Expenses],Finance[Date],"&gt;="&amp;EOMONTH($R$6,-4)+1,Finance[Date],"&lt;="&amp;EOMONTH($R$6,-3))</f>
        <v>47732.895000000026</v>
      </c>
    </row>
    <row r="19" spans="3:20" x14ac:dyDescent="0.2">
      <c r="D19">
        <v>100000005</v>
      </c>
      <c r="E19" s="49">
        <v>44704</v>
      </c>
      <c r="F19" t="s">
        <v>1633</v>
      </c>
      <c r="G19" t="s">
        <v>1637</v>
      </c>
      <c r="H19">
        <v>9</v>
      </c>
      <c r="I19">
        <v>52.42</v>
      </c>
      <c r="J19" s="50">
        <v>471.78</v>
      </c>
      <c r="K19" t="s">
        <v>1618</v>
      </c>
      <c r="L19" t="s">
        <v>1635</v>
      </c>
      <c r="M19" t="s">
        <v>1624</v>
      </c>
      <c r="N19">
        <v>27.67</v>
      </c>
      <c r="O19" s="49">
        <v>44709</v>
      </c>
      <c r="P19" s="50">
        <v>212.30099999999999</v>
      </c>
      <c r="R19" s="115">
        <f>EOMONTH($R$6,-3)+1</f>
        <v>45566</v>
      </c>
      <c r="S19" s="76">
        <f>SUMIFS(Finance[Amount],Finance[Date],"&gt;="&amp;EOMONTH($R$6,-3)+1,Finance[Date],"&lt;="&amp;EOMONTH($R$6,-2))</f>
        <v>95574.809999999939</v>
      </c>
      <c r="T19" s="76">
        <f>SUMIFS(Finance[Expenses],Finance[Date],"&gt;="&amp;EOMONTH($R$6,-3)+1,Finance[Date],"&lt;="&amp;EOMONTH($R$6,-2))</f>
        <v>43008.664499999999</v>
      </c>
    </row>
    <row r="20" spans="3:20" x14ac:dyDescent="0.2">
      <c r="D20">
        <v>100000007</v>
      </c>
      <c r="E20" s="49">
        <v>45026</v>
      </c>
      <c r="F20" t="s">
        <v>1638</v>
      </c>
      <c r="G20" t="s">
        <v>1639</v>
      </c>
      <c r="H20">
        <v>9</v>
      </c>
      <c r="I20">
        <v>81.150000000000006</v>
      </c>
      <c r="J20" s="50">
        <v>730.35</v>
      </c>
      <c r="K20" t="s">
        <v>1618</v>
      </c>
      <c r="L20" t="s">
        <v>1640</v>
      </c>
      <c r="M20" t="s">
        <v>1621</v>
      </c>
      <c r="N20">
        <v>42.83</v>
      </c>
      <c r="O20" s="49">
        <v>45028</v>
      </c>
      <c r="P20" s="50">
        <v>328.65750000000003</v>
      </c>
      <c r="R20" s="115">
        <f>EOMONTH($R$6,-2)+1</f>
        <v>45597</v>
      </c>
      <c r="S20" s="76">
        <f>SUMIFS(Finance[Amount],Finance[Date],"&gt;="&amp;EOMONTH($R$6,-2)+1,Finance[Date],"&lt;="&amp;EOMONTH($R$6,-1))</f>
        <v>98152.770000000048</v>
      </c>
      <c r="T20" s="76">
        <f>SUMIFS(Finance[Expenses],Finance[Date],"&gt;="&amp;EOMONTH($R$6,-2)+1,Finance[Date],"&lt;="&amp;EOMONTH($R$6,-1))</f>
        <v>44168.746500000001</v>
      </c>
    </row>
    <row r="21" spans="3:20" x14ac:dyDescent="0.2">
      <c r="D21">
        <v>100000007</v>
      </c>
      <c r="E21" s="49">
        <v>44610</v>
      </c>
      <c r="F21" t="s">
        <v>1638</v>
      </c>
      <c r="G21" t="s">
        <v>1641</v>
      </c>
      <c r="H21">
        <v>6</v>
      </c>
      <c r="I21">
        <v>85.14</v>
      </c>
      <c r="J21" s="50">
        <v>510.84</v>
      </c>
      <c r="K21" t="s">
        <v>1618</v>
      </c>
      <c r="L21" t="s">
        <v>1640</v>
      </c>
      <c r="M21" t="s">
        <v>1629</v>
      </c>
      <c r="N21">
        <v>44.93</v>
      </c>
      <c r="O21" s="49">
        <v>44614</v>
      </c>
      <c r="P21" s="50">
        <v>229.87799999999999</v>
      </c>
      <c r="R21" s="115">
        <f>EOMONTH($R$6,-1)+1</f>
        <v>45627</v>
      </c>
      <c r="S21" s="76">
        <f>SUMIFS(Finance[Amount],Finance[Date],"&gt;="&amp;EOMONTH($R$6,-1)+1,Finance[Date],"&lt;="&amp;EOMONTH($R$6,0))</f>
        <v>105323.97999999998</v>
      </c>
      <c r="T21" s="76">
        <f>SUMIFS(Finance[Expenses],Finance[Date],"&gt;="&amp;EOMONTH($R$6,-1)+1,Finance[Date],"&lt;="&amp;EOMONTH($R$6,0))</f>
        <v>47395.791000000005</v>
      </c>
    </row>
    <row r="22" spans="3:20" ht="12" customHeight="1" x14ac:dyDescent="0.3">
      <c r="C22" s="3"/>
      <c r="D22">
        <v>100000007</v>
      </c>
      <c r="E22" s="49">
        <v>44992</v>
      </c>
      <c r="F22" t="s">
        <v>1638</v>
      </c>
      <c r="G22" t="s">
        <v>1642</v>
      </c>
      <c r="H22">
        <v>3</v>
      </c>
      <c r="I22">
        <v>79.62</v>
      </c>
      <c r="J22" s="50">
        <v>238.86</v>
      </c>
      <c r="K22" t="s">
        <v>1618</v>
      </c>
      <c r="L22" t="s">
        <v>1640</v>
      </c>
      <c r="M22" t="s">
        <v>1629</v>
      </c>
      <c r="N22">
        <v>42.02</v>
      </c>
      <c r="O22" s="49">
        <v>44995</v>
      </c>
      <c r="P22" s="50">
        <v>107.48700000000001</v>
      </c>
    </row>
    <row r="23" spans="3:20" x14ac:dyDescent="0.2">
      <c r="D23">
        <v>100000007</v>
      </c>
      <c r="E23" s="49">
        <v>44408</v>
      </c>
      <c r="F23" t="s">
        <v>1638</v>
      </c>
      <c r="G23" t="s">
        <v>1643</v>
      </c>
      <c r="H23">
        <v>6</v>
      </c>
      <c r="I23">
        <v>50.27</v>
      </c>
      <c r="J23" s="50">
        <v>301.62</v>
      </c>
      <c r="K23" t="s">
        <v>1618</v>
      </c>
      <c r="L23" t="s">
        <v>1640</v>
      </c>
      <c r="M23" t="s">
        <v>1621</v>
      </c>
      <c r="N23">
        <v>26.53</v>
      </c>
      <c r="O23" s="49">
        <v>44413</v>
      </c>
      <c r="P23" s="50">
        <v>135.72900000000001</v>
      </c>
    </row>
    <row r="24" spans="3:20" x14ac:dyDescent="0.2">
      <c r="D24">
        <v>100000007</v>
      </c>
      <c r="E24" s="49">
        <v>44445</v>
      </c>
      <c r="F24" t="s">
        <v>1638</v>
      </c>
      <c r="G24" t="s">
        <v>1644</v>
      </c>
      <c r="H24">
        <v>10</v>
      </c>
      <c r="I24">
        <v>116.4</v>
      </c>
      <c r="J24" s="50">
        <v>1164</v>
      </c>
      <c r="K24" t="s">
        <v>1618</v>
      </c>
      <c r="L24" t="s">
        <v>1640</v>
      </c>
      <c r="M24" t="s">
        <v>1624</v>
      </c>
      <c r="N24">
        <v>61.43</v>
      </c>
      <c r="O24" s="49">
        <v>44449</v>
      </c>
      <c r="P24" s="50">
        <v>523.80000000000007</v>
      </c>
    </row>
    <row r="25" spans="3:20" x14ac:dyDescent="0.2">
      <c r="D25">
        <v>100000007</v>
      </c>
      <c r="E25" s="49">
        <v>44594</v>
      </c>
      <c r="F25" t="s">
        <v>1638</v>
      </c>
      <c r="G25" t="s">
        <v>1645</v>
      </c>
      <c r="H25">
        <v>10</v>
      </c>
      <c r="I25">
        <v>111.14</v>
      </c>
      <c r="J25" s="50">
        <v>1111.4000000000001</v>
      </c>
      <c r="K25" t="s">
        <v>1618</v>
      </c>
      <c r="L25" t="s">
        <v>1640</v>
      </c>
      <c r="M25" t="s">
        <v>1627</v>
      </c>
      <c r="N25">
        <v>58.66</v>
      </c>
      <c r="O25" s="49">
        <v>44596</v>
      </c>
      <c r="P25" s="50">
        <v>500.13000000000005</v>
      </c>
    </row>
    <row r="26" spans="3:20" x14ac:dyDescent="0.2">
      <c r="D26">
        <v>100000007</v>
      </c>
      <c r="E26" s="49">
        <v>45174</v>
      </c>
      <c r="F26" t="s">
        <v>1638</v>
      </c>
      <c r="G26" t="s">
        <v>1646</v>
      </c>
      <c r="H26">
        <v>6</v>
      </c>
      <c r="I26">
        <v>115.69</v>
      </c>
      <c r="J26" s="50">
        <v>694.14</v>
      </c>
      <c r="K26" t="s">
        <v>1618</v>
      </c>
      <c r="L26" t="s">
        <v>1640</v>
      </c>
      <c r="M26" t="s">
        <v>1621</v>
      </c>
      <c r="N26">
        <v>61.06</v>
      </c>
      <c r="O26" s="49">
        <v>45177</v>
      </c>
      <c r="P26" s="50">
        <v>312.363</v>
      </c>
    </row>
    <row r="27" spans="3:20" x14ac:dyDescent="0.2">
      <c r="D27">
        <v>100000007</v>
      </c>
      <c r="E27" s="49">
        <v>45063</v>
      </c>
      <c r="F27" t="s">
        <v>1638</v>
      </c>
      <c r="G27" t="s">
        <v>1647</v>
      </c>
      <c r="H27">
        <v>6</v>
      </c>
      <c r="I27">
        <v>75.760000000000005</v>
      </c>
      <c r="J27" s="50">
        <v>454.56000000000012</v>
      </c>
      <c r="K27" t="s">
        <v>1618</v>
      </c>
      <c r="L27" t="s">
        <v>1640</v>
      </c>
      <c r="M27" t="s">
        <v>1627</v>
      </c>
      <c r="N27">
        <v>39.979999999999997</v>
      </c>
      <c r="O27" s="49">
        <v>45065</v>
      </c>
      <c r="P27" s="50">
        <v>204.55200000000005</v>
      </c>
    </row>
    <row r="28" spans="3:20" x14ac:dyDescent="0.2">
      <c r="D28">
        <v>100000007</v>
      </c>
      <c r="E28" s="49">
        <v>45559</v>
      </c>
      <c r="F28" t="s">
        <v>1638</v>
      </c>
      <c r="G28" t="s">
        <v>1648</v>
      </c>
      <c r="H28">
        <v>9</v>
      </c>
      <c r="I28">
        <v>25.39</v>
      </c>
      <c r="J28" s="50">
        <v>228.51</v>
      </c>
      <c r="K28" t="s">
        <v>1618</v>
      </c>
      <c r="L28" t="s">
        <v>1640</v>
      </c>
      <c r="M28" t="s">
        <v>1627</v>
      </c>
      <c r="N28">
        <v>13.4</v>
      </c>
      <c r="O28" s="49">
        <v>45562</v>
      </c>
      <c r="P28" s="50">
        <v>102.8295</v>
      </c>
    </row>
    <row r="29" spans="3:20" x14ac:dyDescent="0.2">
      <c r="D29">
        <v>100000007</v>
      </c>
      <c r="E29" s="49">
        <v>44823</v>
      </c>
      <c r="F29" t="s">
        <v>1638</v>
      </c>
      <c r="G29" t="s">
        <v>1644</v>
      </c>
      <c r="H29">
        <v>9</v>
      </c>
      <c r="I29">
        <v>11.5</v>
      </c>
      <c r="J29" s="50">
        <v>103.5</v>
      </c>
      <c r="K29" t="s">
        <v>1618</v>
      </c>
      <c r="L29" t="s">
        <v>1640</v>
      </c>
      <c r="M29" t="s">
        <v>1619</v>
      </c>
      <c r="N29">
        <v>6.07</v>
      </c>
      <c r="O29" s="49">
        <v>44827</v>
      </c>
      <c r="P29" s="50">
        <v>46.575000000000003</v>
      </c>
    </row>
    <row r="30" spans="3:20" x14ac:dyDescent="0.2">
      <c r="D30">
        <v>100000007</v>
      </c>
      <c r="E30" s="49">
        <v>45369</v>
      </c>
      <c r="F30" t="s">
        <v>1638</v>
      </c>
      <c r="G30" t="s">
        <v>1649</v>
      </c>
      <c r="H30">
        <v>4</v>
      </c>
      <c r="I30">
        <v>39.97</v>
      </c>
      <c r="J30" s="50">
        <v>159.88</v>
      </c>
      <c r="K30" t="s">
        <v>1618</v>
      </c>
      <c r="L30" t="s">
        <v>1640</v>
      </c>
      <c r="M30" t="s">
        <v>1619</v>
      </c>
      <c r="N30">
        <v>21.1</v>
      </c>
      <c r="O30" s="49">
        <v>45374</v>
      </c>
      <c r="P30" s="50">
        <v>71.945999999999998</v>
      </c>
    </row>
    <row r="31" spans="3:20" x14ac:dyDescent="0.2">
      <c r="D31">
        <v>100000007</v>
      </c>
      <c r="E31" s="49">
        <v>44959</v>
      </c>
      <c r="F31" t="s">
        <v>1638</v>
      </c>
      <c r="G31" t="s">
        <v>1650</v>
      </c>
      <c r="H31">
        <v>3</v>
      </c>
      <c r="I31">
        <v>89.34</v>
      </c>
      <c r="J31" s="50">
        <v>268.02</v>
      </c>
      <c r="K31" t="s">
        <v>1618</v>
      </c>
      <c r="L31" t="s">
        <v>1640</v>
      </c>
      <c r="M31" t="s">
        <v>1624</v>
      </c>
      <c r="N31">
        <v>47.15</v>
      </c>
      <c r="O31" s="49">
        <v>44964</v>
      </c>
      <c r="P31" s="50">
        <v>120.60899999999999</v>
      </c>
    </row>
    <row r="32" spans="3:20" x14ac:dyDescent="0.2">
      <c r="D32">
        <v>100000007</v>
      </c>
      <c r="E32" s="49">
        <v>45371</v>
      </c>
      <c r="F32" t="s">
        <v>1638</v>
      </c>
      <c r="G32" t="s">
        <v>1651</v>
      </c>
      <c r="H32">
        <v>1</v>
      </c>
      <c r="I32">
        <v>52.13</v>
      </c>
      <c r="J32" s="50">
        <v>52.13</v>
      </c>
      <c r="K32" t="s">
        <v>1618</v>
      </c>
      <c r="L32" t="s">
        <v>1640</v>
      </c>
      <c r="M32" t="s">
        <v>1627</v>
      </c>
      <c r="N32">
        <v>27.51</v>
      </c>
      <c r="O32" s="49">
        <v>45374</v>
      </c>
      <c r="P32" s="50">
        <v>23.458500000000001</v>
      </c>
    </row>
    <row r="33" spans="4:16" x14ac:dyDescent="0.2">
      <c r="D33">
        <v>100000007</v>
      </c>
      <c r="E33" s="49">
        <v>44497</v>
      </c>
      <c r="F33" t="s">
        <v>1638</v>
      </c>
      <c r="G33" t="s">
        <v>1652</v>
      </c>
      <c r="H33">
        <v>9</v>
      </c>
      <c r="I33">
        <v>38.479999999999997</v>
      </c>
      <c r="J33" s="50">
        <v>346.32</v>
      </c>
      <c r="K33" t="s">
        <v>1618</v>
      </c>
      <c r="L33" t="s">
        <v>1640</v>
      </c>
      <c r="M33" t="s">
        <v>1629</v>
      </c>
      <c r="N33">
        <v>20.309999999999999</v>
      </c>
      <c r="O33" s="49">
        <v>44502</v>
      </c>
      <c r="P33" s="50">
        <v>155.84399999999999</v>
      </c>
    </row>
    <row r="34" spans="4:16" x14ac:dyDescent="0.2">
      <c r="D34">
        <v>100000007</v>
      </c>
      <c r="E34" s="49">
        <v>44337</v>
      </c>
      <c r="F34" t="s">
        <v>1638</v>
      </c>
      <c r="G34" t="s">
        <v>1653</v>
      </c>
      <c r="H34">
        <v>9</v>
      </c>
      <c r="I34">
        <v>61.86</v>
      </c>
      <c r="J34" s="50">
        <v>556.74</v>
      </c>
      <c r="K34" t="s">
        <v>1618</v>
      </c>
      <c r="L34" t="s">
        <v>1640</v>
      </c>
      <c r="M34" t="s">
        <v>1627</v>
      </c>
      <c r="N34">
        <v>32.65</v>
      </c>
      <c r="O34" s="49">
        <v>44340</v>
      </c>
      <c r="P34" s="50">
        <v>250.53300000000002</v>
      </c>
    </row>
    <row r="35" spans="4:16" x14ac:dyDescent="0.2">
      <c r="D35">
        <v>100000009</v>
      </c>
      <c r="E35" s="49">
        <v>44776</v>
      </c>
      <c r="F35" t="s">
        <v>1654</v>
      </c>
      <c r="G35" t="s">
        <v>1655</v>
      </c>
      <c r="H35">
        <v>4</v>
      </c>
      <c r="I35">
        <v>56.36</v>
      </c>
      <c r="J35" s="50">
        <v>225.44</v>
      </c>
      <c r="K35" t="s">
        <v>1632</v>
      </c>
      <c r="L35" t="s">
        <v>1656</v>
      </c>
      <c r="M35" t="s">
        <v>1621</v>
      </c>
      <c r="N35">
        <v>29.75</v>
      </c>
      <c r="O35" s="49">
        <v>44777</v>
      </c>
      <c r="P35" s="50">
        <v>101.44800000000001</v>
      </c>
    </row>
    <row r="36" spans="4:16" x14ac:dyDescent="0.2">
      <c r="D36">
        <v>100000011</v>
      </c>
      <c r="E36" s="49">
        <v>45382</v>
      </c>
      <c r="F36" t="s">
        <v>1657</v>
      </c>
      <c r="G36" t="s">
        <v>1658</v>
      </c>
      <c r="H36">
        <v>2</v>
      </c>
      <c r="I36">
        <v>66.09</v>
      </c>
      <c r="J36" s="50">
        <v>132.18</v>
      </c>
      <c r="K36" t="s">
        <v>1618</v>
      </c>
      <c r="L36" t="s">
        <v>1659</v>
      </c>
      <c r="M36" t="s">
        <v>1619</v>
      </c>
      <c r="N36">
        <v>34.880000000000003</v>
      </c>
      <c r="O36" s="49">
        <v>45385</v>
      </c>
      <c r="P36" s="50">
        <v>59.481000000000002</v>
      </c>
    </row>
    <row r="37" spans="4:16" x14ac:dyDescent="0.2">
      <c r="D37">
        <v>100000014</v>
      </c>
      <c r="E37" s="49">
        <v>44561</v>
      </c>
      <c r="F37" t="s">
        <v>1660</v>
      </c>
      <c r="G37" t="s">
        <v>1661</v>
      </c>
      <c r="H37">
        <v>5</v>
      </c>
      <c r="I37">
        <v>112.67</v>
      </c>
      <c r="J37" s="50">
        <v>563.35</v>
      </c>
      <c r="K37" t="s">
        <v>1618</v>
      </c>
      <c r="L37" t="s">
        <v>1662</v>
      </c>
      <c r="M37" t="s">
        <v>1629</v>
      </c>
      <c r="N37">
        <v>59.46</v>
      </c>
      <c r="O37" s="49">
        <v>44565</v>
      </c>
      <c r="P37" s="50">
        <v>253.50750000000002</v>
      </c>
    </row>
    <row r="38" spans="4:16" x14ac:dyDescent="0.2">
      <c r="D38">
        <v>100000014</v>
      </c>
      <c r="E38" s="49">
        <v>45070</v>
      </c>
      <c r="F38" t="s">
        <v>1660</v>
      </c>
      <c r="G38" t="s">
        <v>1663</v>
      </c>
      <c r="H38">
        <v>3</v>
      </c>
      <c r="I38">
        <v>29.3</v>
      </c>
      <c r="J38" s="50">
        <v>87.9</v>
      </c>
      <c r="K38" t="s">
        <v>1618</v>
      </c>
      <c r="L38" t="s">
        <v>1662</v>
      </c>
      <c r="M38" t="s">
        <v>1619</v>
      </c>
      <c r="N38">
        <v>15.46</v>
      </c>
      <c r="O38" s="49">
        <v>45071</v>
      </c>
      <c r="P38" s="50">
        <v>39.555000000000007</v>
      </c>
    </row>
    <row r="39" spans="4:16" x14ac:dyDescent="0.2">
      <c r="D39">
        <v>100000014</v>
      </c>
      <c r="E39" s="49">
        <v>45047</v>
      </c>
      <c r="F39" t="s">
        <v>1660</v>
      </c>
      <c r="G39" t="s">
        <v>1664</v>
      </c>
      <c r="H39">
        <v>1</v>
      </c>
      <c r="I39">
        <v>15.38</v>
      </c>
      <c r="J39" s="50">
        <v>15.38</v>
      </c>
      <c r="K39" t="s">
        <v>1618</v>
      </c>
      <c r="L39" t="s">
        <v>1662</v>
      </c>
      <c r="M39" t="s">
        <v>1624</v>
      </c>
      <c r="N39">
        <v>8.1199999999999992</v>
      </c>
      <c r="O39" s="49">
        <v>45052</v>
      </c>
      <c r="P39" s="50">
        <v>6.9210000000000003</v>
      </c>
    </row>
    <row r="40" spans="4:16" x14ac:dyDescent="0.2">
      <c r="D40">
        <v>100000014</v>
      </c>
      <c r="E40" s="49">
        <v>44558</v>
      </c>
      <c r="F40" t="s">
        <v>1660</v>
      </c>
      <c r="G40" t="s">
        <v>1665</v>
      </c>
      <c r="H40">
        <v>4</v>
      </c>
      <c r="I40">
        <v>81.540000000000006</v>
      </c>
      <c r="J40" s="50">
        <v>326.16000000000003</v>
      </c>
      <c r="K40" t="s">
        <v>1618</v>
      </c>
      <c r="L40" t="s">
        <v>1662</v>
      </c>
      <c r="M40" t="s">
        <v>1624</v>
      </c>
      <c r="N40">
        <v>43.03</v>
      </c>
      <c r="O40" s="49">
        <v>44559</v>
      </c>
      <c r="P40" s="50">
        <v>146.77200000000002</v>
      </c>
    </row>
    <row r="41" spans="4:16" x14ac:dyDescent="0.2">
      <c r="D41">
        <v>100000014</v>
      </c>
      <c r="E41" s="49">
        <v>44362</v>
      </c>
      <c r="F41" t="s">
        <v>1660</v>
      </c>
      <c r="G41" t="s">
        <v>1666</v>
      </c>
      <c r="H41">
        <v>7</v>
      </c>
      <c r="I41">
        <v>91.22</v>
      </c>
      <c r="J41" s="50">
        <v>638.54</v>
      </c>
      <c r="K41" t="s">
        <v>1618</v>
      </c>
      <c r="L41" t="s">
        <v>1662</v>
      </c>
      <c r="M41" t="s">
        <v>1624</v>
      </c>
      <c r="N41">
        <v>48.14</v>
      </c>
      <c r="O41" s="49">
        <v>44363</v>
      </c>
      <c r="P41" s="50">
        <v>287.34300000000002</v>
      </c>
    </row>
    <row r="42" spans="4:16" x14ac:dyDescent="0.2">
      <c r="D42">
        <v>100000014</v>
      </c>
      <c r="E42" s="49">
        <v>45190</v>
      </c>
      <c r="F42" t="s">
        <v>1660</v>
      </c>
      <c r="G42" t="s">
        <v>1667</v>
      </c>
      <c r="H42">
        <v>3</v>
      </c>
      <c r="I42">
        <v>118.99</v>
      </c>
      <c r="J42" s="50">
        <v>356.97</v>
      </c>
      <c r="K42" t="s">
        <v>1618</v>
      </c>
      <c r="L42" t="s">
        <v>1662</v>
      </c>
      <c r="M42" t="s">
        <v>1629</v>
      </c>
      <c r="N42">
        <v>62.8</v>
      </c>
      <c r="O42" s="49">
        <v>45193</v>
      </c>
      <c r="P42" s="50">
        <v>160.63650000000001</v>
      </c>
    </row>
    <row r="43" spans="4:16" x14ac:dyDescent="0.2">
      <c r="D43">
        <v>100000015</v>
      </c>
      <c r="E43" s="49">
        <v>45262</v>
      </c>
      <c r="F43" t="s">
        <v>1668</v>
      </c>
      <c r="G43" t="s">
        <v>1669</v>
      </c>
      <c r="H43">
        <v>1</v>
      </c>
      <c r="I43">
        <v>67.05</v>
      </c>
      <c r="J43" s="50">
        <v>67.05</v>
      </c>
      <c r="K43" t="s">
        <v>1632</v>
      </c>
      <c r="M43" t="s">
        <v>1619</v>
      </c>
      <c r="N43">
        <v>35.39</v>
      </c>
      <c r="O43" s="49">
        <v>45264</v>
      </c>
      <c r="P43" s="50">
        <v>30.172499999999999</v>
      </c>
    </row>
    <row r="44" spans="4:16" x14ac:dyDescent="0.2">
      <c r="D44">
        <v>100000015</v>
      </c>
      <c r="E44" s="49">
        <v>44217</v>
      </c>
      <c r="F44" t="s">
        <v>1668</v>
      </c>
      <c r="G44" t="s">
        <v>1670</v>
      </c>
      <c r="H44">
        <v>8</v>
      </c>
      <c r="I44">
        <v>32.590000000000003</v>
      </c>
      <c r="J44" s="50">
        <v>260.72000000000003</v>
      </c>
      <c r="K44" t="s">
        <v>1632</v>
      </c>
      <c r="M44" t="s">
        <v>1627</v>
      </c>
      <c r="N44">
        <v>17.2</v>
      </c>
      <c r="O44" s="49">
        <v>44220</v>
      </c>
      <c r="P44" s="50">
        <v>117.32400000000001</v>
      </c>
    </row>
    <row r="45" spans="4:16" x14ac:dyDescent="0.2">
      <c r="D45">
        <v>100000015</v>
      </c>
      <c r="E45" s="49">
        <v>44735</v>
      </c>
      <c r="F45" t="s">
        <v>1668</v>
      </c>
      <c r="G45" t="s">
        <v>1671</v>
      </c>
      <c r="H45">
        <v>2</v>
      </c>
      <c r="I45">
        <v>65.44</v>
      </c>
      <c r="J45" s="50">
        <v>130.88</v>
      </c>
      <c r="K45" t="s">
        <v>1632</v>
      </c>
      <c r="M45" t="s">
        <v>1624</v>
      </c>
      <c r="N45">
        <v>34.54</v>
      </c>
      <c r="O45" s="49">
        <v>44737</v>
      </c>
      <c r="P45" s="50">
        <v>58.896000000000001</v>
      </c>
    </row>
    <row r="46" spans="4:16" x14ac:dyDescent="0.2">
      <c r="D46">
        <v>100000015</v>
      </c>
      <c r="E46" s="49">
        <v>45394</v>
      </c>
      <c r="F46" t="s">
        <v>1668</v>
      </c>
      <c r="G46" t="s">
        <v>1672</v>
      </c>
      <c r="H46">
        <v>4</v>
      </c>
      <c r="I46">
        <v>17.16</v>
      </c>
      <c r="J46" s="50">
        <v>68.64</v>
      </c>
      <c r="K46" t="s">
        <v>1632</v>
      </c>
      <c r="M46" t="s">
        <v>1621</v>
      </c>
      <c r="N46">
        <v>9.06</v>
      </c>
      <c r="O46" s="49">
        <v>45399</v>
      </c>
      <c r="P46" s="50">
        <v>30.888000000000002</v>
      </c>
    </row>
    <row r="47" spans="4:16" x14ac:dyDescent="0.2">
      <c r="D47">
        <v>100000017</v>
      </c>
      <c r="E47" s="49">
        <v>45103</v>
      </c>
      <c r="F47" t="s">
        <v>1673</v>
      </c>
      <c r="G47" t="s">
        <v>1674</v>
      </c>
      <c r="H47">
        <v>8</v>
      </c>
      <c r="I47">
        <v>18.13</v>
      </c>
      <c r="J47" s="50">
        <v>145.04</v>
      </c>
      <c r="K47" t="s">
        <v>1618</v>
      </c>
      <c r="M47" t="s">
        <v>1621</v>
      </c>
      <c r="N47">
        <v>9.57</v>
      </c>
      <c r="O47" s="49">
        <v>45107</v>
      </c>
      <c r="P47" s="50">
        <v>65.268000000000001</v>
      </c>
    </row>
    <row r="48" spans="4:16" x14ac:dyDescent="0.2">
      <c r="D48">
        <v>100000017</v>
      </c>
      <c r="E48" s="49">
        <v>44228</v>
      </c>
      <c r="F48" t="s">
        <v>1673</v>
      </c>
      <c r="G48" t="s">
        <v>1675</v>
      </c>
      <c r="H48">
        <v>8</v>
      </c>
      <c r="I48">
        <v>36.619999999999997</v>
      </c>
      <c r="J48" s="50">
        <v>292.95999999999998</v>
      </c>
      <c r="K48" t="s">
        <v>1618</v>
      </c>
      <c r="M48" t="s">
        <v>1629</v>
      </c>
      <c r="N48">
        <v>19.329999999999998</v>
      </c>
      <c r="O48" s="49">
        <v>44233</v>
      </c>
      <c r="P48" s="50">
        <v>131.83199999999999</v>
      </c>
    </row>
    <row r="49" spans="4:16" x14ac:dyDescent="0.2">
      <c r="D49">
        <v>100000017</v>
      </c>
      <c r="E49" s="49">
        <v>44850</v>
      </c>
      <c r="F49" t="s">
        <v>1673</v>
      </c>
      <c r="G49" t="s">
        <v>1676</v>
      </c>
      <c r="H49">
        <v>9</v>
      </c>
      <c r="I49">
        <v>43.1</v>
      </c>
      <c r="J49" s="50">
        <v>387.9</v>
      </c>
      <c r="K49" t="s">
        <v>1618</v>
      </c>
      <c r="M49" t="s">
        <v>1627</v>
      </c>
      <c r="N49">
        <v>22.75</v>
      </c>
      <c r="O49" s="49">
        <v>44852</v>
      </c>
      <c r="P49" s="50">
        <v>174.55500000000001</v>
      </c>
    </row>
    <row r="50" spans="4:16" x14ac:dyDescent="0.2">
      <c r="D50">
        <v>100000017</v>
      </c>
      <c r="E50" s="49">
        <v>45225</v>
      </c>
      <c r="F50" t="s">
        <v>1673</v>
      </c>
      <c r="G50" t="s">
        <v>1677</v>
      </c>
      <c r="H50">
        <v>8</v>
      </c>
      <c r="I50">
        <v>117.25</v>
      </c>
      <c r="J50" s="50">
        <v>938</v>
      </c>
      <c r="K50" t="s">
        <v>1618</v>
      </c>
      <c r="M50" t="s">
        <v>1624</v>
      </c>
      <c r="N50">
        <v>61.88</v>
      </c>
      <c r="O50" s="49">
        <v>45227</v>
      </c>
      <c r="P50" s="50">
        <v>422.1</v>
      </c>
    </row>
    <row r="51" spans="4:16" x14ac:dyDescent="0.2">
      <c r="D51">
        <v>100000019</v>
      </c>
      <c r="E51" s="49">
        <v>45060</v>
      </c>
      <c r="F51" t="s">
        <v>1678</v>
      </c>
      <c r="G51" t="s">
        <v>1679</v>
      </c>
      <c r="H51">
        <v>10</v>
      </c>
      <c r="I51">
        <v>80.650000000000006</v>
      </c>
      <c r="J51" s="50">
        <v>806.5</v>
      </c>
      <c r="K51" t="s">
        <v>1618</v>
      </c>
      <c r="M51" t="s">
        <v>1621</v>
      </c>
      <c r="N51">
        <v>42.56</v>
      </c>
      <c r="O51" s="49">
        <v>45065</v>
      </c>
      <c r="P51" s="50">
        <v>362.92500000000001</v>
      </c>
    </row>
    <row r="52" spans="4:16" x14ac:dyDescent="0.2">
      <c r="D52">
        <v>100000021</v>
      </c>
      <c r="E52" s="49">
        <v>44237</v>
      </c>
      <c r="F52" t="s">
        <v>1680</v>
      </c>
      <c r="G52" t="s">
        <v>1681</v>
      </c>
      <c r="H52">
        <v>1</v>
      </c>
      <c r="I52">
        <v>59.31</v>
      </c>
      <c r="J52" s="50">
        <v>59.31</v>
      </c>
      <c r="K52" t="s">
        <v>1618</v>
      </c>
      <c r="L52" t="s">
        <v>1682</v>
      </c>
      <c r="M52" t="s">
        <v>1627</v>
      </c>
      <c r="N52">
        <v>31.3</v>
      </c>
      <c r="O52" s="49">
        <v>44240</v>
      </c>
      <c r="P52" s="50">
        <v>26.689500000000002</v>
      </c>
    </row>
    <row r="53" spans="4:16" x14ac:dyDescent="0.2">
      <c r="D53">
        <v>100000022</v>
      </c>
      <c r="E53" s="49">
        <v>44609</v>
      </c>
      <c r="F53" t="s">
        <v>1683</v>
      </c>
      <c r="G53" t="s">
        <v>1641</v>
      </c>
      <c r="H53">
        <v>7</v>
      </c>
      <c r="I53">
        <v>117.02</v>
      </c>
      <c r="J53" s="50">
        <v>819.14</v>
      </c>
      <c r="K53" t="s">
        <v>1632</v>
      </c>
      <c r="L53" t="s">
        <v>1684</v>
      </c>
      <c r="M53" t="s">
        <v>1629</v>
      </c>
      <c r="N53">
        <v>61.76</v>
      </c>
      <c r="O53" s="49">
        <v>44613</v>
      </c>
      <c r="P53" s="50">
        <v>368.613</v>
      </c>
    </row>
    <row r="54" spans="4:16" x14ac:dyDescent="0.2">
      <c r="D54">
        <v>100000025</v>
      </c>
      <c r="E54" s="49">
        <v>44235</v>
      </c>
      <c r="F54" t="s">
        <v>1685</v>
      </c>
      <c r="G54" t="s">
        <v>1686</v>
      </c>
      <c r="H54">
        <v>5</v>
      </c>
      <c r="I54">
        <v>100.2</v>
      </c>
      <c r="J54" s="50">
        <v>501</v>
      </c>
      <c r="K54" t="s">
        <v>1618</v>
      </c>
      <c r="M54" t="s">
        <v>1619</v>
      </c>
      <c r="N54">
        <v>52.88</v>
      </c>
      <c r="O54" s="49">
        <v>44240</v>
      </c>
      <c r="P54" s="50">
        <v>225.45000000000002</v>
      </c>
    </row>
    <row r="55" spans="4:16" x14ac:dyDescent="0.2">
      <c r="D55">
        <v>100000025</v>
      </c>
      <c r="E55" s="49">
        <v>45474</v>
      </c>
      <c r="F55" t="s">
        <v>1685</v>
      </c>
      <c r="G55" t="s">
        <v>1687</v>
      </c>
      <c r="H55">
        <v>5</v>
      </c>
      <c r="I55">
        <v>79.69</v>
      </c>
      <c r="J55" s="50">
        <v>398.45</v>
      </c>
      <c r="K55" t="s">
        <v>1618</v>
      </c>
      <c r="M55" t="s">
        <v>1624</v>
      </c>
      <c r="N55">
        <v>42.06</v>
      </c>
      <c r="O55" s="49">
        <v>45479</v>
      </c>
      <c r="P55" s="50">
        <v>179.30250000000001</v>
      </c>
    </row>
    <row r="56" spans="4:16" x14ac:dyDescent="0.2">
      <c r="D56">
        <v>100000025</v>
      </c>
      <c r="E56" s="49">
        <v>45382</v>
      </c>
      <c r="F56" t="s">
        <v>1685</v>
      </c>
      <c r="G56" t="s">
        <v>1688</v>
      </c>
      <c r="H56">
        <v>8</v>
      </c>
      <c r="I56">
        <v>38.74</v>
      </c>
      <c r="J56" s="50">
        <v>309.92</v>
      </c>
      <c r="K56" t="s">
        <v>1618</v>
      </c>
      <c r="M56" t="s">
        <v>1629</v>
      </c>
      <c r="N56">
        <v>20.45</v>
      </c>
      <c r="O56" s="49">
        <v>45387</v>
      </c>
      <c r="P56" s="50">
        <v>139.464</v>
      </c>
    </row>
    <row r="57" spans="4:16" x14ac:dyDescent="0.2">
      <c r="D57">
        <v>100000027</v>
      </c>
      <c r="E57" s="49">
        <v>45549</v>
      </c>
      <c r="F57" t="s">
        <v>1689</v>
      </c>
      <c r="G57" t="s">
        <v>1690</v>
      </c>
      <c r="H57">
        <v>2</v>
      </c>
      <c r="I57">
        <v>55.46</v>
      </c>
      <c r="J57" s="50">
        <v>110.92</v>
      </c>
      <c r="K57" t="s">
        <v>1618</v>
      </c>
      <c r="M57" t="s">
        <v>1619</v>
      </c>
      <c r="N57">
        <v>29.27</v>
      </c>
      <c r="O57" s="49">
        <v>45550</v>
      </c>
      <c r="P57" s="50">
        <v>49.914000000000001</v>
      </c>
    </row>
    <row r="58" spans="4:16" x14ac:dyDescent="0.2">
      <c r="D58">
        <v>100000027</v>
      </c>
      <c r="E58" s="49">
        <v>44819</v>
      </c>
      <c r="F58" t="s">
        <v>1689</v>
      </c>
      <c r="G58" t="s">
        <v>1666</v>
      </c>
      <c r="H58">
        <v>9</v>
      </c>
      <c r="I58">
        <v>64.040000000000006</v>
      </c>
      <c r="J58" s="50">
        <v>576.36</v>
      </c>
      <c r="K58" t="s">
        <v>1618</v>
      </c>
      <c r="M58" t="s">
        <v>1629</v>
      </c>
      <c r="N58">
        <v>33.799999999999997</v>
      </c>
      <c r="O58" s="49">
        <v>44822</v>
      </c>
      <c r="P58" s="50">
        <v>259.36200000000002</v>
      </c>
    </row>
    <row r="59" spans="4:16" x14ac:dyDescent="0.2">
      <c r="D59">
        <v>100000027</v>
      </c>
      <c r="E59" s="49">
        <v>44828</v>
      </c>
      <c r="F59" t="s">
        <v>1689</v>
      </c>
      <c r="G59" t="s">
        <v>1691</v>
      </c>
      <c r="H59">
        <v>3</v>
      </c>
      <c r="I59">
        <v>114.64</v>
      </c>
      <c r="J59" s="50">
        <v>343.92</v>
      </c>
      <c r="K59" t="s">
        <v>1618</v>
      </c>
      <c r="M59" t="s">
        <v>1619</v>
      </c>
      <c r="N59">
        <v>60.5</v>
      </c>
      <c r="O59" s="49">
        <v>44833</v>
      </c>
      <c r="P59" s="50">
        <v>154.76400000000001</v>
      </c>
    </row>
    <row r="60" spans="4:16" x14ac:dyDescent="0.2">
      <c r="D60">
        <v>100000028</v>
      </c>
      <c r="E60" s="49">
        <v>44352</v>
      </c>
      <c r="F60" t="s">
        <v>1692</v>
      </c>
      <c r="G60" t="s">
        <v>1693</v>
      </c>
      <c r="H60">
        <v>7</v>
      </c>
      <c r="I60">
        <v>66.78</v>
      </c>
      <c r="J60" s="50">
        <v>467.46</v>
      </c>
      <c r="K60" t="s">
        <v>1618</v>
      </c>
      <c r="M60" t="s">
        <v>1621</v>
      </c>
      <c r="N60">
        <v>35.24</v>
      </c>
      <c r="O60" s="49">
        <v>44353</v>
      </c>
      <c r="P60" s="50">
        <v>210.357</v>
      </c>
    </row>
    <row r="61" spans="4:16" x14ac:dyDescent="0.2">
      <c r="D61">
        <v>100000029</v>
      </c>
      <c r="E61" s="49">
        <v>45003</v>
      </c>
      <c r="F61" t="s">
        <v>1694</v>
      </c>
      <c r="G61" t="s">
        <v>1695</v>
      </c>
      <c r="H61">
        <v>4</v>
      </c>
      <c r="I61">
        <v>81.31</v>
      </c>
      <c r="J61" s="50">
        <v>325.24</v>
      </c>
      <c r="K61" t="s">
        <v>1618</v>
      </c>
      <c r="M61" t="s">
        <v>1619</v>
      </c>
      <c r="N61">
        <v>42.91</v>
      </c>
      <c r="O61" s="49">
        <v>45007</v>
      </c>
      <c r="P61" s="50">
        <v>146.358</v>
      </c>
    </row>
    <row r="62" spans="4:16" x14ac:dyDescent="0.2">
      <c r="D62">
        <v>100000029</v>
      </c>
      <c r="E62" s="49">
        <v>45491</v>
      </c>
      <c r="F62" t="s">
        <v>1694</v>
      </c>
      <c r="G62" t="s">
        <v>1696</v>
      </c>
      <c r="H62">
        <v>9</v>
      </c>
      <c r="I62">
        <v>51.73</v>
      </c>
      <c r="J62" s="50">
        <v>465.57</v>
      </c>
      <c r="K62" t="s">
        <v>1618</v>
      </c>
      <c r="M62" t="s">
        <v>1627</v>
      </c>
      <c r="N62">
        <v>27.3</v>
      </c>
      <c r="O62" s="49">
        <v>45496</v>
      </c>
      <c r="P62" s="50">
        <v>209.50649999999999</v>
      </c>
    </row>
    <row r="63" spans="4:16" x14ac:dyDescent="0.2">
      <c r="D63">
        <v>100000029</v>
      </c>
      <c r="E63" s="49">
        <v>44841</v>
      </c>
      <c r="F63" t="s">
        <v>1694</v>
      </c>
      <c r="G63" t="s">
        <v>1697</v>
      </c>
      <c r="H63">
        <v>6</v>
      </c>
      <c r="I63">
        <v>117</v>
      </c>
      <c r="J63" s="50">
        <v>702</v>
      </c>
      <c r="K63" t="s">
        <v>1618</v>
      </c>
      <c r="M63" t="s">
        <v>1621</v>
      </c>
      <c r="N63">
        <v>61.75</v>
      </c>
      <c r="O63" s="49">
        <v>44845</v>
      </c>
      <c r="P63" s="50">
        <v>315.90000000000003</v>
      </c>
    </row>
    <row r="64" spans="4:16" x14ac:dyDescent="0.2">
      <c r="D64">
        <v>100000031</v>
      </c>
      <c r="E64" s="49">
        <v>45488</v>
      </c>
      <c r="F64" t="s">
        <v>1698</v>
      </c>
      <c r="G64" t="s">
        <v>1699</v>
      </c>
      <c r="H64">
        <v>4</v>
      </c>
      <c r="I64">
        <v>86.51</v>
      </c>
      <c r="J64" s="50">
        <v>346.04</v>
      </c>
      <c r="K64" t="s">
        <v>1618</v>
      </c>
      <c r="M64" t="s">
        <v>1624</v>
      </c>
      <c r="N64">
        <v>45.66</v>
      </c>
      <c r="O64" s="49">
        <v>45491</v>
      </c>
      <c r="P64" s="50">
        <v>155.71800000000002</v>
      </c>
    </row>
    <row r="65" spans="4:16" x14ac:dyDescent="0.2">
      <c r="D65">
        <v>100000031</v>
      </c>
      <c r="E65" s="49">
        <v>45101</v>
      </c>
      <c r="F65" t="s">
        <v>1698</v>
      </c>
      <c r="G65" t="s">
        <v>1700</v>
      </c>
      <c r="H65">
        <v>7</v>
      </c>
      <c r="I65">
        <v>89.77</v>
      </c>
      <c r="J65" s="50">
        <v>628.39</v>
      </c>
      <c r="K65" t="s">
        <v>1618</v>
      </c>
      <c r="M65" t="s">
        <v>1624</v>
      </c>
      <c r="N65">
        <v>47.38</v>
      </c>
      <c r="O65" s="49">
        <v>45104</v>
      </c>
      <c r="P65" s="50">
        <v>282.77550000000002</v>
      </c>
    </row>
    <row r="66" spans="4:16" x14ac:dyDescent="0.2">
      <c r="D66">
        <v>100000031</v>
      </c>
      <c r="E66" s="49">
        <v>45460</v>
      </c>
      <c r="F66" t="s">
        <v>1698</v>
      </c>
      <c r="G66" t="s">
        <v>1701</v>
      </c>
      <c r="H66">
        <v>9</v>
      </c>
      <c r="I66">
        <v>115.47</v>
      </c>
      <c r="J66" s="50">
        <v>1039.23</v>
      </c>
      <c r="K66" t="s">
        <v>1618</v>
      </c>
      <c r="M66" t="s">
        <v>1619</v>
      </c>
      <c r="N66">
        <v>60.94</v>
      </c>
      <c r="O66" s="49">
        <v>45465</v>
      </c>
      <c r="P66" s="50">
        <v>467.65350000000001</v>
      </c>
    </row>
    <row r="67" spans="4:16" x14ac:dyDescent="0.2">
      <c r="D67">
        <v>100000031</v>
      </c>
      <c r="E67" s="49">
        <v>44266</v>
      </c>
      <c r="F67" t="s">
        <v>1698</v>
      </c>
      <c r="G67" t="s">
        <v>1702</v>
      </c>
      <c r="H67">
        <v>1</v>
      </c>
      <c r="I67">
        <v>78.400000000000006</v>
      </c>
      <c r="J67" s="50">
        <v>78.400000000000006</v>
      </c>
      <c r="K67" t="s">
        <v>1618</v>
      </c>
      <c r="M67" t="s">
        <v>1619</v>
      </c>
      <c r="N67">
        <v>41.38</v>
      </c>
      <c r="O67" s="49">
        <v>44271</v>
      </c>
      <c r="P67" s="50">
        <v>35.28</v>
      </c>
    </row>
    <row r="68" spans="4:16" x14ac:dyDescent="0.2">
      <c r="D68">
        <v>100000032</v>
      </c>
      <c r="E68" s="49">
        <v>45294</v>
      </c>
      <c r="F68" t="s">
        <v>1703</v>
      </c>
      <c r="G68" t="s">
        <v>1704</v>
      </c>
      <c r="H68">
        <v>1</v>
      </c>
      <c r="I68">
        <v>107.2</v>
      </c>
      <c r="J68" s="50">
        <v>107.2</v>
      </c>
      <c r="K68" t="s">
        <v>1632</v>
      </c>
      <c r="M68" t="s">
        <v>1627</v>
      </c>
      <c r="N68">
        <v>56.58</v>
      </c>
      <c r="O68" s="49">
        <v>45297</v>
      </c>
      <c r="P68" s="50">
        <v>48.24</v>
      </c>
    </row>
    <row r="69" spans="4:16" x14ac:dyDescent="0.2">
      <c r="D69">
        <v>100000032</v>
      </c>
      <c r="E69" s="49">
        <v>44939</v>
      </c>
      <c r="F69" t="s">
        <v>1703</v>
      </c>
      <c r="G69" t="s">
        <v>1705</v>
      </c>
      <c r="H69">
        <v>6</v>
      </c>
      <c r="I69">
        <v>98.35</v>
      </c>
      <c r="J69" s="50">
        <v>590.09999999999991</v>
      </c>
      <c r="K69" t="s">
        <v>1632</v>
      </c>
      <c r="M69" t="s">
        <v>1619</v>
      </c>
      <c r="N69">
        <v>51.91</v>
      </c>
      <c r="O69" s="49">
        <v>44944</v>
      </c>
      <c r="P69" s="50">
        <v>265.54499999999996</v>
      </c>
    </row>
    <row r="70" spans="4:16" x14ac:dyDescent="0.2">
      <c r="D70">
        <v>100000032</v>
      </c>
      <c r="E70" s="49">
        <v>44890</v>
      </c>
      <c r="F70" t="s">
        <v>1703</v>
      </c>
      <c r="G70" t="s">
        <v>1647</v>
      </c>
      <c r="H70">
        <v>7</v>
      </c>
      <c r="I70">
        <v>42.62</v>
      </c>
      <c r="J70" s="50">
        <v>298.33999999999997</v>
      </c>
      <c r="K70" t="s">
        <v>1632</v>
      </c>
      <c r="M70" t="s">
        <v>1627</v>
      </c>
      <c r="N70">
        <v>22.49</v>
      </c>
      <c r="O70" s="49">
        <v>44894</v>
      </c>
      <c r="P70" s="50">
        <v>134.25299999999999</v>
      </c>
    </row>
    <row r="71" spans="4:16" x14ac:dyDescent="0.2">
      <c r="D71">
        <v>100000033</v>
      </c>
      <c r="E71" s="49">
        <v>44821</v>
      </c>
      <c r="F71" t="s">
        <v>1706</v>
      </c>
      <c r="G71" t="s">
        <v>1707</v>
      </c>
      <c r="H71">
        <v>3</v>
      </c>
      <c r="I71">
        <v>104.82</v>
      </c>
      <c r="J71" s="50">
        <v>314.45999999999998</v>
      </c>
      <c r="K71" t="s">
        <v>1632</v>
      </c>
      <c r="M71" t="s">
        <v>1621</v>
      </c>
      <c r="N71">
        <v>55.32</v>
      </c>
      <c r="O71" s="49">
        <v>44826</v>
      </c>
      <c r="P71" s="50">
        <v>141.50700000000001</v>
      </c>
    </row>
    <row r="72" spans="4:16" x14ac:dyDescent="0.2">
      <c r="D72">
        <v>100000034</v>
      </c>
      <c r="E72" s="49">
        <v>44778</v>
      </c>
      <c r="F72" t="s">
        <v>1708</v>
      </c>
      <c r="G72" t="s">
        <v>1709</v>
      </c>
      <c r="H72">
        <v>9</v>
      </c>
      <c r="I72">
        <v>73.349999999999994</v>
      </c>
      <c r="J72" s="50">
        <v>660.15</v>
      </c>
      <c r="K72" t="s">
        <v>1632</v>
      </c>
      <c r="M72" t="s">
        <v>1619</v>
      </c>
      <c r="N72">
        <v>38.71</v>
      </c>
      <c r="O72" s="49">
        <v>44782</v>
      </c>
      <c r="P72" s="50">
        <v>297.0675</v>
      </c>
    </row>
    <row r="73" spans="4:16" x14ac:dyDescent="0.2">
      <c r="D73">
        <v>100000034</v>
      </c>
      <c r="E73" s="49">
        <v>45171</v>
      </c>
      <c r="F73" t="s">
        <v>1708</v>
      </c>
      <c r="G73" t="s">
        <v>1710</v>
      </c>
      <c r="H73">
        <v>7</v>
      </c>
      <c r="I73">
        <v>48.84</v>
      </c>
      <c r="J73" s="50">
        <v>341.88</v>
      </c>
      <c r="K73" t="s">
        <v>1632</v>
      </c>
      <c r="M73" t="s">
        <v>1619</v>
      </c>
      <c r="N73">
        <v>25.78</v>
      </c>
      <c r="O73" s="49">
        <v>45173</v>
      </c>
      <c r="P73" s="50">
        <v>153.846</v>
      </c>
    </row>
    <row r="74" spans="4:16" x14ac:dyDescent="0.2">
      <c r="D74">
        <v>100000035</v>
      </c>
      <c r="E74" s="49">
        <v>44742</v>
      </c>
      <c r="F74" t="s">
        <v>1711</v>
      </c>
      <c r="G74" t="s">
        <v>1712</v>
      </c>
      <c r="H74">
        <v>5</v>
      </c>
      <c r="I74">
        <v>100.69</v>
      </c>
      <c r="J74" s="50">
        <v>503.45</v>
      </c>
      <c r="K74" t="s">
        <v>1632</v>
      </c>
      <c r="L74" t="s">
        <v>1713</v>
      </c>
      <c r="M74" t="s">
        <v>1627</v>
      </c>
      <c r="N74">
        <v>53.14</v>
      </c>
      <c r="O74" s="49">
        <v>44746</v>
      </c>
      <c r="P74" s="50">
        <v>226.55250000000001</v>
      </c>
    </row>
    <row r="75" spans="4:16" x14ac:dyDescent="0.2">
      <c r="D75">
        <v>100000035</v>
      </c>
      <c r="E75" s="49">
        <v>44441</v>
      </c>
      <c r="F75" t="s">
        <v>1711</v>
      </c>
      <c r="G75" t="s">
        <v>1714</v>
      </c>
      <c r="H75">
        <v>8</v>
      </c>
      <c r="I75">
        <v>36.39</v>
      </c>
      <c r="J75" s="50">
        <v>291.12</v>
      </c>
      <c r="K75" t="s">
        <v>1632</v>
      </c>
      <c r="L75" t="s">
        <v>1713</v>
      </c>
      <c r="M75" t="s">
        <v>1621</v>
      </c>
      <c r="N75">
        <v>19.21</v>
      </c>
      <c r="O75" s="49">
        <v>44444</v>
      </c>
      <c r="P75" s="50">
        <v>131.00400000000002</v>
      </c>
    </row>
    <row r="76" spans="4:16" x14ac:dyDescent="0.2">
      <c r="D76">
        <v>100000035</v>
      </c>
      <c r="E76" s="49">
        <v>44817</v>
      </c>
      <c r="F76" t="s">
        <v>1711</v>
      </c>
      <c r="G76" t="s">
        <v>1715</v>
      </c>
      <c r="H76">
        <v>6</v>
      </c>
      <c r="I76">
        <v>57.13</v>
      </c>
      <c r="J76" s="50">
        <v>342.78</v>
      </c>
      <c r="K76" t="s">
        <v>1632</v>
      </c>
      <c r="L76" t="s">
        <v>1713</v>
      </c>
      <c r="M76" t="s">
        <v>1629</v>
      </c>
      <c r="N76">
        <v>30.15</v>
      </c>
      <c r="O76" s="49">
        <v>44819</v>
      </c>
      <c r="P76" s="50">
        <v>154.251</v>
      </c>
    </row>
    <row r="77" spans="4:16" x14ac:dyDescent="0.2">
      <c r="D77">
        <v>100000036</v>
      </c>
      <c r="E77" s="49">
        <v>44314</v>
      </c>
      <c r="F77" t="s">
        <v>1716</v>
      </c>
      <c r="G77" t="s">
        <v>1717</v>
      </c>
      <c r="H77">
        <v>2</v>
      </c>
      <c r="I77">
        <v>119.82</v>
      </c>
      <c r="J77" s="50">
        <v>239.64</v>
      </c>
      <c r="K77" t="s">
        <v>1618</v>
      </c>
      <c r="M77" t="s">
        <v>1629</v>
      </c>
      <c r="N77">
        <v>63.24</v>
      </c>
      <c r="O77" s="49">
        <v>44316</v>
      </c>
      <c r="P77" s="50">
        <v>107.83799999999999</v>
      </c>
    </row>
    <row r="78" spans="4:16" x14ac:dyDescent="0.2">
      <c r="D78">
        <v>100000036</v>
      </c>
      <c r="E78" s="49">
        <v>44821</v>
      </c>
      <c r="F78" t="s">
        <v>1716</v>
      </c>
      <c r="G78" t="s">
        <v>1649</v>
      </c>
      <c r="H78">
        <v>4</v>
      </c>
      <c r="I78">
        <v>69.39</v>
      </c>
      <c r="J78" s="50">
        <v>277.56</v>
      </c>
      <c r="K78" t="s">
        <v>1618</v>
      </c>
      <c r="M78" t="s">
        <v>1619</v>
      </c>
      <c r="N78">
        <v>36.619999999999997</v>
      </c>
      <c r="O78" s="49">
        <v>44822</v>
      </c>
      <c r="P78" s="50">
        <v>124.902</v>
      </c>
    </row>
    <row r="79" spans="4:16" x14ac:dyDescent="0.2">
      <c r="D79">
        <v>100000036</v>
      </c>
      <c r="E79" s="49">
        <v>44773</v>
      </c>
      <c r="F79" t="s">
        <v>1716</v>
      </c>
      <c r="G79" t="s">
        <v>1718</v>
      </c>
      <c r="H79">
        <v>9</v>
      </c>
      <c r="I79">
        <v>83.47</v>
      </c>
      <c r="J79" s="50">
        <v>751.23</v>
      </c>
      <c r="K79" t="s">
        <v>1618</v>
      </c>
      <c r="M79" t="s">
        <v>1619</v>
      </c>
      <c r="N79">
        <v>44.05</v>
      </c>
      <c r="O79" s="49">
        <v>44775</v>
      </c>
      <c r="P79" s="50">
        <v>338.05350000000004</v>
      </c>
    </row>
    <row r="80" spans="4:16" x14ac:dyDescent="0.2">
      <c r="D80">
        <v>100000036</v>
      </c>
      <c r="E80" s="49">
        <v>44743</v>
      </c>
      <c r="F80" t="s">
        <v>1716</v>
      </c>
      <c r="G80" t="s">
        <v>1719</v>
      </c>
      <c r="H80">
        <v>10</v>
      </c>
      <c r="I80">
        <v>62.7</v>
      </c>
      <c r="J80" s="50">
        <v>627</v>
      </c>
      <c r="K80" t="s">
        <v>1618</v>
      </c>
      <c r="M80" t="s">
        <v>1619</v>
      </c>
      <c r="N80">
        <v>33.090000000000003</v>
      </c>
      <c r="O80" s="49">
        <v>44744</v>
      </c>
      <c r="P80" s="50">
        <v>282.15000000000003</v>
      </c>
    </row>
    <row r="81" spans="4:16" x14ac:dyDescent="0.2">
      <c r="D81">
        <v>100000036</v>
      </c>
      <c r="E81" s="49">
        <v>44758</v>
      </c>
      <c r="F81" t="s">
        <v>1716</v>
      </c>
      <c r="G81" t="s">
        <v>1720</v>
      </c>
      <c r="H81">
        <v>7</v>
      </c>
      <c r="I81">
        <v>111.02</v>
      </c>
      <c r="J81" s="50">
        <v>777.14</v>
      </c>
      <c r="K81" t="s">
        <v>1618</v>
      </c>
      <c r="M81" t="s">
        <v>1624</v>
      </c>
      <c r="N81">
        <v>58.59</v>
      </c>
      <c r="O81" s="49">
        <v>44763</v>
      </c>
      <c r="P81" s="50">
        <v>349.71300000000002</v>
      </c>
    </row>
    <row r="82" spans="4:16" x14ac:dyDescent="0.2">
      <c r="D82">
        <v>100000036</v>
      </c>
      <c r="E82" s="49">
        <v>44273</v>
      </c>
      <c r="F82" t="s">
        <v>1716</v>
      </c>
      <c r="G82" t="s">
        <v>1651</v>
      </c>
      <c r="H82">
        <v>10</v>
      </c>
      <c r="I82">
        <v>35.56</v>
      </c>
      <c r="J82" s="50">
        <v>355.6</v>
      </c>
      <c r="K82" t="s">
        <v>1618</v>
      </c>
      <c r="M82" t="s">
        <v>1624</v>
      </c>
      <c r="N82">
        <v>18.77</v>
      </c>
      <c r="O82" s="49">
        <v>44274</v>
      </c>
      <c r="P82" s="50">
        <v>160.02000000000001</v>
      </c>
    </row>
    <row r="83" spans="4:16" x14ac:dyDescent="0.2">
      <c r="D83">
        <v>100000036</v>
      </c>
      <c r="E83" s="49">
        <v>44913</v>
      </c>
      <c r="F83" t="s">
        <v>1716</v>
      </c>
      <c r="G83" t="s">
        <v>1721</v>
      </c>
      <c r="H83">
        <v>10</v>
      </c>
      <c r="I83">
        <v>28.87</v>
      </c>
      <c r="J83" s="50">
        <v>288.7</v>
      </c>
      <c r="K83" t="s">
        <v>1618</v>
      </c>
      <c r="M83" t="s">
        <v>1627</v>
      </c>
      <c r="N83">
        <v>15.24</v>
      </c>
      <c r="O83" s="49">
        <v>44914</v>
      </c>
      <c r="P83" s="50">
        <v>129.91499999999999</v>
      </c>
    </row>
    <row r="84" spans="4:16" x14ac:dyDescent="0.2">
      <c r="D84">
        <v>100000036</v>
      </c>
      <c r="E84" s="49">
        <v>44325</v>
      </c>
      <c r="F84" t="s">
        <v>1716</v>
      </c>
      <c r="G84" t="s">
        <v>1722</v>
      </c>
      <c r="H84">
        <v>3</v>
      </c>
      <c r="I84">
        <v>25.56</v>
      </c>
      <c r="J84" s="50">
        <v>76.679999999999993</v>
      </c>
      <c r="K84" t="s">
        <v>1618</v>
      </c>
      <c r="M84" t="s">
        <v>1627</v>
      </c>
      <c r="N84">
        <v>13.49</v>
      </c>
      <c r="O84" s="49">
        <v>44326</v>
      </c>
      <c r="P84" s="50">
        <v>34.506</v>
      </c>
    </row>
    <row r="85" spans="4:16" x14ac:dyDescent="0.2">
      <c r="D85">
        <v>100000036</v>
      </c>
      <c r="E85" s="49">
        <v>45140</v>
      </c>
      <c r="F85" t="s">
        <v>1716</v>
      </c>
      <c r="G85" t="s">
        <v>1723</v>
      </c>
      <c r="H85">
        <v>5</v>
      </c>
      <c r="I85">
        <v>105.07</v>
      </c>
      <c r="J85" s="50">
        <v>525.34999999999991</v>
      </c>
      <c r="K85" t="s">
        <v>1618</v>
      </c>
      <c r="M85" t="s">
        <v>1629</v>
      </c>
      <c r="N85">
        <v>55.45</v>
      </c>
      <c r="O85" s="49">
        <v>45145</v>
      </c>
      <c r="P85" s="50">
        <v>236.40749999999997</v>
      </c>
    </row>
    <row r="86" spans="4:16" x14ac:dyDescent="0.2">
      <c r="D86">
        <v>100000036</v>
      </c>
      <c r="E86" s="49">
        <v>44505</v>
      </c>
      <c r="F86" t="s">
        <v>1716</v>
      </c>
      <c r="G86" t="s">
        <v>1724</v>
      </c>
      <c r="H86">
        <v>8</v>
      </c>
      <c r="I86">
        <v>11.88</v>
      </c>
      <c r="J86" s="50">
        <v>95.04</v>
      </c>
      <c r="K86" t="s">
        <v>1618</v>
      </c>
      <c r="M86" t="s">
        <v>1619</v>
      </c>
      <c r="N86">
        <v>6.27</v>
      </c>
      <c r="O86" s="49">
        <v>44509</v>
      </c>
      <c r="P86" s="50">
        <v>42.768000000000001</v>
      </c>
    </row>
    <row r="87" spans="4:16" x14ac:dyDescent="0.2">
      <c r="D87">
        <v>100000037</v>
      </c>
      <c r="E87" s="49">
        <v>44483</v>
      </c>
      <c r="F87" t="s">
        <v>1725</v>
      </c>
      <c r="G87" t="s">
        <v>1726</v>
      </c>
      <c r="H87">
        <v>1</v>
      </c>
      <c r="I87">
        <v>97.85</v>
      </c>
      <c r="J87" s="50">
        <v>97.85</v>
      </c>
      <c r="K87" t="s">
        <v>1632</v>
      </c>
      <c r="M87" t="s">
        <v>1629</v>
      </c>
      <c r="N87">
        <v>51.64</v>
      </c>
      <c r="O87" s="49">
        <v>44488</v>
      </c>
      <c r="P87" s="50">
        <v>44.032499999999999</v>
      </c>
    </row>
    <row r="88" spans="4:16" x14ac:dyDescent="0.2">
      <c r="D88">
        <v>100000037</v>
      </c>
      <c r="E88" s="49">
        <v>44460</v>
      </c>
      <c r="F88" t="s">
        <v>1725</v>
      </c>
      <c r="G88" t="s">
        <v>1727</v>
      </c>
      <c r="H88">
        <v>4</v>
      </c>
      <c r="I88">
        <v>16.22</v>
      </c>
      <c r="J88" s="50">
        <v>64.88</v>
      </c>
      <c r="K88" t="s">
        <v>1632</v>
      </c>
      <c r="M88" t="s">
        <v>1627</v>
      </c>
      <c r="N88">
        <v>8.56</v>
      </c>
      <c r="O88" s="49">
        <v>44463</v>
      </c>
      <c r="P88" s="50">
        <v>29.195999999999998</v>
      </c>
    </row>
    <row r="89" spans="4:16" x14ac:dyDescent="0.2">
      <c r="D89">
        <v>100000037</v>
      </c>
      <c r="E89" s="49">
        <v>45476</v>
      </c>
      <c r="F89" t="s">
        <v>1725</v>
      </c>
      <c r="G89" t="s">
        <v>1728</v>
      </c>
      <c r="H89">
        <v>9</v>
      </c>
      <c r="I89">
        <v>118.74</v>
      </c>
      <c r="J89" s="50">
        <v>1068.6600000000001</v>
      </c>
      <c r="K89" t="s">
        <v>1632</v>
      </c>
      <c r="M89" t="s">
        <v>1619</v>
      </c>
      <c r="N89">
        <v>62.67</v>
      </c>
      <c r="O89" s="49">
        <v>45480</v>
      </c>
      <c r="P89" s="50">
        <v>480.89700000000005</v>
      </c>
    </row>
    <row r="90" spans="4:16" x14ac:dyDescent="0.2">
      <c r="D90">
        <v>100000037</v>
      </c>
      <c r="E90" s="49">
        <v>44680</v>
      </c>
      <c r="F90" t="s">
        <v>1725</v>
      </c>
      <c r="G90" t="s">
        <v>1729</v>
      </c>
      <c r="H90">
        <v>7</v>
      </c>
      <c r="I90">
        <v>108.25</v>
      </c>
      <c r="J90" s="50">
        <v>757.75</v>
      </c>
      <c r="K90" t="s">
        <v>1632</v>
      </c>
      <c r="M90" t="s">
        <v>1629</v>
      </c>
      <c r="N90">
        <v>57.13</v>
      </c>
      <c r="O90" s="49">
        <v>44685</v>
      </c>
      <c r="P90" s="50">
        <v>340.98750000000001</v>
      </c>
    </row>
    <row r="91" spans="4:16" x14ac:dyDescent="0.2">
      <c r="D91">
        <v>100000037</v>
      </c>
      <c r="E91" s="49">
        <v>44438</v>
      </c>
      <c r="F91" t="s">
        <v>1725</v>
      </c>
      <c r="G91" t="s">
        <v>1730</v>
      </c>
      <c r="H91">
        <v>3</v>
      </c>
      <c r="I91">
        <v>115.74</v>
      </c>
      <c r="J91" s="50">
        <v>347.22</v>
      </c>
      <c r="K91" t="s">
        <v>1632</v>
      </c>
      <c r="M91" t="s">
        <v>1621</v>
      </c>
      <c r="N91">
        <v>61.08</v>
      </c>
      <c r="O91" s="49">
        <v>44441</v>
      </c>
      <c r="P91" s="50">
        <v>156.24900000000002</v>
      </c>
    </row>
    <row r="92" spans="4:16" x14ac:dyDescent="0.2">
      <c r="D92">
        <v>100000037</v>
      </c>
      <c r="E92" s="49">
        <v>45452</v>
      </c>
      <c r="F92" t="s">
        <v>1725</v>
      </c>
      <c r="G92" t="s">
        <v>1731</v>
      </c>
      <c r="H92">
        <v>8</v>
      </c>
      <c r="I92">
        <v>110.23</v>
      </c>
      <c r="J92" s="50">
        <v>881.84</v>
      </c>
      <c r="K92" t="s">
        <v>1632</v>
      </c>
      <c r="M92" t="s">
        <v>1621</v>
      </c>
      <c r="N92">
        <v>58.18</v>
      </c>
      <c r="O92" s="49">
        <v>45455</v>
      </c>
      <c r="P92" s="50">
        <v>396.82800000000003</v>
      </c>
    </row>
    <row r="93" spans="4:16" x14ac:dyDescent="0.2">
      <c r="D93">
        <v>100000038</v>
      </c>
      <c r="E93" s="49">
        <v>45332</v>
      </c>
      <c r="F93" t="s">
        <v>1732</v>
      </c>
      <c r="G93" t="s">
        <v>1733</v>
      </c>
      <c r="H93">
        <v>5</v>
      </c>
      <c r="I93">
        <v>18.399999999999999</v>
      </c>
      <c r="J93" s="50">
        <v>92</v>
      </c>
      <c r="K93" t="s">
        <v>1618</v>
      </c>
      <c r="M93" t="s">
        <v>1619</v>
      </c>
      <c r="N93">
        <v>9.7100000000000009</v>
      </c>
      <c r="O93" s="49">
        <v>45336</v>
      </c>
      <c r="P93" s="50">
        <v>41.4</v>
      </c>
    </row>
    <row r="94" spans="4:16" x14ac:dyDescent="0.2">
      <c r="D94">
        <v>100000039</v>
      </c>
      <c r="E94" s="49">
        <v>45420</v>
      </c>
      <c r="F94" t="s">
        <v>1734</v>
      </c>
      <c r="G94" t="s">
        <v>1669</v>
      </c>
      <c r="H94">
        <v>2</v>
      </c>
      <c r="I94">
        <v>94.54</v>
      </c>
      <c r="J94" s="50">
        <v>189.08</v>
      </c>
      <c r="K94" t="s">
        <v>1632</v>
      </c>
      <c r="M94" t="s">
        <v>1627</v>
      </c>
      <c r="N94">
        <v>49.9</v>
      </c>
      <c r="O94" s="49">
        <v>45422</v>
      </c>
      <c r="P94" s="50">
        <v>85.086000000000013</v>
      </c>
    </row>
    <row r="95" spans="4:16" x14ac:dyDescent="0.2">
      <c r="D95">
        <v>100000040</v>
      </c>
      <c r="E95" s="49">
        <v>45593</v>
      </c>
      <c r="F95" t="s">
        <v>1735</v>
      </c>
      <c r="G95" t="s">
        <v>1736</v>
      </c>
      <c r="H95">
        <v>1</v>
      </c>
      <c r="I95">
        <v>77.64</v>
      </c>
      <c r="J95" s="50">
        <v>77.64</v>
      </c>
      <c r="K95" t="s">
        <v>1632</v>
      </c>
      <c r="M95" t="s">
        <v>1624</v>
      </c>
      <c r="N95">
        <v>40.98</v>
      </c>
      <c r="O95" s="49">
        <v>45598</v>
      </c>
      <c r="P95" s="50">
        <v>34.938000000000002</v>
      </c>
    </row>
    <row r="96" spans="4:16" x14ac:dyDescent="0.2">
      <c r="D96">
        <v>100000040</v>
      </c>
      <c r="E96" s="49">
        <v>45184</v>
      </c>
      <c r="F96" t="s">
        <v>1735</v>
      </c>
      <c r="G96" t="s">
        <v>1737</v>
      </c>
      <c r="H96">
        <v>2</v>
      </c>
      <c r="I96">
        <v>99.02</v>
      </c>
      <c r="J96" s="50">
        <v>198.04</v>
      </c>
      <c r="K96" t="s">
        <v>1632</v>
      </c>
      <c r="M96" t="s">
        <v>1621</v>
      </c>
      <c r="N96">
        <v>52.26</v>
      </c>
      <c r="O96" s="49">
        <v>45187</v>
      </c>
      <c r="P96" s="50">
        <v>89.117999999999995</v>
      </c>
    </row>
    <row r="97" spans="4:16" x14ac:dyDescent="0.2">
      <c r="D97">
        <v>100000040</v>
      </c>
      <c r="E97" s="49">
        <v>44648</v>
      </c>
      <c r="F97" t="s">
        <v>1735</v>
      </c>
      <c r="G97" t="s">
        <v>1738</v>
      </c>
      <c r="H97">
        <v>3</v>
      </c>
      <c r="I97">
        <v>91.33</v>
      </c>
      <c r="J97" s="50">
        <v>273.99</v>
      </c>
      <c r="K97" t="s">
        <v>1632</v>
      </c>
      <c r="M97" t="s">
        <v>1624</v>
      </c>
      <c r="N97">
        <v>48.2</v>
      </c>
      <c r="O97" s="49">
        <v>44649</v>
      </c>
      <c r="P97" s="50">
        <v>123.2955</v>
      </c>
    </row>
    <row r="98" spans="4:16" x14ac:dyDescent="0.2">
      <c r="D98">
        <v>100000040</v>
      </c>
      <c r="E98" s="49">
        <v>45446</v>
      </c>
      <c r="F98" t="s">
        <v>1735</v>
      </c>
      <c r="G98" t="s">
        <v>1739</v>
      </c>
      <c r="H98">
        <v>8</v>
      </c>
      <c r="I98">
        <v>29.4</v>
      </c>
      <c r="J98" s="50">
        <v>235.2</v>
      </c>
      <c r="K98" t="s">
        <v>1632</v>
      </c>
      <c r="M98" t="s">
        <v>1629</v>
      </c>
      <c r="N98">
        <v>15.52</v>
      </c>
      <c r="O98" s="49">
        <v>45449</v>
      </c>
      <c r="P98" s="50">
        <v>105.84</v>
      </c>
    </row>
    <row r="99" spans="4:16" x14ac:dyDescent="0.2">
      <c r="D99">
        <v>100000040</v>
      </c>
      <c r="E99" s="49">
        <v>44522</v>
      </c>
      <c r="F99" t="s">
        <v>1735</v>
      </c>
      <c r="G99" t="s">
        <v>1740</v>
      </c>
      <c r="H99">
        <v>8</v>
      </c>
      <c r="I99">
        <v>32.200000000000003</v>
      </c>
      <c r="J99" s="50">
        <v>257.60000000000002</v>
      </c>
      <c r="K99" t="s">
        <v>1632</v>
      </c>
      <c r="M99" t="s">
        <v>1627</v>
      </c>
      <c r="N99">
        <v>16.989999999999998</v>
      </c>
      <c r="O99" s="49">
        <v>44527</v>
      </c>
      <c r="P99" s="50">
        <v>115.92000000000002</v>
      </c>
    </row>
    <row r="100" spans="4:16" x14ac:dyDescent="0.2">
      <c r="D100">
        <v>100000041</v>
      </c>
      <c r="E100" s="49">
        <v>45291</v>
      </c>
      <c r="F100" t="s">
        <v>1741</v>
      </c>
      <c r="G100" t="s">
        <v>1742</v>
      </c>
      <c r="H100">
        <v>5</v>
      </c>
      <c r="I100">
        <v>18.03</v>
      </c>
      <c r="J100" s="50">
        <v>90.15</v>
      </c>
      <c r="K100" t="s">
        <v>1618</v>
      </c>
      <c r="M100" t="s">
        <v>1629</v>
      </c>
      <c r="N100">
        <v>9.52</v>
      </c>
      <c r="O100" s="49">
        <v>45296</v>
      </c>
      <c r="P100" s="50">
        <v>40.567500000000003</v>
      </c>
    </row>
    <row r="101" spans="4:16" x14ac:dyDescent="0.2">
      <c r="D101">
        <v>100000041</v>
      </c>
      <c r="E101" s="49">
        <v>45043</v>
      </c>
      <c r="F101" t="s">
        <v>1741</v>
      </c>
      <c r="G101" t="s">
        <v>1743</v>
      </c>
      <c r="H101">
        <v>4</v>
      </c>
      <c r="I101">
        <v>12.64</v>
      </c>
      <c r="J101" s="50">
        <v>50.56</v>
      </c>
      <c r="K101" t="s">
        <v>1618</v>
      </c>
      <c r="M101" t="s">
        <v>1619</v>
      </c>
      <c r="N101">
        <v>6.67</v>
      </c>
      <c r="O101" s="49">
        <v>45048</v>
      </c>
      <c r="P101" s="50">
        <v>22.752000000000002</v>
      </c>
    </row>
    <row r="102" spans="4:16" x14ac:dyDescent="0.2">
      <c r="D102">
        <v>100000041</v>
      </c>
      <c r="E102" s="49">
        <v>44547</v>
      </c>
      <c r="F102" t="s">
        <v>1741</v>
      </c>
      <c r="G102" t="s">
        <v>1744</v>
      </c>
      <c r="H102">
        <v>3</v>
      </c>
      <c r="I102">
        <v>29.52</v>
      </c>
      <c r="J102" s="50">
        <v>88.56</v>
      </c>
      <c r="K102" t="s">
        <v>1618</v>
      </c>
      <c r="M102" t="s">
        <v>1627</v>
      </c>
      <c r="N102">
        <v>15.58</v>
      </c>
      <c r="O102" s="49">
        <v>44550</v>
      </c>
      <c r="P102" s="50">
        <v>39.852000000000004</v>
      </c>
    </row>
    <row r="103" spans="4:16" x14ac:dyDescent="0.2">
      <c r="D103">
        <v>100000042</v>
      </c>
      <c r="E103" s="49">
        <v>44232</v>
      </c>
      <c r="F103" t="s">
        <v>1745</v>
      </c>
      <c r="G103" t="s">
        <v>1645</v>
      </c>
      <c r="H103">
        <v>5</v>
      </c>
      <c r="I103">
        <v>93.12</v>
      </c>
      <c r="J103" s="50">
        <v>465.6</v>
      </c>
      <c r="K103" t="s">
        <v>1632</v>
      </c>
      <c r="M103" t="s">
        <v>1621</v>
      </c>
      <c r="N103">
        <v>49.15</v>
      </c>
      <c r="O103" s="49">
        <v>44235</v>
      </c>
      <c r="P103" s="50">
        <v>209.52</v>
      </c>
    </row>
    <row r="104" spans="4:16" x14ac:dyDescent="0.2">
      <c r="D104">
        <v>100000043</v>
      </c>
      <c r="E104" s="49">
        <v>44649</v>
      </c>
      <c r="F104" t="s">
        <v>1746</v>
      </c>
      <c r="G104" t="s">
        <v>1700</v>
      </c>
      <c r="H104">
        <v>1</v>
      </c>
      <c r="I104">
        <v>13.1</v>
      </c>
      <c r="J104" s="50">
        <v>13.1</v>
      </c>
      <c r="K104" t="s">
        <v>1632</v>
      </c>
      <c r="L104" t="s">
        <v>1747</v>
      </c>
      <c r="M104" t="s">
        <v>1621</v>
      </c>
      <c r="N104">
        <v>6.91</v>
      </c>
      <c r="O104" s="49">
        <v>44651</v>
      </c>
      <c r="P104" s="50">
        <v>5.8949999999999996</v>
      </c>
    </row>
    <row r="105" spans="4:16" x14ac:dyDescent="0.2">
      <c r="D105">
        <v>100000043</v>
      </c>
      <c r="E105" s="49">
        <v>45520</v>
      </c>
      <c r="F105" t="s">
        <v>1746</v>
      </c>
      <c r="G105" t="s">
        <v>1748</v>
      </c>
      <c r="H105">
        <v>4</v>
      </c>
      <c r="I105">
        <v>83.8</v>
      </c>
      <c r="J105" s="50">
        <v>335.2</v>
      </c>
      <c r="K105" t="s">
        <v>1632</v>
      </c>
      <c r="L105" t="s">
        <v>1747</v>
      </c>
      <c r="M105" t="s">
        <v>1627</v>
      </c>
      <c r="N105">
        <v>44.23</v>
      </c>
      <c r="O105" s="49">
        <v>45522</v>
      </c>
      <c r="P105" s="50">
        <v>150.84</v>
      </c>
    </row>
    <row r="106" spans="4:16" x14ac:dyDescent="0.2">
      <c r="D106">
        <v>100000043</v>
      </c>
      <c r="E106" s="49">
        <v>45294</v>
      </c>
      <c r="F106" t="s">
        <v>1746</v>
      </c>
      <c r="G106" t="s">
        <v>1749</v>
      </c>
      <c r="H106">
        <v>4</v>
      </c>
      <c r="I106">
        <v>23.78</v>
      </c>
      <c r="J106" s="50">
        <v>95.12</v>
      </c>
      <c r="K106" t="s">
        <v>1632</v>
      </c>
      <c r="L106" t="s">
        <v>1747</v>
      </c>
      <c r="M106" t="s">
        <v>1619</v>
      </c>
      <c r="N106">
        <v>12.55</v>
      </c>
      <c r="O106" s="49">
        <v>45296</v>
      </c>
      <c r="P106" s="50">
        <v>42.804000000000002</v>
      </c>
    </row>
    <row r="107" spans="4:16" x14ac:dyDescent="0.2">
      <c r="D107">
        <v>100000043</v>
      </c>
      <c r="E107" s="49">
        <v>44288</v>
      </c>
      <c r="F107" t="s">
        <v>1746</v>
      </c>
      <c r="G107" t="s">
        <v>1670</v>
      </c>
      <c r="H107">
        <v>9</v>
      </c>
      <c r="I107">
        <v>53.11</v>
      </c>
      <c r="J107" s="50">
        <v>477.99</v>
      </c>
      <c r="K107" t="s">
        <v>1632</v>
      </c>
      <c r="L107" t="s">
        <v>1747</v>
      </c>
      <c r="M107" t="s">
        <v>1627</v>
      </c>
      <c r="N107">
        <v>28.03</v>
      </c>
      <c r="O107" s="49">
        <v>44290</v>
      </c>
      <c r="P107" s="50">
        <v>215.09550000000002</v>
      </c>
    </row>
    <row r="108" spans="4:16" x14ac:dyDescent="0.2">
      <c r="D108">
        <v>100000044</v>
      </c>
      <c r="E108" s="49">
        <v>45343</v>
      </c>
      <c r="F108" t="s">
        <v>1750</v>
      </c>
      <c r="G108" t="s">
        <v>1751</v>
      </c>
      <c r="H108">
        <v>5</v>
      </c>
      <c r="I108">
        <v>84.65</v>
      </c>
      <c r="J108" s="50">
        <v>423.25</v>
      </c>
      <c r="K108" t="s">
        <v>1632</v>
      </c>
      <c r="M108" t="s">
        <v>1629</v>
      </c>
      <c r="N108">
        <v>44.68</v>
      </c>
      <c r="O108" s="49">
        <v>45347</v>
      </c>
      <c r="P108" s="50">
        <v>190.46250000000001</v>
      </c>
    </row>
    <row r="109" spans="4:16" x14ac:dyDescent="0.2">
      <c r="D109">
        <v>100000044</v>
      </c>
      <c r="E109" s="49">
        <v>45612</v>
      </c>
      <c r="F109" t="s">
        <v>1750</v>
      </c>
      <c r="G109" t="s">
        <v>1752</v>
      </c>
      <c r="H109">
        <v>10</v>
      </c>
      <c r="I109">
        <v>25.99</v>
      </c>
      <c r="J109" s="50">
        <v>259.89999999999998</v>
      </c>
      <c r="K109" t="s">
        <v>1632</v>
      </c>
      <c r="M109" t="s">
        <v>1629</v>
      </c>
      <c r="N109">
        <v>13.72</v>
      </c>
      <c r="O109" s="49">
        <v>45613</v>
      </c>
      <c r="P109" s="50">
        <v>116.955</v>
      </c>
    </row>
    <row r="110" spans="4:16" x14ac:dyDescent="0.2">
      <c r="D110">
        <v>100000045</v>
      </c>
      <c r="E110" s="49">
        <v>45074</v>
      </c>
      <c r="F110" t="s">
        <v>1753</v>
      </c>
      <c r="G110" t="s">
        <v>1655</v>
      </c>
      <c r="H110">
        <v>9</v>
      </c>
      <c r="I110">
        <v>98.49</v>
      </c>
      <c r="J110" s="50">
        <v>886.41</v>
      </c>
      <c r="K110" t="s">
        <v>1632</v>
      </c>
      <c r="M110" t="s">
        <v>1621</v>
      </c>
      <c r="N110">
        <v>51.98</v>
      </c>
      <c r="O110" s="49">
        <v>45076</v>
      </c>
      <c r="P110" s="50">
        <v>398.8845</v>
      </c>
    </row>
    <row r="111" spans="4:16" x14ac:dyDescent="0.2">
      <c r="D111">
        <v>100000045</v>
      </c>
      <c r="E111" s="49">
        <v>45559</v>
      </c>
      <c r="F111" t="s">
        <v>1753</v>
      </c>
      <c r="G111" t="s">
        <v>1700</v>
      </c>
      <c r="H111">
        <v>2</v>
      </c>
      <c r="I111">
        <v>17.11</v>
      </c>
      <c r="J111" s="50">
        <v>34.22</v>
      </c>
      <c r="K111" t="s">
        <v>1632</v>
      </c>
      <c r="M111" t="s">
        <v>1624</v>
      </c>
      <c r="N111">
        <v>9.0299999999999994</v>
      </c>
      <c r="O111" s="49">
        <v>45564</v>
      </c>
      <c r="P111" s="50">
        <v>15.398999999999999</v>
      </c>
    </row>
    <row r="112" spans="4:16" x14ac:dyDescent="0.2">
      <c r="D112">
        <v>100000045</v>
      </c>
      <c r="E112" s="49">
        <v>45344</v>
      </c>
      <c r="F112" t="s">
        <v>1753</v>
      </c>
      <c r="G112" t="s">
        <v>1724</v>
      </c>
      <c r="H112">
        <v>7</v>
      </c>
      <c r="I112">
        <v>19.48</v>
      </c>
      <c r="J112" s="50">
        <v>136.36000000000001</v>
      </c>
      <c r="K112" t="s">
        <v>1632</v>
      </c>
      <c r="M112" t="s">
        <v>1624</v>
      </c>
      <c r="N112">
        <v>10.28</v>
      </c>
      <c r="O112" s="49">
        <v>45348</v>
      </c>
      <c r="P112" s="50">
        <v>61.362000000000009</v>
      </c>
    </row>
    <row r="113" spans="4:16" x14ac:dyDescent="0.2">
      <c r="D113">
        <v>100000045</v>
      </c>
      <c r="E113" s="49">
        <v>45561</v>
      </c>
      <c r="F113" t="s">
        <v>1753</v>
      </c>
      <c r="G113" t="s">
        <v>1754</v>
      </c>
      <c r="H113">
        <v>1</v>
      </c>
      <c r="I113">
        <v>67.78</v>
      </c>
      <c r="J113" s="50">
        <v>67.78</v>
      </c>
      <c r="K113" t="s">
        <v>1632</v>
      </c>
      <c r="M113" t="s">
        <v>1624</v>
      </c>
      <c r="N113">
        <v>35.770000000000003</v>
      </c>
      <c r="O113" s="49">
        <v>45562</v>
      </c>
      <c r="P113" s="50">
        <v>30.501000000000001</v>
      </c>
    </row>
    <row r="114" spans="4:16" x14ac:dyDescent="0.2">
      <c r="D114">
        <v>100000046</v>
      </c>
      <c r="E114" s="49">
        <v>45298</v>
      </c>
      <c r="F114" t="s">
        <v>1755</v>
      </c>
      <c r="G114" t="s">
        <v>1756</v>
      </c>
      <c r="H114">
        <v>10</v>
      </c>
      <c r="I114">
        <v>97.31</v>
      </c>
      <c r="J114" s="50">
        <v>973.1</v>
      </c>
      <c r="K114" t="s">
        <v>1618</v>
      </c>
      <c r="M114" t="s">
        <v>1621</v>
      </c>
      <c r="N114">
        <v>51.36</v>
      </c>
      <c r="O114" s="49">
        <v>45299</v>
      </c>
      <c r="P114" s="50">
        <v>437.89500000000004</v>
      </c>
    </row>
    <row r="115" spans="4:16" x14ac:dyDescent="0.2">
      <c r="D115">
        <v>100000047</v>
      </c>
      <c r="E115" s="49">
        <v>44777</v>
      </c>
      <c r="F115" t="s">
        <v>1757</v>
      </c>
      <c r="G115" t="s">
        <v>1758</v>
      </c>
      <c r="H115">
        <v>1</v>
      </c>
      <c r="I115">
        <v>52.52</v>
      </c>
      <c r="J115" s="50">
        <v>52.52</v>
      </c>
      <c r="K115" t="s">
        <v>1632</v>
      </c>
      <c r="M115" t="s">
        <v>1621</v>
      </c>
      <c r="N115">
        <v>27.72</v>
      </c>
      <c r="O115" s="49">
        <v>44778</v>
      </c>
      <c r="P115" s="50">
        <v>23.634</v>
      </c>
    </row>
    <row r="116" spans="4:16" x14ac:dyDescent="0.2">
      <c r="D116">
        <v>100000049</v>
      </c>
      <c r="E116" s="49">
        <v>44666</v>
      </c>
      <c r="F116" t="s">
        <v>1759</v>
      </c>
      <c r="G116" t="s">
        <v>1760</v>
      </c>
      <c r="H116">
        <v>4</v>
      </c>
      <c r="I116">
        <v>63.09</v>
      </c>
      <c r="J116" s="50">
        <v>252.36</v>
      </c>
      <c r="K116" t="s">
        <v>1632</v>
      </c>
      <c r="M116" t="s">
        <v>1619</v>
      </c>
      <c r="N116">
        <v>33.299999999999997</v>
      </c>
      <c r="O116" s="49">
        <v>44669</v>
      </c>
      <c r="P116" s="50">
        <v>113.56200000000001</v>
      </c>
    </row>
    <row r="117" spans="4:16" x14ac:dyDescent="0.2">
      <c r="D117">
        <v>100000049</v>
      </c>
      <c r="E117" s="49">
        <v>45202</v>
      </c>
      <c r="F117" t="s">
        <v>1759</v>
      </c>
      <c r="G117" t="s">
        <v>1628</v>
      </c>
      <c r="H117">
        <v>7</v>
      </c>
      <c r="I117">
        <v>34.4</v>
      </c>
      <c r="J117" s="50">
        <v>240.8</v>
      </c>
      <c r="K117" t="s">
        <v>1632</v>
      </c>
      <c r="M117" t="s">
        <v>1621</v>
      </c>
      <c r="N117">
        <v>18.16</v>
      </c>
      <c r="O117" s="49">
        <v>45206</v>
      </c>
      <c r="P117" s="50">
        <v>108.36000000000001</v>
      </c>
    </row>
    <row r="118" spans="4:16" x14ac:dyDescent="0.2">
      <c r="D118">
        <v>100000050</v>
      </c>
      <c r="E118" s="49">
        <v>44586</v>
      </c>
      <c r="F118" t="s">
        <v>1761</v>
      </c>
      <c r="G118" t="s">
        <v>1762</v>
      </c>
      <c r="H118">
        <v>1</v>
      </c>
      <c r="I118">
        <v>110.73</v>
      </c>
      <c r="J118" s="50">
        <v>110.73</v>
      </c>
      <c r="K118" t="s">
        <v>1618</v>
      </c>
      <c r="M118" t="s">
        <v>1624</v>
      </c>
      <c r="N118">
        <v>58.44</v>
      </c>
      <c r="O118" s="49">
        <v>44587</v>
      </c>
      <c r="P118" s="50">
        <v>49.828500000000005</v>
      </c>
    </row>
    <row r="119" spans="4:16" x14ac:dyDescent="0.2">
      <c r="D119">
        <v>100000051</v>
      </c>
      <c r="E119" s="49">
        <v>44584</v>
      </c>
      <c r="F119" t="s">
        <v>1763</v>
      </c>
      <c r="G119" t="s">
        <v>1720</v>
      </c>
      <c r="H119">
        <v>4</v>
      </c>
      <c r="I119">
        <v>51.52</v>
      </c>
      <c r="J119" s="50">
        <v>206.08</v>
      </c>
      <c r="K119" t="s">
        <v>1632</v>
      </c>
      <c r="L119" t="s">
        <v>1764</v>
      </c>
      <c r="M119" t="s">
        <v>1629</v>
      </c>
      <c r="N119">
        <v>27.19</v>
      </c>
      <c r="O119" s="49">
        <v>44587</v>
      </c>
      <c r="P119" s="50">
        <v>92.736000000000004</v>
      </c>
    </row>
    <row r="120" spans="4:16" x14ac:dyDescent="0.2">
      <c r="D120">
        <v>100000051</v>
      </c>
      <c r="E120" s="49">
        <v>44434</v>
      </c>
      <c r="F120" t="s">
        <v>1763</v>
      </c>
      <c r="G120" t="s">
        <v>1765</v>
      </c>
      <c r="H120">
        <v>1</v>
      </c>
      <c r="I120">
        <v>19.66</v>
      </c>
      <c r="J120" s="50">
        <v>19.66</v>
      </c>
      <c r="K120" t="s">
        <v>1632</v>
      </c>
      <c r="L120" t="s">
        <v>1764</v>
      </c>
      <c r="M120" t="s">
        <v>1621</v>
      </c>
      <c r="N120">
        <v>10.38</v>
      </c>
      <c r="O120" s="49">
        <v>44438</v>
      </c>
      <c r="P120" s="50">
        <v>8.8469999999999995</v>
      </c>
    </row>
    <row r="121" spans="4:16" x14ac:dyDescent="0.2">
      <c r="D121">
        <v>100000051</v>
      </c>
      <c r="E121" s="49">
        <v>44570</v>
      </c>
      <c r="F121" t="s">
        <v>1763</v>
      </c>
      <c r="G121" t="s">
        <v>1766</v>
      </c>
      <c r="H121">
        <v>3</v>
      </c>
      <c r="I121">
        <v>89.51</v>
      </c>
      <c r="J121" s="50">
        <v>268.52999999999997</v>
      </c>
      <c r="K121" t="s">
        <v>1632</v>
      </c>
      <c r="L121" t="s">
        <v>1764</v>
      </c>
      <c r="M121" t="s">
        <v>1629</v>
      </c>
      <c r="N121">
        <v>47.24</v>
      </c>
      <c r="O121" s="49">
        <v>44573</v>
      </c>
      <c r="P121" s="50">
        <v>120.8385</v>
      </c>
    </row>
    <row r="122" spans="4:16" x14ac:dyDescent="0.2">
      <c r="D122">
        <v>100000051</v>
      </c>
      <c r="E122" s="49">
        <v>44706</v>
      </c>
      <c r="F122" t="s">
        <v>1763</v>
      </c>
      <c r="G122" t="s">
        <v>1665</v>
      </c>
      <c r="H122">
        <v>7</v>
      </c>
      <c r="I122">
        <v>59.85</v>
      </c>
      <c r="J122" s="50">
        <v>418.95</v>
      </c>
      <c r="K122" t="s">
        <v>1632</v>
      </c>
      <c r="L122" t="s">
        <v>1764</v>
      </c>
      <c r="M122" t="s">
        <v>1627</v>
      </c>
      <c r="N122">
        <v>31.59</v>
      </c>
      <c r="O122" s="49">
        <v>44707</v>
      </c>
      <c r="P122" s="50">
        <v>188.5275</v>
      </c>
    </row>
    <row r="123" spans="4:16" x14ac:dyDescent="0.2">
      <c r="D123">
        <v>100000051</v>
      </c>
      <c r="E123" s="49">
        <v>44403</v>
      </c>
      <c r="F123" t="s">
        <v>1763</v>
      </c>
      <c r="G123" t="s">
        <v>1767</v>
      </c>
      <c r="H123">
        <v>2</v>
      </c>
      <c r="I123">
        <v>108.84</v>
      </c>
      <c r="J123" s="50">
        <v>217.68</v>
      </c>
      <c r="K123" t="s">
        <v>1632</v>
      </c>
      <c r="L123" t="s">
        <v>1764</v>
      </c>
      <c r="M123" t="s">
        <v>1627</v>
      </c>
      <c r="N123">
        <v>57.44</v>
      </c>
      <c r="O123" s="49">
        <v>44408</v>
      </c>
      <c r="P123" s="50">
        <v>97.956000000000003</v>
      </c>
    </row>
    <row r="124" spans="4:16" x14ac:dyDescent="0.2">
      <c r="D124">
        <v>100000051</v>
      </c>
      <c r="E124" s="49">
        <v>45524</v>
      </c>
      <c r="F124" t="s">
        <v>1763</v>
      </c>
      <c r="G124" t="s">
        <v>1768</v>
      </c>
      <c r="H124">
        <v>10</v>
      </c>
      <c r="I124">
        <v>87.24</v>
      </c>
      <c r="J124" s="50">
        <v>872.4</v>
      </c>
      <c r="K124" t="s">
        <v>1632</v>
      </c>
      <c r="L124" t="s">
        <v>1764</v>
      </c>
      <c r="M124" t="s">
        <v>1629</v>
      </c>
      <c r="N124">
        <v>46.04</v>
      </c>
      <c r="O124" s="49">
        <v>45526</v>
      </c>
      <c r="P124" s="50">
        <v>392.58</v>
      </c>
    </row>
    <row r="125" spans="4:16" x14ac:dyDescent="0.2">
      <c r="D125">
        <v>100000053</v>
      </c>
      <c r="E125" s="49">
        <v>45274</v>
      </c>
      <c r="F125" t="s">
        <v>1769</v>
      </c>
      <c r="G125" t="s">
        <v>1770</v>
      </c>
      <c r="H125">
        <v>9</v>
      </c>
      <c r="I125">
        <v>72.540000000000006</v>
      </c>
      <c r="J125" s="50">
        <v>652.86</v>
      </c>
      <c r="K125" t="s">
        <v>1632</v>
      </c>
      <c r="M125" t="s">
        <v>1621</v>
      </c>
      <c r="N125">
        <v>38.28</v>
      </c>
      <c r="O125" s="49">
        <v>45276</v>
      </c>
      <c r="P125" s="50">
        <v>293.78700000000003</v>
      </c>
    </row>
    <row r="126" spans="4:16" x14ac:dyDescent="0.2">
      <c r="D126">
        <v>100000054</v>
      </c>
      <c r="E126" s="49">
        <v>44448</v>
      </c>
      <c r="F126" t="s">
        <v>1771</v>
      </c>
      <c r="G126" t="s">
        <v>1738</v>
      </c>
      <c r="H126">
        <v>4</v>
      </c>
      <c r="I126">
        <v>96.48</v>
      </c>
      <c r="J126" s="50">
        <v>385.92</v>
      </c>
      <c r="K126" t="s">
        <v>1632</v>
      </c>
      <c r="L126" t="s">
        <v>1772</v>
      </c>
      <c r="M126" t="s">
        <v>1619</v>
      </c>
      <c r="N126">
        <v>50.92</v>
      </c>
      <c r="O126" s="49">
        <v>44450</v>
      </c>
      <c r="P126" s="50">
        <v>173.66400000000002</v>
      </c>
    </row>
    <row r="127" spans="4:16" x14ac:dyDescent="0.2">
      <c r="D127">
        <v>100000055</v>
      </c>
      <c r="E127" s="49">
        <v>45136</v>
      </c>
      <c r="F127" t="s">
        <v>1773</v>
      </c>
      <c r="G127" t="s">
        <v>1653</v>
      </c>
      <c r="H127">
        <v>8</v>
      </c>
      <c r="I127">
        <v>86.92</v>
      </c>
      <c r="J127" s="50">
        <v>695.36</v>
      </c>
      <c r="K127" t="s">
        <v>1618</v>
      </c>
      <c r="M127" t="s">
        <v>1627</v>
      </c>
      <c r="N127">
        <v>45.87</v>
      </c>
      <c r="O127" s="49">
        <v>45141</v>
      </c>
      <c r="P127" s="50">
        <v>312.91200000000003</v>
      </c>
    </row>
    <row r="128" spans="4:16" x14ac:dyDescent="0.2">
      <c r="D128">
        <v>100000055</v>
      </c>
      <c r="E128" s="49">
        <v>44515</v>
      </c>
      <c r="F128" t="s">
        <v>1773</v>
      </c>
      <c r="G128" t="s">
        <v>1665</v>
      </c>
      <c r="H128">
        <v>6</v>
      </c>
      <c r="I128">
        <v>89.62</v>
      </c>
      <c r="J128" s="50">
        <v>537.72</v>
      </c>
      <c r="K128" t="s">
        <v>1618</v>
      </c>
      <c r="M128" t="s">
        <v>1619</v>
      </c>
      <c r="N128">
        <v>47.3</v>
      </c>
      <c r="O128" s="49">
        <v>44520</v>
      </c>
      <c r="P128" s="50">
        <v>241.97400000000002</v>
      </c>
    </row>
    <row r="129" spans="4:16" x14ac:dyDescent="0.2">
      <c r="D129">
        <v>100000056</v>
      </c>
      <c r="E129" s="49">
        <v>44777</v>
      </c>
      <c r="F129" t="s">
        <v>1774</v>
      </c>
      <c r="G129" t="s">
        <v>1775</v>
      </c>
      <c r="H129">
        <v>9</v>
      </c>
      <c r="I129">
        <v>71.58</v>
      </c>
      <c r="J129" s="50">
        <v>644.22</v>
      </c>
      <c r="K129" t="s">
        <v>1632</v>
      </c>
      <c r="L129" t="s">
        <v>1776</v>
      </c>
      <c r="M129" t="s">
        <v>1627</v>
      </c>
      <c r="N129">
        <v>37.78</v>
      </c>
      <c r="O129" s="49">
        <v>44780</v>
      </c>
      <c r="P129" s="50">
        <v>289.899</v>
      </c>
    </row>
    <row r="130" spans="4:16" x14ac:dyDescent="0.2">
      <c r="D130">
        <v>100000056</v>
      </c>
      <c r="E130" s="49">
        <v>44493</v>
      </c>
      <c r="F130" t="s">
        <v>1774</v>
      </c>
      <c r="G130" t="s">
        <v>1777</v>
      </c>
      <c r="H130">
        <v>6</v>
      </c>
      <c r="I130">
        <v>76.61</v>
      </c>
      <c r="J130" s="50">
        <v>459.66</v>
      </c>
      <c r="K130" t="s">
        <v>1632</v>
      </c>
      <c r="L130" t="s">
        <v>1776</v>
      </c>
      <c r="M130" t="s">
        <v>1624</v>
      </c>
      <c r="N130">
        <v>40.43</v>
      </c>
      <c r="O130" s="49">
        <v>44498</v>
      </c>
      <c r="P130" s="50">
        <v>206.84700000000001</v>
      </c>
    </row>
    <row r="131" spans="4:16" x14ac:dyDescent="0.2">
      <c r="D131">
        <v>100000058</v>
      </c>
      <c r="E131" s="49">
        <v>45556</v>
      </c>
      <c r="F131" t="s">
        <v>1778</v>
      </c>
      <c r="G131" t="s">
        <v>1650</v>
      </c>
      <c r="H131">
        <v>9</v>
      </c>
      <c r="I131">
        <v>109.59</v>
      </c>
      <c r="J131" s="50">
        <v>986.31000000000006</v>
      </c>
      <c r="K131" t="s">
        <v>1618</v>
      </c>
      <c r="M131" t="s">
        <v>1624</v>
      </c>
      <c r="N131">
        <v>57.84</v>
      </c>
      <c r="O131" s="49">
        <v>45561</v>
      </c>
      <c r="P131" s="50">
        <v>443.83950000000004</v>
      </c>
    </row>
    <row r="132" spans="4:16" x14ac:dyDescent="0.2">
      <c r="D132">
        <v>100000059</v>
      </c>
      <c r="E132" s="49">
        <v>45612</v>
      </c>
      <c r="F132" t="s">
        <v>1779</v>
      </c>
      <c r="G132" t="s">
        <v>1756</v>
      </c>
      <c r="H132">
        <v>5</v>
      </c>
      <c r="I132">
        <v>112.16</v>
      </c>
      <c r="J132" s="50">
        <v>560.79999999999995</v>
      </c>
      <c r="K132" t="s">
        <v>1632</v>
      </c>
      <c r="M132" t="s">
        <v>1627</v>
      </c>
      <c r="N132">
        <v>59.2</v>
      </c>
      <c r="O132" s="49">
        <v>45616</v>
      </c>
      <c r="P132" s="50">
        <v>252.35999999999999</v>
      </c>
    </row>
    <row r="133" spans="4:16" x14ac:dyDescent="0.2">
      <c r="D133">
        <v>100000060</v>
      </c>
      <c r="E133" s="49">
        <v>45100</v>
      </c>
      <c r="F133" t="s">
        <v>1780</v>
      </c>
      <c r="G133" t="s">
        <v>1781</v>
      </c>
      <c r="H133">
        <v>5</v>
      </c>
      <c r="I133">
        <v>29.62</v>
      </c>
      <c r="J133" s="50">
        <v>148.1</v>
      </c>
      <c r="K133" t="s">
        <v>1618</v>
      </c>
      <c r="M133" t="s">
        <v>1619</v>
      </c>
      <c r="N133">
        <v>15.63</v>
      </c>
      <c r="O133" s="49">
        <v>45105</v>
      </c>
      <c r="P133" s="50">
        <v>66.644999999999996</v>
      </c>
    </row>
    <row r="134" spans="4:16" x14ac:dyDescent="0.2">
      <c r="D134">
        <v>100000060</v>
      </c>
      <c r="E134" s="49">
        <v>44830</v>
      </c>
      <c r="F134" t="s">
        <v>1780</v>
      </c>
      <c r="G134" t="s">
        <v>1782</v>
      </c>
      <c r="H134">
        <v>8</v>
      </c>
      <c r="I134">
        <v>67.06</v>
      </c>
      <c r="J134" s="50">
        <v>536.48</v>
      </c>
      <c r="K134" t="s">
        <v>1618</v>
      </c>
      <c r="M134" t="s">
        <v>1621</v>
      </c>
      <c r="N134">
        <v>35.39</v>
      </c>
      <c r="O134" s="49">
        <v>44831</v>
      </c>
      <c r="P134" s="50">
        <v>241.41600000000003</v>
      </c>
    </row>
    <row r="135" spans="4:16" x14ac:dyDescent="0.2">
      <c r="D135">
        <v>100000060</v>
      </c>
      <c r="E135" s="49">
        <v>45315</v>
      </c>
      <c r="F135" t="s">
        <v>1780</v>
      </c>
      <c r="G135" t="s">
        <v>1783</v>
      </c>
      <c r="H135">
        <v>10</v>
      </c>
      <c r="I135">
        <v>41.31</v>
      </c>
      <c r="J135" s="50">
        <v>413.1</v>
      </c>
      <c r="K135" t="s">
        <v>1618</v>
      </c>
      <c r="M135" t="s">
        <v>1627</v>
      </c>
      <c r="N135">
        <v>21.8</v>
      </c>
      <c r="O135" s="49">
        <v>45317</v>
      </c>
      <c r="P135" s="50">
        <v>185.89500000000001</v>
      </c>
    </row>
    <row r="136" spans="4:16" x14ac:dyDescent="0.2">
      <c r="D136">
        <v>100000061</v>
      </c>
      <c r="E136" s="49">
        <v>44340</v>
      </c>
      <c r="F136" t="s">
        <v>1784</v>
      </c>
      <c r="G136" t="s">
        <v>1785</v>
      </c>
      <c r="H136">
        <v>3</v>
      </c>
      <c r="I136">
        <v>100.72</v>
      </c>
      <c r="J136" s="50">
        <v>302.16000000000003</v>
      </c>
      <c r="K136" t="s">
        <v>1632</v>
      </c>
      <c r="M136" t="s">
        <v>1619</v>
      </c>
      <c r="N136">
        <v>53.16</v>
      </c>
      <c r="O136" s="49">
        <v>44344</v>
      </c>
      <c r="P136" s="50">
        <v>135.97200000000001</v>
      </c>
    </row>
    <row r="137" spans="4:16" x14ac:dyDescent="0.2">
      <c r="D137">
        <v>100000062</v>
      </c>
      <c r="E137" s="49">
        <v>45440</v>
      </c>
      <c r="F137" t="s">
        <v>1786</v>
      </c>
      <c r="G137" t="s">
        <v>1628</v>
      </c>
      <c r="H137">
        <v>8</v>
      </c>
      <c r="I137">
        <v>79.62</v>
      </c>
      <c r="J137" s="50">
        <v>636.96</v>
      </c>
      <c r="K137" t="s">
        <v>1618</v>
      </c>
      <c r="M137" t="s">
        <v>1621</v>
      </c>
      <c r="N137">
        <v>42.02</v>
      </c>
      <c r="O137" s="49">
        <v>45442</v>
      </c>
      <c r="P137" s="50">
        <v>286.63200000000001</v>
      </c>
    </row>
    <row r="138" spans="4:16" x14ac:dyDescent="0.2">
      <c r="D138">
        <v>100000062</v>
      </c>
      <c r="E138" s="49">
        <v>44797</v>
      </c>
      <c r="F138" t="s">
        <v>1786</v>
      </c>
      <c r="G138" t="s">
        <v>1787</v>
      </c>
      <c r="H138">
        <v>8</v>
      </c>
      <c r="I138">
        <v>95.44</v>
      </c>
      <c r="J138" s="50">
        <v>763.52</v>
      </c>
      <c r="K138" t="s">
        <v>1618</v>
      </c>
      <c r="M138" t="s">
        <v>1619</v>
      </c>
      <c r="N138">
        <v>50.37</v>
      </c>
      <c r="O138" s="49">
        <v>44802</v>
      </c>
      <c r="P138" s="50">
        <v>343.584</v>
      </c>
    </row>
    <row r="139" spans="4:16" x14ac:dyDescent="0.2">
      <c r="D139">
        <v>100000063</v>
      </c>
      <c r="E139" s="49">
        <v>44567</v>
      </c>
      <c r="F139" t="s">
        <v>1788</v>
      </c>
      <c r="G139" t="s">
        <v>1789</v>
      </c>
      <c r="H139">
        <v>10</v>
      </c>
      <c r="I139">
        <v>92.24</v>
      </c>
      <c r="J139" s="50">
        <v>922.4</v>
      </c>
      <c r="K139" t="s">
        <v>1618</v>
      </c>
      <c r="M139" t="s">
        <v>1629</v>
      </c>
      <c r="N139">
        <v>48.68</v>
      </c>
      <c r="O139" s="49">
        <v>44572</v>
      </c>
      <c r="P139" s="50">
        <v>415.08</v>
      </c>
    </row>
    <row r="140" spans="4:16" x14ac:dyDescent="0.2">
      <c r="D140">
        <v>100000064</v>
      </c>
      <c r="E140" s="49">
        <v>44959</v>
      </c>
      <c r="F140" t="s">
        <v>1790</v>
      </c>
      <c r="G140" t="s">
        <v>1765</v>
      </c>
      <c r="H140">
        <v>10</v>
      </c>
      <c r="I140">
        <v>88.39</v>
      </c>
      <c r="J140" s="50">
        <v>883.9</v>
      </c>
      <c r="K140" t="s">
        <v>1632</v>
      </c>
      <c r="M140" t="s">
        <v>1624</v>
      </c>
      <c r="N140">
        <v>46.65</v>
      </c>
      <c r="O140" s="49">
        <v>44964</v>
      </c>
      <c r="P140" s="50">
        <v>397.755</v>
      </c>
    </row>
    <row r="141" spans="4:16" x14ac:dyDescent="0.2">
      <c r="D141">
        <v>100000065</v>
      </c>
      <c r="E141" s="49">
        <v>44230</v>
      </c>
      <c r="F141" t="s">
        <v>1791</v>
      </c>
      <c r="G141" t="s">
        <v>1792</v>
      </c>
      <c r="H141">
        <v>10</v>
      </c>
      <c r="I141">
        <v>99.2</v>
      </c>
      <c r="J141" s="50">
        <v>992</v>
      </c>
      <c r="K141" t="s">
        <v>1618</v>
      </c>
      <c r="M141" t="s">
        <v>1629</v>
      </c>
      <c r="N141">
        <v>52.36</v>
      </c>
      <c r="O141" s="49">
        <v>44234</v>
      </c>
      <c r="P141" s="50">
        <v>446.40000000000003</v>
      </c>
    </row>
    <row r="142" spans="4:16" x14ac:dyDescent="0.2">
      <c r="D142">
        <v>100000066</v>
      </c>
      <c r="E142" s="49">
        <v>45568</v>
      </c>
      <c r="F142" t="s">
        <v>1793</v>
      </c>
      <c r="G142" t="s">
        <v>1707</v>
      </c>
      <c r="H142">
        <v>4</v>
      </c>
      <c r="I142">
        <v>109.58</v>
      </c>
      <c r="J142" s="50">
        <v>438.32</v>
      </c>
      <c r="K142" t="s">
        <v>1618</v>
      </c>
      <c r="M142" t="s">
        <v>1629</v>
      </c>
      <c r="N142">
        <v>57.83</v>
      </c>
      <c r="O142" s="49">
        <v>45570</v>
      </c>
      <c r="P142" s="50">
        <v>197.244</v>
      </c>
    </row>
    <row r="143" spans="4:16" x14ac:dyDescent="0.2">
      <c r="D143">
        <v>100000066</v>
      </c>
      <c r="E143" s="49">
        <v>44445</v>
      </c>
      <c r="F143" t="s">
        <v>1793</v>
      </c>
      <c r="G143" t="s">
        <v>1794</v>
      </c>
      <c r="H143">
        <v>10</v>
      </c>
      <c r="I143">
        <v>53.56</v>
      </c>
      <c r="J143" s="50">
        <v>535.6</v>
      </c>
      <c r="K143" t="s">
        <v>1618</v>
      </c>
      <c r="M143" t="s">
        <v>1629</v>
      </c>
      <c r="N143">
        <v>28.27</v>
      </c>
      <c r="O143" s="49">
        <v>44447</v>
      </c>
      <c r="P143" s="50">
        <v>241.02</v>
      </c>
    </row>
    <row r="144" spans="4:16" x14ac:dyDescent="0.2">
      <c r="D144">
        <v>100000066</v>
      </c>
      <c r="E144" s="49">
        <v>45624</v>
      </c>
      <c r="F144" t="s">
        <v>1793</v>
      </c>
      <c r="G144" t="s">
        <v>1795</v>
      </c>
      <c r="H144">
        <v>7</v>
      </c>
      <c r="I144">
        <v>60.32</v>
      </c>
      <c r="J144" s="50">
        <v>422.24</v>
      </c>
      <c r="K144" t="s">
        <v>1618</v>
      </c>
      <c r="M144" t="s">
        <v>1629</v>
      </c>
      <c r="N144">
        <v>31.84</v>
      </c>
      <c r="O144" s="49">
        <v>45625</v>
      </c>
      <c r="P144" s="50">
        <v>190.00800000000001</v>
      </c>
    </row>
    <row r="145" spans="4:16" x14ac:dyDescent="0.2">
      <c r="D145">
        <v>100000067</v>
      </c>
      <c r="E145" s="49">
        <v>44581</v>
      </c>
      <c r="F145" t="s">
        <v>1796</v>
      </c>
      <c r="G145" t="s">
        <v>1797</v>
      </c>
      <c r="H145">
        <v>10</v>
      </c>
      <c r="I145">
        <v>39.56</v>
      </c>
      <c r="J145" s="50">
        <v>395.6</v>
      </c>
      <c r="K145" t="s">
        <v>1618</v>
      </c>
      <c r="L145" t="s">
        <v>1798</v>
      </c>
      <c r="M145" t="s">
        <v>1629</v>
      </c>
      <c r="N145">
        <v>20.88</v>
      </c>
      <c r="O145" s="49">
        <v>44586</v>
      </c>
      <c r="P145" s="50">
        <v>178.02</v>
      </c>
    </row>
    <row r="146" spans="4:16" x14ac:dyDescent="0.2">
      <c r="D146">
        <v>100000067</v>
      </c>
      <c r="E146" s="49">
        <v>45309</v>
      </c>
      <c r="F146" t="s">
        <v>1796</v>
      </c>
      <c r="G146" t="s">
        <v>1799</v>
      </c>
      <c r="H146">
        <v>6</v>
      </c>
      <c r="I146">
        <v>91.03</v>
      </c>
      <c r="J146" s="50">
        <v>546.18000000000006</v>
      </c>
      <c r="K146" t="s">
        <v>1618</v>
      </c>
      <c r="L146" t="s">
        <v>1798</v>
      </c>
      <c r="M146" t="s">
        <v>1619</v>
      </c>
      <c r="N146">
        <v>48.04</v>
      </c>
      <c r="O146" s="49">
        <v>45310</v>
      </c>
      <c r="P146" s="50">
        <v>245.78100000000003</v>
      </c>
    </row>
    <row r="147" spans="4:16" x14ac:dyDescent="0.2">
      <c r="D147">
        <v>100000068</v>
      </c>
      <c r="E147" s="49">
        <v>45003</v>
      </c>
      <c r="F147" t="s">
        <v>1800</v>
      </c>
      <c r="G147" t="s">
        <v>1777</v>
      </c>
      <c r="H147">
        <v>5</v>
      </c>
      <c r="I147">
        <v>103.25</v>
      </c>
      <c r="J147" s="50">
        <v>516.25</v>
      </c>
      <c r="K147" t="s">
        <v>1632</v>
      </c>
      <c r="M147" t="s">
        <v>1627</v>
      </c>
      <c r="N147">
        <v>54.49</v>
      </c>
      <c r="O147" s="49">
        <v>45007</v>
      </c>
      <c r="P147" s="50">
        <v>232.3125</v>
      </c>
    </row>
    <row r="148" spans="4:16" x14ac:dyDescent="0.2">
      <c r="D148">
        <v>100000068</v>
      </c>
      <c r="E148" s="49">
        <v>45444</v>
      </c>
      <c r="F148" t="s">
        <v>1800</v>
      </c>
      <c r="G148" t="s">
        <v>1801</v>
      </c>
      <c r="H148">
        <v>7</v>
      </c>
      <c r="I148">
        <v>26.28</v>
      </c>
      <c r="J148" s="50">
        <v>183.96</v>
      </c>
      <c r="K148" t="s">
        <v>1632</v>
      </c>
      <c r="M148" t="s">
        <v>1627</v>
      </c>
      <c r="N148">
        <v>13.87</v>
      </c>
      <c r="O148" s="49">
        <v>45449</v>
      </c>
      <c r="P148" s="50">
        <v>82.782000000000011</v>
      </c>
    </row>
    <row r="149" spans="4:16" x14ac:dyDescent="0.2">
      <c r="D149">
        <v>100000068</v>
      </c>
      <c r="E149" s="49">
        <v>44302</v>
      </c>
      <c r="F149" t="s">
        <v>1800</v>
      </c>
      <c r="G149" t="s">
        <v>1617</v>
      </c>
      <c r="H149">
        <v>1</v>
      </c>
      <c r="I149">
        <v>82.31</v>
      </c>
      <c r="J149" s="50">
        <v>82.31</v>
      </c>
      <c r="K149" t="s">
        <v>1632</v>
      </c>
      <c r="M149" t="s">
        <v>1624</v>
      </c>
      <c r="N149">
        <v>43.44</v>
      </c>
      <c r="O149" s="49">
        <v>44307</v>
      </c>
      <c r="P149" s="50">
        <v>37.039500000000004</v>
      </c>
    </row>
    <row r="150" spans="4:16" x14ac:dyDescent="0.2">
      <c r="D150">
        <v>100000068</v>
      </c>
      <c r="E150" s="49">
        <v>45143</v>
      </c>
      <c r="F150" t="s">
        <v>1800</v>
      </c>
      <c r="G150" t="s">
        <v>1802</v>
      </c>
      <c r="H150">
        <v>2</v>
      </c>
      <c r="I150">
        <v>82.68</v>
      </c>
      <c r="J150" s="50">
        <v>165.36</v>
      </c>
      <c r="K150" t="s">
        <v>1632</v>
      </c>
      <c r="M150" t="s">
        <v>1621</v>
      </c>
      <c r="N150">
        <v>43.64</v>
      </c>
      <c r="O150" s="49">
        <v>45144</v>
      </c>
      <c r="P150" s="50">
        <v>74.412000000000006</v>
      </c>
    </row>
    <row r="151" spans="4:16" x14ac:dyDescent="0.2">
      <c r="D151">
        <v>100000069</v>
      </c>
      <c r="E151" s="49">
        <v>44628</v>
      </c>
      <c r="F151" t="s">
        <v>1803</v>
      </c>
      <c r="G151" t="s">
        <v>1775</v>
      </c>
      <c r="H151">
        <v>6</v>
      </c>
      <c r="I151">
        <v>77.53</v>
      </c>
      <c r="J151" s="50">
        <v>465.18</v>
      </c>
      <c r="K151" t="s">
        <v>1618</v>
      </c>
      <c r="M151" t="s">
        <v>1621</v>
      </c>
      <c r="N151">
        <v>40.92</v>
      </c>
      <c r="O151" s="49">
        <v>44630</v>
      </c>
      <c r="P151" s="50">
        <v>209.33100000000002</v>
      </c>
    </row>
    <row r="152" spans="4:16" x14ac:dyDescent="0.2">
      <c r="D152">
        <v>100000069</v>
      </c>
      <c r="E152" s="49">
        <v>44923</v>
      </c>
      <c r="F152" t="s">
        <v>1803</v>
      </c>
      <c r="G152" t="s">
        <v>1691</v>
      </c>
      <c r="H152">
        <v>6</v>
      </c>
      <c r="I152">
        <v>27.88</v>
      </c>
      <c r="J152" s="50">
        <v>167.28</v>
      </c>
      <c r="K152" t="s">
        <v>1618</v>
      </c>
      <c r="M152" t="s">
        <v>1627</v>
      </c>
      <c r="N152">
        <v>14.71</v>
      </c>
      <c r="O152" s="49">
        <v>44928</v>
      </c>
      <c r="P152" s="50">
        <v>75.275999999999996</v>
      </c>
    </row>
    <row r="153" spans="4:16" x14ac:dyDescent="0.2">
      <c r="D153">
        <v>100000070</v>
      </c>
      <c r="E153" s="49">
        <v>44681</v>
      </c>
      <c r="F153" t="s">
        <v>1804</v>
      </c>
      <c r="G153" t="s">
        <v>1805</v>
      </c>
      <c r="H153">
        <v>1</v>
      </c>
      <c r="I153">
        <v>104.78</v>
      </c>
      <c r="J153" s="50">
        <v>104.78</v>
      </c>
      <c r="K153" t="s">
        <v>1618</v>
      </c>
      <c r="L153" t="s">
        <v>1806</v>
      </c>
      <c r="M153" t="s">
        <v>1619</v>
      </c>
      <c r="N153">
        <v>55.3</v>
      </c>
      <c r="O153" s="49">
        <v>44682</v>
      </c>
      <c r="P153" s="50">
        <v>47.151000000000003</v>
      </c>
    </row>
    <row r="154" spans="4:16" x14ac:dyDescent="0.2">
      <c r="D154">
        <v>100000070</v>
      </c>
      <c r="E154" s="49">
        <v>44546</v>
      </c>
      <c r="F154" t="s">
        <v>1804</v>
      </c>
      <c r="G154" t="s">
        <v>1807</v>
      </c>
      <c r="H154">
        <v>4</v>
      </c>
      <c r="I154">
        <v>73.55</v>
      </c>
      <c r="J154" s="50">
        <v>294.2</v>
      </c>
      <c r="K154" t="s">
        <v>1618</v>
      </c>
      <c r="L154" t="s">
        <v>1806</v>
      </c>
      <c r="M154" t="s">
        <v>1624</v>
      </c>
      <c r="N154">
        <v>38.82</v>
      </c>
      <c r="O154" s="49">
        <v>44551</v>
      </c>
      <c r="P154" s="50">
        <v>132.38999999999999</v>
      </c>
    </row>
    <row r="155" spans="4:16" x14ac:dyDescent="0.2">
      <c r="D155">
        <v>100000070</v>
      </c>
      <c r="E155" s="49">
        <v>44202</v>
      </c>
      <c r="F155" t="s">
        <v>1804</v>
      </c>
      <c r="G155" t="s">
        <v>1808</v>
      </c>
      <c r="H155">
        <v>3</v>
      </c>
      <c r="I155">
        <v>113.19</v>
      </c>
      <c r="J155" s="50">
        <v>339.57</v>
      </c>
      <c r="K155" t="s">
        <v>1618</v>
      </c>
      <c r="L155" t="s">
        <v>1806</v>
      </c>
      <c r="M155" t="s">
        <v>1629</v>
      </c>
      <c r="N155">
        <v>59.74</v>
      </c>
      <c r="O155" s="49">
        <v>44205</v>
      </c>
      <c r="P155" s="50">
        <v>152.8065</v>
      </c>
    </row>
    <row r="156" spans="4:16" x14ac:dyDescent="0.2">
      <c r="D156">
        <v>100000070</v>
      </c>
      <c r="E156" s="49">
        <v>45496</v>
      </c>
      <c r="F156" t="s">
        <v>1804</v>
      </c>
      <c r="G156" t="s">
        <v>1671</v>
      </c>
      <c r="H156">
        <v>6</v>
      </c>
      <c r="I156">
        <v>88.13</v>
      </c>
      <c r="J156" s="50">
        <v>528.78</v>
      </c>
      <c r="K156" t="s">
        <v>1618</v>
      </c>
      <c r="L156" t="s">
        <v>1806</v>
      </c>
      <c r="M156" t="s">
        <v>1629</v>
      </c>
      <c r="N156">
        <v>46.51</v>
      </c>
      <c r="O156" s="49">
        <v>45500</v>
      </c>
      <c r="P156" s="50">
        <v>237.95099999999999</v>
      </c>
    </row>
    <row r="157" spans="4:16" x14ac:dyDescent="0.2">
      <c r="D157">
        <v>100000071</v>
      </c>
      <c r="E157" s="49">
        <v>44658</v>
      </c>
      <c r="F157" t="s">
        <v>1809</v>
      </c>
      <c r="G157" t="s">
        <v>1631</v>
      </c>
      <c r="H157">
        <v>8</v>
      </c>
      <c r="I157">
        <v>81.260000000000005</v>
      </c>
      <c r="J157" s="50">
        <v>650.08000000000004</v>
      </c>
      <c r="K157" t="s">
        <v>1618</v>
      </c>
      <c r="M157" t="s">
        <v>1621</v>
      </c>
      <c r="N157">
        <v>42.89</v>
      </c>
      <c r="O157" s="49">
        <v>44662</v>
      </c>
      <c r="P157" s="50">
        <v>292.536</v>
      </c>
    </row>
    <row r="158" spans="4:16" x14ac:dyDescent="0.2">
      <c r="D158">
        <v>100000071</v>
      </c>
      <c r="E158" s="49">
        <v>45183</v>
      </c>
      <c r="F158" t="s">
        <v>1809</v>
      </c>
      <c r="G158" t="s">
        <v>1620</v>
      </c>
      <c r="H158">
        <v>4</v>
      </c>
      <c r="I158">
        <v>43.37</v>
      </c>
      <c r="J158" s="50">
        <v>173.48</v>
      </c>
      <c r="K158" t="s">
        <v>1618</v>
      </c>
      <c r="M158" t="s">
        <v>1629</v>
      </c>
      <c r="N158">
        <v>22.89</v>
      </c>
      <c r="O158" s="49">
        <v>45184</v>
      </c>
      <c r="P158" s="50">
        <v>78.066000000000003</v>
      </c>
    </row>
    <row r="159" spans="4:16" x14ac:dyDescent="0.2">
      <c r="D159">
        <v>100000072</v>
      </c>
      <c r="E159" s="49">
        <v>44393</v>
      </c>
      <c r="F159" t="s">
        <v>1810</v>
      </c>
      <c r="G159" t="s">
        <v>1653</v>
      </c>
      <c r="H159">
        <v>9</v>
      </c>
      <c r="I159">
        <v>53.54</v>
      </c>
      <c r="J159" s="50">
        <v>481.86</v>
      </c>
      <c r="K159" t="s">
        <v>1632</v>
      </c>
      <c r="M159" t="s">
        <v>1629</v>
      </c>
      <c r="N159">
        <v>28.26</v>
      </c>
      <c r="O159" s="49">
        <v>44398</v>
      </c>
      <c r="P159" s="50">
        <v>216.83700000000002</v>
      </c>
    </row>
    <row r="160" spans="4:16" x14ac:dyDescent="0.2">
      <c r="D160">
        <v>100000072</v>
      </c>
      <c r="E160" s="49">
        <v>44604</v>
      </c>
      <c r="F160" t="s">
        <v>1810</v>
      </c>
      <c r="G160" t="s">
        <v>1667</v>
      </c>
      <c r="H160">
        <v>2</v>
      </c>
      <c r="I160">
        <v>51.87</v>
      </c>
      <c r="J160" s="50">
        <v>103.74</v>
      </c>
      <c r="K160" t="s">
        <v>1632</v>
      </c>
      <c r="M160" t="s">
        <v>1629</v>
      </c>
      <c r="N160">
        <v>27.38</v>
      </c>
      <c r="O160" s="49">
        <v>44608</v>
      </c>
      <c r="P160" s="50">
        <v>46.683</v>
      </c>
    </row>
    <row r="161" spans="4:16" x14ac:dyDescent="0.2">
      <c r="D161">
        <v>100000073</v>
      </c>
      <c r="E161" s="49">
        <v>44316</v>
      </c>
      <c r="F161" t="s">
        <v>1811</v>
      </c>
      <c r="G161" t="s">
        <v>1812</v>
      </c>
      <c r="H161">
        <v>4</v>
      </c>
      <c r="I161">
        <v>65.489999999999995</v>
      </c>
      <c r="J161" s="50">
        <v>261.95999999999998</v>
      </c>
      <c r="K161" t="s">
        <v>1632</v>
      </c>
      <c r="M161" t="s">
        <v>1629</v>
      </c>
      <c r="N161">
        <v>34.56</v>
      </c>
      <c r="O161" s="49">
        <v>44321</v>
      </c>
      <c r="P161" s="50">
        <v>117.88199999999999</v>
      </c>
    </row>
    <row r="162" spans="4:16" x14ac:dyDescent="0.2">
      <c r="D162">
        <v>100000074</v>
      </c>
      <c r="E162" s="49">
        <v>45493</v>
      </c>
      <c r="F162" t="s">
        <v>1813</v>
      </c>
      <c r="G162" t="s">
        <v>1639</v>
      </c>
      <c r="H162">
        <v>8</v>
      </c>
      <c r="I162">
        <v>76.47</v>
      </c>
      <c r="J162" s="50">
        <v>611.76</v>
      </c>
      <c r="K162" t="s">
        <v>1632</v>
      </c>
      <c r="M162" t="s">
        <v>1629</v>
      </c>
      <c r="N162">
        <v>40.36</v>
      </c>
      <c r="O162" s="49">
        <v>45496</v>
      </c>
      <c r="P162" s="50">
        <v>275.29200000000003</v>
      </c>
    </row>
    <row r="163" spans="4:16" x14ac:dyDescent="0.2">
      <c r="D163">
        <v>100000074</v>
      </c>
      <c r="E163" s="49">
        <v>45573</v>
      </c>
      <c r="F163" t="s">
        <v>1813</v>
      </c>
      <c r="G163" t="s">
        <v>1653</v>
      </c>
      <c r="H163">
        <v>6</v>
      </c>
      <c r="I163">
        <v>55.98</v>
      </c>
      <c r="J163" s="50">
        <v>335.88</v>
      </c>
      <c r="K163" t="s">
        <v>1632</v>
      </c>
      <c r="M163" t="s">
        <v>1621</v>
      </c>
      <c r="N163">
        <v>29.54</v>
      </c>
      <c r="O163" s="49">
        <v>45576</v>
      </c>
      <c r="P163" s="50">
        <v>151.14600000000002</v>
      </c>
    </row>
    <row r="164" spans="4:16" x14ac:dyDescent="0.2">
      <c r="D164">
        <v>100000074</v>
      </c>
      <c r="E164" s="49">
        <v>44701</v>
      </c>
      <c r="F164" t="s">
        <v>1813</v>
      </c>
      <c r="G164" t="s">
        <v>1717</v>
      </c>
      <c r="H164">
        <v>10</v>
      </c>
      <c r="I164">
        <v>20.23</v>
      </c>
      <c r="J164" s="50">
        <v>202.3</v>
      </c>
      <c r="K164" t="s">
        <v>1632</v>
      </c>
      <c r="M164" t="s">
        <v>1627</v>
      </c>
      <c r="N164">
        <v>10.68</v>
      </c>
      <c r="O164" s="49">
        <v>44703</v>
      </c>
      <c r="P164" s="50">
        <v>91.035000000000011</v>
      </c>
    </row>
    <row r="165" spans="4:16" x14ac:dyDescent="0.2">
      <c r="D165">
        <v>100000075</v>
      </c>
      <c r="E165" s="49">
        <v>44506</v>
      </c>
      <c r="F165" t="s">
        <v>1814</v>
      </c>
      <c r="G165" t="s">
        <v>1815</v>
      </c>
      <c r="H165">
        <v>10</v>
      </c>
      <c r="I165">
        <v>53.54</v>
      </c>
      <c r="J165" s="50">
        <v>535.4</v>
      </c>
      <c r="K165" t="s">
        <v>1632</v>
      </c>
      <c r="M165" t="s">
        <v>1621</v>
      </c>
      <c r="N165">
        <v>28.26</v>
      </c>
      <c r="O165" s="49">
        <v>44508</v>
      </c>
      <c r="P165" s="50">
        <v>240.93</v>
      </c>
    </row>
    <row r="166" spans="4:16" x14ac:dyDescent="0.2">
      <c r="D166">
        <v>100000076</v>
      </c>
      <c r="E166" s="49">
        <v>45354</v>
      </c>
      <c r="F166" t="s">
        <v>1816</v>
      </c>
      <c r="G166" t="s">
        <v>1817</v>
      </c>
      <c r="H166">
        <v>1</v>
      </c>
      <c r="I166">
        <v>27.3</v>
      </c>
      <c r="J166" s="50">
        <v>27.3</v>
      </c>
      <c r="K166" t="s">
        <v>1618</v>
      </c>
      <c r="M166" t="s">
        <v>1624</v>
      </c>
      <c r="N166">
        <v>14.41</v>
      </c>
      <c r="O166" s="49">
        <v>45359</v>
      </c>
      <c r="P166" s="50">
        <v>12.285</v>
      </c>
    </row>
    <row r="167" spans="4:16" x14ac:dyDescent="0.2">
      <c r="D167">
        <v>100000078</v>
      </c>
      <c r="E167" s="49">
        <v>44719</v>
      </c>
      <c r="F167" t="s">
        <v>1818</v>
      </c>
      <c r="G167" t="s">
        <v>1819</v>
      </c>
      <c r="H167">
        <v>9</v>
      </c>
      <c r="I167">
        <v>16.52</v>
      </c>
      <c r="J167" s="50">
        <v>148.68</v>
      </c>
      <c r="K167" t="s">
        <v>1618</v>
      </c>
      <c r="M167" t="s">
        <v>1629</v>
      </c>
      <c r="N167">
        <v>8.7200000000000006</v>
      </c>
      <c r="O167" s="49">
        <v>44723</v>
      </c>
      <c r="P167" s="50">
        <v>66.906000000000006</v>
      </c>
    </row>
    <row r="168" spans="4:16" x14ac:dyDescent="0.2">
      <c r="D168">
        <v>100000078</v>
      </c>
      <c r="E168" s="49">
        <v>45334</v>
      </c>
      <c r="F168" t="s">
        <v>1818</v>
      </c>
      <c r="G168" t="s">
        <v>1733</v>
      </c>
      <c r="H168">
        <v>10</v>
      </c>
      <c r="I168">
        <v>22.46</v>
      </c>
      <c r="J168" s="50">
        <v>224.6</v>
      </c>
      <c r="K168" t="s">
        <v>1618</v>
      </c>
      <c r="M168" t="s">
        <v>1629</v>
      </c>
      <c r="N168">
        <v>11.85</v>
      </c>
      <c r="O168" s="49">
        <v>45338</v>
      </c>
      <c r="P168" s="50">
        <v>101.07</v>
      </c>
    </row>
    <row r="169" spans="4:16" x14ac:dyDescent="0.2">
      <c r="D169">
        <v>100000078</v>
      </c>
      <c r="E169" s="49">
        <v>44334</v>
      </c>
      <c r="F169" t="s">
        <v>1818</v>
      </c>
      <c r="G169" t="s">
        <v>1820</v>
      </c>
      <c r="H169">
        <v>5</v>
      </c>
      <c r="I169">
        <v>99.66</v>
      </c>
      <c r="J169" s="50">
        <v>498.3</v>
      </c>
      <c r="K169" t="s">
        <v>1618</v>
      </c>
      <c r="M169" t="s">
        <v>1619</v>
      </c>
      <c r="N169">
        <v>52.6</v>
      </c>
      <c r="O169" s="49">
        <v>44339</v>
      </c>
      <c r="P169" s="50">
        <v>224.23500000000001</v>
      </c>
    </row>
    <row r="170" spans="4:16" x14ac:dyDescent="0.2">
      <c r="D170">
        <v>100000079</v>
      </c>
      <c r="E170" s="49">
        <v>45420</v>
      </c>
      <c r="F170" t="s">
        <v>1821</v>
      </c>
      <c r="G170" t="s">
        <v>1677</v>
      </c>
      <c r="H170">
        <v>6</v>
      </c>
      <c r="I170">
        <v>48.6</v>
      </c>
      <c r="J170" s="50">
        <v>291.60000000000002</v>
      </c>
      <c r="K170" t="s">
        <v>1618</v>
      </c>
      <c r="L170" t="s">
        <v>1822</v>
      </c>
      <c r="M170" t="s">
        <v>1624</v>
      </c>
      <c r="N170">
        <v>25.65</v>
      </c>
      <c r="O170" s="49">
        <v>45422</v>
      </c>
      <c r="P170" s="50">
        <v>131.22000000000003</v>
      </c>
    </row>
    <row r="171" spans="4:16" x14ac:dyDescent="0.2">
      <c r="D171">
        <v>100000079</v>
      </c>
      <c r="E171" s="49">
        <v>44356</v>
      </c>
      <c r="F171" t="s">
        <v>1821</v>
      </c>
      <c r="G171" t="s">
        <v>1823</v>
      </c>
      <c r="H171">
        <v>1</v>
      </c>
      <c r="I171">
        <v>102.4</v>
      </c>
      <c r="J171" s="50">
        <v>102.4</v>
      </c>
      <c r="K171" t="s">
        <v>1618</v>
      </c>
      <c r="L171" t="s">
        <v>1822</v>
      </c>
      <c r="M171" t="s">
        <v>1629</v>
      </c>
      <c r="N171">
        <v>54.04</v>
      </c>
      <c r="O171" s="49">
        <v>44359</v>
      </c>
      <c r="P171" s="50">
        <v>46.080000000000005</v>
      </c>
    </row>
    <row r="172" spans="4:16" x14ac:dyDescent="0.2">
      <c r="D172">
        <v>100000079</v>
      </c>
      <c r="E172" s="49">
        <v>45471</v>
      </c>
      <c r="F172" t="s">
        <v>1821</v>
      </c>
      <c r="G172" t="s">
        <v>1801</v>
      </c>
      <c r="H172">
        <v>1</v>
      </c>
      <c r="I172">
        <v>84.68</v>
      </c>
      <c r="J172" s="50">
        <v>84.68</v>
      </c>
      <c r="K172" t="s">
        <v>1618</v>
      </c>
      <c r="L172" t="s">
        <v>1822</v>
      </c>
      <c r="M172" t="s">
        <v>1629</v>
      </c>
      <c r="N172">
        <v>44.69</v>
      </c>
      <c r="O172" s="49">
        <v>45473</v>
      </c>
      <c r="P172" s="50">
        <v>38.106000000000002</v>
      </c>
    </row>
    <row r="173" spans="4:16" x14ac:dyDescent="0.2">
      <c r="D173">
        <v>100000080</v>
      </c>
      <c r="E173" s="49">
        <v>45454</v>
      </c>
      <c r="F173" t="s">
        <v>1824</v>
      </c>
      <c r="G173" t="s">
        <v>1748</v>
      </c>
      <c r="H173">
        <v>7</v>
      </c>
      <c r="I173">
        <v>19.71</v>
      </c>
      <c r="J173" s="50">
        <v>137.97</v>
      </c>
      <c r="K173" t="s">
        <v>1618</v>
      </c>
      <c r="M173" t="s">
        <v>1627</v>
      </c>
      <c r="N173">
        <v>10.4</v>
      </c>
      <c r="O173" s="49">
        <v>45459</v>
      </c>
      <c r="P173" s="50">
        <v>62.086500000000001</v>
      </c>
    </row>
    <row r="174" spans="4:16" x14ac:dyDescent="0.2">
      <c r="D174">
        <v>100000080</v>
      </c>
      <c r="E174" s="49">
        <v>45335</v>
      </c>
      <c r="F174" t="s">
        <v>1824</v>
      </c>
      <c r="G174" t="s">
        <v>1825</v>
      </c>
      <c r="H174">
        <v>5</v>
      </c>
      <c r="I174">
        <v>108.67</v>
      </c>
      <c r="J174" s="50">
        <v>543.35</v>
      </c>
      <c r="K174" t="s">
        <v>1618</v>
      </c>
      <c r="M174" t="s">
        <v>1621</v>
      </c>
      <c r="N174">
        <v>57.35</v>
      </c>
      <c r="O174" s="49">
        <v>45337</v>
      </c>
      <c r="P174" s="50">
        <v>244.50750000000002</v>
      </c>
    </row>
    <row r="175" spans="4:16" x14ac:dyDescent="0.2">
      <c r="D175">
        <v>100000082</v>
      </c>
      <c r="E175" s="49">
        <v>44778</v>
      </c>
      <c r="F175" t="s">
        <v>1826</v>
      </c>
      <c r="G175" t="s">
        <v>1620</v>
      </c>
      <c r="H175">
        <v>10</v>
      </c>
      <c r="I175">
        <v>82.7</v>
      </c>
      <c r="J175" s="50">
        <v>827</v>
      </c>
      <c r="K175" t="s">
        <v>1632</v>
      </c>
      <c r="M175" t="s">
        <v>1621</v>
      </c>
      <c r="N175">
        <v>43.65</v>
      </c>
      <c r="O175" s="49">
        <v>44781</v>
      </c>
      <c r="P175" s="50">
        <v>372.15000000000003</v>
      </c>
    </row>
    <row r="176" spans="4:16" x14ac:dyDescent="0.2">
      <c r="D176">
        <v>100000082</v>
      </c>
      <c r="E176" s="49">
        <v>45270</v>
      </c>
      <c r="F176" t="s">
        <v>1826</v>
      </c>
      <c r="G176" t="s">
        <v>1650</v>
      </c>
      <c r="H176">
        <v>6</v>
      </c>
      <c r="I176">
        <v>50.73</v>
      </c>
      <c r="J176" s="50">
        <v>304.38</v>
      </c>
      <c r="K176" t="s">
        <v>1632</v>
      </c>
      <c r="M176" t="s">
        <v>1629</v>
      </c>
      <c r="N176">
        <v>26.77</v>
      </c>
      <c r="O176" s="49">
        <v>45274</v>
      </c>
      <c r="P176" s="50">
        <v>136.971</v>
      </c>
    </row>
    <row r="177" spans="4:16" x14ac:dyDescent="0.2">
      <c r="D177">
        <v>100000082</v>
      </c>
      <c r="E177" s="49">
        <v>44411</v>
      </c>
      <c r="F177" t="s">
        <v>1826</v>
      </c>
      <c r="G177" t="s">
        <v>1827</v>
      </c>
      <c r="H177">
        <v>7</v>
      </c>
      <c r="I177">
        <v>41.29</v>
      </c>
      <c r="J177" s="50">
        <v>289.02999999999997</v>
      </c>
      <c r="K177" t="s">
        <v>1632</v>
      </c>
      <c r="M177" t="s">
        <v>1619</v>
      </c>
      <c r="N177">
        <v>21.79</v>
      </c>
      <c r="O177" s="49">
        <v>44414</v>
      </c>
      <c r="P177" s="50">
        <v>130.0635</v>
      </c>
    </row>
    <row r="178" spans="4:16" x14ac:dyDescent="0.2">
      <c r="D178">
        <v>100000082</v>
      </c>
      <c r="E178" s="49">
        <v>44571</v>
      </c>
      <c r="F178" t="s">
        <v>1826</v>
      </c>
      <c r="G178" t="s">
        <v>1828</v>
      </c>
      <c r="H178">
        <v>3</v>
      </c>
      <c r="I178">
        <v>52.93</v>
      </c>
      <c r="J178" s="50">
        <v>158.79</v>
      </c>
      <c r="K178" t="s">
        <v>1632</v>
      </c>
      <c r="M178" t="s">
        <v>1621</v>
      </c>
      <c r="N178">
        <v>27.94</v>
      </c>
      <c r="O178" s="49">
        <v>44575</v>
      </c>
      <c r="P178" s="50">
        <v>71.455500000000001</v>
      </c>
    </row>
    <row r="179" spans="4:16" x14ac:dyDescent="0.2">
      <c r="D179">
        <v>100000087</v>
      </c>
      <c r="E179" s="49">
        <v>45535</v>
      </c>
      <c r="F179" t="s">
        <v>1829</v>
      </c>
      <c r="G179" t="s">
        <v>1830</v>
      </c>
      <c r="H179">
        <v>1</v>
      </c>
      <c r="I179">
        <v>67.650000000000006</v>
      </c>
      <c r="J179" s="50">
        <v>67.650000000000006</v>
      </c>
      <c r="K179" t="s">
        <v>1618</v>
      </c>
      <c r="M179" t="s">
        <v>1629</v>
      </c>
      <c r="N179">
        <v>35.700000000000003</v>
      </c>
      <c r="O179" s="49">
        <v>45537</v>
      </c>
      <c r="P179" s="50">
        <v>30.442500000000003</v>
      </c>
    </row>
    <row r="180" spans="4:16" x14ac:dyDescent="0.2">
      <c r="D180">
        <v>100000087</v>
      </c>
      <c r="E180" s="49">
        <v>44925</v>
      </c>
      <c r="F180" t="s">
        <v>1829</v>
      </c>
      <c r="G180" t="s">
        <v>1831</v>
      </c>
      <c r="H180">
        <v>3</v>
      </c>
      <c r="I180">
        <v>106.89</v>
      </c>
      <c r="J180" s="50">
        <v>320.67</v>
      </c>
      <c r="K180" t="s">
        <v>1618</v>
      </c>
      <c r="M180" t="s">
        <v>1629</v>
      </c>
      <c r="N180">
        <v>56.41</v>
      </c>
      <c r="O180" s="49">
        <v>44929</v>
      </c>
      <c r="P180" s="50">
        <v>144.3015</v>
      </c>
    </row>
    <row r="181" spans="4:16" x14ac:dyDescent="0.2">
      <c r="D181">
        <v>100000087</v>
      </c>
      <c r="E181" s="49">
        <v>44566</v>
      </c>
      <c r="F181" t="s">
        <v>1829</v>
      </c>
      <c r="G181" t="s">
        <v>1743</v>
      </c>
      <c r="H181">
        <v>3</v>
      </c>
      <c r="I181">
        <v>60.67</v>
      </c>
      <c r="J181" s="50">
        <v>182.01</v>
      </c>
      <c r="K181" t="s">
        <v>1618</v>
      </c>
      <c r="M181" t="s">
        <v>1619</v>
      </c>
      <c r="N181">
        <v>32.020000000000003</v>
      </c>
      <c r="O181" s="49">
        <v>44571</v>
      </c>
      <c r="P181" s="50">
        <v>81.904499999999999</v>
      </c>
    </row>
    <row r="182" spans="4:16" x14ac:dyDescent="0.2">
      <c r="D182">
        <v>100000088</v>
      </c>
      <c r="E182" s="49">
        <v>44448</v>
      </c>
      <c r="F182" t="s">
        <v>1832</v>
      </c>
      <c r="G182" t="s">
        <v>1833</v>
      </c>
      <c r="H182">
        <v>3</v>
      </c>
      <c r="I182">
        <v>25.92</v>
      </c>
      <c r="J182" s="50">
        <v>77.760000000000005</v>
      </c>
      <c r="K182" t="s">
        <v>1618</v>
      </c>
      <c r="M182" t="s">
        <v>1624</v>
      </c>
      <c r="N182">
        <v>13.68</v>
      </c>
      <c r="O182" s="49">
        <v>44453</v>
      </c>
      <c r="P182" s="50">
        <v>34.992000000000004</v>
      </c>
    </row>
    <row r="183" spans="4:16" x14ac:dyDescent="0.2">
      <c r="D183">
        <v>100000088</v>
      </c>
      <c r="E183" s="49">
        <v>44514</v>
      </c>
      <c r="F183" t="s">
        <v>1832</v>
      </c>
      <c r="G183" t="s">
        <v>1834</v>
      </c>
      <c r="H183">
        <v>5</v>
      </c>
      <c r="I183">
        <v>90.08</v>
      </c>
      <c r="J183" s="50">
        <v>450.4</v>
      </c>
      <c r="K183" t="s">
        <v>1618</v>
      </c>
      <c r="M183" t="s">
        <v>1619</v>
      </c>
      <c r="N183">
        <v>47.54</v>
      </c>
      <c r="O183" s="49">
        <v>44519</v>
      </c>
      <c r="P183" s="50">
        <v>202.68</v>
      </c>
    </row>
    <row r="184" spans="4:16" x14ac:dyDescent="0.2">
      <c r="D184">
        <v>100000089</v>
      </c>
      <c r="E184" s="49">
        <v>44643</v>
      </c>
      <c r="F184" t="s">
        <v>1835</v>
      </c>
      <c r="G184" t="s">
        <v>1758</v>
      </c>
      <c r="H184">
        <v>7</v>
      </c>
      <c r="I184">
        <v>89.78</v>
      </c>
      <c r="J184" s="50">
        <v>628.46</v>
      </c>
      <c r="K184" t="s">
        <v>1618</v>
      </c>
      <c r="L184" t="s">
        <v>1836</v>
      </c>
      <c r="M184" t="s">
        <v>1624</v>
      </c>
      <c r="N184">
        <v>47.38</v>
      </c>
      <c r="O184" s="49">
        <v>44647</v>
      </c>
      <c r="P184" s="50">
        <v>282.80700000000002</v>
      </c>
    </row>
    <row r="185" spans="4:16" x14ac:dyDescent="0.2">
      <c r="D185">
        <v>100000090</v>
      </c>
      <c r="E185" s="49">
        <v>45642</v>
      </c>
      <c r="F185" t="s">
        <v>1837</v>
      </c>
      <c r="G185" t="s">
        <v>1838</v>
      </c>
      <c r="H185">
        <v>4</v>
      </c>
      <c r="I185">
        <v>91.03</v>
      </c>
      <c r="J185" s="50">
        <v>364.12</v>
      </c>
      <c r="K185" t="s">
        <v>1632</v>
      </c>
      <c r="L185" t="s">
        <v>1839</v>
      </c>
      <c r="M185" t="s">
        <v>1627</v>
      </c>
      <c r="N185">
        <v>48.04</v>
      </c>
      <c r="O185" s="49">
        <v>45644</v>
      </c>
      <c r="P185" s="50">
        <v>163.85400000000001</v>
      </c>
    </row>
    <row r="186" spans="4:16" x14ac:dyDescent="0.2">
      <c r="D186">
        <v>100000091</v>
      </c>
      <c r="E186" s="49">
        <v>44290</v>
      </c>
      <c r="F186" t="s">
        <v>1840</v>
      </c>
      <c r="G186" t="s">
        <v>1841</v>
      </c>
      <c r="H186">
        <v>6</v>
      </c>
      <c r="I186">
        <v>19.66</v>
      </c>
      <c r="J186" s="50">
        <v>117.96</v>
      </c>
      <c r="K186" t="s">
        <v>1632</v>
      </c>
      <c r="M186" t="s">
        <v>1629</v>
      </c>
      <c r="N186">
        <v>10.38</v>
      </c>
      <c r="O186" s="49">
        <v>44293</v>
      </c>
      <c r="P186" s="50">
        <v>53.082000000000001</v>
      </c>
    </row>
    <row r="187" spans="4:16" x14ac:dyDescent="0.2">
      <c r="D187">
        <v>100000091</v>
      </c>
      <c r="E187" s="49">
        <v>44302</v>
      </c>
      <c r="F187" t="s">
        <v>1840</v>
      </c>
      <c r="G187" t="s">
        <v>1688</v>
      </c>
      <c r="H187">
        <v>1</v>
      </c>
      <c r="I187">
        <v>27.09</v>
      </c>
      <c r="J187" s="50">
        <v>27.09</v>
      </c>
      <c r="K187" t="s">
        <v>1632</v>
      </c>
      <c r="M187" t="s">
        <v>1619</v>
      </c>
      <c r="N187">
        <v>14.3</v>
      </c>
      <c r="O187" s="49">
        <v>44305</v>
      </c>
      <c r="P187" s="50">
        <v>12.1905</v>
      </c>
    </row>
    <row r="188" spans="4:16" x14ac:dyDescent="0.2">
      <c r="D188">
        <v>100000091</v>
      </c>
      <c r="E188" s="49">
        <v>45546</v>
      </c>
      <c r="F188" t="s">
        <v>1840</v>
      </c>
      <c r="G188" t="s">
        <v>1842</v>
      </c>
      <c r="H188">
        <v>9</v>
      </c>
      <c r="I188">
        <v>67.42</v>
      </c>
      <c r="J188" s="50">
        <v>606.78</v>
      </c>
      <c r="K188" t="s">
        <v>1632</v>
      </c>
      <c r="M188" t="s">
        <v>1624</v>
      </c>
      <c r="N188">
        <v>35.58</v>
      </c>
      <c r="O188" s="49">
        <v>45547</v>
      </c>
      <c r="P188" s="50">
        <v>273.05099999999999</v>
      </c>
    </row>
    <row r="189" spans="4:16" x14ac:dyDescent="0.2">
      <c r="D189">
        <v>100000091</v>
      </c>
      <c r="E189" s="49">
        <v>44239</v>
      </c>
      <c r="F189" t="s">
        <v>1840</v>
      </c>
      <c r="G189" t="s">
        <v>1651</v>
      </c>
      <c r="H189">
        <v>9</v>
      </c>
      <c r="I189">
        <v>10.79</v>
      </c>
      <c r="J189" s="50">
        <v>97.109999999999985</v>
      </c>
      <c r="K189" t="s">
        <v>1632</v>
      </c>
      <c r="M189" t="s">
        <v>1624</v>
      </c>
      <c r="N189">
        <v>5.69</v>
      </c>
      <c r="O189" s="49">
        <v>44244</v>
      </c>
      <c r="P189" s="50">
        <v>43.699499999999993</v>
      </c>
    </row>
    <row r="190" spans="4:16" x14ac:dyDescent="0.2">
      <c r="D190">
        <v>100000092</v>
      </c>
      <c r="E190" s="49">
        <v>45586</v>
      </c>
      <c r="F190" t="s">
        <v>1843</v>
      </c>
      <c r="G190" t="s">
        <v>1844</v>
      </c>
      <c r="H190">
        <v>4</v>
      </c>
      <c r="I190">
        <v>25.26</v>
      </c>
      <c r="J190" s="50">
        <v>101.04</v>
      </c>
      <c r="K190" t="s">
        <v>1632</v>
      </c>
      <c r="M190" t="s">
        <v>1624</v>
      </c>
      <c r="N190">
        <v>13.33</v>
      </c>
      <c r="O190" s="49">
        <v>45591</v>
      </c>
      <c r="P190" s="50">
        <v>45.468000000000004</v>
      </c>
    </row>
    <row r="191" spans="4:16" x14ac:dyDescent="0.2">
      <c r="D191">
        <v>100000093</v>
      </c>
      <c r="E191" s="49">
        <v>44391</v>
      </c>
      <c r="F191" t="s">
        <v>1845</v>
      </c>
      <c r="G191" t="s">
        <v>1846</v>
      </c>
      <c r="H191">
        <v>9</v>
      </c>
      <c r="I191">
        <v>84.95</v>
      </c>
      <c r="J191" s="50">
        <v>764.55000000000007</v>
      </c>
      <c r="K191" t="s">
        <v>1632</v>
      </c>
      <c r="M191" t="s">
        <v>1621</v>
      </c>
      <c r="N191">
        <v>44.83</v>
      </c>
      <c r="O191" s="49">
        <v>44394</v>
      </c>
      <c r="P191" s="50">
        <v>344.04750000000001</v>
      </c>
    </row>
    <row r="192" spans="4:16" x14ac:dyDescent="0.2">
      <c r="D192">
        <v>100000094</v>
      </c>
      <c r="E192" s="49">
        <v>45616</v>
      </c>
      <c r="F192" t="s">
        <v>1847</v>
      </c>
      <c r="G192" t="s">
        <v>1848</v>
      </c>
      <c r="H192">
        <v>10</v>
      </c>
      <c r="I192">
        <v>65.87</v>
      </c>
      <c r="J192" s="50">
        <v>658.7</v>
      </c>
      <c r="K192" t="s">
        <v>1618</v>
      </c>
      <c r="M192" t="s">
        <v>1629</v>
      </c>
      <c r="N192">
        <v>34.76</v>
      </c>
      <c r="O192" s="49">
        <v>45618</v>
      </c>
      <c r="P192" s="50">
        <v>296.41500000000002</v>
      </c>
    </row>
    <row r="193" spans="4:16" x14ac:dyDescent="0.2">
      <c r="D193">
        <v>100000094</v>
      </c>
      <c r="E193" s="49">
        <v>45496</v>
      </c>
      <c r="F193" t="s">
        <v>1847</v>
      </c>
      <c r="G193" t="s">
        <v>1815</v>
      </c>
      <c r="H193">
        <v>5</v>
      </c>
      <c r="I193">
        <v>84.61</v>
      </c>
      <c r="J193" s="50">
        <v>423.05</v>
      </c>
      <c r="K193" t="s">
        <v>1618</v>
      </c>
      <c r="M193" t="s">
        <v>1619</v>
      </c>
      <c r="N193">
        <v>44.65</v>
      </c>
      <c r="O193" s="49">
        <v>45497</v>
      </c>
      <c r="P193" s="50">
        <v>190.3725</v>
      </c>
    </row>
    <row r="194" spans="4:16" x14ac:dyDescent="0.2">
      <c r="D194">
        <v>100000095</v>
      </c>
      <c r="E194" s="49">
        <v>44308</v>
      </c>
      <c r="F194" t="s">
        <v>1849</v>
      </c>
      <c r="G194" t="s">
        <v>1819</v>
      </c>
      <c r="H194">
        <v>3</v>
      </c>
      <c r="I194">
        <v>117.92</v>
      </c>
      <c r="J194" s="50">
        <v>353.76</v>
      </c>
      <c r="K194" t="s">
        <v>1632</v>
      </c>
      <c r="M194" t="s">
        <v>1619</v>
      </c>
      <c r="N194">
        <v>62.24</v>
      </c>
      <c r="O194" s="49">
        <v>44312</v>
      </c>
      <c r="P194" s="50">
        <v>159.19200000000001</v>
      </c>
    </row>
    <row r="195" spans="4:16" x14ac:dyDescent="0.2">
      <c r="D195">
        <v>100000096</v>
      </c>
      <c r="E195" s="49">
        <v>44840</v>
      </c>
      <c r="F195" t="s">
        <v>1850</v>
      </c>
      <c r="G195" t="s">
        <v>1714</v>
      </c>
      <c r="H195">
        <v>1</v>
      </c>
      <c r="I195">
        <v>35.770000000000003</v>
      </c>
      <c r="J195" s="50">
        <v>35.770000000000003</v>
      </c>
      <c r="K195" t="s">
        <v>1618</v>
      </c>
      <c r="M195" t="s">
        <v>1624</v>
      </c>
      <c r="N195">
        <v>18.88</v>
      </c>
      <c r="O195" s="49">
        <v>44844</v>
      </c>
      <c r="P195" s="50">
        <v>16.096500000000002</v>
      </c>
    </row>
    <row r="196" spans="4:16" x14ac:dyDescent="0.2">
      <c r="D196">
        <v>100000096</v>
      </c>
      <c r="E196" s="49">
        <v>45109</v>
      </c>
      <c r="F196" t="s">
        <v>1850</v>
      </c>
      <c r="G196" t="s">
        <v>1851</v>
      </c>
      <c r="H196">
        <v>4</v>
      </c>
      <c r="I196">
        <v>86.95</v>
      </c>
      <c r="J196" s="50">
        <v>347.8</v>
      </c>
      <c r="K196" t="s">
        <v>1618</v>
      </c>
      <c r="M196" t="s">
        <v>1627</v>
      </c>
      <c r="N196">
        <v>45.89</v>
      </c>
      <c r="O196" s="49">
        <v>45114</v>
      </c>
      <c r="P196" s="50">
        <v>156.51000000000002</v>
      </c>
    </row>
    <row r="197" spans="4:16" x14ac:dyDescent="0.2">
      <c r="D197">
        <v>100000097</v>
      </c>
      <c r="E197" s="49">
        <v>44350</v>
      </c>
      <c r="F197" t="s">
        <v>1852</v>
      </c>
      <c r="G197" t="s">
        <v>1853</v>
      </c>
      <c r="H197">
        <v>8</v>
      </c>
      <c r="I197">
        <v>35.21</v>
      </c>
      <c r="J197" s="50">
        <v>281.68</v>
      </c>
      <c r="K197" t="s">
        <v>1618</v>
      </c>
      <c r="M197" t="s">
        <v>1619</v>
      </c>
      <c r="N197">
        <v>18.579999999999998</v>
      </c>
      <c r="O197" s="49">
        <v>44352</v>
      </c>
      <c r="P197" s="50">
        <v>126.756</v>
      </c>
    </row>
    <row r="198" spans="4:16" x14ac:dyDescent="0.2">
      <c r="D198">
        <v>100000098</v>
      </c>
      <c r="E198" s="49">
        <v>44529</v>
      </c>
      <c r="F198" t="s">
        <v>1854</v>
      </c>
      <c r="G198" t="s">
        <v>1641</v>
      </c>
      <c r="H198">
        <v>4</v>
      </c>
      <c r="I198">
        <v>38.67</v>
      </c>
      <c r="J198" s="50">
        <v>154.68</v>
      </c>
      <c r="K198" t="s">
        <v>1618</v>
      </c>
      <c r="M198" t="s">
        <v>1624</v>
      </c>
      <c r="N198">
        <v>20.41</v>
      </c>
      <c r="O198" s="49">
        <v>44533</v>
      </c>
      <c r="P198" s="50">
        <v>69.606000000000009</v>
      </c>
    </row>
    <row r="199" spans="4:16" x14ac:dyDescent="0.2">
      <c r="D199">
        <v>100000098</v>
      </c>
      <c r="E199" s="49">
        <v>45070</v>
      </c>
      <c r="F199" t="s">
        <v>1854</v>
      </c>
      <c r="G199" t="s">
        <v>1855</v>
      </c>
      <c r="H199">
        <v>5</v>
      </c>
      <c r="I199">
        <v>61.84</v>
      </c>
      <c r="J199" s="50">
        <v>309.2</v>
      </c>
      <c r="K199" t="s">
        <v>1618</v>
      </c>
      <c r="M199" t="s">
        <v>1619</v>
      </c>
      <c r="N199">
        <v>32.64</v>
      </c>
      <c r="O199" s="49">
        <v>45074</v>
      </c>
      <c r="P199" s="50">
        <v>139.13999999999999</v>
      </c>
    </row>
    <row r="200" spans="4:16" x14ac:dyDescent="0.2">
      <c r="D200">
        <v>100000098</v>
      </c>
      <c r="E200" s="49">
        <v>44835</v>
      </c>
      <c r="F200" t="s">
        <v>1854</v>
      </c>
      <c r="G200" t="s">
        <v>1856</v>
      </c>
      <c r="H200">
        <v>7</v>
      </c>
      <c r="I200">
        <v>54.76</v>
      </c>
      <c r="J200" s="50">
        <v>383.32</v>
      </c>
      <c r="K200" t="s">
        <v>1618</v>
      </c>
      <c r="M200" t="s">
        <v>1627</v>
      </c>
      <c r="N200">
        <v>28.9</v>
      </c>
      <c r="O200" s="49">
        <v>44836</v>
      </c>
      <c r="P200" s="50">
        <v>172.494</v>
      </c>
    </row>
    <row r="201" spans="4:16" x14ac:dyDescent="0.2">
      <c r="D201">
        <v>100000098</v>
      </c>
      <c r="E201" s="49">
        <v>45562</v>
      </c>
      <c r="F201" t="s">
        <v>1854</v>
      </c>
      <c r="G201" t="s">
        <v>1857</v>
      </c>
      <c r="H201">
        <v>10</v>
      </c>
      <c r="I201">
        <v>101.95</v>
      </c>
      <c r="J201" s="50">
        <v>1019.5</v>
      </c>
      <c r="K201" t="s">
        <v>1618</v>
      </c>
      <c r="M201" t="s">
        <v>1629</v>
      </c>
      <c r="N201">
        <v>53.81</v>
      </c>
      <c r="O201" s="49">
        <v>45566</v>
      </c>
      <c r="P201" s="50">
        <v>458.77500000000003</v>
      </c>
    </row>
    <row r="202" spans="4:16" x14ac:dyDescent="0.2">
      <c r="D202">
        <v>100000100</v>
      </c>
      <c r="E202" s="49">
        <v>45406</v>
      </c>
      <c r="F202" t="s">
        <v>1858</v>
      </c>
      <c r="G202" t="s">
        <v>1687</v>
      </c>
      <c r="H202">
        <v>9</v>
      </c>
      <c r="I202">
        <v>13.69</v>
      </c>
      <c r="J202" s="50">
        <v>123.21</v>
      </c>
      <c r="K202" t="s">
        <v>1632</v>
      </c>
      <c r="M202" t="s">
        <v>1624</v>
      </c>
      <c r="N202">
        <v>7.23</v>
      </c>
      <c r="O202" s="49">
        <v>45408</v>
      </c>
      <c r="P202" s="50">
        <v>55.444499999999998</v>
      </c>
    </row>
    <row r="203" spans="4:16" x14ac:dyDescent="0.2">
      <c r="D203">
        <v>100000100</v>
      </c>
      <c r="E203" s="49">
        <v>44690</v>
      </c>
      <c r="F203" t="s">
        <v>1858</v>
      </c>
      <c r="G203" t="s">
        <v>1664</v>
      </c>
      <c r="H203">
        <v>2</v>
      </c>
      <c r="I203">
        <v>80.45</v>
      </c>
      <c r="J203" s="50">
        <v>160.9</v>
      </c>
      <c r="K203" t="s">
        <v>1632</v>
      </c>
      <c r="M203" t="s">
        <v>1627</v>
      </c>
      <c r="N203">
        <v>42.46</v>
      </c>
      <c r="O203" s="49">
        <v>44693</v>
      </c>
      <c r="P203" s="50">
        <v>72.405000000000001</v>
      </c>
    </row>
    <row r="204" spans="4:16" x14ac:dyDescent="0.2">
      <c r="D204">
        <v>100000100</v>
      </c>
      <c r="E204" s="49">
        <v>45280</v>
      </c>
      <c r="F204" t="s">
        <v>1858</v>
      </c>
      <c r="G204" t="s">
        <v>1859</v>
      </c>
      <c r="H204">
        <v>8</v>
      </c>
      <c r="I204">
        <v>69.459999999999994</v>
      </c>
      <c r="J204" s="50">
        <v>555.67999999999995</v>
      </c>
      <c r="K204" t="s">
        <v>1632</v>
      </c>
      <c r="M204" t="s">
        <v>1624</v>
      </c>
      <c r="N204">
        <v>36.659999999999997</v>
      </c>
      <c r="O204" s="49">
        <v>45283</v>
      </c>
      <c r="P204" s="50">
        <v>250.05599999999998</v>
      </c>
    </row>
    <row r="205" spans="4:16" x14ac:dyDescent="0.2">
      <c r="D205">
        <v>100000101</v>
      </c>
      <c r="E205" s="49">
        <v>44339</v>
      </c>
      <c r="F205" t="s">
        <v>1860</v>
      </c>
      <c r="G205" t="s">
        <v>1727</v>
      </c>
      <c r="H205">
        <v>3</v>
      </c>
      <c r="I205">
        <v>88.35</v>
      </c>
      <c r="J205" s="50">
        <v>265.05</v>
      </c>
      <c r="K205" t="s">
        <v>1618</v>
      </c>
      <c r="L205" t="s">
        <v>1861</v>
      </c>
      <c r="M205" t="s">
        <v>1627</v>
      </c>
      <c r="N205">
        <v>46.63</v>
      </c>
      <c r="O205" s="49">
        <v>44341</v>
      </c>
      <c r="P205" s="50">
        <v>119.27250000000001</v>
      </c>
    </row>
    <row r="206" spans="4:16" x14ac:dyDescent="0.2">
      <c r="D206">
        <v>100000103</v>
      </c>
      <c r="E206" s="49">
        <v>44255</v>
      </c>
      <c r="F206" t="s">
        <v>1862</v>
      </c>
      <c r="G206" t="s">
        <v>1696</v>
      </c>
      <c r="H206">
        <v>8</v>
      </c>
      <c r="I206">
        <v>61.93</v>
      </c>
      <c r="J206" s="50">
        <v>495.44</v>
      </c>
      <c r="K206" t="s">
        <v>1618</v>
      </c>
      <c r="M206" t="s">
        <v>1627</v>
      </c>
      <c r="N206">
        <v>32.69</v>
      </c>
      <c r="O206" s="49">
        <v>44256</v>
      </c>
      <c r="P206" s="50">
        <v>222.94800000000001</v>
      </c>
    </row>
    <row r="207" spans="4:16" x14ac:dyDescent="0.2">
      <c r="D207">
        <v>100000103</v>
      </c>
      <c r="E207" s="49">
        <v>45537</v>
      </c>
      <c r="F207" t="s">
        <v>1862</v>
      </c>
      <c r="G207" t="s">
        <v>1702</v>
      </c>
      <c r="H207">
        <v>6</v>
      </c>
      <c r="I207">
        <v>32.42</v>
      </c>
      <c r="J207" s="50">
        <v>194.52</v>
      </c>
      <c r="K207" t="s">
        <v>1618</v>
      </c>
      <c r="M207" t="s">
        <v>1619</v>
      </c>
      <c r="N207">
        <v>17.11</v>
      </c>
      <c r="O207" s="49">
        <v>45541</v>
      </c>
      <c r="P207" s="50">
        <v>87.534000000000006</v>
      </c>
    </row>
    <row r="208" spans="4:16" x14ac:dyDescent="0.2">
      <c r="D208">
        <v>100000104</v>
      </c>
      <c r="E208" s="49">
        <v>44820</v>
      </c>
      <c r="F208" t="s">
        <v>1863</v>
      </c>
      <c r="G208" t="s">
        <v>1864</v>
      </c>
      <c r="H208">
        <v>3</v>
      </c>
      <c r="I208">
        <v>102.52</v>
      </c>
      <c r="J208" s="50">
        <v>307.56</v>
      </c>
      <c r="K208" t="s">
        <v>1618</v>
      </c>
      <c r="M208" t="s">
        <v>1621</v>
      </c>
      <c r="N208">
        <v>54.11</v>
      </c>
      <c r="O208" s="49">
        <v>44823</v>
      </c>
      <c r="P208" s="50">
        <v>138.40200000000002</v>
      </c>
    </row>
    <row r="209" spans="4:16" x14ac:dyDescent="0.2">
      <c r="D209">
        <v>100000104</v>
      </c>
      <c r="E209" s="49">
        <v>44243</v>
      </c>
      <c r="F209" t="s">
        <v>1863</v>
      </c>
      <c r="G209" t="s">
        <v>1669</v>
      </c>
      <c r="H209">
        <v>4</v>
      </c>
      <c r="I209">
        <v>97.07</v>
      </c>
      <c r="J209" s="50">
        <v>388.28</v>
      </c>
      <c r="K209" t="s">
        <v>1618</v>
      </c>
      <c r="M209" t="s">
        <v>1624</v>
      </c>
      <c r="N209">
        <v>51.23</v>
      </c>
      <c r="O209" s="49">
        <v>44244</v>
      </c>
      <c r="P209" s="50">
        <v>174.726</v>
      </c>
    </row>
    <row r="210" spans="4:16" x14ac:dyDescent="0.2">
      <c r="D210">
        <v>100000104</v>
      </c>
      <c r="E210" s="49">
        <v>45078</v>
      </c>
      <c r="F210" t="s">
        <v>1863</v>
      </c>
      <c r="G210" t="s">
        <v>1865</v>
      </c>
      <c r="H210">
        <v>9</v>
      </c>
      <c r="I210">
        <v>83.8</v>
      </c>
      <c r="J210" s="50">
        <v>754.19999999999993</v>
      </c>
      <c r="K210" t="s">
        <v>1618</v>
      </c>
      <c r="M210" t="s">
        <v>1629</v>
      </c>
      <c r="N210">
        <v>44.23</v>
      </c>
      <c r="O210" s="49">
        <v>45080</v>
      </c>
      <c r="P210" s="50">
        <v>339.39</v>
      </c>
    </row>
    <row r="211" spans="4:16" x14ac:dyDescent="0.2">
      <c r="D211">
        <v>100000104</v>
      </c>
      <c r="E211" s="49">
        <v>44751</v>
      </c>
      <c r="F211" t="s">
        <v>1863</v>
      </c>
      <c r="G211" t="s">
        <v>1866</v>
      </c>
      <c r="H211">
        <v>10</v>
      </c>
      <c r="I211">
        <v>55.35</v>
      </c>
      <c r="J211" s="50">
        <v>553.5</v>
      </c>
      <c r="K211" t="s">
        <v>1618</v>
      </c>
      <c r="M211" t="s">
        <v>1619</v>
      </c>
      <c r="N211">
        <v>29.21</v>
      </c>
      <c r="O211" s="49">
        <v>44755</v>
      </c>
      <c r="P211" s="50">
        <v>249.07500000000002</v>
      </c>
    </row>
    <row r="212" spans="4:16" x14ac:dyDescent="0.2">
      <c r="D212">
        <v>100000106</v>
      </c>
      <c r="E212" s="49">
        <v>44354</v>
      </c>
      <c r="F212" t="s">
        <v>1867</v>
      </c>
      <c r="G212" t="s">
        <v>1868</v>
      </c>
      <c r="H212">
        <v>10</v>
      </c>
      <c r="I212">
        <v>90.08</v>
      </c>
      <c r="J212" s="50">
        <v>900.8</v>
      </c>
      <c r="K212" t="s">
        <v>1618</v>
      </c>
      <c r="L212" t="s">
        <v>1869</v>
      </c>
      <c r="M212" t="s">
        <v>1619</v>
      </c>
      <c r="N212">
        <v>47.54</v>
      </c>
      <c r="O212" s="49">
        <v>44357</v>
      </c>
      <c r="P212" s="50">
        <v>405.36</v>
      </c>
    </row>
    <row r="213" spans="4:16" x14ac:dyDescent="0.2">
      <c r="D213">
        <v>100000107</v>
      </c>
      <c r="E213" s="49">
        <v>45266</v>
      </c>
      <c r="F213" t="s">
        <v>1870</v>
      </c>
      <c r="G213" t="s">
        <v>1812</v>
      </c>
      <c r="H213">
        <v>6</v>
      </c>
      <c r="I213">
        <v>111.6</v>
      </c>
      <c r="J213" s="50">
        <v>669.59999999999991</v>
      </c>
      <c r="K213" t="s">
        <v>1618</v>
      </c>
      <c r="L213" t="s">
        <v>1871</v>
      </c>
      <c r="M213" t="s">
        <v>1629</v>
      </c>
      <c r="N213">
        <v>58.9</v>
      </c>
      <c r="O213" s="49">
        <v>45267</v>
      </c>
      <c r="P213" s="50">
        <v>301.32</v>
      </c>
    </row>
    <row r="214" spans="4:16" x14ac:dyDescent="0.2">
      <c r="D214">
        <v>100000107</v>
      </c>
      <c r="E214" s="49">
        <v>44353</v>
      </c>
      <c r="F214" t="s">
        <v>1870</v>
      </c>
      <c r="G214" t="s">
        <v>1872</v>
      </c>
      <c r="H214">
        <v>7</v>
      </c>
      <c r="I214">
        <v>106.58</v>
      </c>
      <c r="J214" s="50">
        <v>746.06</v>
      </c>
      <c r="K214" t="s">
        <v>1618</v>
      </c>
      <c r="L214" t="s">
        <v>1871</v>
      </c>
      <c r="M214" t="s">
        <v>1621</v>
      </c>
      <c r="N214">
        <v>56.25</v>
      </c>
      <c r="O214" s="49">
        <v>44354</v>
      </c>
      <c r="P214" s="50">
        <v>335.72699999999998</v>
      </c>
    </row>
    <row r="215" spans="4:16" x14ac:dyDescent="0.2">
      <c r="D215">
        <v>100000107</v>
      </c>
      <c r="E215" s="49">
        <v>44937</v>
      </c>
      <c r="F215" t="s">
        <v>1870</v>
      </c>
      <c r="G215" t="s">
        <v>1752</v>
      </c>
      <c r="H215">
        <v>3</v>
      </c>
      <c r="I215">
        <v>94.83</v>
      </c>
      <c r="J215" s="50">
        <v>284.49</v>
      </c>
      <c r="K215" t="s">
        <v>1618</v>
      </c>
      <c r="L215" t="s">
        <v>1871</v>
      </c>
      <c r="M215" t="s">
        <v>1621</v>
      </c>
      <c r="N215">
        <v>50.05</v>
      </c>
      <c r="O215" s="49">
        <v>44941</v>
      </c>
      <c r="P215" s="50">
        <v>128.0205</v>
      </c>
    </row>
    <row r="216" spans="4:16" x14ac:dyDescent="0.2">
      <c r="D216">
        <v>100000109</v>
      </c>
      <c r="E216" s="49">
        <v>45573</v>
      </c>
      <c r="F216" t="s">
        <v>1873</v>
      </c>
      <c r="G216" t="s">
        <v>1717</v>
      </c>
      <c r="H216">
        <v>6</v>
      </c>
      <c r="I216">
        <v>113.49</v>
      </c>
      <c r="J216" s="50">
        <v>680.93999999999994</v>
      </c>
      <c r="K216" t="s">
        <v>1618</v>
      </c>
      <c r="M216" t="s">
        <v>1627</v>
      </c>
      <c r="N216">
        <v>59.9</v>
      </c>
      <c r="O216" s="49">
        <v>45574</v>
      </c>
      <c r="P216" s="50">
        <v>306.423</v>
      </c>
    </row>
    <row r="217" spans="4:16" x14ac:dyDescent="0.2">
      <c r="D217">
        <v>100000109</v>
      </c>
      <c r="E217" s="49">
        <v>44990</v>
      </c>
      <c r="F217" t="s">
        <v>1873</v>
      </c>
      <c r="G217" t="s">
        <v>1874</v>
      </c>
      <c r="H217">
        <v>10</v>
      </c>
      <c r="I217">
        <v>24.98</v>
      </c>
      <c r="J217" s="50">
        <v>249.8</v>
      </c>
      <c r="K217" t="s">
        <v>1618</v>
      </c>
      <c r="M217" t="s">
        <v>1621</v>
      </c>
      <c r="N217">
        <v>13.18</v>
      </c>
      <c r="O217" s="49">
        <v>44992</v>
      </c>
      <c r="P217" s="50">
        <v>112.41000000000001</v>
      </c>
    </row>
    <row r="218" spans="4:16" x14ac:dyDescent="0.2">
      <c r="D218">
        <v>100000109</v>
      </c>
      <c r="E218" s="49">
        <v>45368</v>
      </c>
      <c r="F218" t="s">
        <v>1873</v>
      </c>
      <c r="G218" t="s">
        <v>1833</v>
      </c>
      <c r="H218">
        <v>9</v>
      </c>
      <c r="I218">
        <v>51.71</v>
      </c>
      <c r="J218" s="50">
        <v>465.39</v>
      </c>
      <c r="K218" t="s">
        <v>1618</v>
      </c>
      <c r="M218" t="s">
        <v>1627</v>
      </c>
      <c r="N218">
        <v>27.29</v>
      </c>
      <c r="O218" s="49">
        <v>45369</v>
      </c>
      <c r="P218" s="50">
        <v>209.4255</v>
      </c>
    </row>
    <row r="219" spans="4:16" x14ac:dyDescent="0.2">
      <c r="D219">
        <v>100000113</v>
      </c>
      <c r="E219" s="49">
        <v>45458</v>
      </c>
      <c r="F219" t="s">
        <v>1875</v>
      </c>
      <c r="G219" t="s">
        <v>1649</v>
      </c>
      <c r="H219">
        <v>8</v>
      </c>
      <c r="I219">
        <v>112.02</v>
      </c>
      <c r="J219" s="50">
        <v>896.16</v>
      </c>
      <c r="K219" t="s">
        <v>1618</v>
      </c>
      <c r="M219" t="s">
        <v>1621</v>
      </c>
      <c r="N219">
        <v>59.12</v>
      </c>
      <c r="O219" s="49">
        <v>45463</v>
      </c>
      <c r="P219" s="50">
        <v>403.27199999999999</v>
      </c>
    </row>
    <row r="220" spans="4:16" x14ac:dyDescent="0.2">
      <c r="D220">
        <v>100000114</v>
      </c>
      <c r="E220" s="49">
        <v>44952</v>
      </c>
      <c r="F220" t="s">
        <v>1876</v>
      </c>
      <c r="G220" t="s">
        <v>1877</v>
      </c>
      <c r="H220">
        <v>2</v>
      </c>
      <c r="I220">
        <v>52.4</v>
      </c>
      <c r="J220" s="50">
        <v>104.8</v>
      </c>
      <c r="K220" t="s">
        <v>1618</v>
      </c>
      <c r="M220" t="s">
        <v>1619</v>
      </c>
      <c r="N220">
        <v>27.66</v>
      </c>
      <c r="O220" s="49">
        <v>44953</v>
      </c>
      <c r="P220" s="50">
        <v>47.16</v>
      </c>
    </row>
    <row r="221" spans="4:16" x14ac:dyDescent="0.2">
      <c r="D221">
        <v>100000114</v>
      </c>
      <c r="E221" s="49">
        <v>44779</v>
      </c>
      <c r="F221" t="s">
        <v>1876</v>
      </c>
      <c r="G221" t="s">
        <v>1825</v>
      </c>
      <c r="H221">
        <v>6</v>
      </c>
      <c r="I221">
        <v>22.85</v>
      </c>
      <c r="J221" s="50">
        <v>137.1</v>
      </c>
      <c r="K221" t="s">
        <v>1618</v>
      </c>
      <c r="M221" t="s">
        <v>1619</v>
      </c>
      <c r="N221">
        <v>12.06</v>
      </c>
      <c r="O221" s="49">
        <v>44780</v>
      </c>
      <c r="P221" s="50">
        <v>61.695</v>
      </c>
    </row>
    <row r="222" spans="4:16" x14ac:dyDescent="0.2">
      <c r="D222">
        <v>100000116</v>
      </c>
      <c r="E222" s="49">
        <v>45008</v>
      </c>
      <c r="F222" t="s">
        <v>1878</v>
      </c>
      <c r="G222" t="s">
        <v>1848</v>
      </c>
      <c r="H222">
        <v>1</v>
      </c>
      <c r="I222">
        <v>35.35</v>
      </c>
      <c r="J222" s="50">
        <v>35.35</v>
      </c>
      <c r="K222" t="s">
        <v>1618</v>
      </c>
      <c r="L222" t="s">
        <v>1879</v>
      </c>
      <c r="M222" t="s">
        <v>1629</v>
      </c>
      <c r="N222">
        <v>18.66</v>
      </c>
      <c r="O222" s="49">
        <v>45009</v>
      </c>
      <c r="P222" s="50">
        <v>15.907500000000001</v>
      </c>
    </row>
    <row r="223" spans="4:16" x14ac:dyDescent="0.2">
      <c r="D223">
        <v>100000116</v>
      </c>
      <c r="E223" s="49">
        <v>45155</v>
      </c>
      <c r="F223" t="s">
        <v>1878</v>
      </c>
      <c r="G223" t="s">
        <v>1617</v>
      </c>
      <c r="H223">
        <v>6</v>
      </c>
      <c r="I223">
        <v>43.78</v>
      </c>
      <c r="J223" s="50">
        <v>262.68</v>
      </c>
      <c r="K223" t="s">
        <v>1618</v>
      </c>
      <c r="L223" t="s">
        <v>1879</v>
      </c>
      <c r="M223" t="s">
        <v>1621</v>
      </c>
      <c r="N223">
        <v>23.11</v>
      </c>
      <c r="O223" s="49">
        <v>45159</v>
      </c>
      <c r="P223" s="50">
        <v>118.206</v>
      </c>
    </row>
    <row r="224" spans="4:16" x14ac:dyDescent="0.2">
      <c r="D224">
        <v>100000116</v>
      </c>
      <c r="E224" s="49">
        <v>44505</v>
      </c>
      <c r="F224" t="s">
        <v>1878</v>
      </c>
      <c r="G224" t="s">
        <v>1740</v>
      </c>
      <c r="H224">
        <v>6</v>
      </c>
      <c r="I224">
        <v>52.63</v>
      </c>
      <c r="J224" s="50">
        <v>315.77999999999997</v>
      </c>
      <c r="K224" t="s">
        <v>1618</v>
      </c>
      <c r="L224" t="s">
        <v>1879</v>
      </c>
      <c r="M224" t="s">
        <v>1624</v>
      </c>
      <c r="N224">
        <v>27.78</v>
      </c>
      <c r="O224" s="49">
        <v>44507</v>
      </c>
      <c r="P224" s="50">
        <v>142.101</v>
      </c>
    </row>
    <row r="225" spans="4:16" x14ac:dyDescent="0.2">
      <c r="D225">
        <v>100000116</v>
      </c>
      <c r="E225" s="49">
        <v>45618</v>
      </c>
      <c r="F225" t="s">
        <v>1878</v>
      </c>
      <c r="G225" t="s">
        <v>1880</v>
      </c>
      <c r="H225">
        <v>4</v>
      </c>
      <c r="I225">
        <v>15.75</v>
      </c>
      <c r="J225" s="50">
        <v>63</v>
      </c>
      <c r="K225" t="s">
        <v>1618</v>
      </c>
      <c r="L225" t="s">
        <v>1879</v>
      </c>
      <c r="M225" t="s">
        <v>1629</v>
      </c>
      <c r="N225">
        <v>8.31</v>
      </c>
      <c r="O225" s="49">
        <v>45623</v>
      </c>
      <c r="P225" s="50">
        <v>28.35</v>
      </c>
    </row>
    <row r="226" spans="4:16" x14ac:dyDescent="0.2">
      <c r="D226">
        <v>100000117</v>
      </c>
      <c r="E226" s="49">
        <v>45474</v>
      </c>
      <c r="F226" t="s">
        <v>1881</v>
      </c>
      <c r="G226" t="s">
        <v>1882</v>
      </c>
      <c r="H226">
        <v>9</v>
      </c>
      <c r="I226">
        <v>91.51</v>
      </c>
      <c r="J226" s="50">
        <v>823.59</v>
      </c>
      <c r="K226" t="s">
        <v>1618</v>
      </c>
      <c r="M226" t="s">
        <v>1619</v>
      </c>
      <c r="N226">
        <v>48.3</v>
      </c>
      <c r="O226" s="49">
        <v>45475</v>
      </c>
      <c r="P226" s="50">
        <v>370.6155</v>
      </c>
    </row>
    <row r="227" spans="4:16" x14ac:dyDescent="0.2">
      <c r="D227">
        <v>100000120</v>
      </c>
      <c r="E227" s="49">
        <v>44532</v>
      </c>
      <c r="F227" t="s">
        <v>1883</v>
      </c>
      <c r="G227" t="s">
        <v>1731</v>
      </c>
      <c r="H227">
        <v>5</v>
      </c>
      <c r="I227">
        <v>43.64</v>
      </c>
      <c r="J227" s="50">
        <v>218.2</v>
      </c>
      <c r="K227" t="s">
        <v>1632</v>
      </c>
      <c r="M227" t="s">
        <v>1621</v>
      </c>
      <c r="N227">
        <v>23.03</v>
      </c>
      <c r="O227" s="49">
        <v>44533</v>
      </c>
      <c r="P227" s="50">
        <v>98.19</v>
      </c>
    </row>
    <row r="228" spans="4:16" x14ac:dyDescent="0.2">
      <c r="D228">
        <v>100000121</v>
      </c>
      <c r="E228" s="49">
        <v>45557</v>
      </c>
      <c r="F228" t="s">
        <v>1884</v>
      </c>
      <c r="G228" t="s">
        <v>1885</v>
      </c>
      <c r="H228">
        <v>7</v>
      </c>
      <c r="I228">
        <v>69.37</v>
      </c>
      <c r="J228" s="50">
        <v>485.59</v>
      </c>
      <c r="K228" t="s">
        <v>1618</v>
      </c>
      <c r="L228" t="s">
        <v>1886</v>
      </c>
      <c r="M228" t="s">
        <v>1627</v>
      </c>
      <c r="N228">
        <v>36.61</v>
      </c>
      <c r="O228" s="49">
        <v>45560</v>
      </c>
      <c r="P228" s="50">
        <v>218.5155</v>
      </c>
    </row>
    <row r="229" spans="4:16" x14ac:dyDescent="0.2">
      <c r="D229">
        <v>100000121</v>
      </c>
      <c r="E229" s="49">
        <v>44797</v>
      </c>
      <c r="F229" t="s">
        <v>1884</v>
      </c>
      <c r="G229" t="s">
        <v>1751</v>
      </c>
      <c r="H229">
        <v>10</v>
      </c>
      <c r="I229">
        <v>119.92</v>
      </c>
      <c r="J229" s="50">
        <v>1199.2</v>
      </c>
      <c r="K229" t="s">
        <v>1618</v>
      </c>
      <c r="L229" t="s">
        <v>1886</v>
      </c>
      <c r="M229" t="s">
        <v>1624</v>
      </c>
      <c r="N229">
        <v>63.29</v>
      </c>
      <c r="O229" s="49">
        <v>44800</v>
      </c>
      <c r="P229" s="50">
        <v>539.64</v>
      </c>
    </row>
    <row r="230" spans="4:16" x14ac:dyDescent="0.2">
      <c r="D230">
        <v>100000122</v>
      </c>
      <c r="E230" s="49">
        <v>45493</v>
      </c>
      <c r="F230" t="s">
        <v>1887</v>
      </c>
      <c r="G230" t="s">
        <v>1700</v>
      </c>
      <c r="H230">
        <v>8</v>
      </c>
      <c r="I230">
        <v>68.510000000000005</v>
      </c>
      <c r="J230" s="50">
        <v>548.08000000000004</v>
      </c>
      <c r="K230" t="s">
        <v>1632</v>
      </c>
      <c r="L230" t="s">
        <v>1888</v>
      </c>
      <c r="M230" t="s">
        <v>1621</v>
      </c>
      <c r="N230">
        <v>36.159999999999997</v>
      </c>
      <c r="O230" s="49">
        <v>45495</v>
      </c>
      <c r="P230" s="50">
        <v>246.63600000000002</v>
      </c>
    </row>
    <row r="231" spans="4:16" x14ac:dyDescent="0.2">
      <c r="D231">
        <v>100000123</v>
      </c>
      <c r="E231" s="49">
        <v>44802</v>
      </c>
      <c r="F231" t="s">
        <v>1889</v>
      </c>
      <c r="G231" t="s">
        <v>1890</v>
      </c>
      <c r="H231">
        <v>8</v>
      </c>
      <c r="I231">
        <v>52.35</v>
      </c>
      <c r="J231" s="50">
        <v>418.8</v>
      </c>
      <c r="K231" t="s">
        <v>1618</v>
      </c>
      <c r="L231" t="s">
        <v>1891</v>
      </c>
      <c r="M231" t="s">
        <v>1619</v>
      </c>
      <c r="N231">
        <v>27.63</v>
      </c>
      <c r="O231" s="49">
        <v>44805</v>
      </c>
      <c r="P231" s="50">
        <v>188.46</v>
      </c>
    </row>
    <row r="232" spans="4:16" x14ac:dyDescent="0.2">
      <c r="D232">
        <v>100000124</v>
      </c>
      <c r="E232" s="49">
        <v>44503</v>
      </c>
      <c r="F232" t="s">
        <v>1892</v>
      </c>
      <c r="G232" t="s">
        <v>1893</v>
      </c>
      <c r="H232">
        <v>1</v>
      </c>
      <c r="I232">
        <v>68.75</v>
      </c>
      <c r="J232" s="50">
        <v>68.75</v>
      </c>
      <c r="K232" t="s">
        <v>1618</v>
      </c>
      <c r="M232" t="s">
        <v>1619</v>
      </c>
      <c r="N232">
        <v>36.28</v>
      </c>
      <c r="O232" s="49">
        <v>44505</v>
      </c>
      <c r="P232" s="50">
        <v>30.9375</v>
      </c>
    </row>
    <row r="233" spans="4:16" x14ac:dyDescent="0.2">
      <c r="D233">
        <v>100000125</v>
      </c>
      <c r="E233" s="49">
        <v>44827</v>
      </c>
      <c r="F233" t="s">
        <v>1894</v>
      </c>
      <c r="G233" t="s">
        <v>1895</v>
      </c>
      <c r="H233">
        <v>6</v>
      </c>
      <c r="I233">
        <v>24.34</v>
      </c>
      <c r="J233" s="50">
        <v>146.04</v>
      </c>
      <c r="K233" t="s">
        <v>1618</v>
      </c>
      <c r="M233" t="s">
        <v>1621</v>
      </c>
      <c r="N233">
        <v>12.85</v>
      </c>
      <c r="O233" s="49">
        <v>44829</v>
      </c>
      <c r="P233" s="50">
        <v>65.718000000000004</v>
      </c>
    </row>
    <row r="234" spans="4:16" x14ac:dyDescent="0.2">
      <c r="D234">
        <v>100000128</v>
      </c>
      <c r="E234" s="49">
        <v>44398</v>
      </c>
      <c r="F234" t="s">
        <v>1896</v>
      </c>
      <c r="G234" t="s">
        <v>1897</v>
      </c>
      <c r="H234">
        <v>9</v>
      </c>
      <c r="I234">
        <v>70.19</v>
      </c>
      <c r="J234" s="50">
        <v>631.71</v>
      </c>
      <c r="K234" t="s">
        <v>1618</v>
      </c>
      <c r="L234" t="s">
        <v>1898</v>
      </c>
      <c r="M234" t="s">
        <v>1624</v>
      </c>
      <c r="N234">
        <v>37.04</v>
      </c>
      <c r="O234" s="49">
        <v>44400</v>
      </c>
      <c r="P234" s="50">
        <v>284.26950000000005</v>
      </c>
    </row>
    <row r="235" spans="4:16" x14ac:dyDescent="0.2">
      <c r="D235">
        <v>100000128</v>
      </c>
      <c r="E235" s="49">
        <v>45247</v>
      </c>
      <c r="F235" t="s">
        <v>1896</v>
      </c>
      <c r="G235" t="s">
        <v>1634</v>
      </c>
      <c r="H235">
        <v>2</v>
      </c>
      <c r="I235">
        <v>102.35</v>
      </c>
      <c r="J235" s="50">
        <v>204.7</v>
      </c>
      <c r="K235" t="s">
        <v>1618</v>
      </c>
      <c r="L235" t="s">
        <v>1898</v>
      </c>
      <c r="M235" t="s">
        <v>1629</v>
      </c>
      <c r="N235">
        <v>54.02</v>
      </c>
      <c r="O235" s="49">
        <v>45251</v>
      </c>
      <c r="P235" s="50">
        <v>92.114999999999995</v>
      </c>
    </row>
    <row r="236" spans="4:16" x14ac:dyDescent="0.2">
      <c r="D236">
        <v>100000129</v>
      </c>
      <c r="E236" s="49">
        <v>45488</v>
      </c>
      <c r="F236" t="s">
        <v>1899</v>
      </c>
      <c r="G236" t="s">
        <v>1900</v>
      </c>
      <c r="H236">
        <v>3</v>
      </c>
      <c r="I236">
        <v>110.62</v>
      </c>
      <c r="J236" s="50">
        <v>331.86</v>
      </c>
      <c r="K236" t="s">
        <v>1632</v>
      </c>
      <c r="M236" t="s">
        <v>1621</v>
      </c>
      <c r="N236">
        <v>58.38</v>
      </c>
      <c r="O236" s="49">
        <v>45493</v>
      </c>
      <c r="P236" s="50">
        <v>149.33700000000002</v>
      </c>
    </row>
    <row r="237" spans="4:16" x14ac:dyDescent="0.2">
      <c r="D237">
        <v>100000129</v>
      </c>
      <c r="E237" s="49">
        <v>44244</v>
      </c>
      <c r="F237" t="s">
        <v>1899</v>
      </c>
      <c r="G237" t="s">
        <v>1901</v>
      </c>
      <c r="H237">
        <v>7</v>
      </c>
      <c r="I237">
        <v>71.64</v>
      </c>
      <c r="J237" s="50">
        <v>501.48</v>
      </c>
      <c r="K237" t="s">
        <v>1632</v>
      </c>
      <c r="M237" t="s">
        <v>1624</v>
      </c>
      <c r="N237">
        <v>37.81</v>
      </c>
      <c r="O237" s="49">
        <v>44248</v>
      </c>
      <c r="P237" s="50">
        <v>225.66600000000003</v>
      </c>
    </row>
    <row r="238" spans="4:16" x14ac:dyDescent="0.2">
      <c r="D238">
        <v>100000129</v>
      </c>
      <c r="E238" s="49">
        <v>44319</v>
      </c>
      <c r="F238" t="s">
        <v>1899</v>
      </c>
      <c r="G238" t="s">
        <v>1902</v>
      </c>
      <c r="H238">
        <v>3</v>
      </c>
      <c r="I238">
        <v>46.93</v>
      </c>
      <c r="J238" s="50">
        <v>140.79</v>
      </c>
      <c r="K238" t="s">
        <v>1632</v>
      </c>
      <c r="M238" t="s">
        <v>1621</v>
      </c>
      <c r="N238">
        <v>24.77</v>
      </c>
      <c r="O238" s="49">
        <v>44323</v>
      </c>
      <c r="P238" s="50">
        <v>63.355499999999999</v>
      </c>
    </row>
    <row r="239" spans="4:16" x14ac:dyDescent="0.2">
      <c r="D239">
        <v>100000130</v>
      </c>
      <c r="E239" s="49">
        <v>45469</v>
      </c>
      <c r="F239" t="s">
        <v>1903</v>
      </c>
      <c r="G239" t="s">
        <v>1904</v>
      </c>
      <c r="H239">
        <v>4</v>
      </c>
      <c r="I239">
        <v>48.72</v>
      </c>
      <c r="J239" s="50">
        <v>194.88</v>
      </c>
      <c r="K239" t="s">
        <v>1632</v>
      </c>
      <c r="L239" t="s">
        <v>1905</v>
      </c>
      <c r="M239" t="s">
        <v>1629</v>
      </c>
      <c r="N239">
        <v>25.71</v>
      </c>
      <c r="O239" s="49">
        <v>45471</v>
      </c>
      <c r="P239" s="50">
        <v>87.695999999999998</v>
      </c>
    </row>
    <row r="240" spans="4:16" x14ac:dyDescent="0.2">
      <c r="D240">
        <v>100000133</v>
      </c>
      <c r="E240" s="49">
        <v>45273</v>
      </c>
      <c r="F240" t="s">
        <v>1906</v>
      </c>
      <c r="G240" t="s">
        <v>1686</v>
      </c>
      <c r="H240">
        <v>4</v>
      </c>
      <c r="I240">
        <v>99.18</v>
      </c>
      <c r="J240" s="50">
        <v>396.72</v>
      </c>
      <c r="K240" t="s">
        <v>1618</v>
      </c>
      <c r="M240" t="s">
        <v>1629</v>
      </c>
      <c r="N240">
        <v>52.34</v>
      </c>
      <c r="O240" s="49">
        <v>45276</v>
      </c>
      <c r="P240" s="50">
        <v>178.52400000000003</v>
      </c>
    </row>
    <row r="241" spans="4:16" x14ac:dyDescent="0.2">
      <c r="D241">
        <v>100000136</v>
      </c>
      <c r="E241" s="49">
        <v>44723</v>
      </c>
      <c r="F241" t="s">
        <v>1907</v>
      </c>
      <c r="G241" t="s">
        <v>1693</v>
      </c>
      <c r="H241">
        <v>6</v>
      </c>
      <c r="I241">
        <v>65.53</v>
      </c>
      <c r="J241" s="50">
        <v>393.18</v>
      </c>
      <c r="K241" t="s">
        <v>1618</v>
      </c>
      <c r="L241" t="s">
        <v>1908</v>
      </c>
      <c r="M241" t="s">
        <v>1619</v>
      </c>
      <c r="N241">
        <v>34.590000000000003</v>
      </c>
      <c r="O241" s="49">
        <v>44728</v>
      </c>
      <c r="P241" s="50">
        <v>176.93100000000001</v>
      </c>
    </row>
    <row r="242" spans="4:16" x14ac:dyDescent="0.2">
      <c r="D242">
        <v>100000137</v>
      </c>
      <c r="E242" s="49">
        <v>45655</v>
      </c>
      <c r="F242" t="s">
        <v>1909</v>
      </c>
      <c r="G242" t="s">
        <v>1910</v>
      </c>
      <c r="H242">
        <v>4</v>
      </c>
      <c r="I242">
        <v>23.57</v>
      </c>
      <c r="J242" s="50">
        <v>94.28</v>
      </c>
      <c r="K242" t="s">
        <v>1632</v>
      </c>
      <c r="L242" t="s">
        <v>1911</v>
      </c>
      <c r="M242" t="s">
        <v>1619</v>
      </c>
      <c r="N242">
        <v>12.44</v>
      </c>
      <c r="O242" s="49">
        <v>45659</v>
      </c>
      <c r="P242" s="50">
        <v>42.426000000000002</v>
      </c>
    </row>
    <row r="243" spans="4:16" x14ac:dyDescent="0.2">
      <c r="D243">
        <v>100000138</v>
      </c>
      <c r="E243" s="49">
        <v>45154</v>
      </c>
      <c r="F243" t="s">
        <v>1912</v>
      </c>
      <c r="G243" t="s">
        <v>1913</v>
      </c>
      <c r="H243">
        <v>3</v>
      </c>
      <c r="I243">
        <v>89.2</v>
      </c>
      <c r="J243" s="50">
        <v>267.60000000000002</v>
      </c>
      <c r="K243" t="s">
        <v>1618</v>
      </c>
      <c r="L243" t="s">
        <v>1914</v>
      </c>
      <c r="M243" t="s">
        <v>1627</v>
      </c>
      <c r="N243">
        <v>47.08</v>
      </c>
      <c r="O243" s="49">
        <v>45159</v>
      </c>
      <c r="P243" s="50">
        <v>120.42000000000002</v>
      </c>
    </row>
    <row r="244" spans="4:16" x14ac:dyDescent="0.2">
      <c r="D244">
        <v>100000140</v>
      </c>
      <c r="E244" s="49">
        <v>44676</v>
      </c>
      <c r="F244" t="s">
        <v>1915</v>
      </c>
      <c r="G244" t="s">
        <v>1916</v>
      </c>
      <c r="H244">
        <v>2</v>
      </c>
      <c r="I244">
        <v>48.91</v>
      </c>
      <c r="J244" s="50">
        <v>97.82</v>
      </c>
      <c r="K244" t="s">
        <v>1632</v>
      </c>
      <c r="M244" t="s">
        <v>1624</v>
      </c>
      <c r="N244">
        <v>25.81</v>
      </c>
      <c r="O244" s="49">
        <v>44680</v>
      </c>
      <c r="P244" s="50">
        <v>44.018999999999998</v>
      </c>
    </row>
    <row r="245" spans="4:16" x14ac:dyDescent="0.2">
      <c r="D245">
        <v>100000140</v>
      </c>
      <c r="E245" s="49">
        <v>44229</v>
      </c>
      <c r="F245" t="s">
        <v>1915</v>
      </c>
      <c r="G245" t="s">
        <v>1833</v>
      </c>
      <c r="H245">
        <v>2</v>
      </c>
      <c r="I245">
        <v>78.569999999999993</v>
      </c>
      <c r="J245" s="50">
        <v>157.13999999999999</v>
      </c>
      <c r="K245" t="s">
        <v>1632</v>
      </c>
      <c r="M245" t="s">
        <v>1621</v>
      </c>
      <c r="N245">
        <v>41.47</v>
      </c>
      <c r="O245" s="49">
        <v>44230</v>
      </c>
      <c r="P245" s="50">
        <v>70.712999999999994</v>
      </c>
    </row>
    <row r="246" spans="4:16" x14ac:dyDescent="0.2">
      <c r="D246">
        <v>100000141</v>
      </c>
      <c r="E246" s="49">
        <v>45177</v>
      </c>
      <c r="F246" t="s">
        <v>1917</v>
      </c>
      <c r="G246" t="s">
        <v>1802</v>
      </c>
      <c r="H246">
        <v>5</v>
      </c>
      <c r="I246">
        <v>24.6</v>
      </c>
      <c r="J246" s="50">
        <v>123</v>
      </c>
      <c r="K246" t="s">
        <v>1618</v>
      </c>
      <c r="M246" t="s">
        <v>1621</v>
      </c>
      <c r="N246">
        <v>12.98</v>
      </c>
      <c r="O246" s="49">
        <v>45180</v>
      </c>
      <c r="P246" s="50">
        <v>55.35</v>
      </c>
    </row>
    <row r="247" spans="4:16" x14ac:dyDescent="0.2">
      <c r="D247">
        <v>100000141</v>
      </c>
      <c r="E247" s="49">
        <v>45339</v>
      </c>
      <c r="F247" t="s">
        <v>1917</v>
      </c>
      <c r="G247" t="s">
        <v>1918</v>
      </c>
      <c r="H247">
        <v>1</v>
      </c>
      <c r="I247">
        <v>19.43</v>
      </c>
      <c r="J247" s="50">
        <v>19.43</v>
      </c>
      <c r="K247" t="s">
        <v>1618</v>
      </c>
      <c r="M247" t="s">
        <v>1619</v>
      </c>
      <c r="N247">
        <v>10.25</v>
      </c>
      <c r="O247" s="49">
        <v>45341</v>
      </c>
      <c r="P247" s="50">
        <v>8.7435000000000009</v>
      </c>
    </row>
    <row r="248" spans="4:16" x14ac:dyDescent="0.2">
      <c r="D248">
        <v>100000142</v>
      </c>
      <c r="E248" s="49">
        <v>44583</v>
      </c>
      <c r="F248" t="s">
        <v>1919</v>
      </c>
      <c r="G248" t="s">
        <v>1669</v>
      </c>
      <c r="H248">
        <v>1</v>
      </c>
      <c r="I248">
        <v>100.79</v>
      </c>
      <c r="J248" s="50">
        <v>100.79</v>
      </c>
      <c r="K248" t="s">
        <v>1618</v>
      </c>
      <c r="M248" t="s">
        <v>1624</v>
      </c>
      <c r="N248">
        <v>53.19</v>
      </c>
      <c r="O248" s="49">
        <v>44584</v>
      </c>
      <c r="P248" s="50">
        <v>45.355500000000006</v>
      </c>
    </row>
    <row r="249" spans="4:16" x14ac:dyDescent="0.2">
      <c r="D249">
        <v>100000143</v>
      </c>
      <c r="E249" s="49">
        <v>44405</v>
      </c>
      <c r="F249" t="s">
        <v>1920</v>
      </c>
      <c r="G249" t="s">
        <v>1921</v>
      </c>
      <c r="H249">
        <v>5</v>
      </c>
      <c r="I249">
        <v>32.72</v>
      </c>
      <c r="J249" s="50">
        <v>163.6</v>
      </c>
      <c r="K249" t="s">
        <v>1618</v>
      </c>
      <c r="M249" t="s">
        <v>1619</v>
      </c>
      <c r="N249">
        <v>17.27</v>
      </c>
      <c r="O249" s="49">
        <v>44406</v>
      </c>
      <c r="P249" s="50">
        <v>73.62</v>
      </c>
    </row>
    <row r="250" spans="4:16" x14ac:dyDescent="0.2">
      <c r="D250">
        <v>100000143</v>
      </c>
      <c r="E250" s="49">
        <v>45166</v>
      </c>
      <c r="F250" t="s">
        <v>1920</v>
      </c>
      <c r="G250" t="s">
        <v>1827</v>
      </c>
      <c r="H250">
        <v>7</v>
      </c>
      <c r="I250">
        <v>70.47</v>
      </c>
      <c r="J250" s="50">
        <v>493.29</v>
      </c>
      <c r="K250" t="s">
        <v>1618</v>
      </c>
      <c r="M250" t="s">
        <v>1621</v>
      </c>
      <c r="N250">
        <v>37.19</v>
      </c>
      <c r="O250" s="49">
        <v>45171</v>
      </c>
      <c r="P250" s="50">
        <v>221.98050000000001</v>
      </c>
    </row>
    <row r="251" spans="4:16" x14ac:dyDescent="0.2">
      <c r="D251">
        <v>100000143</v>
      </c>
      <c r="E251" s="49">
        <v>45545</v>
      </c>
      <c r="F251" t="s">
        <v>1920</v>
      </c>
      <c r="G251" t="s">
        <v>1922</v>
      </c>
      <c r="H251">
        <v>9</v>
      </c>
      <c r="I251">
        <v>69.47</v>
      </c>
      <c r="J251" s="50">
        <v>625.23</v>
      </c>
      <c r="K251" t="s">
        <v>1618</v>
      </c>
      <c r="M251" t="s">
        <v>1627</v>
      </c>
      <c r="N251">
        <v>36.659999999999997</v>
      </c>
      <c r="O251" s="49">
        <v>45548</v>
      </c>
      <c r="P251" s="50">
        <v>281.3535</v>
      </c>
    </row>
    <row r="252" spans="4:16" x14ac:dyDescent="0.2">
      <c r="D252">
        <v>100000143</v>
      </c>
      <c r="E252" s="49">
        <v>45470</v>
      </c>
      <c r="F252" t="s">
        <v>1920</v>
      </c>
      <c r="G252" t="s">
        <v>1748</v>
      </c>
      <c r="H252">
        <v>7</v>
      </c>
      <c r="I252">
        <v>47.23</v>
      </c>
      <c r="J252" s="50">
        <v>330.61</v>
      </c>
      <c r="K252" t="s">
        <v>1618</v>
      </c>
      <c r="M252" t="s">
        <v>1619</v>
      </c>
      <c r="N252">
        <v>24.93</v>
      </c>
      <c r="O252" s="49">
        <v>45472</v>
      </c>
      <c r="P252" s="50">
        <v>148.77450000000002</v>
      </c>
    </row>
    <row r="253" spans="4:16" x14ac:dyDescent="0.2">
      <c r="D253">
        <v>100000144</v>
      </c>
      <c r="E253" s="49">
        <v>44587</v>
      </c>
      <c r="F253" t="s">
        <v>1923</v>
      </c>
      <c r="G253" t="s">
        <v>1637</v>
      </c>
      <c r="H253">
        <v>7</v>
      </c>
      <c r="I253">
        <v>99.86</v>
      </c>
      <c r="J253" s="50">
        <v>699.02</v>
      </c>
      <c r="K253" t="s">
        <v>1618</v>
      </c>
      <c r="M253" t="s">
        <v>1629</v>
      </c>
      <c r="N253">
        <v>52.7</v>
      </c>
      <c r="O253" s="49">
        <v>44588</v>
      </c>
      <c r="P253" s="50">
        <v>314.55900000000003</v>
      </c>
    </row>
    <row r="254" spans="4:16" x14ac:dyDescent="0.2">
      <c r="D254">
        <v>100000144</v>
      </c>
      <c r="E254" s="49">
        <v>44700</v>
      </c>
      <c r="F254" t="s">
        <v>1923</v>
      </c>
      <c r="G254" t="s">
        <v>1924</v>
      </c>
      <c r="H254">
        <v>5</v>
      </c>
      <c r="I254">
        <v>86.02</v>
      </c>
      <c r="J254" s="50">
        <v>430.1</v>
      </c>
      <c r="K254" t="s">
        <v>1618</v>
      </c>
      <c r="M254" t="s">
        <v>1624</v>
      </c>
      <c r="N254">
        <v>45.4</v>
      </c>
      <c r="O254" s="49">
        <v>44704</v>
      </c>
      <c r="P254" s="50">
        <v>193.54500000000002</v>
      </c>
    </row>
    <row r="255" spans="4:16" x14ac:dyDescent="0.2">
      <c r="D255">
        <v>100000144</v>
      </c>
      <c r="E255" s="49">
        <v>44464</v>
      </c>
      <c r="F255" t="s">
        <v>1923</v>
      </c>
      <c r="G255" t="s">
        <v>1658</v>
      </c>
      <c r="H255">
        <v>10</v>
      </c>
      <c r="I255">
        <v>100.29</v>
      </c>
      <c r="J255" s="50">
        <v>1002.9</v>
      </c>
      <c r="K255" t="s">
        <v>1618</v>
      </c>
      <c r="M255" t="s">
        <v>1619</v>
      </c>
      <c r="N255">
        <v>52.93</v>
      </c>
      <c r="O255" s="49">
        <v>44466</v>
      </c>
      <c r="P255" s="50">
        <v>451.30500000000001</v>
      </c>
    </row>
    <row r="256" spans="4:16" x14ac:dyDescent="0.2">
      <c r="D256">
        <v>100000145</v>
      </c>
      <c r="E256" s="49">
        <v>45226</v>
      </c>
      <c r="F256" t="s">
        <v>1925</v>
      </c>
      <c r="G256" t="s">
        <v>1754</v>
      </c>
      <c r="H256">
        <v>5</v>
      </c>
      <c r="I256">
        <v>117.67</v>
      </c>
      <c r="J256" s="50">
        <v>588.35</v>
      </c>
      <c r="K256" t="s">
        <v>1618</v>
      </c>
      <c r="M256" t="s">
        <v>1624</v>
      </c>
      <c r="N256">
        <v>62.1</v>
      </c>
      <c r="O256" s="49">
        <v>45230</v>
      </c>
      <c r="P256" s="50">
        <v>264.75749999999999</v>
      </c>
    </row>
    <row r="257" spans="4:16" x14ac:dyDescent="0.2">
      <c r="D257">
        <v>100000147</v>
      </c>
      <c r="E257" s="49">
        <v>45455</v>
      </c>
      <c r="F257" t="s">
        <v>1926</v>
      </c>
      <c r="G257" t="s">
        <v>1739</v>
      </c>
      <c r="H257">
        <v>3</v>
      </c>
      <c r="I257">
        <v>19.489999999999998</v>
      </c>
      <c r="J257" s="50">
        <v>58.47</v>
      </c>
      <c r="K257" t="s">
        <v>1618</v>
      </c>
      <c r="M257" t="s">
        <v>1624</v>
      </c>
      <c r="N257">
        <v>10.29</v>
      </c>
      <c r="O257" s="49">
        <v>45459</v>
      </c>
      <c r="P257" s="50">
        <v>26.311499999999999</v>
      </c>
    </row>
    <row r="258" spans="4:16" x14ac:dyDescent="0.2">
      <c r="D258">
        <v>100000147</v>
      </c>
      <c r="E258" s="49">
        <v>44920</v>
      </c>
      <c r="F258" t="s">
        <v>1926</v>
      </c>
      <c r="G258" t="s">
        <v>1805</v>
      </c>
      <c r="H258">
        <v>7</v>
      </c>
      <c r="I258">
        <v>88.5</v>
      </c>
      <c r="J258" s="50">
        <v>619.5</v>
      </c>
      <c r="K258" t="s">
        <v>1618</v>
      </c>
      <c r="M258" t="s">
        <v>1629</v>
      </c>
      <c r="N258">
        <v>46.71</v>
      </c>
      <c r="O258" s="49">
        <v>44924</v>
      </c>
      <c r="P258" s="50">
        <v>278.77500000000003</v>
      </c>
    </row>
    <row r="259" spans="4:16" x14ac:dyDescent="0.2">
      <c r="D259">
        <v>100000147</v>
      </c>
      <c r="E259" s="49">
        <v>45584</v>
      </c>
      <c r="F259" t="s">
        <v>1926</v>
      </c>
      <c r="G259" t="s">
        <v>1643</v>
      </c>
      <c r="H259">
        <v>8</v>
      </c>
      <c r="I259">
        <v>112.97</v>
      </c>
      <c r="J259" s="50">
        <v>903.76</v>
      </c>
      <c r="K259" t="s">
        <v>1618</v>
      </c>
      <c r="M259" t="s">
        <v>1627</v>
      </c>
      <c r="N259">
        <v>59.62</v>
      </c>
      <c r="O259" s="49">
        <v>45587</v>
      </c>
      <c r="P259" s="50">
        <v>406.69200000000001</v>
      </c>
    </row>
    <row r="260" spans="4:16" x14ac:dyDescent="0.2">
      <c r="D260">
        <v>100000148</v>
      </c>
      <c r="E260" s="49">
        <v>45584</v>
      </c>
      <c r="F260" t="s">
        <v>1927</v>
      </c>
      <c r="G260" t="s">
        <v>1812</v>
      </c>
      <c r="H260">
        <v>10</v>
      </c>
      <c r="I260">
        <v>20.79</v>
      </c>
      <c r="J260" s="50">
        <v>207.9</v>
      </c>
      <c r="K260" t="s">
        <v>1618</v>
      </c>
      <c r="M260" t="s">
        <v>1624</v>
      </c>
      <c r="N260">
        <v>10.97</v>
      </c>
      <c r="O260" s="49">
        <v>45587</v>
      </c>
      <c r="P260" s="50">
        <v>93.555000000000007</v>
      </c>
    </row>
    <row r="261" spans="4:16" x14ac:dyDescent="0.2">
      <c r="D261">
        <v>100000148</v>
      </c>
      <c r="E261" s="49">
        <v>44775</v>
      </c>
      <c r="F261" t="s">
        <v>1927</v>
      </c>
      <c r="G261" t="s">
        <v>1928</v>
      </c>
      <c r="H261">
        <v>6</v>
      </c>
      <c r="I261">
        <v>13.2</v>
      </c>
      <c r="J261" s="50">
        <v>79.199999999999989</v>
      </c>
      <c r="K261" t="s">
        <v>1618</v>
      </c>
      <c r="M261" t="s">
        <v>1619</v>
      </c>
      <c r="N261">
        <v>6.97</v>
      </c>
      <c r="O261" s="49">
        <v>44780</v>
      </c>
      <c r="P261" s="50">
        <v>35.639999999999993</v>
      </c>
    </row>
    <row r="262" spans="4:16" x14ac:dyDescent="0.2">
      <c r="D262">
        <v>100000148</v>
      </c>
      <c r="E262" s="49">
        <v>44780</v>
      </c>
      <c r="F262" t="s">
        <v>1927</v>
      </c>
      <c r="G262" t="s">
        <v>1929</v>
      </c>
      <c r="H262">
        <v>8</v>
      </c>
      <c r="I262">
        <v>112.19</v>
      </c>
      <c r="J262" s="50">
        <v>897.52</v>
      </c>
      <c r="K262" t="s">
        <v>1618</v>
      </c>
      <c r="M262" t="s">
        <v>1627</v>
      </c>
      <c r="N262">
        <v>59.21</v>
      </c>
      <c r="O262" s="49">
        <v>44781</v>
      </c>
      <c r="P262" s="50">
        <v>403.88400000000001</v>
      </c>
    </row>
    <row r="263" spans="4:16" x14ac:dyDescent="0.2">
      <c r="D263">
        <v>100000148</v>
      </c>
      <c r="E263" s="49">
        <v>45574</v>
      </c>
      <c r="F263" t="s">
        <v>1927</v>
      </c>
      <c r="G263" t="s">
        <v>1765</v>
      </c>
      <c r="H263">
        <v>5</v>
      </c>
      <c r="I263">
        <v>115.22</v>
      </c>
      <c r="J263" s="50">
        <v>576.1</v>
      </c>
      <c r="K263" t="s">
        <v>1618</v>
      </c>
      <c r="M263" t="s">
        <v>1621</v>
      </c>
      <c r="N263">
        <v>60.81</v>
      </c>
      <c r="O263" s="49">
        <v>45576</v>
      </c>
      <c r="P263" s="50">
        <v>259.245</v>
      </c>
    </row>
    <row r="264" spans="4:16" x14ac:dyDescent="0.2">
      <c r="D264">
        <v>100000150</v>
      </c>
      <c r="E264" s="49">
        <v>44898</v>
      </c>
      <c r="F264" t="s">
        <v>1930</v>
      </c>
      <c r="G264" t="s">
        <v>1890</v>
      </c>
      <c r="H264">
        <v>2</v>
      </c>
      <c r="I264">
        <v>66.95</v>
      </c>
      <c r="J264" s="50">
        <v>133.9</v>
      </c>
      <c r="K264" t="s">
        <v>1632</v>
      </c>
      <c r="L264" t="s">
        <v>1931</v>
      </c>
      <c r="M264" t="s">
        <v>1624</v>
      </c>
      <c r="N264">
        <v>35.33</v>
      </c>
      <c r="O264" s="49">
        <v>44903</v>
      </c>
      <c r="P264" s="50">
        <v>60.255000000000003</v>
      </c>
    </row>
    <row r="265" spans="4:16" x14ac:dyDescent="0.2">
      <c r="D265">
        <v>100000150</v>
      </c>
      <c r="E265" s="49">
        <v>45415</v>
      </c>
      <c r="F265" t="s">
        <v>1930</v>
      </c>
      <c r="G265" t="s">
        <v>1932</v>
      </c>
      <c r="H265">
        <v>5</v>
      </c>
      <c r="I265">
        <v>89.81</v>
      </c>
      <c r="J265" s="50">
        <v>449.05</v>
      </c>
      <c r="K265" t="s">
        <v>1632</v>
      </c>
      <c r="L265" t="s">
        <v>1931</v>
      </c>
      <c r="M265" t="s">
        <v>1624</v>
      </c>
      <c r="N265">
        <v>47.4</v>
      </c>
      <c r="O265" s="49">
        <v>45416</v>
      </c>
      <c r="P265" s="50">
        <v>202.07250000000002</v>
      </c>
    </row>
    <row r="266" spans="4:16" x14ac:dyDescent="0.2">
      <c r="D266">
        <v>100000153</v>
      </c>
      <c r="E266" s="49">
        <v>44762</v>
      </c>
      <c r="F266" t="s">
        <v>1933</v>
      </c>
      <c r="G266" t="s">
        <v>1851</v>
      </c>
      <c r="H266">
        <v>4</v>
      </c>
      <c r="I266">
        <v>60.86</v>
      </c>
      <c r="J266" s="50">
        <v>243.44</v>
      </c>
      <c r="K266" t="s">
        <v>1618</v>
      </c>
      <c r="L266" t="s">
        <v>1934</v>
      </c>
      <c r="M266" t="s">
        <v>1629</v>
      </c>
      <c r="N266">
        <v>32.119999999999997</v>
      </c>
      <c r="O266" s="49">
        <v>44763</v>
      </c>
      <c r="P266" s="50">
        <v>109.548</v>
      </c>
    </row>
    <row r="267" spans="4:16" x14ac:dyDescent="0.2">
      <c r="D267">
        <v>100000154</v>
      </c>
      <c r="E267" s="49">
        <v>45225</v>
      </c>
      <c r="F267" t="s">
        <v>1935</v>
      </c>
      <c r="G267" t="s">
        <v>1655</v>
      </c>
      <c r="H267">
        <v>2</v>
      </c>
      <c r="I267">
        <v>92.2</v>
      </c>
      <c r="J267" s="50">
        <v>184.4</v>
      </c>
      <c r="K267" t="s">
        <v>1632</v>
      </c>
      <c r="M267" t="s">
        <v>1624</v>
      </c>
      <c r="N267">
        <v>48.66</v>
      </c>
      <c r="O267" s="49">
        <v>45230</v>
      </c>
      <c r="P267" s="50">
        <v>82.98</v>
      </c>
    </row>
    <row r="268" spans="4:16" x14ac:dyDescent="0.2">
      <c r="D268">
        <v>100000156</v>
      </c>
      <c r="E268" s="49">
        <v>45480</v>
      </c>
      <c r="F268" t="s">
        <v>1936</v>
      </c>
      <c r="G268" t="s">
        <v>1937</v>
      </c>
      <c r="H268">
        <v>3</v>
      </c>
      <c r="I268">
        <v>68.14</v>
      </c>
      <c r="J268" s="50">
        <v>204.42</v>
      </c>
      <c r="K268" t="s">
        <v>1618</v>
      </c>
      <c r="M268" t="s">
        <v>1624</v>
      </c>
      <c r="N268">
        <v>35.96</v>
      </c>
      <c r="O268" s="49">
        <v>45485</v>
      </c>
      <c r="P268" s="50">
        <v>91.98899999999999</v>
      </c>
    </row>
    <row r="269" spans="4:16" x14ac:dyDescent="0.2">
      <c r="D269">
        <v>100000158</v>
      </c>
      <c r="E269" s="49">
        <v>45166</v>
      </c>
      <c r="F269" t="s">
        <v>1938</v>
      </c>
      <c r="G269" t="s">
        <v>1939</v>
      </c>
      <c r="H269">
        <v>6</v>
      </c>
      <c r="I269">
        <v>108.92</v>
      </c>
      <c r="J269" s="50">
        <v>653.52</v>
      </c>
      <c r="K269" t="s">
        <v>1618</v>
      </c>
      <c r="M269" t="s">
        <v>1621</v>
      </c>
      <c r="N269">
        <v>57.49</v>
      </c>
      <c r="O269" s="49">
        <v>45170</v>
      </c>
      <c r="P269" s="50">
        <v>294.084</v>
      </c>
    </row>
    <row r="270" spans="4:16" x14ac:dyDescent="0.2">
      <c r="D270">
        <v>100000159</v>
      </c>
      <c r="E270" s="49">
        <v>44661</v>
      </c>
      <c r="F270" t="s">
        <v>1940</v>
      </c>
      <c r="G270" t="s">
        <v>1941</v>
      </c>
      <c r="H270">
        <v>7</v>
      </c>
      <c r="I270">
        <v>88</v>
      </c>
      <c r="J270" s="50">
        <v>616</v>
      </c>
      <c r="K270" t="s">
        <v>1618</v>
      </c>
      <c r="M270" t="s">
        <v>1624</v>
      </c>
      <c r="N270">
        <v>46.44</v>
      </c>
      <c r="O270" s="49">
        <v>44665</v>
      </c>
      <c r="P270" s="50">
        <v>277.2</v>
      </c>
    </row>
    <row r="271" spans="4:16" x14ac:dyDescent="0.2">
      <c r="D271">
        <v>100000161</v>
      </c>
      <c r="E271" s="49">
        <v>44491</v>
      </c>
      <c r="F271" t="s">
        <v>1942</v>
      </c>
      <c r="G271" t="s">
        <v>1943</v>
      </c>
      <c r="H271">
        <v>2</v>
      </c>
      <c r="I271">
        <v>70.14</v>
      </c>
      <c r="J271" s="50">
        <v>140.28</v>
      </c>
      <c r="K271" t="s">
        <v>1632</v>
      </c>
      <c r="M271" t="s">
        <v>1629</v>
      </c>
      <c r="N271">
        <v>37.020000000000003</v>
      </c>
      <c r="O271" s="49">
        <v>44492</v>
      </c>
      <c r="P271" s="50">
        <v>63.126000000000005</v>
      </c>
    </row>
    <row r="272" spans="4:16" x14ac:dyDescent="0.2">
      <c r="D272">
        <v>100000161</v>
      </c>
      <c r="E272" s="49">
        <v>44520</v>
      </c>
      <c r="F272" t="s">
        <v>1942</v>
      </c>
      <c r="G272" t="s">
        <v>1944</v>
      </c>
      <c r="H272">
        <v>6</v>
      </c>
      <c r="I272">
        <v>73.150000000000006</v>
      </c>
      <c r="J272" s="50">
        <v>438.9</v>
      </c>
      <c r="K272" t="s">
        <v>1632</v>
      </c>
      <c r="M272" t="s">
        <v>1619</v>
      </c>
      <c r="N272">
        <v>38.61</v>
      </c>
      <c r="O272" s="49">
        <v>44522</v>
      </c>
      <c r="P272" s="50">
        <v>197.505</v>
      </c>
    </row>
    <row r="273" spans="4:16" x14ac:dyDescent="0.2">
      <c r="D273">
        <v>100000161</v>
      </c>
      <c r="E273" s="49">
        <v>44265</v>
      </c>
      <c r="F273" t="s">
        <v>1942</v>
      </c>
      <c r="G273" t="s">
        <v>1945</v>
      </c>
      <c r="H273">
        <v>6</v>
      </c>
      <c r="I273">
        <v>38.08</v>
      </c>
      <c r="J273" s="50">
        <v>228.48</v>
      </c>
      <c r="K273" t="s">
        <v>1632</v>
      </c>
      <c r="M273" t="s">
        <v>1629</v>
      </c>
      <c r="N273">
        <v>20.100000000000001</v>
      </c>
      <c r="O273" s="49">
        <v>44269</v>
      </c>
      <c r="P273" s="50">
        <v>102.816</v>
      </c>
    </row>
    <row r="274" spans="4:16" x14ac:dyDescent="0.2">
      <c r="D274">
        <v>100000162</v>
      </c>
      <c r="E274" s="49">
        <v>44806</v>
      </c>
      <c r="F274" t="s">
        <v>1946</v>
      </c>
      <c r="G274" t="s">
        <v>1833</v>
      </c>
      <c r="H274">
        <v>1</v>
      </c>
      <c r="I274">
        <v>31.89</v>
      </c>
      <c r="J274" s="50">
        <v>31.89</v>
      </c>
      <c r="K274" t="s">
        <v>1618</v>
      </c>
      <c r="M274" t="s">
        <v>1621</v>
      </c>
      <c r="N274">
        <v>16.829999999999998</v>
      </c>
      <c r="O274" s="49">
        <v>44811</v>
      </c>
      <c r="P274" s="50">
        <v>14.3505</v>
      </c>
    </row>
    <row r="275" spans="4:16" x14ac:dyDescent="0.2">
      <c r="D275">
        <v>100000162</v>
      </c>
      <c r="E275" s="49">
        <v>45228</v>
      </c>
      <c r="F275" t="s">
        <v>1946</v>
      </c>
      <c r="G275" t="s">
        <v>1947</v>
      </c>
      <c r="H275">
        <v>5</v>
      </c>
      <c r="I275">
        <v>65.16</v>
      </c>
      <c r="J275" s="50">
        <v>325.8</v>
      </c>
      <c r="K275" t="s">
        <v>1618</v>
      </c>
      <c r="M275" t="s">
        <v>1624</v>
      </c>
      <c r="N275">
        <v>34.39</v>
      </c>
      <c r="O275" s="49">
        <v>45233</v>
      </c>
      <c r="P275" s="50">
        <v>146.61000000000001</v>
      </c>
    </row>
    <row r="276" spans="4:16" x14ac:dyDescent="0.2">
      <c r="D276">
        <v>100000162</v>
      </c>
      <c r="E276" s="49">
        <v>44633</v>
      </c>
      <c r="F276" t="s">
        <v>1946</v>
      </c>
      <c r="G276" t="s">
        <v>1948</v>
      </c>
      <c r="H276">
        <v>9</v>
      </c>
      <c r="I276">
        <v>49.39</v>
      </c>
      <c r="J276" s="50">
        <v>444.51</v>
      </c>
      <c r="K276" t="s">
        <v>1618</v>
      </c>
      <c r="M276" t="s">
        <v>1619</v>
      </c>
      <c r="N276">
        <v>26.07</v>
      </c>
      <c r="O276" s="49">
        <v>44637</v>
      </c>
      <c r="P276" s="50">
        <v>200.02950000000001</v>
      </c>
    </row>
    <row r="277" spans="4:16" x14ac:dyDescent="0.2">
      <c r="D277">
        <v>100000162</v>
      </c>
      <c r="E277" s="49">
        <v>45606</v>
      </c>
      <c r="F277" t="s">
        <v>1946</v>
      </c>
      <c r="G277" t="s">
        <v>1842</v>
      </c>
      <c r="H277">
        <v>7</v>
      </c>
      <c r="I277">
        <v>99.8</v>
      </c>
      <c r="J277" s="50">
        <v>698.6</v>
      </c>
      <c r="K277" t="s">
        <v>1618</v>
      </c>
      <c r="M277" t="s">
        <v>1624</v>
      </c>
      <c r="N277">
        <v>52.67</v>
      </c>
      <c r="O277" s="49">
        <v>45608</v>
      </c>
      <c r="P277" s="50">
        <v>314.37</v>
      </c>
    </row>
    <row r="278" spans="4:16" x14ac:dyDescent="0.2">
      <c r="D278">
        <v>100000163</v>
      </c>
      <c r="E278" s="49">
        <v>45587</v>
      </c>
      <c r="F278" t="s">
        <v>1949</v>
      </c>
      <c r="G278" t="s">
        <v>1950</v>
      </c>
      <c r="H278">
        <v>5</v>
      </c>
      <c r="I278">
        <v>60.51</v>
      </c>
      <c r="J278" s="50">
        <v>302.55</v>
      </c>
      <c r="K278" t="s">
        <v>1632</v>
      </c>
      <c r="M278" t="s">
        <v>1621</v>
      </c>
      <c r="N278">
        <v>31.94</v>
      </c>
      <c r="O278" s="49">
        <v>45589</v>
      </c>
      <c r="P278" s="50">
        <v>136.14750000000001</v>
      </c>
    </row>
    <row r="279" spans="4:16" x14ac:dyDescent="0.2">
      <c r="D279">
        <v>100000163</v>
      </c>
      <c r="E279" s="49">
        <v>44699</v>
      </c>
      <c r="F279" t="s">
        <v>1949</v>
      </c>
      <c r="G279" t="s">
        <v>1728</v>
      </c>
      <c r="H279">
        <v>4</v>
      </c>
      <c r="I279">
        <v>89.79</v>
      </c>
      <c r="J279" s="50">
        <v>359.16</v>
      </c>
      <c r="K279" t="s">
        <v>1632</v>
      </c>
      <c r="M279" t="s">
        <v>1627</v>
      </c>
      <c r="N279">
        <v>47.39</v>
      </c>
      <c r="O279" s="49">
        <v>44700</v>
      </c>
      <c r="P279" s="50">
        <v>161.62200000000001</v>
      </c>
    </row>
    <row r="280" spans="4:16" x14ac:dyDescent="0.2">
      <c r="D280">
        <v>100000164</v>
      </c>
      <c r="E280" s="49">
        <v>44720</v>
      </c>
      <c r="F280" t="s">
        <v>1951</v>
      </c>
      <c r="G280" t="s">
        <v>1738</v>
      </c>
      <c r="H280">
        <v>4</v>
      </c>
      <c r="I280">
        <v>81</v>
      </c>
      <c r="J280" s="50">
        <v>324</v>
      </c>
      <c r="K280" t="s">
        <v>1632</v>
      </c>
      <c r="M280" t="s">
        <v>1624</v>
      </c>
      <c r="N280">
        <v>42.75</v>
      </c>
      <c r="O280" s="49">
        <v>44722</v>
      </c>
      <c r="P280" s="50">
        <v>145.80000000000001</v>
      </c>
    </row>
    <row r="281" spans="4:16" x14ac:dyDescent="0.2">
      <c r="D281">
        <v>100000165</v>
      </c>
      <c r="E281" s="49">
        <v>44624</v>
      </c>
      <c r="F281" t="s">
        <v>1952</v>
      </c>
      <c r="G281" t="s">
        <v>1953</v>
      </c>
      <c r="H281">
        <v>1</v>
      </c>
      <c r="I281">
        <v>43.59</v>
      </c>
      <c r="J281" s="50">
        <v>43.59</v>
      </c>
      <c r="K281" t="s">
        <v>1618</v>
      </c>
      <c r="M281" t="s">
        <v>1629</v>
      </c>
      <c r="N281">
        <v>23.01</v>
      </c>
      <c r="O281" s="49">
        <v>44629</v>
      </c>
      <c r="P281" s="50">
        <v>19.615500000000001</v>
      </c>
    </row>
    <row r="282" spans="4:16" x14ac:dyDescent="0.2">
      <c r="D282">
        <v>100000166</v>
      </c>
      <c r="E282" s="49">
        <v>44643</v>
      </c>
      <c r="F282" t="s">
        <v>1954</v>
      </c>
      <c r="G282" t="s">
        <v>1955</v>
      </c>
      <c r="H282">
        <v>6</v>
      </c>
      <c r="I282">
        <v>91.33</v>
      </c>
      <c r="J282" s="50">
        <v>547.98</v>
      </c>
      <c r="K282" t="s">
        <v>1632</v>
      </c>
      <c r="M282" t="s">
        <v>1619</v>
      </c>
      <c r="N282">
        <v>48.2</v>
      </c>
      <c r="O282" s="49">
        <v>44646</v>
      </c>
      <c r="P282" s="50">
        <v>246.59100000000001</v>
      </c>
    </row>
    <row r="283" spans="4:16" x14ac:dyDescent="0.2">
      <c r="D283">
        <v>100000166</v>
      </c>
      <c r="E283" s="49">
        <v>44255</v>
      </c>
      <c r="F283" t="s">
        <v>1954</v>
      </c>
      <c r="G283" t="s">
        <v>1817</v>
      </c>
      <c r="H283">
        <v>7</v>
      </c>
      <c r="I283">
        <v>24.45</v>
      </c>
      <c r="J283" s="50">
        <v>171.15</v>
      </c>
      <c r="K283" t="s">
        <v>1632</v>
      </c>
      <c r="M283" t="s">
        <v>1619</v>
      </c>
      <c r="N283">
        <v>12.9</v>
      </c>
      <c r="O283" s="49">
        <v>44260</v>
      </c>
      <c r="P283" s="50">
        <v>77.017499999999998</v>
      </c>
    </row>
    <row r="284" spans="4:16" x14ac:dyDescent="0.2">
      <c r="D284">
        <v>100000166</v>
      </c>
      <c r="E284" s="49">
        <v>44842</v>
      </c>
      <c r="F284" t="s">
        <v>1954</v>
      </c>
      <c r="G284" t="s">
        <v>1956</v>
      </c>
      <c r="H284">
        <v>4</v>
      </c>
      <c r="I284">
        <v>101.41</v>
      </c>
      <c r="J284" s="50">
        <v>405.64</v>
      </c>
      <c r="K284" t="s">
        <v>1632</v>
      </c>
      <c r="M284" t="s">
        <v>1629</v>
      </c>
      <c r="N284">
        <v>53.52</v>
      </c>
      <c r="O284" s="49">
        <v>44847</v>
      </c>
      <c r="P284" s="50">
        <v>182.53800000000001</v>
      </c>
    </row>
    <row r="285" spans="4:16" x14ac:dyDescent="0.2">
      <c r="D285">
        <v>100000166</v>
      </c>
      <c r="E285" s="49">
        <v>45211</v>
      </c>
      <c r="F285" t="s">
        <v>1954</v>
      </c>
      <c r="G285" t="s">
        <v>1641</v>
      </c>
      <c r="H285">
        <v>8</v>
      </c>
      <c r="I285">
        <v>20.47</v>
      </c>
      <c r="J285" s="50">
        <v>163.76</v>
      </c>
      <c r="K285" t="s">
        <v>1632</v>
      </c>
      <c r="M285" t="s">
        <v>1627</v>
      </c>
      <c r="N285">
        <v>10.8</v>
      </c>
      <c r="O285" s="49">
        <v>45212</v>
      </c>
      <c r="P285" s="50">
        <v>73.691999999999993</v>
      </c>
    </row>
    <row r="286" spans="4:16" x14ac:dyDescent="0.2">
      <c r="D286">
        <v>100000166</v>
      </c>
      <c r="E286" s="49">
        <v>44896</v>
      </c>
      <c r="F286" t="s">
        <v>1954</v>
      </c>
      <c r="G286" t="s">
        <v>1955</v>
      </c>
      <c r="H286">
        <v>10</v>
      </c>
      <c r="I286">
        <v>28.72</v>
      </c>
      <c r="J286" s="50">
        <v>287.2</v>
      </c>
      <c r="K286" t="s">
        <v>1632</v>
      </c>
      <c r="M286" t="s">
        <v>1629</v>
      </c>
      <c r="N286">
        <v>15.16</v>
      </c>
      <c r="O286" s="49">
        <v>44898</v>
      </c>
      <c r="P286" s="50">
        <v>129.24</v>
      </c>
    </row>
    <row r="287" spans="4:16" x14ac:dyDescent="0.2">
      <c r="D287">
        <v>100000167</v>
      </c>
      <c r="E287" s="49">
        <v>44872</v>
      </c>
      <c r="F287" t="s">
        <v>1957</v>
      </c>
      <c r="G287" t="s">
        <v>1729</v>
      </c>
      <c r="H287">
        <v>4</v>
      </c>
      <c r="I287">
        <v>32.22</v>
      </c>
      <c r="J287" s="50">
        <v>128.88</v>
      </c>
      <c r="K287" t="s">
        <v>1618</v>
      </c>
      <c r="M287" t="s">
        <v>1627</v>
      </c>
      <c r="N287">
        <v>17</v>
      </c>
      <c r="O287" s="49">
        <v>44874</v>
      </c>
      <c r="P287" s="50">
        <v>57.996000000000002</v>
      </c>
    </row>
    <row r="288" spans="4:16" x14ac:dyDescent="0.2">
      <c r="D288">
        <v>100000167</v>
      </c>
      <c r="E288" s="49">
        <v>44325</v>
      </c>
      <c r="F288" t="s">
        <v>1957</v>
      </c>
      <c r="G288" t="s">
        <v>1802</v>
      </c>
      <c r="H288">
        <v>1</v>
      </c>
      <c r="I288">
        <v>108.44</v>
      </c>
      <c r="J288" s="50">
        <v>108.44</v>
      </c>
      <c r="K288" t="s">
        <v>1618</v>
      </c>
      <c r="M288" t="s">
        <v>1621</v>
      </c>
      <c r="N288">
        <v>57.23</v>
      </c>
      <c r="O288" s="49">
        <v>44327</v>
      </c>
      <c r="P288" s="50">
        <v>48.798000000000002</v>
      </c>
    </row>
    <row r="289" spans="4:16" x14ac:dyDescent="0.2">
      <c r="D289">
        <v>100000167</v>
      </c>
      <c r="E289" s="49">
        <v>44450</v>
      </c>
      <c r="F289" t="s">
        <v>1957</v>
      </c>
      <c r="G289" t="s">
        <v>1785</v>
      </c>
      <c r="H289">
        <v>5</v>
      </c>
      <c r="I289">
        <v>103.03</v>
      </c>
      <c r="J289" s="50">
        <v>515.15</v>
      </c>
      <c r="K289" t="s">
        <v>1618</v>
      </c>
      <c r="M289" t="s">
        <v>1621</v>
      </c>
      <c r="N289">
        <v>54.38</v>
      </c>
      <c r="O289" s="49">
        <v>44451</v>
      </c>
      <c r="P289" s="50">
        <v>231.8175</v>
      </c>
    </row>
    <row r="290" spans="4:16" x14ac:dyDescent="0.2">
      <c r="D290">
        <v>100000167</v>
      </c>
      <c r="E290" s="49">
        <v>45270</v>
      </c>
      <c r="F290" t="s">
        <v>1957</v>
      </c>
      <c r="G290" t="s">
        <v>1958</v>
      </c>
      <c r="H290">
        <v>9</v>
      </c>
      <c r="I290">
        <v>80.25</v>
      </c>
      <c r="J290" s="50">
        <v>722.25</v>
      </c>
      <c r="K290" t="s">
        <v>1618</v>
      </c>
      <c r="M290" t="s">
        <v>1627</v>
      </c>
      <c r="N290">
        <v>42.35</v>
      </c>
      <c r="O290" s="49">
        <v>45274</v>
      </c>
      <c r="P290" s="50">
        <v>325.01249999999999</v>
      </c>
    </row>
    <row r="291" spans="4:16" x14ac:dyDescent="0.2">
      <c r="D291">
        <v>100000168</v>
      </c>
      <c r="E291" s="49">
        <v>44559</v>
      </c>
      <c r="F291" t="s">
        <v>1959</v>
      </c>
      <c r="G291" t="s">
        <v>1782</v>
      </c>
      <c r="H291">
        <v>2</v>
      </c>
      <c r="I291">
        <v>79.87</v>
      </c>
      <c r="J291" s="50">
        <v>159.74</v>
      </c>
      <c r="K291" t="s">
        <v>1618</v>
      </c>
      <c r="L291" t="s">
        <v>1960</v>
      </c>
      <c r="M291" t="s">
        <v>1621</v>
      </c>
      <c r="N291">
        <v>42.15</v>
      </c>
      <c r="O291" s="49">
        <v>44560</v>
      </c>
      <c r="P291" s="50">
        <v>71.88300000000001</v>
      </c>
    </row>
    <row r="292" spans="4:16" x14ac:dyDescent="0.2">
      <c r="D292">
        <v>100000169</v>
      </c>
      <c r="E292" s="49">
        <v>44327</v>
      </c>
      <c r="F292" t="s">
        <v>1961</v>
      </c>
      <c r="G292" t="s">
        <v>1730</v>
      </c>
      <c r="H292">
        <v>8</v>
      </c>
      <c r="I292">
        <v>27.49</v>
      </c>
      <c r="J292" s="50">
        <v>219.92</v>
      </c>
      <c r="K292" t="s">
        <v>1618</v>
      </c>
      <c r="M292" t="s">
        <v>1624</v>
      </c>
      <c r="N292">
        <v>14.51</v>
      </c>
      <c r="O292" s="49">
        <v>44329</v>
      </c>
      <c r="P292" s="50">
        <v>98.963999999999999</v>
      </c>
    </row>
    <row r="293" spans="4:16" x14ac:dyDescent="0.2">
      <c r="D293">
        <v>100000171</v>
      </c>
      <c r="E293" s="49">
        <v>45015</v>
      </c>
      <c r="F293" t="s">
        <v>1962</v>
      </c>
      <c r="G293" t="s">
        <v>1963</v>
      </c>
      <c r="H293">
        <v>10</v>
      </c>
      <c r="I293">
        <v>72.849999999999994</v>
      </c>
      <c r="J293" s="50">
        <v>728.5</v>
      </c>
      <c r="K293" t="s">
        <v>1632</v>
      </c>
      <c r="M293" t="s">
        <v>1624</v>
      </c>
      <c r="N293">
        <v>38.450000000000003</v>
      </c>
      <c r="O293" s="49">
        <v>45020</v>
      </c>
      <c r="P293" s="50">
        <v>327.82499999999999</v>
      </c>
    </row>
    <row r="294" spans="4:16" x14ac:dyDescent="0.2">
      <c r="D294">
        <v>100000171</v>
      </c>
      <c r="E294" s="49">
        <v>45220</v>
      </c>
      <c r="F294" t="s">
        <v>1962</v>
      </c>
      <c r="G294" t="s">
        <v>1658</v>
      </c>
      <c r="H294">
        <v>6</v>
      </c>
      <c r="I294">
        <v>100.36</v>
      </c>
      <c r="J294" s="50">
        <v>602.16</v>
      </c>
      <c r="K294" t="s">
        <v>1632</v>
      </c>
      <c r="M294" t="s">
        <v>1624</v>
      </c>
      <c r="N294">
        <v>52.97</v>
      </c>
      <c r="O294" s="49">
        <v>45225</v>
      </c>
      <c r="P294" s="50">
        <v>270.97199999999998</v>
      </c>
    </row>
    <row r="295" spans="4:16" x14ac:dyDescent="0.2">
      <c r="D295">
        <v>100000172</v>
      </c>
      <c r="E295" s="49">
        <v>44288</v>
      </c>
      <c r="F295" t="s">
        <v>1964</v>
      </c>
      <c r="G295" t="s">
        <v>1687</v>
      </c>
      <c r="H295">
        <v>5</v>
      </c>
      <c r="I295">
        <v>99.32</v>
      </c>
      <c r="J295" s="50">
        <v>496.6</v>
      </c>
      <c r="K295" t="s">
        <v>1618</v>
      </c>
      <c r="L295" t="s">
        <v>1965</v>
      </c>
      <c r="M295" t="s">
        <v>1629</v>
      </c>
      <c r="N295">
        <v>52.42</v>
      </c>
      <c r="O295" s="49">
        <v>44293</v>
      </c>
      <c r="P295" s="50">
        <v>223.47000000000003</v>
      </c>
    </row>
    <row r="296" spans="4:16" x14ac:dyDescent="0.2">
      <c r="D296">
        <v>100000172</v>
      </c>
      <c r="E296" s="49">
        <v>44300</v>
      </c>
      <c r="F296" t="s">
        <v>1964</v>
      </c>
      <c r="G296" t="s">
        <v>1695</v>
      </c>
      <c r="H296">
        <v>7</v>
      </c>
      <c r="I296">
        <v>62.04</v>
      </c>
      <c r="J296" s="50">
        <v>434.28</v>
      </c>
      <c r="K296" t="s">
        <v>1618</v>
      </c>
      <c r="L296" t="s">
        <v>1965</v>
      </c>
      <c r="M296" t="s">
        <v>1627</v>
      </c>
      <c r="N296">
        <v>32.74</v>
      </c>
      <c r="O296" s="49">
        <v>44302</v>
      </c>
      <c r="P296" s="50">
        <v>195.42599999999999</v>
      </c>
    </row>
    <row r="297" spans="4:16" x14ac:dyDescent="0.2">
      <c r="D297">
        <v>100000173</v>
      </c>
      <c r="E297" s="49">
        <v>45055</v>
      </c>
      <c r="F297" t="s">
        <v>1966</v>
      </c>
      <c r="G297" t="s">
        <v>1967</v>
      </c>
      <c r="H297">
        <v>9</v>
      </c>
      <c r="I297">
        <v>43.61</v>
      </c>
      <c r="J297" s="50">
        <v>392.49</v>
      </c>
      <c r="K297" t="s">
        <v>1632</v>
      </c>
      <c r="M297" t="s">
        <v>1629</v>
      </c>
      <c r="N297">
        <v>23.02</v>
      </c>
      <c r="O297" s="49">
        <v>45058</v>
      </c>
      <c r="P297" s="50">
        <v>176.62050000000002</v>
      </c>
    </row>
    <row r="298" spans="4:16" x14ac:dyDescent="0.2">
      <c r="D298">
        <v>100000174</v>
      </c>
      <c r="E298" s="49">
        <v>44436</v>
      </c>
      <c r="F298" t="s">
        <v>1968</v>
      </c>
      <c r="G298" t="s">
        <v>1969</v>
      </c>
      <c r="H298">
        <v>4</v>
      </c>
      <c r="I298">
        <v>69.64</v>
      </c>
      <c r="J298" s="50">
        <v>278.56</v>
      </c>
      <c r="K298" t="s">
        <v>1618</v>
      </c>
      <c r="M298" t="s">
        <v>1624</v>
      </c>
      <c r="N298">
        <v>36.75</v>
      </c>
      <c r="O298" s="49">
        <v>44441</v>
      </c>
      <c r="P298" s="50">
        <v>125.352</v>
      </c>
    </row>
    <row r="299" spans="4:16" x14ac:dyDescent="0.2">
      <c r="D299">
        <v>100000175</v>
      </c>
      <c r="E299" s="49">
        <v>45524</v>
      </c>
      <c r="F299" t="s">
        <v>1970</v>
      </c>
      <c r="G299" t="s">
        <v>1710</v>
      </c>
      <c r="H299">
        <v>5</v>
      </c>
      <c r="I299">
        <v>38.659999999999997</v>
      </c>
      <c r="J299" s="50">
        <v>193.3</v>
      </c>
      <c r="K299" t="s">
        <v>1632</v>
      </c>
      <c r="M299" t="s">
        <v>1627</v>
      </c>
      <c r="N299">
        <v>20.399999999999999</v>
      </c>
      <c r="O299" s="49">
        <v>45528</v>
      </c>
      <c r="P299" s="50">
        <v>86.985000000000014</v>
      </c>
    </row>
    <row r="300" spans="4:16" x14ac:dyDescent="0.2">
      <c r="D300">
        <v>100000175</v>
      </c>
      <c r="E300" s="49">
        <v>45605</v>
      </c>
      <c r="F300" t="s">
        <v>1970</v>
      </c>
      <c r="G300" t="s">
        <v>1971</v>
      </c>
      <c r="H300">
        <v>7</v>
      </c>
      <c r="I300">
        <v>53.66</v>
      </c>
      <c r="J300" s="50">
        <v>375.62</v>
      </c>
      <c r="K300" t="s">
        <v>1632</v>
      </c>
      <c r="M300" t="s">
        <v>1629</v>
      </c>
      <c r="N300">
        <v>28.32</v>
      </c>
      <c r="O300" s="49">
        <v>45609</v>
      </c>
      <c r="P300" s="50">
        <v>169.029</v>
      </c>
    </row>
    <row r="301" spans="4:16" x14ac:dyDescent="0.2">
      <c r="D301">
        <v>100000176</v>
      </c>
      <c r="E301" s="49">
        <v>45648</v>
      </c>
      <c r="F301" t="s">
        <v>1972</v>
      </c>
      <c r="G301" t="s">
        <v>1973</v>
      </c>
      <c r="H301">
        <v>5</v>
      </c>
      <c r="I301">
        <v>21.5</v>
      </c>
      <c r="J301" s="50">
        <v>107.5</v>
      </c>
      <c r="K301" t="s">
        <v>1632</v>
      </c>
      <c r="M301" t="s">
        <v>1624</v>
      </c>
      <c r="N301">
        <v>11.35</v>
      </c>
      <c r="O301" s="49">
        <v>45652</v>
      </c>
      <c r="P301" s="50">
        <v>48.375</v>
      </c>
    </row>
    <row r="302" spans="4:16" x14ac:dyDescent="0.2">
      <c r="D302">
        <v>100000176</v>
      </c>
      <c r="E302" s="49">
        <v>44218</v>
      </c>
      <c r="F302" t="s">
        <v>1972</v>
      </c>
      <c r="G302" t="s">
        <v>1820</v>
      </c>
      <c r="H302">
        <v>5</v>
      </c>
      <c r="I302">
        <v>61.08</v>
      </c>
      <c r="J302" s="50">
        <v>305.39999999999998</v>
      </c>
      <c r="K302" t="s">
        <v>1632</v>
      </c>
      <c r="M302" t="s">
        <v>1624</v>
      </c>
      <c r="N302">
        <v>32.24</v>
      </c>
      <c r="O302" s="49">
        <v>44221</v>
      </c>
      <c r="P302" s="50">
        <v>137.43</v>
      </c>
    </row>
    <row r="303" spans="4:16" x14ac:dyDescent="0.2">
      <c r="D303">
        <v>100000177</v>
      </c>
      <c r="E303" s="49">
        <v>44615</v>
      </c>
      <c r="F303" t="s">
        <v>1974</v>
      </c>
      <c r="G303" t="s">
        <v>1846</v>
      </c>
      <c r="H303">
        <v>4</v>
      </c>
      <c r="I303">
        <v>95.22</v>
      </c>
      <c r="J303" s="50">
        <v>380.88</v>
      </c>
      <c r="K303" t="s">
        <v>1618</v>
      </c>
      <c r="M303" t="s">
        <v>1619</v>
      </c>
      <c r="N303">
        <v>50.25</v>
      </c>
      <c r="O303" s="49">
        <v>44617</v>
      </c>
      <c r="P303" s="50">
        <v>171.39600000000002</v>
      </c>
    </row>
    <row r="304" spans="4:16" x14ac:dyDescent="0.2">
      <c r="D304">
        <v>100000177</v>
      </c>
      <c r="E304" s="49">
        <v>44740</v>
      </c>
      <c r="F304" t="s">
        <v>1974</v>
      </c>
      <c r="G304" t="s">
        <v>1718</v>
      </c>
      <c r="H304">
        <v>9</v>
      </c>
      <c r="I304">
        <v>38.299999999999997</v>
      </c>
      <c r="J304" s="50">
        <v>344.7</v>
      </c>
      <c r="K304" t="s">
        <v>1618</v>
      </c>
      <c r="M304" t="s">
        <v>1627</v>
      </c>
      <c r="N304">
        <v>20.21</v>
      </c>
      <c r="O304" s="49">
        <v>44745</v>
      </c>
      <c r="P304" s="50">
        <v>155.11500000000001</v>
      </c>
    </row>
    <row r="305" spans="4:16" x14ac:dyDescent="0.2">
      <c r="D305">
        <v>100000177</v>
      </c>
      <c r="E305" s="49">
        <v>44835</v>
      </c>
      <c r="F305" t="s">
        <v>1974</v>
      </c>
      <c r="G305" t="s">
        <v>1975</v>
      </c>
      <c r="H305">
        <v>8</v>
      </c>
      <c r="I305">
        <v>79.38</v>
      </c>
      <c r="J305" s="50">
        <v>635.04</v>
      </c>
      <c r="K305" t="s">
        <v>1618</v>
      </c>
      <c r="M305" t="s">
        <v>1624</v>
      </c>
      <c r="N305">
        <v>41.89</v>
      </c>
      <c r="O305" s="49">
        <v>44839</v>
      </c>
      <c r="P305" s="50">
        <v>285.76799999999997</v>
      </c>
    </row>
    <row r="306" spans="4:16" x14ac:dyDescent="0.2">
      <c r="D306">
        <v>100000177</v>
      </c>
      <c r="E306" s="49">
        <v>44331</v>
      </c>
      <c r="F306" t="s">
        <v>1974</v>
      </c>
      <c r="G306" t="s">
        <v>1976</v>
      </c>
      <c r="H306">
        <v>9</v>
      </c>
      <c r="I306">
        <v>114.28</v>
      </c>
      <c r="J306" s="50">
        <v>1028.52</v>
      </c>
      <c r="K306" t="s">
        <v>1618</v>
      </c>
      <c r="M306" t="s">
        <v>1621</v>
      </c>
      <c r="N306">
        <v>60.31</v>
      </c>
      <c r="O306" s="49">
        <v>44334</v>
      </c>
      <c r="P306" s="50">
        <v>462.834</v>
      </c>
    </row>
    <row r="307" spans="4:16" x14ac:dyDescent="0.2">
      <c r="D307">
        <v>100000178</v>
      </c>
      <c r="E307" s="49">
        <v>44601</v>
      </c>
      <c r="F307" t="s">
        <v>1977</v>
      </c>
      <c r="G307" t="s">
        <v>1978</v>
      </c>
      <c r="H307">
        <v>9</v>
      </c>
      <c r="I307">
        <v>77.31</v>
      </c>
      <c r="J307" s="50">
        <v>695.79</v>
      </c>
      <c r="K307" t="s">
        <v>1618</v>
      </c>
      <c r="L307" t="s">
        <v>1979</v>
      </c>
      <c r="M307" t="s">
        <v>1621</v>
      </c>
      <c r="N307">
        <v>40.799999999999997</v>
      </c>
      <c r="O307" s="49">
        <v>44604</v>
      </c>
      <c r="P307" s="50">
        <v>313.10550000000001</v>
      </c>
    </row>
    <row r="308" spans="4:16" x14ac:dyDescent="0.2">
      <c r="D308">
        <v>100000178</v>
      </c>
      <c r="E308" s="49">
        <v>45523</v>
      </c>
      <c r="F308" t="s">
        <v>1977</v>
      </c>
      <c r="G308" t="s">
        <v>1980</v>
      </c>
      <c r="H308">
        <v>9</v>
      </c>
      <c r="I308">
        <v>32.21</v>
      </c>
      <c r="J308" s="50">
        <v>289.89</v>
      </c>
      <c r="K308" t="s">
        <v>1618</v>
      </c>
      <c r="L308" t="s">
        <v>1979</v>
      </c>
      <c r="M308" t="s">
        <v>1629</v>
      </c>
      <c r="N308">
        <v>17</v>
      </c>
      <c r="O308" s="49">
        <v>45524</v>
      </c>
      <c r="P308" s="50">
        <v>130.45050000000001</v>
      </c>
    </row>
    <row r="309" spans="4:16" x14ac:dyDescent="0.2">
      <c r="D309">
        <v>100000178</v>
      </c>
      <c r="E309" s="49">
        <v>44238</v>
      </c>
      <c r="F309" t="s">
        <v>1977</v>
      </c>
      <c r="G309" t="s">
        <v>1679</v>
      </c>
      <c r="H309">
        <v>5</v>
      </c>
      <c r="I309">
        <v>31.3</v>
      </c>
      <c r="J309" s="50">
        <v>156.5</v>
      </c>
      <c r="K309" t="s">
        <v>1618</v>
      </c>
      <c r="L309" t="s">
        <v>1979</v>
      </c>
      <c r="M309" t="s">
        <v>1619</v>
      </c>
      <c r="N309">
        <v>16.52</v>
      </c>
      <c r="O309" s="49">
        <v>44243</v>
      </c>
      <c r="P309" s="50">
        <v>70.424999999999997</v>
      </c>
    </row>
    <row r="310" spans="4:16" x14ac:dyDescent="0.2">
      <c r="D310">
        <v>100000178</v>
      </c>
      <c r="E310" s="49">
        <v>44221</v>
      </c>
      <c r="F310" t="s">
        <v>1977</v>
      </c>
      <c r="G310" t="s">
        <v>1721</v>
      </c>
      <c r="H310">
        <v>8</v>
      </c>
      <c r="I310">
        <v>30.02</v>
      </c>
      <c r="J310" s="50">
        <v>240.16</v>
      </c>
      <c r="K310" t="s">
        <v>1618</v>
      </c>
      <c r="L310" t="s">
        <v>1979</v>
      </c>
      <c r="M310" t="s">
        <v>1619</v>
      </c>
      <c r="N310">
        <v>15.84</v>
      </c>
      <c r="O310" s="49">
        <v>44226</v>
      </c>
      <c r="P310" s="50">
        <v>108.072</v>
      </c>
    </row>
    <row r="311" spans="4:16" x14ac:dyDescent="0.2">
      <c r="D311">
        <v>100000178</v>
      </c>
      <c r="E311" s="49">
        <v>44418</v>
      </c>
      <c r="F311" t="s">
        <v>1977</v>
      </c>
      <c r="G311" t="s">
        <v>1730</v>
      </c>
      <c r="H311">
        <v>8</v>
      </c>
      <c r="I311">
        <v>15.33</v>
      </c>
      <c r="J311" s="50">
        <v>122.64</v>
      </c>
      <c r="K311" t="s">
        <v>1618</v>
      </c>
      <c r="L311" t="s">
        <v>1979</v>
      </c>
      <c r="M311" t="s">
        <v>1627</v>
      </c>
      <c r="N311">
        <v>8.09</v>
      </c>
      <c r="O311" s="49">
        <v>44423</v>
      </c>
      <c r="P311" s="50">
        <v>55.188000000000002</v>
      </c>
    </row>
    <row r="312" spans="4:16" x14ac:dyDescent="0.2">
      <c r="D312">
        <v>100000178</v>
      </c>
      <c r="E312" s="49">
        <v>44395</v>
      </c>
      <c r="F312" t="s">
        <v>1977</v>
      </c>
      <c r="G312" t="s">
        <v>1902</v>
      </c>
      <c r="H312">
        <v>8</v>
      </c>
      <c r="I312">
        <v>19.68</v>
      </c>
      <c r="J312" s="50">
        <v>157.44</v>
      </c>
      <c r="K312" t="s">
        <v>1618</v>
      </c>
      <c r="L312" t="s">
        <v>1979</v>
      </c>
      <c r="M312" t="s">
        <v>1624</v>
      </c>
      <c r="N312">
        <v>10.39</v>
      </c>
      <c r="O312" s="49">
        <v>44396</v>
      </c>
      <c r="P312" s="50">
        <v>70.847999999999999</v>
      </c>
    </row>
    <row r="313" spans="4:16" x14ac:dyDescent="0.2">
      <c r="D313">
        <v>100000179</v>
      </c>
      <c r="E313" s="49">
        <v>45106</v>
      </c>
      <c r="F313" t="s">
        <v>1981</v>
      </c>
      <c r="G313" t="s">
        <v>1982</v>
      </c>
      <c r="H313">
        <v>9</v>
      </c>
      <c r="I313">
        <v>111.51</v>
      </c>
      <c r="J313" s="50">
        <v>1003.59</v>
      </c>
      <c r="K313" t="s">
        <v>1618</v>
      </c>
      <c r="L313" t="s">
        <v>1983</v>
      </c>
      <c r="M313" t="s">
        <v>1624</v>
      </c>
      <c r="N313">
        <v>58.85</v>
      </c>
      <c r="O313" s="49">
        <v>45111</v>
      </c>
      <c r="P313" s="50">
        <v>451.6155</v>
      </c>
    </row>
    <row r="314" spans="4:16" x14ac:dyDescent="0.2">
      <c r="D314">
        <v>100000180</v>
      </c>
      <c r="E314" s="49">
        <v>44420</v>
      </c>
      <c r="F314" t="s">
        <v>1984</v>
      </c>
      <c r="G314" t="s">
        <v>1985</v>
      </c>
      <c r="H314">
        <v>4</v>
      </c>
      <c r="I314">
        <v>12.6</v>
      </c>
      <c r="J314" s="50">
        <v>50.4</v>
      </c>
      <c r="K314" t="s">
        <v>1618</v>
      </c>
      <c r="M314" t="s">
        <v>1621</v>
      </c>
      <c r="N314">
        <v>6.65</v>
      </c>
      <c r="O314" s="49">
        <v>44421</v>
      </c>
      <c r="P314" s="50">
        <v>22.68</v>
      </c>
    </row>
    <row r="315" spans="4:16" x14ac:dyDescent="0.2">
      <c r="D315">
        <v>100000181</v>
      </c>
      <c r="E315" s="49">
        <v>45007</v>
      </c>
      <c r="F315" t="s">
        <v>1986</v>
      </c>
      <c r="G315" t="s">
        <v>1987</v>
      </c>
      <c r="H315">
        <v>4</v>
      </c>
      <c r="I315">
        <v>15.34</v>
      </c>
      <c r="J315" s="50">
        <v>61.36</v>
      </c>
      <c r="K315" t="s">
        <v>1618</v>
      </c>
      <c r="L315" t="s">
        <v>1988</v>
      </c>
      <c r="M315" t="s">
        <v>1627</v>
      </c>
      <c r="N315">
        <v>8.1</v>
      </c>
      <c r="O315" s="49">
        <v>45009</v>
      </c>
      <c r="P315" s="50">
        <v>27.612000000000002</v>
      </c>
    </row>
    <row r="316" spans="4:16" x14ac:dyDescent="0.2">
      <c r="D316">
        <v>100000182</v>
      </c>
      <c r="E316" s="49">
        <v>44910</v>
      </c>
      <c r="F316" t="s">
        <v>1989</v>
      </c>
      <c r="G316" t="s">
        <v>1990</v>
      </c>
      <c r="H316">
        <v>7</v>
      </c>
      <c r="I316">
        <v>103.82</v>
      </c>
      <c r="J316" s="50">
        <v>726.74</v>
      </c>
      <c r="K316" t="s">
        <v>1618</v>
      </c>
      <c r="L316" t="s">
        <v>1991</v>
      </c>
      <c r="M316" t="s">
        <v>1627</v>
      </c>
      <c r="N316">
        <v>54.79</v>
      </c>
      <c r="O316" s="49">
        <v>44915</v>
      </c>
      <c r="P316" s="50">
        <v>327.03300000000002</v>
      </c>
    </row>
    <row r="317" spans="4:16" x14ac:dyDescent="0.2">
      <c r="D317">
        <v>100000183</v>
      </c>
      <c r="E317" s="49">
        <v>45479</v>
      </c>
      <c r="F317" t="s">
        <v>1992</v>
      </c>
      <c r="G317" t="s">
        <v>1691</v>
      </c>
      <c r="H317">
        <v>7</v>
      </c>
      <c r="I317">
        <v>78.099999999999994</v>
      </c>
      <c r="J317" s="50">
        <v>546.69999999999993</v>
      </c>
      <c r="K317" t="s">
        <v>1618</v>
      </c>
      <c r="M317" t="s">
        <v>1629</v>
      </c>
      <c r="N317">
        <v>41.22</v>
      </c>
      <c r="O317" s="49">
        <v>45484</v>
      </c>
      <c r="P317" s="50">
        <v>246.01499999999999</v>
      </c>
    </row>
    <row r="318" spans="4:16" x14ac:dyDescent="0.2">
      <c r="D318">
        <v>100000183</v>
      </c>
      <c r="E318" s="49">
        <v>44916</v>
      </c>
      <c r="F318" t="s">
        <v>1992</v>
      </c>
      <c r="G318" t="s">
        <v>1661</v>
      </c>
      <c r="H318">
        <v>5</v>
      </c>
      <c r="I318">
        <v>99.66</v>
      </c>
      <c r="J318" s="50">
        <v>498.3</v>
      </c>
      <c r="K318" t="s">
        <v>1618</v>
      </c>
      <c r="M318" t="s">
        <v>1624</v>
      </c>
      <c r="N318">
        <v>52.6</v>
      </c>
      <c r="O318" s="49">
        <v>44921</v>
      </c>
      <c r="P318" s="50">
        <v>224.23500000000001</v>
      </c>
    </row>
    <row r="319" spans="4:16" x14ac:dyDescent="0.2">
      <c r="D319">
        <v>100000184</v>
      </c>
      <c r="E319" s="49">
        <v>45064</v>
      </c>
      <c r="F319" t="s">
        <v>1993</v>
      </c>
      <c r="G319" t="s">
        <v>1913</v>
      </c>
      <c r="H319">
        <v>8</v>
      </c>
      <c r="I319">
        <v>25.82</v>
      </c>
      <c r="J319" s="50">
        <v>206.56</v>
      </c>
      <c r="K319" t="s">
        <v>1632</v>
      </c>
      <c r="L319" t="s">
        <v>1994</v>
      </c>
      <c r="M319" t="s">
        <v>1627</v>
      </c>
      <c r="N319">
        <v>13.63</v>
      </c>
      <c r="O319" s="49">
        <v>45065</v>
      </c>
      <c r="P319" s="50">
        <v>92.951999999999998</v>
      </c>
    </row>
    <row r="320" spans="4:16" x14ac:dyDescent="0.2">
      <c r="D320">
        <v>100000185</v>
      </c>
      <c r="E320" s="49">
        <v>44811</v>
      </c>
      <c r="F320" t="s">
        <v>1995</v>
      </c>
      <c r="G320" t="s">
        <v>1787</v>
      </c>
      <c r="H320">
        <v>1</v>
      </c>
      <c r="I320">
        <v>69.489999999999995</v>
      </c>
      <c r="J320" s="50">
        <v>69.489999999999995</v>
      </c>
      <c r="K320" t="s">
        <v>1618</v>
      </c>
      <c r="L320" t="s">
        <v>1996</v>
      </c>
      <c r="M320" t="s">
        <v>1621</v>
      </c>
      <c r="N320">
        <v>36.68</v>
      </c>
      <c r="O320" s="49">
        <v>44812</v>
      </c>
      <c r="P320" s="50">
        <v>31.270499999999998</v>
      </c>
    </row>
    <row r="321" spans="4:16" x14ac:dyDescent="0.2">
      <c r="D321">
        <v>100000186</v>
      </c>
      <c r="E321" s="49">
        <v>45536</v>
      </c>
      <c r="F321" t="s">
        <v>1997</v>
      </c>
      <c r="G321" t="s">
        <v>1623</v>
      </c>
      <c r="H321">
        <v>3</v>
      </c>
      <c r="I321">
        <v>92.07</v>
      </c>
      <c r="J321" s="50">
        <v>276.20999999999998</v>
      </c>
      <c r="K321" t="s">
        <v>1632</v>
      </c>
      <c r="M321" t="s">
        <v>1629</v>
      </c>
      <c r="N321">
        <v>48.59</v>
      </c>
      <c r="O321" s="49">
        <v>45539</v>
      </c>
      <c r="P321" s="50">
        <v>124.2945</v>
      </c>
    </row>
    <row r="322" spans="4:16" x14ac:dyDescent="0.2">
      <c r="D322">
        <v>100000186</v>
      </c>
      <c r="E322" s="49">
        <v>45243</v>
      </c>
      <c r="F322" t="s">
        <v>1997</v>
      </c>
      <c r="G322" t="s">
        <v>1922</v>
      </c>
      <c r="H322">
        <v>5</v>
      </c>
      <c r="I322">
        <v>116.01</v>
      </c>
      <c r="J322" s="50">
        <v>580.05000000000007</v>
      </c>
      <c r="K322" t="s">
        <v>1632</v>
      </c>
      <c r="M322" t="s">
        <v>1624</v>
      </c>
      <c r="N322">
        <v>61.23</v>
      </c>
      <c r="O322" s="49">
        <v>45246</v>
      </c>
      <c r="P322" s="50">
        <v>261.02250000000004</v>
      </c>
    </row>
    <row r="323" spans="4:16" x14ac:dyDescent="0.2">
      <c r="D323">
        <v>100000187</v>
      </c>
      <c r="E323" s="49">
        <v>45399</v>
      </c>
      <c r="F323" t="s">
        <v>1998</v>
      </c>
      <c r="G323" t="s">
        <v>1999</v>
      </c>
      <c r="H323">
        <v>7</v>
      </c>
      <c r="I323">
        <v>37.76</v>
      </c>
      <c r="J323" s="50">
        <v>264.32</v>
      </c>
      <c r="K323" t="s">
        <v>1632</v>
      </c>
      <c r="M323" t="s">
        <v>1624</v>
      </c>
      <c r="N323">
        <v>19.93</v>
      </c>
      <c r="O323" s="49">
        <v>45400</v>
      </c>
      <c r="P323" s="50">
        <v>118.944</v>
      </c>
    </row>
    <row r="324" spans="4:16" x14ac:dyDescent="0.2">
      <c r="D324">
        <v>100000187</v>
      </c>
      <c r="E324" s="49">
        <v>45199</v>
      </c>
      <c r="F324" t="s">
        <v>1998</v>
      </c>
      <c r="G324" t="s">
        <v>1691</v>
      </c>
      <c r="H324">
        <v>2</v>
      </c>
      <c r="I324">
        <v>71.430000000000007</v>
      </c>
      <c r="J324" s="50">
        <v>142.86000000000001</v>
      </c>
      <c r="K324" t="s">
        <v>1632</v>
      </c>
      <c r="M324" t="s">
        <v>1629</v>
      </c>
      <c r="N324">
        <v>37.700000000000003</v>
      </c>
      <c r="O324" s="49">
        <v>45200</v>
      </c>
      <c r="P324" s="50">
        <v>64.287000000000006</v>
      </c>
    </row>
    <row r="325" spans="4:16" x14ac:dyDescent="0.2">
      <c r="D325">
        <v>100000187</v>
      </c>
      <c r="E325" s="49">
        <v>45142</v>
      </c>
      <c r="F325" t="s">
        <v>1998</v>
      </c>
      <c r="G325" t="s">
        <v>1681</v>
      </c>
      <c r="H325">
        <v>5</v>
      </c>
      <c r="I325">
        <v>10.59</v>
      </c>
      <c r="J325" s="50">
        <v>52.95</v>
      </c>
      <c r="K325" t="s">
        <v>1632</v>
      </c>
      <c r="M325" t="s">
        <v>1627</v>
      </c>
      <c r="N325">
        <v>5.59</v>
      </c>
      <c r="O325" s="49">
        <v>45143</v>
      </c>
      <c r="P325" s="50">
        <v>23.827500000000001</v>
      </c>
    </row>
    <row r="326" spans="4:16" x14ac:dyDescent="0.2">
      <c r="D326">
        <v>100000188</v>
      </c>
      <c r="E326" s="49">
        <v>44231</v>
      </c>
      <c r="F326" t="s">
        <v>2000</v>
      </c>
      <c r="G326" t="s">
        <v>1976</v>
      </c>
      <c r="H326">
        <v>8</v>
      </c>
      <c r="I326">
        <v>30.59</v>
      </c>
      <c r="J326" s="50">
        <v>244.72</v>
      </c>
      <c r="K326" t="s">
        <v>1632</v>
      </c>
      <c r="L326" t="s">
        <v>1776</v>
      </c>
      <c r="M326" t="s">
        <v>1621</v>
      </c>
      <c r="N326">
        <v>16.14</v>
      </c>
      <c r="O326" s="49">
        <v>44233</v>
      </c>
      <c r="P326" s="50">
        <v>110.124</v>
      </c>
    </row>
    <row r="327" spans="4:16" x14ac:dyDescent="0.2">
      <c r="D327">
        <v>100000189</v>
      </c>
      <c r="E327" s="49">
        <v>44253</v>
      </c>
      <c r="F327" t="s">
        <v>2001</v>
      </c>
      <c r="G327" t="s">
        <v>1749</v>
      </c>
      <c r="H327">
        <v>3</v>
      </c>
      <c r="I327">
        <v>50.97</v>
      </c>
      <c r="J327" s="50">
        <v>152.91</v>
      </c>
      <c r="K327" t="s">
        <v>1618</v>
      </c>
      <c r="M327" t="s">
        <v>1619</v>
      </c>
      <c r="N327">
        <v>26.9</v>
      </c>
      <c r="O327" s="49">
        <v>44258</v>
      </c>
      <c r="P327" s="50">
        <v>68.8095</v>
      </c>
    </row>
    <row r="328" spans="4:16" x14ac:dyDescent="0.2">
      <c r="D328">
        <v>100000190</v>
      </c>
      <c r="E328" s="49">
        <v>44411</v>
      </c>
      <c r="F328" t="s">
        <v>2002</v>
      </c>
      <c r="G328" t="s">
        <v>2003</v>
      </c>
      <c r="H328">
        <v>6</v>
      </c>
      <c r="I328">
        <v>24.48</v>
      </c>
      <c r="J328" s="50">
        <v>146.88</v>
      </c>
      <c r="K328" t="s">
        <v>1618</v>
      </c>
      <c r="M328" t="s">
        <v>1621</v>
      </c>
      <c r="N328">
        <v>12.92</v>
      </c>
      <c r="O328" s="49">
        <v>44412</v>
      </c>
      <c r="P328" s="50">
        <v>66.096000000000004</v>
      </c>
    </row>
    <row r="329" spans="4:16" x14ac:dyDescent="0.2">
      <c r="D329">
        <v>100000190</v>
      </c>
      <c r="E329" s="49">
        <v>44931</v>
      </c>
      <c r="F329" t="s">
        <v>2002</v>
      </c>
      <c r="G329" t="s">
        <v>2004</v>
      </c>
      <c r="H329">
        <v>7</v>
      </c>
      <c r="I329">
        <v>74.97</v>
      </c>
      <c r="J329" s="50">
        <v>524.79</v>
      </c>
      <c r="K329" t="s">
        <v>1618</v>
      </c>
      <c r="M329" t="s">
        <v>1621</v>
      </c>
      <c r="N329">
        <v>39.57</v>
      </c>
      <c r="O329" s="49">
        <v>44933</v>
      </c>
      <c r="P329" s="50">
        <v>236.15549999999999</v>
      </c>
    </row>
    <row r="330" spans="4:16" x14ac:dyDescent="0.2">
      <c r="D330">
        <v>100000190</v>
      </c>
      <c r="E330" s="49">
        <v>45099</v>
      </c>
      <c r="F330" t="s">
        <v>2002</v>
      </c>
      <c r="G330" t="s">
        <v>1846</v>
      </c>
      <c r="H330">
        <v>5</v>
      </c>
      <c r="I330">
        <v>34.340000000000003</v>
      </c>
      <c r="J330" s="50">
        <v>171.7</v>
      </c>
      <c r="K330" t="s">
        <v>1618</v>
      </c>
      <c r="M330" t="s">
        <v>1629</v>
      </c>
      <c r="N330">
        <v>18.12</v>
      </c>
      <c r="O330" s="49">
        <v>45101</v>
      </c>
      <c r="P330" s="50">
        <v>77.265000000000001</v>
      </c>
    </row>
    <row r="331" spans="4:16" x14ac:dyDescent="0.2">
      <c r="D331">
        <v>100000190</v>
      </c>
      <c r="E331" s="49">
        <v>45643</v>
      </c>
      <c r="F331" t="s">
        <v>2002</v>
      </c>
      <c r="G331" t="s">
        <v>1985</v>
      </c>
      <c r="H331">
        <v>6</v>
      </c>
      <c r="I331">
        <v>105.41</v>
      </c>
      <c r="J331" s="50">
        <v>632.46</v>
      </c>
      <c r="K331" t="s">
        <v>1618</v>
      </c>
      <c r="M331" t="s">
        <v>1629</v>
      </c>
      <c r="N331">
        <v>55.63</v>
      </c>
      <c r="O331" s="49">
        <v>45646</v>
      </c>
      <c r="P331" s="50">
        <v>284.60700000000003</v>
      </c>
    </row>
    <row r="332" spans="4:16" x14ac:dyDescent="0.2">
      <c r="D332">
        <v>100000190</v>
      </c>
      <c r="E332" s="49">
        <v>45536</v>
      </c>
      <c r="F332" t="s">
        <v>2002</v>
      </c>
      <c r="G332" t="s">
        <v>2005</v>
      </c>
      <c r="H332">
        <v>5</v>
      </c>
      <c r="I332">
        <v>119.48</v>
      </c>
      <c r="J332" s="50">
        <v>597.4</v>
      </c>
      <c r="K332" t="s">
        <v>1618</v>
      </c>
      <c r="M332" t="s">
        <v>1619</v>
      </c>
      <c r="N332">
        <v>63.06</v>
      </c>
      <c r="O332" s="49">
        <v>45540</v>
      </c>
      <c r="P332" s="50">
        <v>268.83</v>
      </c>
    </row>
    <row r="333" spans="4:16" x14ac:dyDescent="0.2">
      <c r="D333">
        <v>100000190</v>
      </c>
      <c r="E333" s="49">
        <v>44696</v>
      </c>
      <c r="F333" t="s">
        <v>2002</v>
      </c>
      <c r="G333" t="s">
        <v>1743</v>
      </c>
      <c r="H333">
        <v>5</v>
      </c>
      <c r="I333">
        <v>24.72</v>
      </c>
      <c r="J333" s="50">
        <v>123.6</v>
      </c>
      <c r="K333" t="s">
        <v>1618</v>
      </c>
      <c r="M333" t="s">
        <v>1619</v>
      </c>
      <c r="N333">
        <v>13.05</v>
      </c>
      <c r="O333" s="49">
        <v>44700</v>
      </c>
      <c r="P333" s="50">
        <v>55.62</v>
      </c>
    </row>
    <row r="334" spans="4:16" x14ac:dyDescent="0.2">
      <c r="D334">
        <v>100000190</v>
      </c>
      <c r="E334" s="49">
        <v>44803</v>
      </c>
      <c r="F334" t="s">
        <v>2002</v>
      </c>
      <c r="G334" t="s">
        <v>1937</v>
      </c>
      <c r="H334">
        <v>9</v>
      </c>
      <c r="I334">
        <v>61.83</v>
      </c>
      <c r="J334" s="50">
        <v>556.47</v>
      </c>
      <c r="K334" t="s">
        <v>1618</v>
      </c>
      <c r="M334" t="s">
        <v>1629</v>
      </c>
      <c r="N334">
        <v>32.630000000000003</v>
      </c>
      <c r="O334" s="49">
        <v>44805</v>
      </c>
      <c r="P334" s="50">
        <v>250.41150000000002</v>
      </c>
    </row>
    <row r="335" spans="4:16" x14ac:dyDescent="0.2">
      <c r="D335">
        <v>100000191</v>
      </c>
      <c r="E335" s="49">
        <v>45354</v>
      </c>
      <c r="F335" t="s">
        <v>2006</v>
      </c>
      <c r="G335" t="s">
        <v>2007</v>
      </c>
      <c r="H335">
        <v>7</v>
      </c>
      <c r="I335">
        <v>45.05</v>
      </c>
      <c r="J335" s="50">
        <v>315.35000000000002</v>
      </c>
      <c r="K335" t="s">
        <v>1632</v>
      </c>
      <c r="M335" t="s">
        <v>1624</v>
      </c>
      <c r="N335">
        <v>23.78</v>
      </c>
      <c r="O335" s="49">
        <v>45359</v>
      </c>
      <c r="P335" s="50">
        <v>141.90750000000003</v>
      </c>
    </row>
    <row r="336" spans="4:16" x14ac:dyDescent="0.2">
      <c r="D336">
        <v>100000192</v>
      </c>
      <c r="E336" s="49">
        <v>44928</v>
      </c>
      <c r="F336" t="s">
        <v>2008</v>
      </c>
      <c r="G336" t="s">
        <v>1913</v>
      </c>
      <c r="H336">
        <v>6</v>
      </c>
      <c r="I336">
        <v>37.75</v>
      </c>
      <c r="J336" s="50">
        <v>226.5</v>
      </c>
      <c r="K336" t="s">
        <v>1618</v>
      </c>
      <c r="M336" t="s">
        <v>1619</v>
      </c>
      <c r="N336">
        <v>19.920000000000002</v>
      </c>
      <c r="O336" s="49">
        <v>44930</v>
      </c>
      <c r="P336" s="50">
        <v>101.925</v>
      </c>
    </row>
    <row r="337" spans="4:16" x14ac:dyDescent="0.2">
      <c r="D337">
        <v>100000193</v>
      </c>
      <c r="E337" s="49">
        <v>44671</v>
      </c>
      <c r="F337" t="s">
        <v>2009</v>
      </c>
      <c r="G337" t="s">
        <v>1681</v>
      </c>
      <c r="H337">
        <v>7</v>
      </c>
      <c r="I337">
        <v>89.66</v>
      </c>
      <c r="J337" s="50">
        <v>627.62</v>
      </c>
      <c r="K337" t="s">
        <v>1618</v>
      </c>
      <c r="L337" t="s">
        <v>2010</v>
      </c>
      <c r="M337" t="s">
        <v>1629</v>
      </c>
      <c r="N337">
        <v>47.32</v>
      </c>
      <c r="O337" s="49">
        <v>44675</v>
      </c>
      <c r="P337" s="50">
        <v>282.42900000000003</v>
      </c>
    </row>
    <row r="338" spans="4:16" x14ac:dyDescent="0.2">
      <c r="D338">
        <v>100000195</v>
      </c>
      <c r="E338" s="49">
        <v>45472</v>
      </c>
      <c r="F338" t="s">
        <v>2011</v>
      </c>
      <c r="G338" t="s">
        <v>1756</v>
      </c>
      <c r="H338">
        <v>1</v>
      </c>
      <c r="I338">
        <v>104.44</v>
      </c>
      <c r="J338" s="50">
        <v>104.44</v>
      </c>
      <c r="K338" t="s">
        <v>1632</v>
      </c>
      <c r="L338" t="s">
        <v>2012</v>
      </c>
      <c r="M338" t="s">
        <v>1629</v>
      </c>
      <c r="N338">
        <v>55.12</v>
      </c>
      <c r="O338" s="49">
        <v>45474</v>
      </c>
      <c r="P338" s="50">
        <v>46.997999999999998</v>
      </c>
    </row>
    <row r="339" spans="4:16" x14ac:dyDescent="0.2">
      <c r="D339">
        <v>100000195</v>
      </c>
      <c r="E339" s="49">
        <v>45199</v>
      </c>
      <c r="F339" t="s">
        <v>2011</v>
      </c>
      <c r="G339" t="s">
        <v>1900</v>
      </c>
      <c r="H339">
        <v>4</v>
      </c>
      <c r="I339">
        <v>95.21</v>
      </c>
      <c r="J339" s="50">
        <v>380.84</v>
      </c>
      <c r="K339" t="s">
        <v>1632</v>
      </c>
      <c r="L339" t="s">
        <v>2012</v>
      </c>
      <c r="M339" t="s">
        <v>1624</v>
      </c>
      <c r="N339">
        <v>50.25</v>
      </c>
      <c r="O339" s="49">
        <v>45200</v>
      </c>
      <c r="P339" s="50">
        <v>171.37799999999999</v>
      </c>
    </row>
    <row r="340" spans="4:16" x14ac:dyDescent="0.2">
      <c r="D340">
        <v>100000195</v>
      </c>
      <c r="E340" s="49">
        <v>45642</v>
      </c>
      <c r="F340" t="s">
        <v>2011</v>
      </c>
      <c r="G340" t="s">
        <v>1643</v>
      </c>
      <c r="H340">
        <v>5</v>
      </c>
      <c r="I340">
        <v>106.79</v>
      </c>
      <c r="J340" s="50">
        <v>533.95000000000005</v>
      </c>
      <c r="K340" t="s">
        <v>1632</v>
      </c>
      <c r="L340" t="s">
        <v>2012</v>
      </c>
      <c r="M340" t="s">
        <v>1627</v>
      </c>
      <c r="N340">
        <v>56.36</v>
      </c>
      <c r="O340" s="49">
        <v>45643</v>
      </c>
      <c r="P340" s="50">
        <v>240.27750000000003</v>
      </c>
    </row>
    <row r="341" spans="4:16" x14ac:dyDescent="0.2">
      <c r="D341">
        <v>100000197</v>
      </c>
      <c r="E341" s="49">
        <v>44277</v>
      </c>
      <c r="F341" t="s">
        <v>2013</v>
      </c>
      <c r="G341" t="s">
        <v>1928</v>
      </c>
      <c r="H341">
        <v>3</v>
      </c>
      <c r="I341">
        <v>22.03</v>
      </c>
      <c r="J341" s="50">
        <v>66.09</v>
      </c>
      <c r="K341" t="s">
        <v>1632</v>
      </c>
      <c r="M341" t="s">
        <v>1627</v>
      </c>
      <c r="N341">
        <v>11.63</v>
      </c>
      <c r="O341" s="49">
        <v>44280</v>
      </c>
      <c r="P341" s="50">
        <v>29.740500000000001</v>
      </c>
    </row>
    <row r="342" spans="4:16" x14ac:dyDescent="0.2">
      <c r="D342">
        <v>100000198</v>
      </c>
      <c r="E342" s="49">
        <v>45306</v>
      </c>
      <c r="F342" t="s">
        <v>2014</v>
      </c>
      <c r="G342" t="s">
        <v>1762</v>
      </c>
      <c r="H342">
        <v>5</v>
      </c>
      <c r="I342">
        <v>64.91</v>
      </c>
      <c r="J342" s="50">
        <v>324.55</v>
      </c>
      <c r="K342" t="s">
        <v>1632</v>
      </c>
      <c r="M342" t="s">
        <v>1619</v>
      </c>
      <c r="N342">
        <v>34.26</v>
      </c>
      <c r="O342" s="49">
        <v>45311</v>
      </c>
      <c r="P342" s="50">
        <v>146.04750000000001</v>
      </c>
    </row>
    <row r="343" spans="4:16" x14ac:dyDescent="0.2">
      <c r="D343">
        <v>100000198</v>
      </c>
      <c r="E343" s="49">
        <v>45538</v>
      </c>
      <c r="F343" t="s">
        <v>2014</v>
      </c>
      <c r="G343" t="s">
        <v>1644</v>
      </c>
      <c r="H343">
        <v>7</v>
      </c>
      <c r="I343">
        <v>97.72</v>
      </c>
      <c r="J343" s="50">
        <v>684.04</v>
      </c>
      <c r="K343" t="s">
        <v>1632</v>
      </c>
      <c r="M343" t="s">
        <v>1624</v>
      </c>
      <c r="N343">
        <v>51.57</v>
      </c>
      <c r="O343" s="49">
        <v>45543</v>
      </c>
      <c r="P343" s="50">
        <v>307.81799999999998</v>
      </c>
    </row>
    <row r="344" spans="4:16" x14ac:dyDescent="0.2">
      <c r="D344">
        <v>100000199</v>
      </c>
      <c r="E344" s="49">
        <v>45470</v>
      </c>
      <c r="F344" t="s">
        <v>2015</v>
      </c>
      <c r="G344" t="s">
        <v>2016</v>
      </c>
      <c r="H344">
        <v>6</v>
      </c>
      <c r="I344">
        <v>43.47</v>
      </c>
      <c r="J344" s="50">
        <v>260.82</v>
      </c>
      <c r="K344" t="s">
        <v>1632</v>
      </c>
      <c r="M344" t="s">
        <v>1629</v>
      </c>
      <c r="N344">
        <v>22.94</v>
      </c>
      <c r="O344" s="49">
        <v>45472</v>
      </c>
      <c r="P344" s="50">
        <v>117.369</v>
      </c>
    </row>
    <row r="345" spans="4:16" x14ac:dyDescent="0.2">
      <c r="D345">
        <v>100000199</v>
      </c>
      <c r="E345" s="49">
        <v>44451</v>
      </c>
      <c r="F345" t="s">
        <v>2015</v>
      </c>
      <c r="G345" t="s">
        <v>2017</v>
      </c>
      <c r="H345">
        <v>5</v>
      </c>
      <c r="I345">
        <v>21.86</v>
      </c>
      <c r="J345" s="50">
        <v>109.3</v>
      </c>
      <c r="K345" t="s">
        <v>1632</v>
      </c>
      <c r="M345" t="s">
        <v>1619</v>
      </c>
      <c r="N345">
        <v>11.54</v>
      </c>
      <c r="O345" s="49">
        <v>44452</v>
      </c>
      <c r="P345" s="50">
        <v>49.185000000000002</v>
      </c>
    </row>
    <row r="346" spans="4:16" x14ac:dyDescent="0.2">
      <c r="D346">
        <v>100000199</v>
      </c>
      <c r="E346" s="49">
        <v>45307</v>
      </c>
      <c r="F346" t="s">
        <v>2015</v>
      </c>
      <c r="G346" t="s">
        <v>1913</v>
      </c>
      <c r="H346">
        <v>4</v>
      </c>
      <c r="I346">
        <v>55.44</v>
      </c>
      <c r="J346" s="50">
        <v>221.76</v>
      </c>
      <c r="K346" t="s">
        <v>1632</v>
      </c>
      <c r="M346" t="s">
        <v>1629</v>
      </c>
      <c r="N346">
        <v>29.26</v>
      </c>
      <c r="O346" s="49">
        <v>45308</v>
      </c>
      <c r="P346" s="50">
        <v>99.792000000000002</v>
      </c>
    </row>
    <row r="347" spans="4:16" x14ac:dyDescent="0.2">
      <c r="D347">
        <v>100000200</v>
      </c>
      <c r="E347" s="49">
        <v>44585</v>
      </c>
      <c r="F347" t="s">
        <v>2018</v>
      </c>
      <c r="G347" t="s">
        <v>2019</v>
      </c>
      <c r="H347">
        <v>4</v>
      </c>
      <c r="I347">
        <v>51.94</v>
      </c>
      <c r="J347" s="50">
        <v>207.76</v>
      </c>
      <c r="K347" t="s">
        <v>1632</v>
      </c>
      <c r="L347" t="s">
        <v>2020</v>
      </c>
      <c r="M347" t="s">
        <v>1627</v>
      </c>
      <c r="N347">
        <v>27.41</v>
      </c>
      <c r="O347" s="49">
        <v>44589</v>
      </c>
      <c r="P347" s="50">
        <v>93.492000000000004</v>
      </c>
    </row>
    <row r="348" spans="4:16" x14ac:dyDescent="0.2">
      <c r="D348">
        <v>100000201</v>
      </c>
      <c r="E348" s="49">
        <v>44385</v>
      </c>
      <c r="F348" t="s">
        <v>2021</v>
      </c>
      <c r="G348" t="s">
        <v>1655</v>
      </c>
      <c r="H348">
        <v>6</v>
      </c>
      <c r="I348">
        <v>46.32</v>
      </c>
      <c r="J348" s="50">
        <v>277.92</v>
      </c>
      <c r="K348" t="s">
        <v>1618</v>
      </c>
      <c r="M348" t="s">
        <v>1629</v>
      </c>
      <c r="N348">
        <v>24.45</v>
      </c>
      <c r="O348" s="49">
        <v>44388</v>
      </c>
      <c r="P348" s="50">
        <v>125.06400000000001</v>
      </c>
    </row>
    <row r="349" spans="4:16" x14ac:dyDescent="0.2">
      <c r="D349">
        <v>100000201</v>
      </c>
      <c r="E349" s="49">
        <v>44238</v>
      </c>
      <c r="F349" t="s">
        <v>2021</v>
      </c>
      <c r="G349" t="s">
        <v>1663</v>
      </c>
      <c r="H349">
        <v>6</v>
      </c>
      <c r="I349">
        <v>32.130000000000003</v>
      </c>
      <c r="J349" s="50">
        <v>192.78</v>
      </c>
      <c r="K349" t="s">
        <v>1618</v>
      </c>
      <c r="M349" t="s">
        <v>1619</v>
      </c>
      <c r="N349">
        <v>16.96</v>
      </c>
      <c r="O349" s="49">
        <v>44240</v>
      </c>
      <c r="P349" s="50">
        <v>86.751000000000005</v>
      </c>
    </row>
    <row r="350" spans="4:16" x14ac:dyDescent="0.2">
      <c r="D350">
        <v>100000202</v>
      </c>
      <c r="E350" s="49">
        <v>45131</v>
      </c>
      <c r="F350" t="s">
        <v>2022</v>
      </c>
      <c r="G350" t="s">
        <v>1973</v>
      </c>
      <c r="H350">
        <v>3</v>
      </c>
      <c r="I350">
        <v>56.99</v>
      </c>
      <c r="J350" s="50">
        <v>170.97</v>
      </c>
      <c r="K350" t="s">
        <v>1618</v>
      </c>
      <c r="M350" t="s">
        <v>1624</v>
      </c>
      <c r="N350">
        <v>30.08</v>
      </c>
      <c r="O350" s="49">
        <v>45133</v>
      </c>
      <c r="P350" s="50">
        <v>76.936499999999995</v>
      </c>
    </row>
    <row r="351" spans="4:16" x14ac:dyDescent="0.2">
      <c r="D351">
        <v>100000202</v>
      </c>
      <c r="E351" s="49">
        <v>45016</v>
      </c>
      <c r="F351" t="s">
        <v>2022</v>
      </c>
      <c r="G351" t="s">
        <v>2023</v>
      </c>
      <c r="H351">
        <v>3</v>
      </c>
      <c r="I351">
        <v>46.58</v>
      </c>
      <c r="J351" s="50">
        <v>139.74</v>
      </c>
      <c r="K351" t="s">
        <v>1618</v>
      </c>
      <c r="M351" t="s">
        <v>1624</v>
      </c>
      <c r="N351">
        <v>24.58</v>
      </c>
      <c r="O351" s="49">
        <v>45020</v>
      </c>
      <c r="P351" s="50">
        <v>62.883000000000003</v>
      </c>
    </row>
    <row r="352" spans="4:16" x14ac:dyDescent="0.2">
      <c r="D352">
        <v>100000202</v>
      </c>
      <c r="E352" s="49">
        <v>44514</v>
      </c>
      <c r="F352" t="s">
        <v>2022</v>
      </c>
      <c r="G352" t="s">
        <v>1944</v>
      </c>
      <c r="H352">
        <v>2</v>
      </c>
      <c r="I352">
        <v>67.400000000000006</v>
      </c>
      <c r="J352" s="50">
        <v>134.80000000000001</v>
      </c>
      <c r="K352" t="s">
        <v>1618</v>
      </c>
      <c r="M352" t="s">
        <v>1629</v>
      </c>
      <c r="N352">
        <v>35.57</v>
      </c>
      <c r="O352" s="49">
        <v>44519</v>
      </c>
      <c r="P352" s="50">
        <v>60.660000000000004</v>
      </c>
    </row>
    <row r="353" spans="4:16" x14ac:dyDescent="0.2">
      <c r="D353">
        <v>100000202</v>
      </c>
      <c r="E353" s="49">
        <v>45216</v>
      </c>
      <c r="F353" t="s">
        <v>2022</v>
      </c>
      <c r="G353" t="s">
        <v>2024</v>
      </c>
      <c r="H353">
        <v>1</v>
      </c>
      <c r="I353">
        <v>91.01</v>
      </c>
      <c r="J353" s="50">
        <v>91.01</v>
      </c>
      <c r="K353" t="s">
        <v>1618</v>
      </c>
      <c r="M353" t="s">
        <v>1624</v>
      </c>
      <c r="N353">
        <v>48.03</v>
      </c>
      <c r="O353" s="49">
        <v>45221</v>
      </c>
      <c r="P353" s="50">
        <v>40.954500000000003</v>
      </c>
    </row>
    <row r="354" spans="4:16" x14ac:dyDescent="0.2">
      <c r="D354">
        <v>100000202</v>
      </c>
      <c r="E354" s="49">
        <v>44824</v>
      </c>
      <c r="F354" t="s">
        <v>2022</v>
      </c>
      <c r="G354" t="s">
        <v>1663</v>
      </c>
      <c r="H354">
        <v>6</v>
      </c>
      <c r="I354">
        <v>63.86</v>
      </c>
      <c r="J354" s="50">
        <v>383.16</v>
      </c>
      <c r="K354" t="s">
        <v>1618</v>
      </c>
      <c r="M354" t="s">
        <v>1629</v>
      </c>
      <c r="N354">
        <v>33.700000000000003</v>
      </c>
      <c r="O354" s="49">
        <v>44829</v>
      </c>
      <c r="P354" s="50">
        <v>172.42200000000003</v>
      </c>
    </row>
    <row r="355" spans="4:16" x14ac:dyDescent="0.2">
      <c r="D355">
        <v>100000202</v>
      </c>
      <c r="E355" s="49">
        <v>45647</v>
      </c>
      <c r="F355" t="s">
        <v>2022</v>
      </c>
      <c r="G355" t="s">
        <v>2025</v>
      </c>
      <c r="H355">
        <v>5</v>
      </c>
      <c r="I355">
        <v>117.75</v>
      </c>
      <c r="J355" s="50">
        <v>588.75</v>
      </c>
      <c r="K355" t="s">
        <v>1618</v>
      </c>
      <c r="M355" t="s">
        <v>1629</v>
      </c>
      <c r="N355">
        <v>62.15</v>
      </c>
      <c r="O355" s="49">
        <v>45648</v>
      </c>
      <c r="P355" s="50">
        <v>264.9375</v>
      </c>
    </row>
    <row r="356" spans="4:16" x14ac:dyDescent="0.2">
      <c r="D356">
        <v>100000203</v>
      </c>
      <c r="E356" s="49">
        <v>44700</v>
      </c>
      <c r="F356" t="s">
        <v>2026</v>
      </c>
      <c r="G356" t="s">
        <v>1830</v>
      </c>
      <c r="H356">
        <v>8</v>
      </c>
      <c r="I356">
        <v>87.77</v>
      </c>
      <c r="J356" s="50">
        <v>702.16</v>
      </c>
      <c r="K356" t="s">
        <v>1618</v>
      </c>
      <c r="L356" t="s">
        <v>2027</v>
      </c>
      <c r="M356" t="s">
        <v>1621</v>
      </c>
      <c r="N356">
        <v>46.32</v>
      </c>
      <c r="O356" s="49">
        <v>44703</v>
      </c>
      <c r="P356" s="50">
        <v>315.97199999999998</v>
      </c>
    </row>
    <row r="357" spans="4:16" x14ac:dyDescent="0.2">
      <c r="D357">
        <v>100000203</v>
      </c>
      <c r="E357" s="49">
        <v>44350</v>
      </c>
      <c r="F357" t="s">
        <v>2026</v>
      </c>
      <c r="G357" t="s">
        <v>2028</v>
      </c>
      <c r="H357">
        <v>9</v>
      </c>
      <c r="I357">
        <v>59.61</v>
      </c>
      <c r="J357" s="50">
        <v>536.49</v>
      </c>
      <c r="K357" t="s">
        <v>1618</v>
      </c>
      <c r="L357" t="s">
        <v>2027</v>
      </c>
      <c r="M357" t="s">
        <v>1624</v>
      </c>
      <c r="N357">
        <v>31.46</v>
      </c>
      <c r="O357" s="49">
        <v>44352</v>
      </c>
      <c r="P357" s="50">
        <v>241.4205</v>
      </c>
    </row>
    <row r="358" spans="4:16" x14ac:dyDescent="0.2">
      <c r="D358">
        <v>100000203</v>
      </c>
      <c r="E358" s="49">
        <v>44532</v>
      </c>
      <c r="F358" t="s">
        <v>2026</v>
      </c>
      <c r="G358" t="s">
        <v>1650</v>
      </c>
      <c r="H358">
        <v>7</v>
      </c>
      <c r="I358">
        <v>33.71</v>
      </c>
      <c r="J358" s="50">
        <v>235.97</v>
      </c>
      <c r="K358" t="s">
        <v>1618</v>
      </c>
      <c r="L358" t="s">
        <v>2027</v>
      </c>
      <c r="M358" t="s">
        <v>1624</v>
      </c>
      <c r="N358">
        <v>17.79</v>
      </c>
      <c r="O358" s="49">
        <v>44537</v>
      </c>
      <c r="P358" s="50">
        <v>106.1865</v>
      </c>
    </row>
    <row r="359" spans="4:16" x14ac:dyDescent="0.2">
      <c r="D359">
        <v>100000205</v>
      </c>
      <c r="E359" s="49">
        <v>45129</v>
      </c>
      <c r="F359" t="s">
        <v>2029</v>
      </c>
      <c r="G359" t="s">
        <v>2017</v>
      </c>
      <c r="H359">
        <v>8</v>
      </c>
      <c r="I359">
        <v>50.66</v>
      </c>
      <c r="J359" s="50">
        <v>405.28</v>
      </c>
      <c r="K359" t="s">
        <v>1618</v>
      </c>
      <c r="M359" t="s">
        <v>1619</v>
      </c>
      <c r="N359">
        <v>26.74</v>
      </c>
      <c r="O359" s="49">
        <v>45133</v>
      </c>
      <c r="P359" s="50">
        <v>182.376</v>
      </c>
    </row>
    <row r="360" spans="4:16" x14ac:dyDescent="0.2">
      <c r="D360">
        <v>100000205</v>
      </c>
      <c r="E360" s="49">
        <v>44778</v>
      </c>
      <c r="F360" t="s">
        <v>2029</v>
      </c>
      <c r="G360" t="s">
        <v>1649</v>
      </c>
      <c r="H360">
        <v>6</v>
      </c>
      <c r="I360">
        <v>51.39</v>
      </c>
      <c r="J360" s="50">
        <v>308.33999999999997</v>
      </c>
      <c r="K360" t="s">
        <v>1618</v>
      </c>
      <c r="M360" t="s">
        <v>1619</v>
      </c>
      <c r="N360">
        <v>27.12</v>
      </c>
      <c r="O360" s="49">
        <v>44779</v>
      </c>
      <c r="P360" s="50">
        <v>138.75299999999999</v>
      </c>
    </row>
    <row r="361" spans="4:16" x14ac:dyDescent="0.2">
      <c r="D361">
        <v>100000205</v>
      </c>
      <c r="E361" s="49">
        <v>44891</v>
      </c>
      <c r="F361" t="s">
        <v>2029</v>
      </c>
      <c r="G361" t="s">
        <v>1801</v>
      </c>
      <c r="H361">
        <v>6</v>
      </c>
      <c r="I361">
        <v>31.21</v>
      </c>
      <c r="J361" s="50">
        <v>187.26</v>
      </c>
      <c r="K361" t="s">
        <v>1618</v>
      </c>
      <c r="M361" t="s">
        <v>1621</v>
      </c>
      <c r="N361">
        <v>16.47</v>
      </c>
      <c r="O361" s="49">
        <v>44893</v>
      </c>
      <c r="P361" s="50">
        <v>84.266999999999996</v>
      </c>
    </row>
    <row r="362" spans="4:16" x14ac:dyDescent="0.2">
      <c r="D362">
        <v>100000205</v>
      </c>
      <c r="E362" s="49">
        <v>44817</v>
      </c>
      <c r="F362" t="s">
        <v>2029</v>
      </c>
      <c r="G362" t="s">
        <v>1855</v>
      </c>
      <c r="H362">
        <v>5</v>
      </c>
      <c r="I362">
        <v>105.89</v>
      </c>
      <c r="J362" s="50">
        <v>529.45000000000005</v>
      </c>
      <c r="K362" t="s">
        <v>1618</v>
      </c>
      <c r="M362" t="s">
        <v>1619</v>
      </c>
      <c r="N362">
        <v>55.89</v>
      </c>
      <c r="O362" s="49">
        <v>44821</v>
      </c>
      <c r="P362" s="50">
        <v>238.25250000000003</v>
      </c>
    </row>
    <row r="363" spans="4:16" x14ac:dyDescent="0.2">
      <c r="D363">
        <v>100000205</v>
      </c>
      <c r="E363" s="49">
        <v>45650</v>
      </c>
      <c r="F363" t="s">
        <v>2029</v>
      </c>
      <c r="G363" t="s">
        <v>1985</v>
      </c>
      <c r="H363">
        <v>4</v>
      </c>
      <c r="I363">
        <v>118.39</v>
      </c>
      <c r="J363" s="50">
        <v>473.56</v>
      </c>
      <c r="K363" t="s">
        <v>1618</v>
      </c>
      <c r="M363" t="s">
        <v>1621</v>
      </c>
      <c r="N363">
        <v>62.48</v>
      </c>
      <c r="O363" s="49">
        <v>45654</v>
      </c>
      <c r="P363" s="50">
        <v>213.102</v>
      </c>
    </row>
    <row r="364" spans="4:16" x14ac:dyDescent="0.2">
      <c r="D364">
        <v>100000206</v>
      </c>
      <c r="E364" s="49">
        <v>44907</v>
      </c>
      <c r="F364" t="s">
        <v>2030</v>
      </c>
      <c r="G364" t="s">
        <v>1679</v>
      </c>
      <c r="H364">
        <v>9</v>
      </c>
      <c r="I364">
        <v>103.11</v>
      </c>
      <c r="J364" s="50">
        <v>927.99</v>
      </c>
      <c r="K364" t="s">
        <v>1632</v>
      </c>
      <c r="M364" t="s">
        <v>1627</v>
      </c>
      <c r="N364">
        <v>54.42</v>
      </c>
      <c r="O364" s="49">
        <v>44911</v>
      </c>
      <c r="P364" s="50">
        <v>417.59550000000002</v>
      </c>
    </row>
    <row r="365" spans="4:16" x14ac:dyDescent="0.2">
      <c r="D365">
        <v>100000207</v>
      </c>
      <c r="E365" s="49">
        <v>44879</v>
      </c>
      <c r="F365" t="s">
        <v>2031</v>
      </c>
      <c r="G365" t="s">
        <v>1620</v>
      </c>
      <c r="H365">
        <v>10</v>
      </c>
      <c r="I365">
        <v>116.26</v>
      </c>
      <c r="J365" s="50">
        <v>1162.5999999999999</v>
      </c>
      <c r="K365" t="s">
        <v>1618</v>
      </c>
      <c r="M365" t="s">
        <v>1621</v>
      </c>
      <c r="N365">
        <v>61.36</v>
      </c>
      <c r="O365" s="49">
        <v>44882</v>
      </c>
      <c r="P365" s="50">
        <v>523.16999999999996</v>
      </c>
    </row>
    <row r="366" spans="4:16" x14ac:dyDescent="0.2">
      <c r="D366">
        <v>100000208</v>
      </c>
      <c r="E366" s="49">
        <v>44880</v>
      </c>
      <c r="F366" t="s">
        <v>2032</v>
      </c>
      <c r="G366" t="s">
        <v>2033</v>
      </c>
      <c r="H366">
        <v>8</v>
      </c>
      <c r="I366">
        <v>100.65</v>
      </c>
      <c r="J366" s="50">
        <v>805.2</v>
      </c>
      <c r="K366" t="s">
        <v>1618</v>
      </c>
      <c r="M366" t="s">
        <v>1624</v>
      </c>
      <c r="N366">
        <v>53.12</v>
      </c>
      <c r="O366" s="49">
        <v>44884</v>
      </c>
      <c r="P366" s="50">
        <v>362.34000000000003</v>
      </c>
    </row>
    <row r="367" spans="4:16" x14ac:dyDescent="0.2">
      <c r="D367">
        <v>100000209</v>
      </c>
      <c r="E367" s="49">
        <v>44482</v>
      </c>
      <c r="F367" t="s">
        <v>2034</v>
      </c>
      <c r="G367" t="s">
        <v>1651</v>
      </c>
      <c r="H367">
        <v>10</v>
      </c>
      <c r="I367">
        <v>16.07</v>
      </c>
      <c r="J367" s="50">
        <v>160.69999999999999</v>
      </c>
      <c r="K367" t="s">
        <v>1618</v>
      </c>
      <c r="M367" t="s">
        <v>1629</v>
      </c>
      <c r="N367">
        <v>8.48</v>
      </c>
      <c r="O367" s="49">
        <v>44484</v>
      </c>
      <c r="P367" s="50">
        <v>72.314999999999998</v>
      </c>
    </row>
    <row r="368" spans="4:16" x14ac:dyDescent="0.2">
      <c r="D368">
        <v>100000210</v>
      </c>
      <c r="E368" s="49">
        <v>44405</v>
      </c>
      <c r="F368" t="s">
        <v>2035</v>
      </c>
      <c r="G368" t="s">
        <v>1691</v>
      </c>
      <c r="H368">
        <v>8</v>
      </c>
      <c r="I368">
        <v>81.819999999999993</v>
      </c>
      <c r="J368" s="50">
        <v>654.55999999999995</v>
      </c>
      <c r="K368" t="s">
        <v>1618</v>
      </c>
      <c r="M368" t="s">
        <v>1624</v>
      </c>
      <c r="N368">
        <v>43.18</v>
      </c>
      <c r="O368" s="49">
        <v>44407</v>
      </c>
      <c r="P368" s="50">
        <v>294.55199999999996</v>
      </c>
    </row>
    <row r="369" spans="4:16" x14ac:dyDescent="0.2">
      <c r="D369">
        <v>100000210</v>
      </c>
      <c r="E369" s="49">
        <v>44825</v>
      </c>
      <c r="F369" t="s">
        <v>2035</v>
      </c>
      <c r="G369" t="s">
        <v>1655</v>
      </c>
      <c r="H369">
        <v>8</v>
      </c>
      <c r="I369">
        <v>77.89</v>
      </c>
      <c r="J369" s="50">
        <v>623.12</v>
      </c>
      <c r="K369" t="s">
        <v>1618</v>
      </c>
      <c r="M369" t="s">
        <v>1627</v>
      </c>
      <c r="N369">
        <v>41.11</v>
      </c>
      <c r="O369" s="49">
        <v>44828</v>
      </c>
      <c r="P369" s="50">
        <v>280.404</v>
      </c>
    </row>
    <row r="370" spans="4:16" x14ac:dyDescent="0.2">
      <c r="D370">
        <v>100000211</v>
      </c>
      <c r="E370" s="49">
        <v>45131</v>
      </c>
      <c r="F370" t="s">
        <v>2036</v>
      </c>
      <c r="G370" t="s">
        <v>1731</v>
      </c>
      <c r="H370">
        <v>7</v>
      </c>
      <c r="I370">
        <v>34.96</v>
      </c>
      <c r="J370" s="50">
        <v>244.72</v>
      </c>
      <c r="K370" t="s">
        <v>1632</v>
      </c>
      <c r="M370" t="s">
        <v>1621</v>
      </c>
      <c r="N370">
        <v>18.45</v>
      </c>
      <c r="O370" s="49">
        <v>45133</v>
      </c>
      <c r="P370" s="50">
        <v>110.124</v>
      </c>
    </row>
    <row r="371" spans="4:16" x14ac:dyDescent="0.2">
      <c r="D371">
        <v>100000211</v>
      </c>
      <c r="E371" s="49">
        <v>45509</v>
      </c>
      <c r="F371" t="s">
        <v>2036</v>
      </c>
      <c r="G371" t="s">
        <v>1690</v>
      </c>
      <c r="H371">
        <v>8</v>
      </c>
      <c r="I371">
        <v>83.3</v>
      </c>
      <c r="J371" s="50">
        <v>666.4</v>
      </c>
      <c r="K371" t="s">
        <v>1632</v>
      </c>
      <c r="M371" t="s">
        <v>1619</v>
      </c>
      <c r="N371">
        <v>43.96</v>
      </c>
      <c r="O371" s="49">
        <v>45510</v>
      </c>
      <c r="P371" s="50">
        <v>299.88</v>
      </c>
    </row>
    <row r="372" spans="4:16" x14ac:dyDescent="0.2">
      <c r="D372">
        <v>100000211</v>
      </c>
      <c r="E372" s="49">
        <v>45340</v>
      </c>
      <c r="F372" t="s">
        <v>2036</v>
      </c>
      <c r="G372" t="s">
        <v>1670</v>
      </c>
      <c r="H372">
        <v>6</v>
      </c>
      <c r="I372">
        <v>15.14</v>
      </c>
      <c r="J372" s="50">
        <v>90.84</v>
      </c>
      <c r="K372" t="s">
        <v>1632</v>
      </c>
      <c r="M372" t="s">
        <v>1619</v>
      </c>
      <c r="N372">
        <v>7.99</v>
      </c>
      <c r="O372" s="49">
        <v>45341</v>
      </c>
      <c r="P372" s="50">
        <v>40.878</v>
      </c>
    </row>
    <row r="373" spans="4:16" x14ac:dyDescent="0.2">
      <c r="D373">
        <v>100000211</v>
      </c>
      <c r="E373" s="49">
        <v>45548</v>
      </c>
      <c r="F373" t="s">
        <v>2036</v>
      </c>
      <c r="G373" t="s">
        <v>2004</v>
      </c>
      <c r="H373">
        <v>2</v>
      </c>
      <c r="I373">
        <v>105.38</v>
      </c>
      <c r="J373" s="50">
        <v>210.76</v>
      </c>
      <c r="K373" t="s">
        <v>1632</v>
      </c>
      <c r="M373" t="s">
        <v>1621</v>
      </c>
      <c r="N373">
        <v>55.62</v>
      </c>
      <c r="O373" s="49">
        <v>45550</v>
      </c>
      <c r="P373" s="50">
        <v>94.841999999999999</v>
      </c>
    </row>
    <row r="374" spans="4:16" x14ac:dyDescent="0.2">
      <c r="D374">
        <v>100000211</v>
      </c>
      <c r="E374" s="49">
        <v>44917</v>
      </c>
      <c r="F374" t="s">
        <v>2036</v>
      </c>
      <c r="G374" t="s">
        <v>1842</v>
      </c>
      <c r="H374">
        <v>3</v>
      </c>
      <c r="I374">
        <v>50.1</v>
      </c>
      <c r="J374" s="50">
        <v>150.30000000000001</v>
      </c>
      <c r="K374" t="s">
        <v>1632</v>
      </c>
      <c r="M374" t="s">
        <v>1621</v>
      </c>
      <c r="N374">
        <v>26.44</v>
      </c>
      <c r="O374" s="49">
        <v>44918</v>
      </c>
      <c r="P374" s="50">
        <v>67.635000000000005</v>
      </c>
    </row>
    <row r="375" spans="4:16" x14ac:dyDescent="0.2">
      <c r="D375">
        <v>100000212</v>
      </c>
      <c r="E375" s="49">
        <v>44970</v>
      </c>
      <c r="F375" t="s">
        <v>2037</v>
      </c>
      <c r="G375" t="s">
        <v>1645</v>
      </c>
      <c r="H375">
        <v>4</v>
      </c>
      <c r="I375">
        <v>59.93</v>
      </c>
      <c r="J375" s="50">
        <v>239.72</v>
      </c>
      <c r="K375" t="s">
        <v>1632</v>
      </c>
      <c r="M375" t="s">
        <v>1629</v>
      </c>
      <c r="N375">
        <v>31.63</v>
      </c>
      <c r="O375" s="49">
        <v>44971</v>
      </c>
      <c r="P375" s="50">
        <v>107.874</v>
      </c>
    </row>
    <row r="376" spans="4:16" x14ac:dyDescent="0.2">
      <c r="D376">
        <v>100000212</v>
      </c>
      <c r="E376" s="49">
        <v>45180</v>
      </c>
      <c r="F376" t="s">
        <v>2037</v>
      </c>
      <c r="G376" t="s">
        <v>1783</v>
      </c>
      <c r="H376">
        <v>1</v>
      </c>
      <c r="I376">
        <v>42.93</v>
      </c>
      <c r="J376" s="50">
        <v>42.93</v>
      </c>
      <c r="K376" t="s">
        <v>1632</v>
      </c>
      <c r="M376" t="s">
        <v>1621</v>
      </c>
      <c r="N376">
        <v>22.66</v>
      </c>
      <c r="O376" s="49">
        <v>45182</v>
      </c>
      <c r="P376" s="50">
        <v>19.3185</v>
      </c>
    </row>
    <row r="377" spans="4:16" x14ac:dyDescent="0.2">
      <c r="D377">
        <v>100000212</v>
      </c>
      <c r="E377" s="49">
        <v>44430</v>
      </c>
      <c r="F377" t="s">
        <v>2037</v>
      </c>
      <c r="G377" t="s">
        <v>2038</v>
      </c>
      <c r="H377">
        <v>6</v>
      </c>
      <c r="I377">
        <v>18.440000000000001</v>
      </c>
      <c r="J377" s="50">
        <v>110.64</v>
      </c>
      <c r="K377" t="s">
        <v>1632</v>
      </c>
      <c r="M377" t="s">
        <v>1619</v>
      </c>
      <c r="N377">
        <v>9.73</v>
      </c>
      <c r="O377" s="49">
        <v>44433</v>
      </c>
      <c r="P377" s="50">
        <v>49.788000000000004</v>
      </c>
    </row>
    <row r="378" spans="4:16" x14ac:dyDescent="0.2">
      <c r="D378">
        <v>100000212</v>
      </c>
      <c r="E378" s="49">
        <v>44470</v>
      </c>
      <c r="F378" t="s">
        <v>2037</v>
      </c>
      <c r="G378" t="s">
        <v>2039</v>
      </c>
      <c r="H378">
        <v>6</v>
      </c>
      <c r="I378">
        <v>48.43</v>
      </c>
      <c r="J378" s="50">
        <v>290.58</v>
      </c>
      <c r="K378" t="s">
        <v>1632</v>
      </c>
      <c r="M378" t="s">
        <v>1629</v>
      </c>
      <c r="N378">
        <v>25.56</v>
      </c>
      <c r="O378" s="49">
        <v>44475</v>
      </c>
      <c r="P378" s="50">
        <v>130.761</v>
      </c>
    </row>
    <row r="379" spans="4:16" x14ac:dyDescent="0.2">
      <c r="D379">
        <v>100000212</v>
      </c>
      <c r="E379" s="49">
        <v>44830</v>
      </c>
      <c r="F379" t="s">
        <v>2037</v>
      </c>
      <c r="G379" t="s">
        <v>1728</v>
      </c>
      <c r="H379">
        <v>6</v>
      </c>
      <c r="I379">
        <v>15.06</v>
      </c>
      <c r="J379" s="50">
        <v>90.36</v>
      </c>
      <c r="K379" t="s">
        <v>1632</v>
      </c>
      <c r="M379" t="s">
        <v>1621</v>
      </c>
      <c r="N379">
        <v>7.95</v>
      </c>
      <c r="O379" s="49">
        <v>44834</v>
      </c>
      <c r="P379" s="50">
        <v>40.661999999999999</v>
      </c>
    </row>
    <row r="380" spans="4:16" x14ac:dyDescent="0.2">
      <c r="D380">
        <v>100000214</v>
      </c>
      <c r="E380" s="49">
        <v>44336</v>
      </c>
      <c r="F380" t="s">
        <v>2040</v>
      </c>
      <c r="G380" t="s">
        <v>2041</v>
      </c>
      <c r="H380">
        <v>4</v>
      </c>
      <c r="I380">
        <v>26.8</v>
      </c>
      <c r="J380" s="50">
        <v>107.2</v>
      </c>
      <c r="K380" t="s">
        <v>1618</v>
      </c>
      <c r="M380" t="s">
        <v>1629</v>
      </c>
      <c r="N380">
        <v>14.14</v>
      </c>
      <c r="O380" s="49">
        <v>44337</v>
      </c>
      <c r="P380" s="50">
        <v>48.24</v>
      </c>
    </row>
    <row r="381" spans="4:16" x14ac:dyDescent="0.2">
      <c r="D381">
        <v>100000214</v>
      </c>
      <c r="E381" s="49">
        <v>44460</v>
      </c>
      <c r="F381" t="s">
        <v>2040</v>
      </c>
      <c r="G381" t="s">
        <v>2042</v>
      </c>
      <c r="H381">
        <v>7</v>
      </c>
      <c r="I381">
        <v>23.34</v>
      </c>
      <c r="J381" s="50">
        <v>163.38</v>
      </c>
      <c r="K381" t="s">
        <v>1618</v>
      </c>
      <c r="M381" t="s">
        <v>1621</v>
      </c>
      <c r="N381">
        <v>12.32</v>
      </c>
      <c r="O381" s="49">
        <v>44465</v>
      </c>
      <c r="P381" s="50">
        <v>73.521000000000001</v>
      </c>
    </row>
    <row r="382" spans="4:16" x14ac:dyDescent="0.2">
      <c r="D382">
        <v>100000214</v>
      </c>
      <c r="E382" s="49">
        <v>44968</v>
      </c>
      <c r="F382" t="s">
        <v>2040</v>
      </c>
      <c r="G382" t="s">
        <v>1901</v>
      </c>
      <c r="H382">
        <v>3</v>
      </c>
      <c r="I382">
        <v>37.67</v>
      </c>
      <c r="J382" s="50">
        <v>113.01</v>
      </c>
      <c r="K382" t="s">
        <v>1618</v>
      </c>
      <c r="M382" t="s">
        <v>1619</v>
      </c>
      <c r="N382">
        <v>19.88</v>
      </c>
      <c r="O382" s="49">
        <v>44971</v>
      </c>
      <c r="P382" s="50">
        <v>50.854500000000002</v>
      </c>
    </row>
    <row r="383" spans="4:16" x14ac:dyDescent="0.2">
      <c r="D383">
        <v>100000214</v>
      </c>
      <c r="E383" s="49">
        <v>45078</v>
      </c>
      <c r="F383" t="s">
        <v>2040</v>
      </c>
      <c r="G383" t="s">
        <v>1947</v>
      </c>
      <c r="H383">
        <v>7</v>
      </c>
      <c r="I383">
        <v>92.84</v>
      </c>
      <c r="J383" s="50">
        <v>649.88</v>
      </c>
      <c r="K383" t="s">
        <v>1618</v>
      </c>
      <c r="M383" t="s">
        <v>1621</v>
      </c>
      <c r="N383">
        <v>49</v>
      </c>
      <c r="O383" s="49">
        <v>45081</v>
      </c>
      <c r="P383" s="50">
        <v>292.44600000000003</v>
      </c>
    </row>
    <row r="384" spans="4:16" x14ac:dyDescent="0.2">
      <c r="D384">
        <v>100000215</v>
      </c>
      <c r="E384" s="49">
        <v>44698</v>
      </c>
      <c r="F384" t="s">
        <v>2043</v>
      </c>
      <c r="G384" t="s">
        <v>1699</v>
      </c>
      <c r="H384">
        <v>9</v>
      </c>
      <c r="I384">
        <v>116.61</v>
      </c>
      <c r="J384" s="50">
        <v>1049.49</v>
      </c>
      <c r="K384" t="s">
        <v>1618</v>
      </c>
      <c r="M384" t="s">
        <v>1624</v>
      </c>
      <c r="N384">
        <v>61.54</v>
      </c>
      <c r="O384" s="49">
        <v>44702</v>
      </c>
      <c r="P384" s="50">
        <v>472.27050000000003</v>
      </c>
    </row>
    <row r="385" spans="4:16" x14ac:dyDescent="0.2">
      <c r="D385">
        <v>100000216</v>
      </c>
      <c r="E385" s="49">
        <v>44833</v>
      </c>
      <c r="F385" t="s">
        <v>2044</v>
      </c>
      <c r="G385" t="s">
        <v>1715</v>
      </c>
      <c r="H385">
        <v>2</v>
      </c>
      <c r="I385">
        <v>54.39</v>
      </c>
      <c r="J385" s="50">
        <v>108.78</v>
      </c>
      <c r="K385" t="s">
        <v>1618</v>
      </c>
      <c r="L385" t="s">
        <v>2045</v>
      </c>
      <c r="M385" t="s">
        <v>1629</v>
      </c>
      <c r="N385">
        <v>28.71</v>
      </c>
      <c r="O385" s="49">
        <v>44834</v>
      </c>
      <c r="P385" s="50">
        <v>48.951000000000001</v>
      </c>
    </row>
    <row r="386" spans="4:16" x14ac:dyDescent="0.2">
      <c r="D386">
        <v>100000216</v>
      </c>
      <c r="E386" s="49">
        <v>44434</v>
      </c>
      <c r="F386" t="s">
        <v>2044</v>
      </c>
      <c r="G386" t="s">
        <v>1672</v>
      </c>
      <c r="H386">
        <v>9</v>
      </c>
      <c r="I386">
        <v>58.13</v>
      </c>
      <c r="J386" s="50">
        <v>523.17000000000007</v>
      </c>
      <c r="K386" t="s">
        <v>1618</v>
      </c>
      <c r="L386" t="s">
        <v>2045</v>
      </c>
      <c r="M386" t="s">
        <v>1624</v>
      </c>
      <c r="N386">
        <v>30.68</v>
      </c>
      <c r="O386" s="49">
        <v>44436</v>
      </c>
      <c r="P386" s="50">
        <v>235.42650000000003</v>
      </c>
    </row>
    <row r="387" spans="4:16" x14ac:dyDescent="0.2">
      <c r="D387">
        <v>100000216</v>
      </c>
      <c r="E387" s="49">
        <v>44633</v>
      </c>
      <c r="F387" t="s">
        <v>2044</v>
      </c>
      <c r="G387" t="s">
        <v>2042</v>
      </c>
      <c r="H387">
        <v>5</v>
      </c>
      <c r="I387">
        <v>73.67</v>
      </c>
      <c r="J387" s="50">
        <v>368.35</v>
      </c>
      <c r="K387" t="s">
        <v>1618</v>
      </c>
      <c r="L387" t="s">
        <v>2045</v>
      </c>
      <c r="M387" t="s">
        <v>1627</v>
      </c>
      <c r="N387">
        <v>38.880000000000003</v>
      </c>
      <c r="O387" s="49">
        <v>44637</v>
      </c>
      <c r="P387" s="50">
        <v>165.75750000000002</v>
      </c>
    </row>
    <row r="388" spans="4:16" x14ac:dyDescent="0.2">
      <c r="D388">
        <v>100000216</v>
      </c>
      <c r="E388" s="49">
        <v>44355</v>
      </c>
      <c r="F388" t="s">
        <v>2044</v>
      </c>
      <c r="G388" t="s">
        <v>1792</v>
      </c>
      <c r="H388">
        <v>4</v>
      </c>
      <c r="I388">
        <v>102.26</v>
      </c>
      <c r="J388" s="50">
        <v>409.04</v>
      </c>
      <c r="K388" t="s">
        <v>1618</v>
      </c>
      <c r="L388" t="s">
        <v>2045</v>
      </c>
      <c r="M388" t="s">
        <v>1627</v>
      </c>
      <c r="N388">
        <v>53.97</v>
      </c>
      <c r="O388" s="49">
        <v>44357</v>
      </c>
      <c r="P388" s="50">
        <v>184.06800000000001</v>
      </c>
    </row>
    <row r="389" spans="4:16" x14ac:dyDescent="0.2">
      <c r="D389">
        <v>100000217</v>
      </c>
      <c r="E389" s="49">
        <v>44939</v>
      </c>
      <c r="F389" t="s">
        <v>2046</v>
      </c>
      <c r="G389" t="s">
        <v>2047</v>
      </c>
      <c r="H389">
        <v>10</v>
      </c>
      <c r="I389">
        <v>66.849999999999994</v>
      </c>
      <c r="J389" s="50">
        <v>668.5</v>
      </c>
      <c r="K389" t="s">
        <v>1618</v>
      </c>
      <c r="M389" t="s">
        <v>1629</v>
      </c>
      <c r="N389">
        <v>35.28</v>
      </c>
      <c r="O389" s="49">
        <v>44944</v>
      </c>
      <c r="P389" s="50">
        <v>300.82499999999999</v>
      </c>
    </row>
    <row r="390" spans="4:16" x14ac:dyDescent="0.2">
      <c r="D390">
        <v>100000217</v>
      </c>
      <c r="E390" s="49">
        <v>45437</v>
      </c>
      <c r="F390" t="s">
        <v>2046</v>
      </c>
      <c r="G390" t="s">
        <v>1726</v>
      </c>
      <c r="H390">
        <v>7</v>
      </c>
      <c r="I390">
        <v>82.18</v>
      </c>
      <c r="J390" s="50">
        <v>575.26</v>
      </c>
      <c r="K390" t="s">
        <v>1618</v>
      </c>
      <c r="M390" t="s">
        <v>1627</v>
      </c>
      <c r="N390">
        <v>43.37</v>
      </c>
      <c r="O390" s="49">
        <v>45438</v>
      </c>
      <c r="P390" s="50">
        <v>258.86700000000002</v>
      </c>
    </row>
    <row r="391" spans="4:16" x14ac:dyDescent="0.2">
      <c r="D391">
        <v>100000217</v>
      </c>
      <c r="E391" s="49">
        <v>44848</v>
      </c>
      <c r="F391" t="s">
        <v>2046</v>
      </c>
      <c r="G391" t="s">
        <v>2048</v>
      </c>
      <c r="H391">
        <v>3</v>
      </c>
      <c r="I391">
        <v>72.959999999999994</v>
      </c>
      <c r="J391" s="50">
        <v>218.88</v>
      </c>
      <c r="K391" t="s">
        <v>1618</v>
      </c>
      <c r="M391" t="s">
        <v>1624</v>
      </c>
      <c r="N391">
        <v>38.51</v>
      </c>
      <c r="O391" s="49">
        <v>44849</v>
      </c>
      <c r="P391" s="50">
        <v>98.495999999999995</v>
      </c>
    </row>
    <row r="392" spans="4:16" x14ac:dyDescent="0.2">
      <c r="D392">
        <v>100000217</v>
      </c>
      <c r="E392" s="49">
        <v>44375</v>
      </c>
      <c r="F392" t="s">
        <v>2046</v>
      </c>
      <c r="G392" t="s">
        <v>1874</v>
      </c>
      <c r="H392">
        <v>2</v>
      </c>
      <c r="I392">
        <v>66.989999999999995</v>
      </c>
      <c r="J392" s="50">
        <v>133.97999999999999</v>
      </c>
      <c r="K392" t="s">
        <v>1618</v>
      </c>
      <c r="M392" t="s">
        <v>1627</v>
      </c>
      <c r="N392">
        <v>35.36</v>
      </c>
      <c r="O392" s="49">
        <v>44378</v>
      </c>
      <c r="P392" s="50">
        <v>60.290999999999997</v>
      </c>
    </row>
    <row r="393" spans="4:16" x14ac:dyDescent="0.2">
      <c r="D393">
        <v>100000219</v>
      </c>
      <c r="E393" s="49">
        <v>45156</v>
      </c>
      <c r="F393" t="s">
        <v>2049</v>
      </c>
      <c r="G393" t="s">
        <v>1802</v>
      </c>
      <c r="H393">
        <v>8</v>
      </c>
      <c r="I393">
        <v>35.81</v>
      </c>
      <c r="J393" s="50">
        <v>286.48</v>
      </c>
      <c r="K393" t="s">
        <v>1618</v>
      </c>
      <c r="M393" t="s">
        <v>1627</v>
      </c>
      <c r="N393">
        <v>18.899999999999999</v>
      </c>
      <c r="O393" s="49">
        <v>45159</v>
      </c>
      <c r="P393" s="50">
        <v>128.91600000000003</v>
      </c>
    </row>
    <row r="394" spans="4:16" x14ac:dyDescent="0.2">
      <c r="D394">
        <v>100000219</v>
      </c>
      <c r="E394" s="49">
        <v>44423</v>
      </c>
      <c r="F394" t="s">
        <v>2049</v>
      </c>
      <c r="G394" t="s">
        <v>2050</v>
      </c>
      <c r="H394">
        <v>8</v>
      </c>
      <c r="I394">
        <v>103.31</v>
      </c>
      <c r="J394" s="50">
        <v>826.48</v>
      </c>
      <c r="K394" t="s">
        <v>1618</v>
      </c>
      <c r="M394" t="s">
        <v>1629</v>
      </c>
      <c r="N394">
        <v>54.52</v>
      </c>
      <c r="O394" s="49">
        <v>44424</v>
      </c>
      <c r="P394" s="50">
        <v>371.916</v>
      </c>
    </row>
    <row r="395" spans="4:16" x14ac:dyDescent="0.2">
      <c r="D395">
        <v>100000220</v>
      </c>
      <c r="E395" s="49">
        <v>45551</v>
      </c>
      <c r="F395" t="s">
        <v>2051</v>
      </c>
      <c r="G395" t="s">
        <v>2038</v>
      </c>
      <c r="H395">
        <v>9</v>
      </c>
      <c r="I395">
        <v>39.29</v>
      </c>
      <c r="J395" s="50">
        <v>353.61</v>
      </c>
      <c r="K395" t="s">
        <v>1618</v>
      </c>
      <c r="M395" t="s">
        <v>1627</v>
      </c>
      <c r="N395">
        <v>20.74</v>
      </c>
      <c r="O395" s="49">
        <v>45554</v>
      </c>
      <c r="P395" s="50">
        <v>159.12450000000001</v>
      </c>
    </row>
    <row r="396" spans="4:16" x14ac:dyDescent="0.2">
      <c r="D396">
        <v>100000222</v>
      </c>
      <c r="E396" s="49">
        <v>45138</v>
      </c>
      <c r="F396" t="s">
        <v>2052</v>
      </c>
      <c r="G396" t="s">
        <v>1669</v>
      </c>
      <c r="H396">
        <v>7</v>
      </c>
      <c r="I396">
        <v>64.680000000000007</v>
      </c>
      <c r="J396" s="50">
        <v>452.76</v>
      </c>
      <c r="K396" t="s">
        <v>1618</v>
      </c>
      <c r="L396" t="s">
        <v>2053</v>
      </c>
      <c r="M396" t="s">
        <v>1629</v>
      </c>
      <c r="N396">
        <v>34.14</v>
      </c>
      <c r="O396" s="49">
        <v>45143</v>
      </c>
      <c r="P396" s="50">
        <v>203.74199999999999</v>
      </c>
    </row>
    <row r="397" spans="4:16" x14ac:dyDescent="0.2">
      <c r="D397">
        <v>100000225</v>
      </c>
      <c r="E397" s="49">
        <v>45567</v>
      </c>
      <c r="F397" t="s">
        <v>2054</v>
      </c>
      <c r="G397" t="s">
        <v>1731</v>
      </c>
      <c r="H397">
        <v>4</v>
      </c>
      <c r="I397">
        <v>54.84</v>
      </c>
      <c r="J397" s="50">
        <v>219.36</v>
      </c>
      <c r="K397" t="s">
        <v>1618</v>
      </c>
      <c r="L397" t="s">
        <v>2055</v>
      </c>
      <c r="M397" t="s">
        <v>1621</v>
      </c>
      <c r="N397">
        <v>28.94</v>
      </c>
      <c r="O397" s="49">
        <v>45571</v>
      </c>
      <c r="P397" s="50">
        <v>98.712000000000003</v>
      </c>
    </row>
    <row r="398" spans="4:16" x14ac:dyDescent="0.2">
      <c r="D398">
        <v>100000225</v>
      </c>
      <c r="E398" s="49">
        <v>45329</v>
      </c>
      <c r="F398" t="s">
        <v>2054</v>
      </c>
      <c r="G398" t="s">
        <v>1739</v>
      </c>
      <c r="H398">
        <v>9</v>
      </c>
      <c r="I398">
        <v>113.02</v>
      </c>
      <c r="J398" s="50">
        <v>1017.18</v>
      </c>
      <c r="K398" t="s">
        <v>1618</v>
      </c>
      <c r="L398" t="s">
        <v>2055</v>
      </c>
      <c r="M398" t="s">
        <v>1627</v>
      </c>
      <c r="N398">
        <v>59.65</v>
      </c>
      <c r="O398" s="49">
        <v>45334</v>
      </c>
      <c r="P398" s="50">
        <v>457.73099999999999</v>
      </c>
    </row>
    <row r="399" spans="4:16" x14ac:dyDescent="0.2">
      <c r="D399">
        <v>100000225</v>
      </c>
      <c r="E399" s="49">
        <v>45146</v>
      </c>
      <c r="F399" t="s">
        <v>2054</v>
      </c>
      <c r="G399" t="s">
        <v>2019</v>
      </c>
      <c r="H399">
        <v>3</v>
      </c>
      <c r="I399">
        <v>68.17</v>
      </c>
      <c r="J399" s="50">
        <v>204.51</v>
      </c>
      <c r="K399" t="s">
        <v>1618</v>
      </c>
      <c r="L399" t="s">
        <v>2055</v>
      </c>
      <c r="M399" t="s">
        <v>1629</v>
      </c>
      <c r="N399">
        <v>35.979999999999997</v>
      </c>
      <c r="O399" s="49">
        <v>45148</v>
      </c>
      <c r="P399" s="50">
        <v>92.029499999999999</v>
      </c>
    </row>
    <row r="400" spans="4:16" x14ac:dyDescent="0.2">
      <c r="D400">
        <v>100000225</v>
      </c>
      <c r="E400" s="49">
        <v>44975</v>
      </c>
      <c r="F400" t="s">
        <v>2054</v>
      </c>
      <c r="G400" t="s">
        <v>1865</v>
      </c>
      <c r="H400">
        <v>8</v>
      </c>
      <c r="I400">
        <v>20.96</v>
      </c>
      <c r="J400" s="50">
        <v>167.68</v>
      </c>
      <c r="K400" t="s">
        <v>1618</v>
      </c>
      <c r="L400" t="s">
        <v>2055</v>
      </c>
      <c r="M400" t="s">
        <v>1621</v>
      </c>
      <c r="N400">
        <v>11.06</v>
      </c>
      <c r="O400" s="49">
        <v>44979</v>
      </c>
      <c r="P400" s="50">
        <v>75.456000000000003</v>
      </c>
    </row>
    <row r="401" spans="4:16" x14ac:dyDescent="0.2">
      <c r="D401">
        <v>100000226</v>
      </c>
      <c r="E401" s="49">
        <v>44478</v>
      </c>
      <c r="F401" t="s">
        <v>2056</v>
      </c>
      <c r="G401" t="s">
        <v>1726</v>
      </c>
      <c r="H401">
        <v>4</v>
      </c>
      <c r="I401">
        <v>32.229999999999997</v>
      </c>
      <c r="J401" s="50">
        <v>128.91999999999999</v>
      </c>
      <c r="K401" t="s">
        <v>1632</v>
      </c>
      <c r="M401" t="s">
        <v>1629</v>
      </c>
      <c r="N401">
        <v>17.010000000000002</v>
      </c>
      <c r="O401" s="49">
        <v>44480</v>
      </c>
      <c r="P401" s="50">
        <v>58.013999999999996</v>
      </c>
    </row>
    <row r="402" spans="4:16" x14ac:dyDescent="0.2">
      <c r="D402">
        <v>100000226</v>
      </c>
      <c r="E402" s="49">
        <v>44352</v>
      </c>
      <c r="F402" t="s">
        <v>2056</v>
      </c>
      <c r="G402" t="s">
        <v>2057</v>
      </c>
      <c r="H402">
        <v>3</v>
      </c>
      <c r="I402">
        <v>85.97</v>
      </c>
      <c r="J402" s="50">
        <v>257.91000000000003</v>
      </c>
      <c r="K402" t="s">
        <v>1632</v>
      </c>
      <c r="M402" t="s">
        <v>1629</v>
      </c>
      <c r="N402">
        <v>45.37</v>
      </c>
      <c r="O402" s="49">
        <v>44356</v>
      </c>
      <c r="P402" s="50">
        <v>116.05950000000001</v>
      </c>
    </row>
    <row r="403" spans="4:16" x14ac:dyDescent="0.2">
      <c r="D403">
        <v>100000227</v>
      </c>
      <c r="E403" s="49">
        <v>45146</v>
      </c>
      <c r="F403" t="s">
        <v>2058</v>
      </c>
      <c r="G403" t="s">
        <v>1831</v>
      </c>
      <c r="H403">
        <v>2</v>
      </c>
      <c r="I403">
        <v>39.58</v>
      </c>
      <c r="J403" s="50">
        <v>79.16</v>
      </c>
      <c r="K403" t="s">
        <v>1632</v>
      </c>
      <c r="M403" t="s">
        <v>1621</v>
      </c>
      <c r="N403">
        <v>20.89</v>
      </c>
      <c r="O403" s="49">
        <v>45151</v>
      </c>
      <c r="P403" s="50">
        <v>35.622</v>
      </c>
    </row>
    <row r="404" spans="4:16" x14ac:dyDescent="0.2">
      <c r="D404">
        <v>100000229</v>
      </c>
      <c r="E404" s="49">
        <v>44327</v>
      </c>
      <c r="F404" t="s">
        <v>2059</v>
      </c>
      <c r="G404" t="s">
        <v>1752</v>
      </c>
      <c r="H404">
        <v>6</v>
      </c>
      <c r="I404">
        <v>26.85</v>
      </c>
      <c r="J404" s="50">
        <v>161.1</v>
      </c>
      <c r="K404" t="s">
        <v>1618</v>
      </c>
      <c r="M404" t="s">
        <v>1627</v>
      </c>
      <c r="N404">
        <v>14.17</v>
      </c>
      <c r="O404" s="49">
        <v>44329</v>
      </c>
      <c r="P404" s="50">
        <v>72.495000000000005</v>
      </c>
    </row>
    <row r="405" spans="4:16" x14ac:dyDescent="0.2">
      <c r="D405">
        <v>100000229</v>
      </c>
      <c r="E405" s="49">
        <v>45654</v>
      </c>
      <c r="F405" t="s">
        <v>2059</v>
      </c>
      <c r="G405" t="s">
        <v>2060</v>
      </c>
      <c r="H405">
        <v>9</v>
      </c>
      <c r="I405">
        <v>42.59</v>
      </c>
      <c r="J405" s="50">
        <v>383.31000000000012</v>
      </c>
      <c r="K405" t="s">
        <v>1618</v>
      </c>
      <c r="M405" t="s">
        <v>1621</v>
      </c>
      <c r="N405">
        <v>22.48</v>
      </c>
      <c r="O405" s="49">
        <v>45655</v>
      </c>
      <c r="P405" s="50">
        <v>172.48950000000005</v>
      </c>
    </row>
    <row r="406" spans="4:16" x14ac:dyDescent="0.2">
      <c r="D406">
        <v>100000230</v>
      </c>
      <c r="E406" s="49">
        <v>44976</v>
      </c>
      <c r="F406" t="s">
        <v>2061</v>
      </c>
      <c r="G406" t="s">
        <v>2062</v>
      </c>
      <c r="H406">
        <v>10</v>
      </c>
      <c r="I406">
        <v>57.48</v>
      </c>
      <c r="J406" s="50">
        <v>574.79999999999995</v>
      </c>
      <c r="K406" t="s">
        <v>1632</v>
      </c>
      <c r="L406" t="s">
        <v>1914</v>
      </c>
      <c r="M406" t="s">
        <v>1621</v>
      </c>
      <c r="N406">
        <v>30.34</v>
      </c>
      <c r="O406" s="49">
        <v>44977</v>
      </c>
      <c r="P406" s="50">
        <v>258.65999999999997</v>
      </c>
    </row>
    <row r="407" spans="4:16" x14ac:dyDescent="0.2">
      <c r="D407">
        <v>100000230</v>
      </c>
      <c r="E407" s="49">
        <v>45294</v>
      </c>
      <c r="F407" t="s">
        <v>2061</v>
      </c>
      <c r="G407" t="s">
        <v>2063</v>
      </c>
      <c r="H407">
        <v>10</v>
      </c>
      <c r="I407">
        <v>10.89</v>
      </c>
      <c r="J407" s="50">
        <v>108.9</v>
      </c>
      <c r="K407" t="s">
        <v>1632</v>
      </c>
      <c r="L407" t="s">
        <v>1914</v>
      </c>
      <c r="M407" t="s">
        <v>1619</v>
      </c>
      <c r="N407">
        <v>5.75</v>
      </c>
      <c r="O407" s="49">
        <v>45299</v>
      </c>
      <c r="P407" s="50">
        <v>49.005000000000003</v>
      </c>
    </row>
    <row r="408" spans="4:16" x14ac:dyDescent="0.2">
      <c r="D408">
        <v>100000230</v>
      </c>
      <c r="E408" s="49">
        <v>44527</v>
      </c>
      <c r="F408" t="s">
        <v>2061</v>
      </c>
      <c r="G408" t="s">
        <v>1766</v>
      </c>
      <c r="H408">
        <v>4</v>
      </c>
      <c r="I408">
        <v>102.76</v>
      </c>
      <c r="J408" s="50">
        <v>411.04</v>
      </c>
      <c r="K408" t="s">
        <v>1632</v>
      </c>
      <c r="L408" t="s">
        <v>1914</v>
      </c>
      <c r="M408" t="s">
        <v>1624</v>
      </c>
      <c r="N408">
        <v>54.23</v>
      </c>
      <c r="O408" s="49">
        <v>44529</v>
      </c>
      <c r="P408" s="50">
        <v>184.96800000000002</v>
      </c>
    </row>
    <row r="409" spans="4:16" x14ac:dyDescent="0.2">
      <c r="D409">
        <v>100000230</v>
      </c>
      <c r="E409" s="49">
        <v>44937</v>
      </c>
      <c r="F409" t="s">
        <v>2061</v>
      </c>
      <c r="G409" t="s">
        <v>2064</v>
      </c>
      <c r="H409">
        <v>3</v>
      </c>
      <c r="I409">
        <v>112.83</v>
      </c>
      <c r="J409" s="50">
        <v>338.49</v>
      </c>
      <c r="K409" t="s">
        <v>1632</v>
      </c>
      <c r="L409" t="s">
        <v>1914</v>
      </c>
      <c r="M409" t="s">
        <v>1624</v>
      </c>
      <c r="N409">
        <v>59.55</v>
      </c>
      <c r="O409" s="49">
        <v>44938</v>
      </c>
      <c r="P409" s="50">
        <v>152.32050000000001</v>
      </c>
    </row>
    <row r="410" spans="4:16" x14ac:dyDescent="0.2">
      <c r="D410">
        <v>100000230</v>
      </c>
      <c r="E410" s="49">
        <v>44229</v>
      </c>
      <c r="F410" t="s">
        <v>2061</v>
      </c>
      <c r="G410" t="s">
        <v>2060</v>
      </c>
      <c r="H410">
        <v>5</v>
      </c>
      <c r="I410">
        <v>106.53</v>
      </c>
      <c r="J410" s="50">
        <v>532.65</v>
      </c>
      <c r="K410" t="s">
        <v>1632</v>
      </c>
      <c r="L410" t="s">
        <v>1914</v>
      </c>
      <c r="M410" t="s">
        <v>1621</v>
      </c>
      <c r="N410">
        <v>56.22</v>
      </c>
      <c r="O410" s="49">
        <v>44232</v>
      </c>
      <c r="P410" s="50">
        <v>239.6925</v>
      </c>
    </row>
    <row r="411" spans="4:16" x14ac:dyDescent="0.2">
      <c r="D411">
        <v>100000230</v>
      </c>
      <c r="E411" s="49">
        <v>45148</v>
      </c>
      <c r="F411" t="s">
        <v>2061</v>
      </c>
      <c r="G411" t="s">
        <v>2065</v>
      </c>
      <c r="H411">
        <v>9</v>
      </c>
      <c r="I411">
        <v>80.760000000000005</v>
      </c>
      <c r="J411" s="50">
        <v>726.84</v>
      </c>
      <c r="K411" t="s">
        <v>1632</v>
      </c>
      <c r="L411" t="s">
        <v>1914</v>
      </c>
      <c r="M411" t="s">
        <v>1629</v>
      </c>
      <c r="N411">
        <v>42.62</v>
      </c>
      <c r="O411" s="49">
        <v>45150</v>
      </c>
      <c r="P411" s="50">
        <v>327.07800000000003</v>
      </c>
    </row>
    <row r="412" spans="4:16" x14ac:dyDescent="0.2">
      <c r="D412">
        <v>100000231</v>
      </c>
      <c r="E412" s="49">
        <v>45304</v>
      </c>
      <c r="F412" t="s">
        <v>2066</v>
      </c>
      <c r="G412" t="s">
        <v>1666</v>
      </c>
      <c r="H412">
        <v>4</v>
      </c>
      <c r="I412">
        <v>14.86</v>
      </c>
      <c r="J412" s="50">
        <v>59.44</v>
      </c>
      <c r="K412" t="s">
        <v>1632</v>
      </c>
      <c r="M412" t="s">
        <v>1621</v>
      </c>
      <c r="N412">
        <v>7.84</v>
      </c>
      <c r="O412" s="49">
        <v>45308</v>
      </c>
      <c r="P412" s="50">
        <v>26.748000000000001</v>
      </c>
    </row>
    <row r="413" spans="4:16" x14ac:dyDescent="0.2">
      <c r="D413">
        <v>100000233</v>
      </c>
      <c r="E413" s="49">
        <v>44909</v>
      </c>
      <c r="F413" t="s">
        <v>2067</v>
      </c>
      <c r="G413" t="s">
        <v>2068</v>
      </c>
      <c r="H413">
        <v>8</v>
      </c>
      <c r="I413">
        <v>61.02</v>
      </c>
      <c r="J413" s="50">
        <v>488.16</v>
      </c>
      <c r="K413" t="s">
        <v>1632</v>
      </c>
      <c r="M413" t="s">
        <v>1629</v>
      </c>
      <c r="N413">
        <v>32.200000000000003</v>
      </c>
      <c r="O413" s="49">
        <v>44913</v>
      </c>
      <c r="P413" s="50">
        <v>219.67200000000003</v>
      </c>
    </row>
    <row r="414" spans="4:16" x14ac:dyDescent="0.2">
      <c r="D414">
        <v>100000233</v>
      </c>
      <c r="E414" s="49">
        <v>45531</v>
      </c>
      <c r="F414" t="s">
        <v>2067</v>
      </c>
      <c r="G414" t="s">
        <v>1719</v>
      </c>
      <c r="H414">
        <v>9</v>
      </c>
      <c r="I414">
        <v>57.96</v>
      </c>
      <c r="J414" s="50">
        <v>521.64</v>
      </c>
      <c r="K414" t="s">
        <v>1632</v>
      </c>
      <c r="M414" t="s">
        <v>1624</v>
      </c>
      <c r="N414">
        <v>30.59</v>
      </c>
      <c r="O414" s="49">
        <v>45533</v>
      </c>
      <c r="P414" s="50">
        <v>234.738</v>
      </c>
    </row>
    <row r="415" spans="4:16" x14ac:dyDescent="0.2">
      <c r="D415">
        <v>100000233</v>
      </c>
      <c r="E415" s="49">
        <v>45037</v>
      </c>
      <c r="F415" t="s">
        <v>2067</v>
      </c>
      <c r="G415" t="s">
        <v>1748</v>
      </c>
      <c r="H415">
        <v>5</v>
      </c>
      <c r="I415">
        <v>16.2</v>
      </c>
      <c r="J415" s="50">
        <v>81</v>
      </c>
      <c r="K415" t="s">
        <v>1632</v>
      </c>
      <c r="M415" t="s">
        <v>1624</v>
      </c>
      <c r="N415">
        <v>8.5500000000000007</v>
      </c>
      <c r="O415" s="49">
        <v>45042</v>
      </c>
      <c r="P415" s="50">
        <v>36.450000000000003</v>
      </c>
    </row>
    <row r="416" spans="4:16" x14ac:dyDescent="0.2">
      <c r="D416">
        <v>100000233</v>
      </c>
      <c r="E416" s="49">
        <v>44761</v>
      </c>
      <c r="F416" t="s">
        <v>2067</v>
      </c>
      <c r="G416" t="s">
        <v>2069</v>
      </c>
      <c r="H416">
        <v>4</v>
      </c>
      <c r="I416">
        <v>20.350000000000001</v>
      </c>
      <c r="J416" s="50">
        <v>81.400000000000006</v>
      </c>
      <c r="K416" t="s">
        <v>1632</v>
      </c>
      <c r="M416" t="s">
        <v>1629</v>
      </c>
      <c r="N416">
        <v>10.74</v>
      </c>
      <c r="O416" s="49">
        <v>44763</v>
      </c>
      <c r="P416" s="50">
        <v>36.630000000000003</v>
      </c>
    </row>
    <row r="417" spans="4:16" x14ac:dyDescent="0.2">
      <c r="D417">
        <v>100000234</v>
      </c>
      <c r="E417" s="49">
        <v>45638</v>
      </c>
      <c r="F417" t="s">
        <v>2070</v>
      </c>
      <c r="G417" t="s">
        <v>2071</v>
      </c>
      <c r="H417">
        <v>4</v>
      </c>
      <c r="I417">
        <v>32.96</v>
      </c>
      <c r="J417" s="50">
        <v>131.84</v>
      </c>
      <c r="K417" t="s">
        <v>1618</v>
      </c>
      <c r="L417" t="s">
        <v>2072</v>
      </c>
      <c r="M417" t="s">
        <v>1624</v>
      </c>
      <c r="N417">
        <v>17.399999999999999</v>
      </c>
      <c r="O417" s="49">
        <v>45639</v>
      </c>
      <c r="P417" s="50">
        <v>59.328000000000003</v>
      </c>
    </row>
    <row r="418" spans="4:16" x14ac:dyDescent="0.2">
      <c r="D418">
        <v>100000235</v>
      </c>
      <c r="E418" s="49">
        <v>44275</v>
      </c>
      <c r="F418" t="s">
        <v>2073</v>
      </c>
      <c r="G418" t="s">
        <v>2074</v>
      </c>
      <c r="H418">
        <v>3</v>
      </c>
      <c r="I418">
        <v>28.42</v>
      </c>
      <c r="J418" s="50">
        <v>85.26</v>
      </c>
      <c r="K418" t="s">
        <v>1618</v>
      </c>
      <c r="L418" t="s">
        <v>2075</v>
      </c>
      <c r="M418" t="s">
        <v>1624</v>
      </c>
      <c r="N418">
        <v>15</v>
      </c>
      <c r="O418" s="49">
        <v>44280</v>
      </c>
      <c r="P418" s="50">
        <v>38.367000000000004</v>
      </c>
    </row>
    <row r="419" spans="4:16" x14ac:dyDescent="0.2">
      <c r="D419">
        <v>100000235</v>
      </c>
      <c r="E419" s="49">
        <v>44720</v>
      </c>
      <c r="F419" t="s">
        <v>2073</v>
      </c>
      <c r="G419" t="s">
        <v>2076</v>
      </c>
      <c r="H419">
        <v>5</v>
      </c>
      <c r="I419">
        <v>26.2</v>
      </c>
      <c r="J419" s="50">
        <v>131</v>
      </c>
      <c r="K419" t="s">
        <v>1618</v>
      </c>
      <c r="L419" t="s">
        <v>2075</v>
      </c>
      <c r="M419" t="s">
        <v>1629</v>
      </c>
      <c r="N419">
        <v>13.83</v>
      </c>
      <c r="O419" s="49">
        <v>44723</v>
      </c>
      <c r="P419" s="50">
        <v>58.95</v>
      </c>
    </row>
    <row r="420" spans="4:16" x14ac:dyDescent="0.2">
      <c r="D420">
        <v>100000235</v>
      </c>
      <c r="E420" s="49">
        <v>45387</v>
      </c>
      <c r="F420" t="s">
        <v>2073</v>
      </c>
      <c r="G420" t="s">
        <v>1737</v>
      </c>
      <c r="H420">
        <v>2</v>
      </c>
      <c r="I420">
        <v>68.790000000000006</v>
      </c>
      <c r="J420" s="50">
        <v>137.58000000000001</v>
      </c>
      <c r="K420" t="s">
        <v>1618</v>
      </c>
      <c r="L420" t="s">
        <v>2075</v>
      </c>
      <c r="M420" t="s">
        <v>1619</v>
      </c>
      <c r="N420">
        <v>36.31</v>
      </c>
      <c r="O420" s="49">
        <v>45392</v>
      </c>
      <c r="P420" s="50">
        <v>61.911000000000008</v>
      </c>
    </row>
    <row r="421" spans="4:16" x14ac:dyDescent="0.2">
      <c r="D421">
        <v>100000236</v>
      </c>
      <c r="E421" s="49">
        <v>44370</v>
      </c>
      <c r="F421" t="s">
        <v>2077</v>
      </c>
      <c r="G421" t="s">
        <v>2078</v>
      </c>
      <c r="H421">
        <v>1</v>
      </c>
      <c r="I421">
        <v>48.23</v>
      </c>
      <c r="J421" s="50">
        <v>48.23</v>
      </c>
      <c r="K421" t="s">
        <v>1618</v>
      </c>
      <c r="M421" t="s">
        <v>1629</v>
      </c>
      <c r="N421">
        <v>25.45</v>
      </c>
      <c r="O421" s="49">
        <v>44375</v>
      </c>
      <c r="P421" s="50">
        <v>21.703499999999998</v>
      </c>
    </row>
    <row r="422" spans="4:16" x14ac:dyDescent="0.2">
      <c r="D422">
        <v>100000236</v>
      </c>
      <c r="E422" s="49">
        <v>45115</v>
      </c>
      <c r="F422" t="s">
        <v>2077</v>
      </c>
      <c r="G422" t="s">
        <v>1967</v>
      </c>
      <c r="H422">
        <v>5</v>
      </c>
      <c r="I422">
        <v>38.24</v>
      </c>
      <c r="J422" s="50">
        <v>191.2</v>
      </c>
      <c r="K422" t="s">
        <v>1618</v>
      </c>
      <c r="M422" t="s">
        <v>1619</v>
      </c>
      <c r="N422">
        <v>20.18</v>
      </c>
      <c r="O422" s="49">
        <v>45116</v>
      </c>
      <c r="P422" s="50">
        <v>86.039999999999992</v>
      </c>
    </row>
    <row r="423" spans="4:16" x14ac:dyDescent="0.2">
      <c r="D423">
        <v>100000236</v>
      </c>
      <c r="E423" s="49">
        <v>45365</v>
      </c>
      <c r="F423" t="s">
        <v>2077</v>
      </c>
      <c r="G423" t="s">
        <v>2079</v>
      </c>
      <c r="H423">
        <v>8</v>
      </c>
      <c r="I423">
        <v>85.61</v>
      </c>
      <c r="J423" s="50">
        <v>684.88</v>
      </c>
      <c r="K423" t="s">
        <v>1618</v>
      </c>
      <c r="M423" t="s">
        <v>1621</v>
      </c>
      <c r="N423">
        <v>45.18</v>
      </c>
      <c r="O423" s="49">
        <v>45368</v>
      </c>
      <c r="P423" s="50">
        <v>308.19600000000003</v>
      </c>
    </row>
    <row r="424" spans="4:16" x14ac:dyDescent="0.2">
      <c r="D424">
        <v>100000237</v>
      </c>
      <c r="E424" s="49">
        <v>44733</v>
      </c>
      <c r="F424" t="s">
        <v>2080</v>
      </c>
      <c r="G424" t="s">
        <v>2074</v>
      </c>
      <c r="H424">
        <v>8</v>
      </c>
      <c r="I424">
        <v>16.829999999999998</v>
      </c>
      <c r="J424" s="50">
        <v>134.63999999999999</v>
      </c>
      <c r="K424" t="s">
        <v>1632</v>
      </c>
      <c r="L424" t="s">
        <v>2081</v>
      </c>
      <c r="M424" t="s">
        <v>1621</v>
      </c>
      <c r="N424">
        <v>8.8800000000000008</v>
      </c>
      <c r="O424" s="49">
        <v>44737</v>
      </c>
      <c r="P424" s="50">
        <v>60.587999999999994</v>
      </c>
    </row>
    <row r="425" spans="4:16" x14ac:dyDescent="0.2">
      <c r="D425">
        <v>100000238</v>
      </c>
      <c r="E425" s="49">
        <v>45436</v>
      </c>
      <c r="F425" t="s">
        <v>2082</v>
      </c>
      <c r="G425" t="s">
        <v>1674</v>
      </c>
      <c r="H425">
        <v>6</v>
      </c>
      <c r="I425">
        <v>112.8</v>
      </c>
      <c r="J425" s="50">
        <v>676.8</v>
      </c>
      <c r="K425" t="s">
        <v>1618</v>
      </c>
      <c r="M425" t="s">
        <v>1619</v>
      </c>
      <c r="N425">
        <v>59.53</v>
      </c>
      <c r="O425" s="49">
        <v>45438</v>
      </c>
      <c r="P425" s="50">
        <v>304.56</v>
      </c>
    </row>
    <row r="426" spans="4:16" x14ac:dyDescent="0.2">
      <c r="D426">
        <v>100000240</v>
      </c>
      <c r="E426" s="49">
        <v>45327</v>
      </c>
      <c r="F426" t="s">
        <v>2083</v>
      </c>
      <c r="G426" t="s">
        <v>2084</v>
      </c>
      <c r="H426">
        <v>7</v>
      </c>
      <c r="I426">
        <v>87.52</v>
      </c>
      <c r="J426" s="50">
        <v>612.64</v>
      </c>
      <c r="K426" t="s">
        <v>1618</v>
      </c>
      <c r="M426" t="s">
        <v>1627</v>
      </c>
      <c r="N426">
        <v>46.19</v>
      </c>
      <c r="O426" s="49">
        <v>45328</v>
      </c>
      <c r="P426" s="50">
        <v>275.68799999999999</v>
      </c>
    </row>
    <row r="427" spans="4:16" x14ac:dyDescent="0.2">
      <c r="D427">
        <v>100000240</v>
      </c>
      <c r="E427" s="49">
        <v>44461</v>
      </c>
      <c r="F427" t="s">
        <v>2083</v>
      </c>
      <c r="G427" t="s">
        <v>1955</v>
      </c>
      <c r="H427">
        <v>2</v>
      </c>
      <c r="I427">
        <v>77.86</v>
      </c>
      <c r="J427" s="50">
        <v>155.72</v>
      </c>
      <c r="K427" t="s">
        <v>1618</v>
      </c>
      <c r="M427" t="s">
        <v>1627</v>
      </c>
      <c r="N427">
        <v>41.09</v>
      </c>
      <c r="O427" s="49">
        <v>44463</v>
      </c>
      <c r="P427" s="50">
        <v>70.073999999999998</v>
      </c>
    </row>
    <row r="428" spans="4:16" x14ac:dyDescent="0.2">
      <c r="D428">
        <v>100000240</v>
      </c>
      <c r="E428" s="49">
        <v>45629</v>
      </c>
      <c r="F428" t="s">
        <v>2083</v>
      </c>
      <c r="G428" t="s">
        <v>2024</v>
      </c>
      <c r="H428">
        <v>4</v>
      </c>
      <c r="I428">
        <v>45.51</v>
      </c>
      <c r="J428" s="50">
        <v>182.04</v>
      </c>
      <c r="K428" t="s">
        <v>1618</v>
      </c>
      <c r="M428" t="s">
        <v>1629</v>
      </c>
      <c r="N428">
        <v>24.02</v>
      </c>
      <c r="O428" s="49">
        <v>45630</v>
      </c>
      <c r="P428" s="50">
        <v>81.917999999999992</v>
      </c>
    </row>
    <row r="429" spans="4:16" x14ac:dyDescent="0.2">
      <c r="D429">
        <v>100000240</v>
      </c>
      <c r="E429" s="49">
        <v>44748</v>
      </c>
      <c r="F429" t="s">
        <v>2083</v>
      </c>
      <c r="G429" t="s">
        <v>1948</v>
      </c>
      <c r="H429">
        <v>2</v>
      </c>
      <c r="I429">
        <v>90.93</v>
      </c>
      <c r="J429" s="50">
        <v>181.86</v>
      </c>
      <c r="K429" t="s">
        <v>1618</v>
      </c>
      <c r="M429" t="s">
        <v>1621</v>
      </c>
      <c r="N429">
        <v>47.99</v>
      </c>
      <c r="O429" s="49">
        <v>44749</v>
      </c>
      <c r="P429" s="50">
        <v>81.837000000000003</v>
      </c>
    </row>
    <row r="430" spans="4:16" x14ac:dyDescent="0.2">
      <c r="D430">
        <v>100000241</v>
      </c>
      <c r="E430" s="49">
        <v>45465</v>
      </c>
      <c r="F430" t="s">
        <v>2085</v>
      </c>
      <c r="G430" t="s">
        <v>2086</v>
      </c>
      <c r="H430">
        <v>9</v>
      </c>
      <c r="I430">
        <v>50.52</v>
      </c>
      <c r="J430" s="50">
        <v>454.68</v>
      </c>
      <c r="K430" t="s">
        <v>1618</v>
      </c>
      <c r="M430" t="s">
        <v>1621</v>
      </c>
      <c r="N430">
        <v>26.66</v>
      </c>
      <c r="O430" s="49">
        <v>45470</v>
      </c>
      <c r="P430" s="50">
        <v>204.60599999999999</v>
      </c>
    </row>
    <row r="431" spans="4:16" x14ac:dyDescent="0.2">
      <c r="D431">
        <v>100000241</v>
      </c>
      <c r="E431" s="49">
        <v>44212</v>
      </c>
      <c r="F431" t="s">
        <v>2085</v>
      </c>
      <c r="G431" t="s">
        <v>1794</v>
      </c>
      <c r="H431">
        <v>1</v>
      </c>
      <c r="I431">
        <v>97.97</v>
      </c>
      <c r="J431" s="50">
        <v>97.97</v>
      </c>
      <c r="K431" t="s">
        <v>1618</v>
      </c>
      <c r="M431" t="s">
        <v>1624</v>
      </c>
      <c r="N431">
        <v>51.71</v>
      </c>
      <c r="O431" s="49">
        <v>44217</v>
      </c>
      <c r="P431" s="50">
        <v>44.086500000000001</v>
      </c>
    </row>
    <row r="432" spans="4:16" x14ac:dyDescent="0.2">
      <c r="D432">
        <v>100000241</v>
      </c>
      <c r="E432" s="49">
        <v>44365</v>
      </c>
      <c r="F432" t="s">
        <v>2085</v>
      </c>
      <c r="G432" t="s">
        <v>1655</v>
      </c>
      <c r="H432">
        <v>8</v>
      </c>
      <c r="I432">
        <v>83.72</v>
      </c>
      <c r="J432" s="50">
        <v>669.76</v>
      </c>
      <c r="K432" t="s">
        <v>1618</v>
      </c>
      <c r="M432" t="s">
        <v>1621</v>
      </c>
      <c r="N432">
        <v>44.19</v>
      </c>
      <c r="O432" s="49">
        <v>44366</v>
      </c>
      <c r="P432" s="50">
        <v>301.392</v>
      </c>
    </row>
    <row r="433" spans="4:16" x14ac:dyDescent="0.2">
      <c r="D433">
        <v>100000241</v>
      </c>
      <c r="E433" s="49">
        <v>44420</v>
      </c>
      <c r="F433" t="s">
        <v>2085</v>
      </c>
      <c r="G433" t="s">
        <v>1882</v>
      </c>
      <c r="H433">
        <v>10</v>
      </c>
      <c r="I433">
        <v>47.79</v>
      </c>
      <c r="J433" s="50">
        <v>477.9</v>
      </c>
      <c r="K433" t="s">
        <v>1618</v>
      </c>
      <c r="M433" t="s">
        <v>1624</v>
      </c>
      <c r="N433">
        <v>25.22</v>
      </c>
      <c r="O433" s="49">
        <v>44421</v>
      </c>
      <c r="P433" s="50">
        <v>215.05500000000001</v>
      </c>
    </row>
    <row r="434" spans="4:16" x14ac:dyDescent="0.2">
      <c r="D434">
        <v>100000241</v>
      </c>
      <c r="E434" s="49">
        <v>45226</v>
      </c>
      <c r="F434" t="s">
        <v>2085</v>
      </c>
      <c r="G434" t="s">
        <v>1704</v>
      </c>
      <c r="H434">
        <v>7</v>
      </c>
      <c r="I434">
        <v>38.979999999999997</v>
      </c>
      <c r="J434" s="50">
        <v>272.86</v>
      </c>
      <c r="K434" t="s">
        <v>1618</v>
      </c>
      <c r="M434" t="s">
        <v>1621</v>
      </c>
      <c r="N434">
        <v>20.57</v>
      </c>
      <c r="O434" s="49">
        <v>45228</v>
      </c>
      <c r="P434" s="50">
        <v>122.78700000000001</v>
      </c>
    </row>
    <row r="435" spans="4:16" x14ac:dyDescent="0.2">
      <c r="D435">
        <v>100000242</v>
      </c>
      <c r="E435" s="49">
        <v>45013</v>
      </c>
      <c r="F435" t="s">
        <v>2087</v>
      </c>
      <c r="G435" t="s">
        <v>2004</v>
      </c>
      <c r="H435">
        <v>1</v>
      </c>
      <c r="I435">
        <v>17.440000000000001</v>
      </c>
      <c r="J435" s="50">
        <v>17.440000000000001</v>
      </c>
      <c r="K435" t="s">
        <v>1618</v>
      </c>
      <c r="M435" t="s">
        <v>1619</v>
      </c>
      <c r="N435">
        <v>9.1999999999999993</v>
      </c>
      <c r="O435" s="49">
        <v>45015</v>
      </c>
      <c r="P435" s="50">
        <v>7.8480000000000008</v>
      </c>
    </row>
    <row r="436" spans="4:16" x14ac:dyDescent="0.2">
      <c r="D436">
        <v>100000242</v>
      </c>
      <c r="E436" s="49">
        <v>45207</v>
      </c>
      <c r="F436" t="s">
        <v>2087</v>
      </c>
      <c r="G436" t="s">
        <v>2088</v>
      </c>
      <c r="H436">
        <v>7</v>
      </c>
      <c r="I436">
        <v>48.16</v>
      </c>
      <c r="J436" s="50">
        <v>337.12</v>
      </c>
      <c r="K436" t="s">
        <v>1618</v>
      </c>
      <c r="M436" t="s">
        <v>1629</v>
      </c>
      <c r="N436">
        <v>25.42</v>
      </c>
      <c r="O436" s="49">
        <v>45208</v>
      </c>
      <c r="P436" s="50">
        <v>151.70400000000001</v>
      </c>
    </row>
    <row r="437" spans="4:16" x14ac:dyDescent="0.2">
      <c r="D437">
        <v>100000242</v>
      </c>
      <c r="E437" s="49">
        <v>44746</v>
      </c>
      <c r="F437" t="s">
        <v>2087</v>
      </c>
      <c r="G437" t="s">
        <v>1717</v>
      </c>
      <c r="H437">
        <v>5</v>
      </c>
      <c r="I437">
        <v>100.36</v>
      </c>
      <c r="J437" s="50">
        <v>501.8</v>
      </c>
      <c r="K437" t="s">
        <v>1618</v>
      </c>
      <c r="M437" t="s">
        <v>1624</v>
      </c>
      <c r="N437">
        <v>52.97</v>
      </c>
      <c r="O437" s="49">
        <v>44749</v>
      </c>
      <c r="P437" s="50">
        <v>225.81</v>
      </c>
    </row>
    <row r="438" spans="4:16" x14ac:dyDescent="0.2">
      <c r="D438">
        <v>100000243</v>
      </c>
      <c r="E438" s="49">
        <v>45366</v>
      </c>
      <c r="F438" t="s">
        <v>2089</v>
      </c>
      <c r="G438" t="s">
        <v>2090</v>
      </c>
      <c r="H438">
        <v>4</v>
      </c>
      <c r="I438">
        <v>99.01</v>
      </c>
      <c r="J438" s="50">
        <v>396.04</v>
      </c>
      <c r="K438" t="s">
        <v>1618</v>
      </c>
      <c r="L438" t="s">
        <v>2091</v>
      </c>
      <c r="M438" t="s">
        <v>1624</v>
      </c>
      <c r="N438">
        <v>52.25</v>
      </c>
      <c r="O438" s="49">
        <v>45371</v>
      </c>
      <c r="P438" s="50">
        <v>178.21800000000002</v>
      </c>
    </row>
    <row r="439" spans="4:16" x14ac:dyDescent="0.2">
      <c r="D439">
        <v>100000244</v>
      </c>
      <c r="E439" s="49">
        <v>45614</v>
      </c>
      <c r="F439" t="s">
        <v>2092</v>
      </c>
      <c r="G439" t="s">
        <v>2093</v>
      </c>
      <c r="H439">
        <v>1</v>
      </c>
      <c r="I439">
        <v>106.89</v>
      </c>
      <c r="J439" s="50">
        <v>106.89</v>
      </c>
      <c r="K439" t="s">
        <v>1618</v>
      </c>
      <c r="M439" t="s">
        <v>1629</v>
      </c>
      <c r="N439">
        <v>56.41</v>
      </c>
      <c r="O439" s="49">
        <v>45619</v>
      </c>
      <c r="P439" s="50">
        <v>48.100500000000004</v>
      </c>
    </row>
    <row r="440" spans="4:16" x14ac:dyDescent="0.2">
      <c r="D440">
        <v>100000246</v>
      </c>
      <c r="E440" s="49">
        <v>44997</v>
      </c>
      <c r="F440" t="s">
        <v>2094</v>
      </c>
      <c r="G440" t="s">
        <v>1838</v>
      </c>
      <c r="H440">
        <v>5</v>
      </c>
      <c r="I440">
        <v>96.98</v>
      </c>
      <c r="J440" s="50">
        <v>484.9</v>
      </c>
      <c r="K440" t="s">
        <v>1618</v>
      </c>
      <c r="M440" t="s">
        <v>1627</v>
      </c>
      <c r="N440">
        <v>51.18</v>
      </c>
      <c r="O440" s="49">
        <v>44998</v>
      </c>
      <c r="P440" s="50">
        <v>218.20499999999998</v>
      </c>
    </row>
    <row r="441" spans="4:16" x14ac:dyDescent="0.2">
      <c r="D441">
        <v>100000246</v>
      </c>
      <c r="E441" s="49">
        <v>44331</v>
      </c>
      <c r="F441" t="s">
        <v>2094</v>
      </c>
      <c r="G441" t="s">
        <v>1714</v>
      </c>
      <c r="H441">
        <v>9</v>
      </c>
      <c r="I441">
        <v>77.14</v>
      </c>
      <c r="J441" s="50">
        <v>694.26</v>
      </c>
      <c r="K441" t="s">
        <v>1618</v>
      </c>
      <c r="M441" t="s">
        <v>1629</v>
      </c>
      <c r="N441">
        <v>40.71</v>
      </c>
      <c r="O441" s="49">
        <v>44334</v>
      </c>
      <c r="P441" s="50">
        <v>312.41700000000003</v>
      </c>
    </row>
    <row r="442" spans="4:16" x14ac:dyDescent="0.2">
      <c r="D442">
        <v>100000246</v>
      </c>
      <c r="E442" s="49">
        <v>44611</v>
      </c>
      <c r="F442" t="s">
        <v>2094</v>
      </c>
      <c r="G442" t="s">
        <v>1744</v>
      </c>
      <c r="H442">
        <v>4</v>
      </c>
      <c r="I442">
        <v>107.54</v>
      </c>
      <c r="J442" s="50">
        <v>430.16</v>
      </c>
      <c r="K442" t="s">
        <v>1618</v>
      </c>
      <c r="M442" t="s">
        <v>1627</v>
      </c>
      <c r="N442">
        <v>56.76</v>
      </c>
      <c r="O442" s="49">
        <v>44613</v>
      </c>
      <c r="P442" s="50">
        <v>193.572</v>
      </c>
    </row>
    <row r="443" spans="4:16" x14ac:dyDescent="0.2">
      <c r="D443">
        <v>100000246</v>
      </c>
      <c r="E443" s="49">
        <v>44459</v>
      </c>
      <c r="F443" t="s">
        <v>2094</v>
      </c>
      <c r="G443" t="s">
        <v>1701</v>
      </c>
      <c r="H443">
        <v>5</v>
      </c>
      <c r="I443">
        <v>98.91</v>
      </c>
      <c r="J443" s="50">
        <v>494.55</v>
      </c>
      <c r="K443" t="s">
        <v>1618</v>
      </c>
      <c r="M443" t="s">
        <v>1619</v>
      </c>
      <c r="N443">
        <v>52.2</v>
      </c>
      <c r="O443" s="49">
        <v>44463</v>
      </c>
      <c r="P443" s="50">
        <v>222.54750000000001</v>
      </c>
    </row>
    <row r="444" spans="4:16" x14ac:dyDescent="0.2">
      <c r="D444">
        <v>100000250</v>
      </c>
      <c r="E444" s="49">
        <v>44466</v>
      </c>
      <c r="F444" t="s">
        <v>2095</v>
      </c>
      <c r="G444" t="s">
        <v>1756</v>
      </c>
      <c r="H444">
        <v>2</v>
      </c>
      <c r="I444">
        <v>84.78</v>
      </c>
      <c r="J444" s="50">
        <v>169.56</v>
      </c>
      <c r="K444" t="s">
        <v>1618</v>
      </c>
      <c r="M444" t="s">
        <v>1624</v>
      </c>
      <c r="N444">
        <v>44.74</v>
      </c>
      <c r="O444" s="49">
        <v>44471</v>
      </c>
      <c r="P444" s="50">
        <v>76.302000000000007</v>
      </c>
    </row>
    <row r="445" spans="4:16" x14ac:dyDescent="0.2">
      <c r="D445">
        <v>100000250</v>
      </c>
      <c r="E445" s="49">
        <v>45430</v>
      </c>
      <c r="F445" t="s">
        <v>2095</v>
      </c>
      <c r="G445" t="s">
        <v>1918</v>
      </c>
      <c r="H445">
        <v>2</v>
      </c>
      <c r="I445">
        <v>97.39</v>
      </c>
      <c r="J445" s="50">
        <v>194.78</v>
      </c>
      <c r="K445" t="s">
        <v>1618</v>
      </c>
      <c r="M445" t="s">
        <v>1627</v>
      </c>
      <c r="N445">
        <v>51.4</v>
      </c>
      <c r="O445" s="49">
        <v>45434</v>
      </c>
      <c r="P445" s="50">
        <v>87.650999999999996</v>
      </c>
    </row>
    <row r="446" spans="4:16" x14ac:dyDescent="0.2">
      <c r="D446">
        <v>100000250</v>
      </c>
      <c r="E446" s="49">
        <v>44622</v>
      </c>
      <c r="F446" t="s">
        <v>2095</v>
      </c>
      <c r="G446" t="s">
        <v>1801</v>
      </c>
      <c r="H446">
        <v>4</v>
      </c>
      <c r="I446">
        <v>97.7</v>
      </c>
      <c r="J446" s="50">
        <v>390.8</v>
      </c>
      <c r="K446" t="s">
        <v>1618</v>
      </c>
      <c r="M446" t="s">
        <v>1624</v>
      </c>
      <c r="N446">
        <v>51.56</v>
      </c>
      <c r="O446" s="49">
        <v>44623</v>
      </c>
      <c r="P446" s="50">
        <v>175.86</v>
      </c>
    </row>
    <row r="447" spans="4:16" x14ac:dyDescent="0.2">
      <c r="D447">
        <v>100000250</v>
      </c>
      <c r="E447" s="49">
        <v>45522</v>
      </c>
      <c r="F447" t="s">
        <v>2095</v>
      </c>
      <c r="G447" t="s">
        <v>2003</v>
      </c>
      <c r="H447">
        <v>8</v>
      </c>
      <c r="I447">
        <v>91.83</v>
      </c>
      <c r="J447" s="50">
        <v>734.64</v>
      </c>
      <c r="K447" t="s">
        <v>1618</v>
      </c>
      <c r="M447" t="s">
        <v>1619</v>
      </c>
      <c r="N447">
        <v>48.47</v>
      </c>
      <c r="O447" s="49">
        <v>45524</v>
      </c>
      <c r="P447" s="50">
        <v>330.58800000000002</v>
      </c>
    </row>
    <row r="448" spans="4:16" x14ac:dyDescent="0.2">
      <c r="D448">
        <v>100000250</v>
      </c>
      <c r="E448" s="49">
        <v>45331</v>
      </c>
      <c r="F448" t="s">
        <v>2095</v>
      </c>
      <c r="G448" t="s">
        <v>2096</v>
      </c>
      <c r="H448">
        <v>6</v>
      </c>
      <c r="I448">
        <v>83.95</v>
      </c>
      <c r="J448" s="50">
        <v>503.7</v>
      </c>
      <c r="K448" t="s">
        <v>1618</v>
      </c>
      <c r="M448" t="s">
        <v>1624</v>
      </c>
      <c r="N448">
        <v>44.31</v>
      </c>
      <c r="O448" s="49">
        <v>45334</v>
      </c>
      <c r="P448" s="50">
        <v>226.66499999999999</v>
      </c>
    </row>
    <row r="449" spans="4:16" x14ac:dyDescent="0.2">
      <c r="D449">
        <v>100000251</v>
      </c>
      <c r="E449" s="49">
        <v>44268</v>
      </c>
      <c r="F449" t="s">
        <v>2097</v>
      </c>
      <c r="G449" t="s">
        <v>2098</v>
      </c>
      <c r="H449">
        <v>1</v>
      </c>
      <c r="I449">
        <v>24.78</v>
      </c>
      <c r="J449" s="50">
        <v>24.78</v>
      </c>
      <c r="K449" t="s">
        <v>1632</v>
      </c>
      <c r="M449" t="s">
        <v>1627</v>
      </c>
      <c r="N449">
        <v>13.08</v>
      </c>
      <c r="O449" s="49">
        <v>44273</v>
      </c>
      <c r="P449" s="50">
        <v>11.151000000000002</v>
      </c>
    </row>
    <row r="450" spans="4:16" x14ac:dyDescent="0.2">
      <c r="D450">
        <v>100000251</v>
      </c>
      <c r="E450" s="49">
        <v>45564</v>
      </c>
      <c r="F450" t="s">
        <v>2097</v>
      </c>
      <c r="G450" t="s">
        <v>1729</v>
      </c>
      <c r="H450">
        <v>9</v>
      </c>
      <c r="I450">
        <v>91.76</v>
      </c>
      <c r="J450" s="50">
        <v>825.84</v>
      </c>
      <c r="K450" t="s">
        <v>1632</v>
      </c>
      <c r="M450" t="s">
        <v>1629</v>
      </c>
      <c r="N450">
        <v>48.43</v>
      </c>
      <c r="O450" s="49">
        <v>45567</v>
      </c>
      <c r="P450" s="50">
        <v>371.62800000000004</v>
      </c>
    </row>
    <row r="451" spans="4:16" x14ac:dyDescent="0.2">
      <c r="D451">
        <v>100000251</v>
      </c>
      <c r="E451" s="49">
        <v>45021</v>
      </c>
      <c r="F451" t="s">
        <v>2097</v>
      </c>
      <c r="G451" t="s">
        <v>2099</v>
      </c>
      <c r="H451">
        <v>6</v>
      </c>
      <c r="I451">
        <v>68.59</v>
      </c>
      <c r="J451" s="50">
        <v>411.54</v>
      </c>
      <c r="K451" t="s">
        <v>1632</v>
      </c>
      <c r="M451" t="s">
        <v>1619</v>
      </c>
      <c r="N451">
        <v>36.200000000000003</v>
      </c>
      <c r="O451" s="49">
        <v>45026</v>
      </c>
      <c r="P451" s="50">
        <v>185.19300000000001</v>
      </c>
    </row>
    <row r="452" spans="4:16" x14ac:dyDescent="0.2">
      <c r="D452">
        <v>100000252</v>
      </c>
      <c r="E452" s="49">
        <v>45256</v>
      </c>
      <c r="F452" t="s">
        <v>2100</v>
      </c>
      <c r="G452" t="s">
        <v>1855</v>
      </c>
      <c r="H452">
        <v>7</v>
      </c>
      <c r="I452">
        <v>53.69</v>
      </c>
      <c r="J452" s="50">
        <v>375.83</v>
      </c>
      <c r="K452" t="s">
        <v>1632</v>
      </c>
      <c r="M452" t="s">
        <v>1627</v>
      </c>
      <c r="N452">
        <v>28.34</v>
      </c>
      <c r="O452" s="49">
        <v>45257</v>
      </c>
      <c r="P452" s="50">
        <v>169.12350000000001</v>
      </c>
    </row>
    <row r="453" spans="4:16" x14ac:dyDescent="0.2">
      <c r="D453">
        <v>100000252</v>
      </c>
      <c r="E453" s="49">
        <v>45006</v>
      </c>
      <c r="F453" t="s">
        <v>2100</v>
      </c>
      <c r="G453" t="s">
        <v>2101</v>
      </c>
      <c r="H453">
        <v>2</v>
      </c>
      <c r="I453">
        <v>30.51</v>
      </c>
      <c r="J453" s="50">
        <v>61.02</v>
      </c>
      <c r="K453" t="s">
        <v>1632</v>
      </c>
      <c r="M453" t="s">
        <v>1627</v>
      </c>
      <c r="N453">
        <v>16.100000000000001</v>
      </c>
      <c r="O453" s="49">
        <v>45008</v>
      </c>
      <c r="P453" s="50">
        <v>27.459000000000003</v>
      </c>
    </row>
    <row r="454" spans="4:16" x14ac:dyDescent="0.2">
      <c r="D454">
        <v>100000253</v>
      </c>
      <c r="E454" s="49">
        <v>45549</v>
      </c>
      <c r="F454" t="s">
        <v>2102</v>
      </c>
      <c r="G454" t="s">
        <v>1792</v>
      </c>
      <c r="H454">
        <v>3</v>
      </c>
      <c r="I454">
        <v>62.02</v>
      </c>
      <c r="J454" s="50">
        <v>186.06</v>
      </c>
      <c r="K454" t="s">
        <v>1618</v>
      </c>
      <c r="M454" t="s">
        <v>1624</v>
      </c>
      <c r="N454">
        <v>32.729999999999997</v>
      </c>
      <c r="O454" s="49">
        <v>45550</v>
      </c>
      <c r="P454" s="50">
        <v>83.727000000000004</v>
      </c>
    </row>
    <row r="455" spans="4:16" x14ac:dyDescent="0.2">
      <c r="D455">
        <v>100000253</v>
      </c>
      <c r="E455" s="49">
        <v>45426</v>
      </c>
      <c r="F455" t="s">
        <v>2102</v>
      </c>
      <c r="G455" t="s">
        <v>1827</v>
      </c>
      <c r="H455">
        <v>6</v>
      </c>
      <c r="I455">
        <v>68.37</v>
      </c>
      <c r="J455" s="50">
        <v>410.22</v>
      </c>
      <c r="K455" t="s">
        <v>1618</v>
      </c>
      <c r="M455" t="s">
        <v>1627</v>
      </c>
      <c r="N455">
        <v>36.08</v>
      </c>
      <c r="O455" s="49">
        <v>45427</v>
      </c>
      <c r="P455" s="50">
        <v>184.59900000000002</v>
      </c>
    </row>
    <row r="456" spans="4:16" x14ac:dyDescent="0.2">
      <c r="D456">
        <v>100000253</v>
      </c>
      <c r="E456" s="49">
        <v>45079</v>
      </c>
      <c r="F456" t="s">
        <v>2102</v>
      </c>
      <c r="G456" t="s">
        <v>2103</v>
      </c>
      <c r="H456">
        <v>9</v>
      </c>
      <c r="I456">
        <v>76.09</v>
      </c>
      <c r="J456" s="50">
        <v>684.81000000000006</v>
      </c>
      <c r="K456" t="s">
        <v>1618</v>
      </c>
      <c r="M456" t="s">
        <v>1619</v>
      </c>
      <c r="N456">
        <v>40.159999999999997</v>
      </c>
      <c r="O456" s="49">
        <v>45084</v>
      </c>
      <c r="P456" s="50">
        <v>308.16450000000003</v>
      </c>
    </row>
    <row r="457" spans="4:16" x14ac:dyDescent="0.2">
      <c r="D457">
        <v>100000253</v>
      </c>
      <c r="E457" s="49">
        <v>44203</v>
      </c>
      <c r="F457" t="s">
        <v>2102</v>
      </c>
      <c r="G457" t="s">
        <v>1953</v>
      </c>
      <c r="H457">
        <v>4</v>
      </c>
      <c r="I457">
        <v>68.290000000000006</v>
      </c>
      <c r="J457" s="50">
        <v>273.16000000000003</v>
      </c>
      <c r="K457" t="s">
        <v>1618</v>
      </c>
      <c r="M457" t="s">
        <v>1627</v>
      </c>
      <c r="N457">
        <v>36.04</v>
      </c>
      <c r="O457" s="49">
        <v>44205</v>
      </c>
      <c r="P457" s="50">
        <v>122.92200000000001</v>
      </c>
    </row>
    <row r="458" spans="4:16" x14ac:dyDescent="0.2">
      <c r="D458">
        <v>100000253</v>
      </c>
      <c r="E458" s="49">
        <v>44908</v>
      </c>
      <c r="F458" t="s">
        <v>2102</v>
      </c>
      <c r="G458" t="s">
        <v>1932</v>
      </c>
      <c r="H458">
        <v>3</v>
      </c>
      <c r="I458">
        <v>31.2</v>
      </c>
      <c r="J458" s="50">
        <v>93.6</v>
      </c>
      <c r="K458" t="s">
        <v>1618</v>
      </c>
      <c r="M458" t="s">
        <v>1624</v>
      </c>
      <c r="N458">
        <v>16.47</v>
      </c>
      <c r="O458" s="49">
        <v>44911</v>
      </c>
      <c r="P458" s="50">
        <v>42.12</v>
      </c>
    </row>
    <row r="459" spans="4:16" x14ac:dyDescent="0.2">
      <c r="D459">
        <v>100000254</v>
      </c>
      <c r="E459" s="49">
        <v>44881</v>
      </c>
      <c r="F459" t="s">
        <v>2104</v>
      </c>
      <c r="G459" t="s">
        <v>1631</v>
      </c>
      <c r="H459">
        <v>1</v>
      </c>
      <c r="I459">
        <v>117.43</v>
      </c>
      <c r="J459" s="50">
        <v>117.43</v>
      </c>
      <c r="K459" t="s">
        <v>1632</v>
      </c>
      <c r="M459" t="s">
        <v>1629</v>
      </c>
      <c r="N459">
        <v>61.98</v>
      </c>
      <c r="O459" s="49">
        <v>44886</v>
      </c>
      <c r="P459" s="50">
        <v>52.843500000000006</v>
      </c>
    </row>
    <row r="460" spans="4:16" x14ac:dyDescent="0.2">
      <c r="D460">
        <v>100000254</v>
      </c>
      <c r="E460" s="49">
        <v>45450</v>
      </c>
      <c r="F460" t="s">
        <v>2104</v>
      </c>
      <c r="G460" t="s">
        <v>1754</v>
      </c>
      <c r="H460">
        <v>9</v>
      </c>
      <c r="I460">
        <v>25.33</v>
      </c>
      <c r="J460" s="50">
        <v>227.97</v>
      </c>
      <c r="K460" t="s">
        <v>1632</v>
      </c>
      <c r="M460" t="s">
        <v>1621</v>
      </c>
      <c r="N460">
        <v>13.37</v>
      </c>
      <c r="O460" s="49">
        <v>45452</v>
      </c>
      <c r="P460" s="50">
        <v>102.5865</v>
      </c>
    </row>
    <row r="461" spans="4:16" x14ac:dyDescent="0.2">
      <c r="D461">
        <v>100000254</v>
      </c>
      <c r="E461" s="49">
        <v>45627</v>
      </c>
      <c r="F461" t="s">
        <v>2104</v>
      </c>
      <c r="G461" t="s">
        <v>1929</v>
      </c>
      <c r="H461">
        <v>6</v>
      </c>
      <c r="I461">
        <v>13.41</v>
      </c>
      <c r="J461" s="50">
        <v>80.460000000000008</v>
      </c>
      <c r="K461" t="s">
        <v>1632</v>
      </c>
      <c r="M461" t="s">
        <v>1627</v>
      </c>
      <c r="N461">
        <v>7.08</v>
      </c>
      <c r="O461" s="49">
        <v>45630</v>
      </c>
      <c r="P461" s="50">
        <v>36.207000000000008</v>
      </c>
    </row>
    <row r="462" spans="4:16" x14ac:dyDescent="0.2">
      <c r="D462">
        <v>100000257</v>
      </c>
      <c r="E462" s="49">
        <v>45418</v>
      </c>
      <c r="F462" t="s">
        <v>2105</v>
      </c>
      <c r="G462" t="s">
        <v>1955</v>
      </c>
      <c r="H462">
        <v>8</v>
      </c>
      <c r="I462">
        <v>58.57</v>
      </c>
      <c r="J462" s="50">
        <v>468.56</v>
      </c>
      <c r="K462" t="s">
        <v>1632</v>
      </c>
      <c r="M462" t="s">
        <v>1627</v>
      </c>
      <c r="N462">
        <v>30.91</v>
      </c>
      <c r="O462" s="49">
        <v>45422</v>
      </c>
      <c r="P462" s="50">
        <v>210.852</v>
      </c>
    </row>
    <row r="463" spans="4:16" x14ac:dyDescent="0.2">
      <c r="D463">
        <v>100000257</v>
      </c>
      <c r="E463" s="49">
        <v>44227</v>
      </c>
      <c r="F463" t="s">
        <v>2105</v>
      </c>
      <c r="G463" t="s">
        <v>1902</v>
      </c>
      <c r="H463">
        <v>6</v>
      </c>
      <c r="I463">
        <v>11.94</v>
      </c>
      <c r="J463" s="50">
        <v>71.64</v>
      </c>
      <c r="K463" t="s">
        <v>1632</v>
      </c>
      <c r="M463" t="s">
        <v>1619</v>
      </c>
      <c r="N463">
        <v>6.3</v>
      </c>
      <c r="O463" s="49">
        <v>44228</v>
      </c>
      <c r="P463" s="50">
        <v>32.238</v>
      </c>
    </row>
    <row r="464" spans="4:16" x14ac:dyDescent="0.2">
      <c r="D464">
        <v>100000258</v>
      </c>
      <c r="E464" s="49">
        <v>45466</v>
      </c>
      <c r="F464" t="s">
        <v>2106</v>
      </c>
      <c r="G464" t="s">
        <v>1762</v>
      </c>
      <c r="H464">
        <v>10</v>
      </c>
      <c r="I464">
        <v>89.06</v>
      </c>
      <c r="J464" s="50">
        <v>890.6</v>
      </c>
      <c r="K464" t="s">
        <v>1618</v>
      </c>
      <c r="L464" t="s">
        <v>2107</v>
      </c>
      <c r="M464" t="s">
        <v>1629</v>
      </c>
      <c r="N464">
        <v>47</v>
      </c>
      <c r="O464" s="49">
        <v>45471</v>
      </c>
      <c r="P464" s="50">
        <v>400.77000000000004</v>
      </c>
    </row>
    <row r="465" spans="4:16" x14ac:dyDescent="0.2">
      <c r="D465">
        <v>100000260</v>
      </c>
      <c r="E465" s="49">
        <v>44514</v>
      </c>
      <c r="F465" t="s">
        <v>2108</v>
      </c>
      <c r="G465" t="s">
        <v>1958</v>
      </c>
      <c r="H465">
        <v>7</v>
      </c>
      <c r="I465">
        <v>23.62</v>
      </c>
      <c r="J465" s="50">
        <v>165.34</v>
      </c>
      <c r="K465" t="s">
        <v>1618</v>
      </c>
      <c r="M465" t="s">
        <v>1624</v>
      </c>
      <c r="N465">
        <v>12.47</v>
      </c>
      <c r="O465" s="49">
        <v>44519</v>
      </c>
      <c r="P465" s="50">
        <v>74.403000000000006</v>
      </c>
    </row>
    <row r="466" spans="4:16" x14ac:dyDescent="0.2">
      <c r="D466">
        <v>100000260</v>
      </c>
      <c r="E466" s="49">
        <v>44230</v>
      </c>
      <c r="F466" t="s">
        <v>2108</v>
      </c>
      <c r="G466" t="s">
        <v>1812</v>
      </c>
      <c r="H466">
        <v>6</v>
      </c>
      <c r="I466">
        <v>103.45</v>
      </c>
      <c r="J466" s="50">
        <v>620.70000000000005</v>
      </c>
      <c r="K466" t="s">
        <v>1618</v>
      </c>
      <c r="M466" t="s">
        <v>1629</v>
      </c>
      <c r="N466">
        <v>54.6</v>
      </c>
      <c r="O466" s="49">
        <v>44235</v>
      </c>
      <c r="P466" s="50">
        <v>279.31500000000005</v>
      </c>
    </row>
    <row r="467" spans="4:16" x14ac:dyDescent="0.2">
      <c r="D467">
        <v>100000260</v>
      </c>
      <c r="E467" s="49">
        <v>44971</v>
      </c>
      <c r="F467" t="s">
        <v>2108</v>
      </c>
      <c r="G467" t="s">
        <v>1901</v>
      </c>
      <c r="H467">
        <v>3</v>
      </c>
      <c r="I467">
        <v>59.17</v>
      </c>
      <c r="J467" s="50">
        <v>177.51</v>
      </c>
      <c r="K467" t="s">
        <v>1618</v>
      </c>
      <c r="M467" t="s">
        <v>1624</v>
      </c>
      <c r="N467">
        <v>31.23</v>
      </c>
      <c r="O467" s="49">
        <v>44974</v>
      </c>
      <c r="P467" s="50">
        <v>79.879499999999993</v>
      </c>
    </row>
    <row r="468" spans="4:16" x14ac:dyDescent="0.2">
      <c r="D468">
        <v>100000261</v>
      </c>
      <c r="E468" s="49">
        <v>44217</v>
      </c>
      <c r="F468" t="s">
        <v>2109</v>
      </c>
      <c r="G468" t="s">
        <v>1664</v>
      </c>
      <c r="H468">
        <v>1</v>
      </c>
      <c r="I468">
        <v>104.35</v>
      </c>
      <c r="J468" s="50">
        <v>104.35</v>
      </c>
      <c r="K468" t="s">
        <v>1632</v>
      </c>
      <c r="M468" t="s">
        <v>1621</v>
      </c>
      <c r="N468">
        <v>55.07</v>
      </c>
      <c r="O468" s="49">
        <v>44221</v>
      </c>
      <c r="P468" s="50">
        <v>46.957499999999996</v>
      </c>
    </row>
    <row r="469" spans="4:16" x14ac:dyDescent="0.2">
      <c r="D469">
        <v>100000261</v>
      </c>
      <c r="E469" s="49">
        <v>44229</v>
      </c>
      <c r="F469" t="s">
        <v>2109</v>
      </c>
      <c r="G469" t="s">
        <v>1651</v>
      </c>
      <c r="H469">
        <v>10</v>
      </c>
      <c r="I469">
        <v>27.52</v>
      </c>
      <c r="J469" s="50">
        <v>275.2</v>
      </c>
      <c r="K469" t="s">
        <v>1632</v>
      </c>
      <c r="M469" t="s">
        <v>1624</v>
      </c>
      <c r="N469">
        <v>14.52</v>
      </c>
      <c r="O469" s="49">
        <v>44234</v>
      </c>
      <c r="P469" s="50">
        <v>123.84</v>
      </c>
    </row>
    <row r="470" spans="4:16" x14ac:dyDescent="0.2">
      <c r="D470">
        <v>100000261</v>
      </c>
      <c r="E470" s="49">
        <v>44808</v>
      </c>
      <c r="F470" t="s">
        <v>2109</v>
      </c>
      <c r="G470" t="s">
        <v>1743</v>
      </c>
      <c r="H470">
        <v>4</v>
      </c>
      <c r="I470">
        <v>29.97</v>
      </c>
      <c r="J470" s="50">
        <v>119.88</v>
      </c>
      <c r="K470" t="s">
        <v>1632</v>
      </c>
      <c r="M470" t="s">
        <v>1619</v>
      </c>
      <c r="N470">
        <v>15.82</v>
      </c>
      <c r="O470" s="49">
        <v>44811</v>
      </c>
      <c r="P470" s="50">
        <v>53.945999999999998</v>
      </c>
    </row>
    <row r="471" spans="4:16" x14ac:dyDescent="0.2">
      <c r="D471">
        <v>100000262</v>
      </c>
      <c r="E471" s="49">
        <v>44917</v>
      </c>
      <c r="F471" t="s">
        <v>2110</v>
      </c>
      <c r="G471" t="s">
        <v>2111</v>
      </c>
      <c r="H471">
        <v>4</v>
      </c>
      <c r="I471">
        <v>75.42</v>
      </c>
      <c r="J471" s="50">
        <v>301.68</v>
      </c>
      <c r="K471" t="s">
        <v>1618</v>
      </c>
      <c r="M471" t="s">
        <v>1624</v>
      </c>
      <c r="N471">
        <v>39.799999999999997</v>
      </c>
      <c r="O471" s="49">
        <v>44921</v>
      </c>
      <c r="P471" s="50">
        <v>135.756</v>
      </c>
    </row>
    <row r="472" spans="4:16" x14ac:dyDescent="0.2">
      <c r="D472">
        <v>100000262</v>
      </c>
      <c r="E472" s="49">
        <v>45057</v>
      </c>
      <c r="F472" t="s">
        <v>2110</v>
      </c>
      <c r="G472" t="s">
        <v>1666</v>
      </c>
      <c r="H472">
        <v>6</v>
      </c>
      <c r="I472">
        <v>11.79</v>
      </c>
      <c r="J472" s="50">
        <v>70.739999999999995</v>
      </c>
      <c r="K472" t="s">
        <v>1618</v>
      </c>
      <c r="M472" t="s">
        <v>1621</v>
      </c>
      <c r="N472">
        <v>6.22</v>
      </c>
      <c r="O472" s="49">
        <v>45059</v>
      </c>
      <c r="P472" s="50">
        <v>31.832999999999998</v>
      </c>
    </row>
    <row r="473" spans="4:16" x14ac:dyDescent="0.2">
      <c r="D473">
        <v>100000262</v>
      </c>
      <c r="E473" s="49">
        <v>44788</v>
      </c>
      <c r="F473" t="s">
        <v>2110</v>
      </c>
      <c r="G473" t="s">
        <v>1799</v>
      </c>
      <c r="H473">
        <v>4</v>
      </c>
      <c r="I473">
        <v>43.9</v>
      </c>
      <c r="J473" s="50">
        <v>175.6</v>
      </c>
      <c r="K473" t="s">
        <v>1618</v>
      </c>
      <c r="M473" t="s">
        <v>1619</v>
      </c>
      <c r="N473">
        <v>23.17</v>
      </c>
      <c r="O473" s="49">
        <v>44793</v>
      </c>
      <c r="P473" s="50">
        <v>79.02</v>
      </c>
    </row>
    <row r="474" spans="4:16" x14ac:dyDescent="0.2">
      <c r="D474">
        <v>100000262</v>
      </c>
      <c r="E474" s="49">
        <v>44678</v>
      </c>
      <c r="F474" t="s">
        <v>2110</v>
      </c>
      <c r="G474" t="s">
        <v>2112</v>
      </c>
      <c r="H474">
        <v>10</v>
      </c>
      <c r="I474">
        <v>22.5</v>
      </c>
      <c r="J474" s="50">
        <v>225</v>
      </c>
      <c r="K474" t="s">
        <v>1618</v>
      </c>
      <c r="M474" t="s">
        <v>1629</v>
      </c>
      <c r="N474">
        <v>11.87</v>
      </c>
      <c r="O474" s="49">
        <v>44682</v>
      </c>
      <c r="P474" s="50">
        <v>101.25</v>
      </c>
    </row>
    <row r="475" spans="4:16" x14ac:dyDescent="0.2">
      <c r="D475">
        <v>100000263</v>
      </c>
      <c r="E475" s="49">
        <v>44567</v>
      </c>
      <c r="F475" t="s">
        <v>2113</v>
      </c>
      <c r="G475" t="s">
        <v>1978</v>
      </c>
      <c r="H475">
        <v>3</v>
      </c>
      <c r="I475">
        <v>63.58</v>
      </c>
      <c r="J475" s="50">
        <v>190.74</v>
      </c>
      <c r="K475" t="s">
        <v>1632</v>
      </c>
      <c r="L475" t="s">
        <v>2114</v>
      </c>
      <c r="M475" t="s">
        <v>1621</v>
      </c>
      <c r="N475">
        <v>33.56</v>
      </c>
      <c r="O475" s="49">
        <v>44568</v>
      </c>
      <c r="P475" s="50">
        <v>85.833000000000013</v>
      </c>
    </row>
    <row r="476" spans="4:16" x14ac:dyDescent="0.2">
      <c r="D476">
        <v>100000264</v>
      </c>
      <c r="E476" s="49">
        <v>44413</v>
      </c>
      <c r="F476" t="s">
        <v>2115</v>
      </c>
      <c r="G476" t="s">
        <v>2116</v>
      </c>
      <c r="H476">
        <v>2</v>
      </c>
      <c r="I476">
        <v>107.67</v>
      </c>
      <c r="J476" s="50">
        <v>215.34</v>
      </c>
      <c r="K476" t="s">
        <v>1618</v>
      </c>
      <c r="L476" t="s">
        <v>2117</v>
      </c>
      <c r="M476" t="s">
        <v>1627</v>
      </c>
      <c r="N476">
        <v>56.83</v>
      </c>
      <c r="O476" s="49">
        <v>44415</v>
      </c>
      <c r="P476" s="50">
        <v>96.903000000000006</v>
      </c>
    </row>
    <row r="477" spans="4:16" x14ac:dyDescent="0.2">
      <c r="D477">
        <v>100000264</v>
      </c>
      <c r="E477" s="49">
        <v>45487</v>
      </c>
      <c r="F477" t="s">
        <v>2115</v>
      </c>
      <c r="G477" t="s">
        <v>1736</v>
      </c>
      <c r="H477">
        <v>3</v>
      </c>
      <c r="I477">
        <v>81.430000000000007</v>
      </c>
      <c r="J477" s="50">
        <v>244.29</v>
      </c>
      <c r="K477" t="s">
        <v>1618</v>
      </c>
      <c r="L477" t="s">
        <v>2117</v>
      </c>
      <c r="M477" t="s">
        <v>1621</v>
      </c>
      <c r="N477">
        <v>42.98</v>
      </c>
      <c r="O477" s="49">
        <v>45490</v>
      </c>
      <c r="P477" s="50">
        <v>109.93049999999999</v>
      </c>
    </row>
    <row r="478" spans="4:16" x14ac:dyDescent="0.2">
      <c r="D478">
        <v>100000265</v>
      </c>
      <c r="E478" s="49">
        <v>44968</v>
      </c>
      <c r="F478" t="s">
        <v>2118</v>
      </c>
      <c r="G478" t="s">
        <v>1737</v>
      </c>
      <c r="H478">
        <v>7</v>
      </c>
      <c r="I478">
        <v>89.97</v>
      </c>
      <c r="J478" s="50">
        <v>629.79</v>
      </c>
      <c r="K478" t="s">
        <v>1618</v>
      </c>
      <c r="L478" t="s">
        <v>2119</v>
      </c>
      <c r="M478" t="s">
        <v>1619</v>
      </c>
      <c r="N478">
        <v>47.48</v>
      </c>
      <c r="O478" s="49">
        <v>44971</v>
      </c>
      <c r="P478" s="50">
        <v>283.40550000000002</v>
      </c>
    </row>
    <row r="479" spans="4:16" x14ac:dyDescent="0.2">
      <c r="D479">
        <v>100000267</v>
      </c>
      <c r="E479" s="49">
        <v>44745</v>
      </c>
      <c r="F479" t="s">
        <v>2120</v>
      </c>
      <c r="G479" t="s">
        <v>2121</v>
      </c>
      <c r="H479">
        <v>7</v>
      </c>
      <c r="I479">
        <v>91.82</v>
      </c>
      <c r="J479" s="50">
        <v>642.74</v>
      </c>
      <c r="K479" t="s">
        <v>1618</v>
      </c>
      <c r="L479" t="s">
        <v>2122</v>
      </c>
      <c r="M479" t="s">
        <v>1627</v>
      </c>
      <c r="N479">
        <v>48.46</v>
      </c>
      <c r="O479" s="49">
        <v>44746</v>
      </c>
      <c r="P479" s="50">
        <v>289.233</v>
      </c>
    </row>
    <row r="480" spans="4:16" x14ac:dyDescent="0.2">
      <c r="D480">
        <v>100000269</v>
      </c>
      <c r="E480" s="49">
        <v>45625</v>
      </c>
      <c r="F480" t="s">
        <v>2123</v>
      </c>
      <c r="G480" t="s">
        <v>1748</v>
      </c>
      <c r="H480">
        <v>7</v>
      </c>
      <c r="I480">
        <v>51.21</v>
      </c>
      <c r="J480" s="50">
        <v>358.47</v>
      </c>
      <c r="K480" t="s">
        <v>1632</v>
      </c>
      <c r="M480" t="s">
        <v>1619</v>
      </c>
      <c r="N480">
        <v>27.03</v>
      </c>
      <c r="O480" s="49">
        <v>45630</v>
      </c>
      <c r="P480" s="50">
        <v>161.31150000000002</v>
      </c>
    </row>
    <row r="481" spans="4:16" x14ac:dyDescent="0.2">
      <c r="D481">
        <v>100000269</v>
      </c>
      <c r="E481" s="49">
        <v>45649</v>
      </c>
      <c r="F481" t="s">
        <v>2123</v>
      </c>
      <c r="G481" t="s">
        <v>2039</v>
      </c>
      <c r="H481">
        <v>5</v>
      </c>
      <c r="I481">
        <v>20.92</v>
      </c>
      <c r="J481" s="50">
        <v>104.6</v>
      </c>
      <c r="K481" t="s">
        <v>1632</v>
      </c>
      <c r="M481" t="s">
        <v>1619</v>
      </c>
      <c r="N481">
        <v>11.04</v>
      </c>
      <c r="O481" s="49">
        <v>45654</v>
      </c>
      <c r="P481" s="50">
        <v>47.07</v>
      </c>
    </row>
    <row r="482" spans="4:16" x14ac:dyDescent="0.2">
      <c r="D482">
        <v>100000273</v>
      </c>
      <c r="E482" s="49">
        <v>45480</v>
      </c>
      <c r="F482" t="s">
        <v>2124</v>
      </c>
      <c r="G482" t="s">
        <v>1820</v>
      </c>
      <c r="H482">
        <v>1</v>
      </c>
      <c r="I482">
        <v>70.709999999999994</v>
      </c>
      <c r="J482" s="50">
        <v>70.709999999999994</v>
      </c>
      <c r="K482" t="s">
        <v>1618</v>
      </c>
      <c r="M482" t="s">
        <v>1629</v>
      </c>
      <c r="N482">
        <v>37.32</v>
      </c>
      <c r="O482" s="49">
        <v>45481</v>
      </c>
      <c r="P482" s="50">
        <v>31.819499999999998</v>
      </c>
    </row>
    <row r="483" spans="4:16" x14ac:dyDescent="0.2">
      <c r="D483">
        <v>100000273</v>
      </c>
      <c r="E483" s="49">
        <v>44518</v>
      </c>
      <c r="F483" t="s">
        <v>2124</v>
      </c>
      <c r="G483" t="s">
        <v>2125</v>
      </c>
      <c r="H483">
        <v>4</v>
      </c>
      <c r="I483">
        <v>12.43</v>
      </c>
      <c r="J483" s="50">
        <v>49.72</v>
      </c>
      <c r="K483" t="s">
        <v>1618</v>
      </c>
      <c r="M483" t="s">
        <v>1621</v>
      </c>
      <c r="N483">
        <v>6.56</v>
      </c>
      <c r="O483" s="49">
        <v>44520</v>
      </c>
      <c r="P483" s="50">
        <v>22.373999999999999</v>
      </c>
    </row>
    <row r="484" spans="4:16" x14ac:dyDescent="0.2">
      <c r="D484">
        <v>100000277</v>
      </c>
      <c r="E484" s="49">
        <v>44476</v>
      </c>
      <c r="F484" t="s">
        <v>2126</v>
      </c>
      <c r="G484" t="s">
        <v>1890</v>
      </c>
      <c r="H484">
        <v>3</v>
      </c>
      <c r="I484">
        <v>91.33</v>
      </c>
      <c r="J484" s="50">
        <v>273.99</v>
      </c>
      <c r="K484" t="s">
        <v>1618</v>
      </c>
      <c r="L484" t="s">
        <v>2127</v>
      </c>
      <c r="M484" t="s">
        <v>1619</v>
      </c>
      <c r="N484">
        <v>48.2</v>
      </c>
      <c r="O484" s="49">
        <v>44481</v>
      </c>
      <c r="P484" s="50">
        <v>123.2955</v>
      </c>
    </row>
    <row r="485" spans="4:16" x14ac:dyDescent="0.2">
      <c r="D485">
        <v>100000278</v>
      </c>
      <c r="E485" s="49">
        <v>44943</v>
      </c>
      <c r="F485" t="s">
        <v>2128</v>
      </c>
      <c r="G485" t="s">
        <v>2039</v>
      </c>
      <c r="H485">
        <v>3</v>
      </c>
      <c r="I485">
        <v>13.98</v>
      </c>
      <c r="J485" s="50">
        <v>41.94</v>
      </c>
      <c r="K485" t="s">
        <v>1618</v>
      </c>
      <c r="M485" t="s">
        <v>1624</v>
      </c>
      <c r="N485">
        <v>7.38</v>
      </c>
      <c r="O485" s="49">
        <v>44946</v>
      </c>
      <c r="P485" s="50">
        <v>18.873000000000001</v>
      </c>
    </row>
    <row r="486" spans="4:16" x14ac:dyDescent="0.2">
      <c r="D486">
        <v>100000278</v>
      </c>
      <c r="E486" s="49">
        <v>44676</v>
      </c>
      <c r="F486" t="s">
        <v>2128</v>
      </c>
      <c r="G486" t="s">
        <v>1830</v>
      </c>
      <c r="H486">
        <v>5</v>
      </c>
      <c r="I486">
        <v>33.549999999999997</v>
      </c>
      <c r="J486" s="50">
        <v>167.75</v>
      </c>
      <c r="K486" t="s">
        <v>1618</v>
      </c>
      <c r="M486" t="s">
        <v>1629</v>
      </c>
      <c r="N486">
        <v>17.71</v>
      </c>
      <c r="O486" s="49">
        <v>44678</v>
      </c>
      <c r="P486" s="50">
        <v>75.487499999999997</v>
      </c>
    </row>
    <row r="487" spans="4:16" x14ac:dyDescent="0.2">
      <c r="D487">
        <v>100000279</v>
      </c>
      <c r="E487" s="49">
        <v>45013</v>
      </c>
      <c r="F487" t="s">
        <v>2129</v>
      </c>
      <c r="G487" t="s">
        <v>2130</v>
      </c>
      <c r="H487">
        <v>10</v>
      </c>
      <c r="I487">
        <v>57.38</v>
      </c>
      <c r="J487" s="50">
        <v>573.80000000000007</v>
      </c>
      <c r="K487" t="s">
        <v>1632</v>
      </c>
      <c r="L487" t="s">
        <v>2131</v>
      </c>
      <c r="M487" t="s">
        <v>1619</v>
      </c>
      <c r="N487">
        <v>30.28</v>
      </c>
      <c r="O487" s="49">
        <v>45014</v>
      </c>
      <c r="P487" s="50">
        <v>258.21000000000004</v>
      </c>
    </row>
    <row r="488" spans="4:16" x14ac:dyDescent="0.2">
      <c r="D488">
        <v>100000279</v>
      </c>
      <c r="E488" s="49">
        <v>45341</v>
      </c>
      <c r="F488" t="s">
        <v>2129</v>
      </c>
      <c r="G488" t="s">
        <v>1669</v>
      </c>
      <c r="H488">
        <v>8</v>
      </c>
      <c r="I488">
        <v>100.36</v>
      </c>
      <c r="J488" s="50">
        <v>802.88</v>
      </c>
      <c r="K488" t="s">
        <v>1632</v>
      </c>
      <c r="L488" t="s">
        <v>2131</v>
      </c>
      <c r="M488" t="s">
        <v>1619</v>
      </c>
      <c r="N488">
        <v>52.97</v>
      </c>
      <c r="O488" s="49">
        <v>45342</v>
      </c>
      <c r="P488" s="50">
        <v>361.29599999999999</v>
      </c>
    </row>
    <row r="489" spans="4:16" x14ac:dyDescent="0.2">
      <c r="D489">
        <v>100000279</v>
      </c>
      <c r="E489" s="49">
        <v>45251</v>
      </c>
      <c r="F489" t="s">
        <v>2129</v>
      </c>
      <c r="G489" t="s">
        <v>1722</v>
      </c>
      <c r="H489">
        <v>2</v>
      </c>
      <c r="I489">
        <v>42.25</v>
      </c>
      <c r="J489" s="50">
        <v>84.5</v>
      </c>
      <c r="K489" t="s">
        <v>1632</v>
      </c>
      <c r="L489" t="s">
        <v>2131</v>
      </c>
      <c r="M489" t="s">
        <v>1621</v>
      </c>
      <c r="N489">
        <v>22.3</v>
      </c>
      <c r="O489" s="49">
        <v>45252</v>
      </c>
      <c r="P489" s="50">
        <v>38.024999999999999</v>
      </c>
    </row>
    <row r="490" spans="4:16" x14ac:dyDescent="0.2">
      <c r="D490">
        <v>100000279</v>
      </c>
      <c r="E490" s="49">
        <v>45108</v>
      </c>
      <c r="F490" t="s">
        <v>2129</v>
      </c>
      <c r="G490" t="s">
        <v>2071</v>
      </c>
      <c r="H490">
        <v>2</v>
      </c>
      <c r="I490">
        <v>10.119999999999999</v>
      </c>
      <c r="J490" s="50">
        <v>20.239999999999998</v>
      </c>
      <c r="K490" t="s">
        <v>1632</v>
      </c>
      <c r="L490" t="s">
        <v>2131</v>
      </c>
      <c r="M490" t="s">
        <v>1621</v>
      </c>
      <c r="N490">
        <v>5.34</v>
      </c>
      <c r="O490" s="49">
        <v>45109</v>
      </c>
      <c r="P490" s="50">
        <v>9.1079999999999988</v>
      </c>
    </row>
    <row r="491" spans="4:16" x14ac:dyDescent="0.2">
      <c r="D491">
        <v>100000279</v>
      </c>
      <c r="E491" s="49">
        <v>44684</v>
      </c>
      <c r="F491" t="s">
        <v>2129</v>
      </c>
      <c r="G491" t="s">
        <v>1897</v>
      </c>
      <c r="H491">
        <v>7</v>
      </c>
      <c r="I491">
        <v>62.87</v>
      </c>
      <c r="J491" s="50">
        <v>440.09</v>
      </c>
      <c r="K491" t="s">
        <v>1632</v>
      </c>
      <c r="L491" t="s">
        <v>2131</v>
      </c>
      <c r="M491" t="s">
        <v>1619</v>
      </c>
      <c r="N491">
        <v>33.18</v>
      </c>
      <c r="O491" s="49">
        <v>44688</v>
      </c>
      <c r="P491" s="50">
        <v>198.04049999999998</v>
      </c>
    </row>
    <row r="492" spans="4:16" x14ac:dyDescent="0.2">
      <c r="D492">
        <v>100000279</v>
      </c>
      <c r="E492" s="49">
        <v>45391</v>
      </c>
      <c r="F492" t="s">
        <v>2129</v>
      </c>
      <c r="G492" t="s">
        <v>2132</v>
      </c>
      <c r="H492">
        <v>2</v>
      </c>
      <c r="I492">
        <v>36.479999999999997</v>
      </c>
      <c r="J492" s="50">
        <v>72.959999999999994</v>
      </c>
      <c r="K492" t="s">
        <v>1632</v>
      </c>
      <c r="L492" t="s">
        <v>2131</v>
      </c>
      <c r="M492" t="s">
        <v>1619</v>
      </c>
      <c r="N492">
        <v>19.25</v>
      </c>
      <c r="O492" s="49">
        <v>45392</v>
      </c>
      <c r="P492" s="50">
        <v>32.832000000000001</v>
      </c>
    </row>
    <row r="493" spans="4:16" x14ac:dyDescent="0.2">
      <c r="D493">
        <v>100000281</v>
      </c>
      <c r="E493" s="49">
        <v>44258</v>
      </c>
      <c r="F493" t="s">
        <v>2133</v>
      </c>
      <c r="G493" t="s">
        <v>2134</v>
      </c>
      <c r="H493">
        <v>10</v>
      </c>
      <c r="I493">
        <v>27.99</v>
      </c>
      <c r="J493" s="50">
        <v>279.89999999999998</v>
      </c>
      <c r="K493" t="s">
        <v>1632</v>
      </c>
      <c r="M493" t="s">
        <v>1629</v>
      </c>
      <c r="N493">
        <v>14.77</v>
      </c>
      <c r="O493" s="49">
        <v>44263</v>
      </c>
      <c r="P493" s="50">
        <v>125.955</v>
      </c>
    </row>
    <row r="494" spans="4:16" x14ac:dyDescent="0.2">
      <c r="D494">
        <v>100000281</v>
      </c>
      <c r="E494" s="49">
        <v>44602</v>
      </c>
      <c r="F494" t="s">
        <v>2133</v>
      </c>
      <c r="G494" t="s">
        <v>1789</v>
      </c>
      <c r="H494">
        <v>7</v>
      </c>
      <c r="I494">
        <v>24.23</v>
      </c>
      <c r="J494" s="50">
        <v>169.61</v>
      </c>
      <c r="K494" t="s">
        <v>1632</v>
      </c>
      <c r="M494" t="s">
        <v>1629</v>
      </c>
      <c r="N494">
        <v>12.79</v>
      </c>
      <c r="O494" s="49">
        <v>44606</v>
      </c>
      <c r="P494" s="50">
        <v>76.324500000000015</v>
      </c>
    </row>
    <row r="495" spans="4:16" x14ac:dyDescent="0.2">
      <c r="D495">
        <v>100000283</v>
      </c>
      <c r="E495" s="49">
        <v>44529</v>
      </c>
      <c r="F495" t="s">
        <v>2135</v>
      </c>
      <c r="G495" t="s">
        <v>1666</v>
      </c>
      <c r="H495">
        <v>9</v>
      </c>
      <c r="I495">
        <v>104.51</v>
      </c>
      <c r="J495" s="50">
        <v>940.59</v>
      </c>
      <c r="K495" t="s">
        <v>1618</v>
      </c>
      <c r="M495" t="s">
        <v>1629</v>
      </c>
      <c r="N495">
        <v>55.16</v>
      </c>
      <c r="O495" s="49">
        <v>44530</v>
      </c>
      <c r="P495" s="50">
        <v>423.26550000000003</v>
      </c>
    </row>
    <row r="496" spans="4:16" x14ac:dyDescent="0.2">
      <c r="D496">
        <v>100000283</v>
      </c>
      <c r="E496" s="49">
        <v>44451</v>
      </c>
      <c r="F496" t="s">
        <v>2135</v>
      </c>
      <c r="G496" t="s">
        <v>2136</v>
      </c>
      <c r="H496">
        <v>2</v>
      </c>
      <c r="I496">
        <v>74.88</v>
      </c>
      <c r="J496" s="50">
        <v>149.76</v>
      </c>
      <c r="K496" t="s">
        <v>1618</v>
      </c>
      <c r="M496" t="s">
        <v>1627</v>
      </c>
      <c r="N496">
        <v>39.520000000000003</v>
      </c>
      <c r="O496" s="49">
        <v>44456</v>
      </c>
      <c r="P496" s="50">
        <v>67.391999999999996</v>
      </c>
    </row>
    <row r="497" spans="4:16" x14ac:dyDescent="0.2">
      <c r="D497">
        <v>100000285</v>
      </c>
      <c r="E497" s="49">
        <v>45580</v>
      </c>
      <c r="F497" t="s">
        <v>2137</v>
      </c>
      <c r="G497" t="s">
        <v>2138</v>
      </c>
      <c r="H497">
        <v>4</v>
      </c>
      <c r="I497">
        <v>89.08</v>
      </c>
      <c r="J497" s="50">
        <v>356.32</v>
      </c>
      <c r="K497" t="s">
        <v>1618</v>
      </c>
      <c r="M497" t="s">
        <v>1624</v>
      </c>
      <c r="N497">
        <v>47.01</v>
      </c>
      <c r="O497" s="49">
        <v>45585</v>
      </c>
      <c r="P497" s="50">
        <v>160.34399999999999</v>
      </c>
    </row>
    <row r="498" spans="4:16" x14ac:dyDescent="0.2">
      <c r="D498">
        <v>100000287</v>
      </c>
      <c r="E498" s="49">
        <v>45611</v>
      </c>
      <c r="F498" t="s">
        <v>2139</v>
      </c>
      <c r="G498" t="s">
        <v>1901</v>
      </c>
      <c r="H498">
        <v>7</v>
      </c>
      <c r="I498">
        <v>10.81</v>
      </c>
      <c r="J498" s="50">
        <v>75.67</v>
      </c>
      <c r="K498" t="s">
        <v>1632</v>
      </c>
      <c r="L498" t="s">
        <v>2140</v>
      </c>
      <c r="M498" t="s">
        <v>1624</v>
      </c>
      <c r="N498">
        <v>5.71</v>
      </c>
      <c r="O498" s="49">
        <v>45615</v>
      </c>
      <c r="P498" s="50">
        <v>34.051500000000004</v>
      </c>
    </row>
    <row r="499" spans="4:16" x14ac:dyDescent="0.2">
      <c r="D499">
        <v>100000288</v>
      </c>
      <c r="E499" s="49">
        <v>45394</v>
      </c>
      <c r="F499" t="s">
        <v>2141</v>
      </c>
      <c r="G499" t="s">
        <v>2142</v>
      </c>
      <c r="H499">
        <v>3</v>
      </c>
      <c r="I499">
        <v>84.67</v>
      </c>
      <c r="J499" s="50">
        <v>254.01</v>
      </c>
      <c r="K499" t="s">
        <v>1618</v>
      </c>
      <c r="M499" t="s">
        <v>1627</v>
      </c>
      <c r="N499">
        <v>44.69</v>
      </c>
      <c r="O499" s="49">
        <v>45397</v>
      </c>
      <c r="P499" s="50">
        <v>114.3045</v>
      </c>
    </row>
    <row r="500" spans="4:16" x14ac:dyDescent="0.2">
      <c r="D500">
        <v>100000290</v>
      </c>
      <c r="E500" s="49">
        <v>45200</v>
      </c>
      <c r="F500" t="s">
        <v>2143</v>
      </c>
      <c r="G500" t="s">
        <v>1890</v>
      </c>
      <c r="H500">
        <v>10</v>
      </c>
      <c r="I500">
        <v>16.75</v>
      </c>
      <c r="J500" s="50">
        <v>167.5</v>
      </c>
      <c r="K500" t="s">
        <v>1632</v>
      </c>
      <c r="M500" t="s">
        <v>1627</v>
      </c>
      <c r="N500">
        <v>8.84</v>
      </c>
      <c r="O500" s="49">
        <v>45202</v>
      </c>
      <c r="P500" s="50">
        <v>75.375</v>
      </c>
    </row>
    <row r="501" spans="4:16" x14ac:dyDescent="0.2">
      <c r="D501">
        <v>100000291</v>
      </c>
      <c r="E501" s="49">
        <v>45523</v>
      </c>
      <c r="F501" t="s">
        <v>2144</v>
      </c>
      <c r="G501" t="s">
        <v>2145</v>
      </c>
      <c r="H501">
        <v>5</v>
      </c>
      <c r="I501">
        <v>93.44</v>
      </c>
      <c r="J501" s="50">
        <v>467.2</v>
      </c>
      <c r="K501" t="s">
        <v>1632</v>
      </c>
      <c r="M501" t="s">
        <v>1624</v>
      </c>
      <c r="N501">
        <v>49.32</v>
      </c>
      <c r="O501" s="49">
        <v>45527</v>
      </c>
      <c r="P501" s="50">
        <v>210.24</v>
      </c>
    </row>
    <row r="502" spans="4:16" x14ac:dyDescent="0.2">
      <c r="D502">
        <v>100000291</v>
      </c>
      <c r="E502" s="49">
        <v>45478</v>
      </c>
      <c r="F502" t="s">
        <v>2144</v>
      </c>
      <c r="G502" t="s">
        <v>1842</v>
      </c>
      <c r="H502">
        <v>9</v>
      </c>
      <c r="I502">
        <v>43.79</v>
      </c>
      <c r="J502" s="50">
        <v>394.11</v>
      </c>
      <c r="K502" t="s">
        <v>1632</v>
      </c>
      <c r="M502" t="s">
        <v>1619</v>
      </c>
      <c r="N502">
        <v>23.11</v>
      </c>
      <c r="O502" s="49">
        <v>45483</v>
      </c>
      <c r="P502" s="50">
        <v>177.34950000000001</v>
      </c>
    </row>
    <row r="503" spans="4:16" x14ac:dyDescent="0.2">
      <c r="D503">
        <v>100000293</v>
      </c>
      <c r="E503" s="49">
        <v>44333</v>
      </c>
      <c r="F503" t="s">
        <v>2146</v>
      </c>
      <c r="G503" t="s">
        <v>2147</v>
      </c>
      <c r="H503">
        <v>7</v>
      </c>
      <c r="I503">
        <v>30.03</v>
      </c>
      <c r="J503" s="50">
        <v>210.21</v>
      </c>
      <c r="K503" t="s">
        <v>1618</v>
      </c>
      <c r="M503" t="s">
        <v>1624</v>
      </c>
      <c r="N503">
        <v>15.85</v>
      </c>
      <c r="O503" s="49">
        <v>44337</v>
      </c>
      <c r="P503" s="50">
        <v>94.594500000000011</v>
      </c>
    </row>
    <row r="504" spans="4:16" x14ac:dyDescent="0.2">
      <c r="D504">
        <v>100000295</v>
      </c>
      <c r="E504" s="49">
        <v>44475</v>
      </c>
      <c r="F504" t="s">
        <v>2148</v>
      </c>
      <c r="G504" t="s">
        <v>1758</v>
      </c>
      <c r="H504">
        <v>4</v>
      </c>
      <c r="I504">
        <v>112.18</v>
      </c>
      <c r="J504" s="50">
        <v>448.72</v>
      </c>
      <c r="K504" t="s">
        <v>1618</v>
      </c>
      <c r="L504" t="s">
        <v>2149</v>
      </c>
      <c r="M504" t="s">
        <v>1624</v>
      </c>
      <c r="N504">
        <v>59.21</v>
      </c>
      <c r="O504" s="49">
        <v>44480</v>
      </c>
      <c r="P504" s="50">
        <v>201.92400000000001</v>
      </c>
    </row>
    <row r="505" spans="4:16" x14ac:dyDescent="0.2">
      <c r="D505">
        <v>100000295</v>
      </c>
      <c r="E505" s="49">
        <v>44265</v>
      </c>
      <c r="F505" t="s">
        <v>2148</v>
      </c>
      <c r="G505" t="s">
        <v>2150</v>
      </c>
      <c r="H505">
        <v>4</v>
      </c>
      <c r="I505">
        <v>85.51</v>
      </c>
      <c r="J505" s="50">
        <v>342.04</v>
      </c>
      <c r="K505" t="s">
        <v>1618</v>
      </c>
      <c r="L505" t="s">
        <v>2149</v>
      </c>
      <c r="M505" t="s">
        <v>1627</v>
      </c>
      <c r="N505">
        <v>45.13</v>
      </c>
      <c r="O505" s="49">
        <v>44267</v>
      </c>
      <c r="P505" s="50">
        <v>153.91800000000001</v>
      </c>
    </row>
    <row r="506" spans="4:16" x14ac:dyDescent="0.2">
      <c r="D506">
        <v>100000295</v>
      </c>
      <c r="E506" s="49">
        <v>45049</v>
      </c>
      <c r="F506" t="s">
        <v>2148</v>
      </c>
      <c r="G506" t="s">
        <v>2151</v>
      </c>
      <c r="H506">
        <v>6</v>
      </c>
      <c r="I506">
        <v>33.4</v>
      </c>
      <c r="J506" s="50">
        <v>200.4</v>
      </c>
      <c r="K506" t="s">
        <v>1618</v>
      </c>
      <c r="L506" t="s">
        <v>2149</v>
      </c>
      <c r="M506" t="s">
        <v>1627</v>
      </c>
      <c r="N506">
        <v>17.63</v>
      </c>
      <c r="O506" s="49">
        <v>45053</v>
      </c>
      <c r="P506" s="50">
        <v>90.18</v>
      </c>
    </row>
    <row r="507" spans="4:16" x14ac:dyDescent="0.2">
      <c r="D507">
        <v>100000296</v>
      </c>
      <c r="E507" s="49">
        <v>45042</v>
      </c>
      <c r="F507" t="s">
        <v>2152</v>
      </c>
      <c r="G507" t="s">
        <v>1973</v>
      </c>
      <c r="H507">
        <v>2</v>
      </c>
      <c r="I507">
        <v>115.85</v>
      </c>
      <c r="J507" s="50">
        <v>231.7</v>
      </c>
      <c r="K507" t="s">
        <v>1618</v>
      </c>
      <c r="M507" t="s">
        <v>1629</v>
      </c>
      <c r="N507">
        <v>61.14</v>
      </c>
      <c r="O507" s="49">
        <v>45044</v>
      </c>
      <c r="P507" s="50">
        <v>104.265</v>
      </c>
    </row>
    <row r="508" spans="4:16" x14ac:dyDescent="0.2">
      <c r="D508">
        <v>100000296</v>
      </c>
      <c r="E508" s="49">
        <v>44347</v>
      </c>
      <c r="F508" t="s">
        <v>2152</v>
      </c>
      <c r="G508" t="s">
        <v>1754</v>
      </c>
      <c r="H508">
        <v>10</v>
      </c>
      <c r="I508">
        <v>97.81</v>
      </c>
      <c r="J508" s="50">
        <v>978.1</v>
      </c>
      <c r="K508" t="s">
        <v>1618</v>
      </c>
      <c r="M508" t="s">
        <v>1627</v>
      </c>
      <c r="N508">
        <v>51.62</v>
      </c>
      <c r="O508" s="49">
        <v>44351</v>
      </c>
      <c r="P508" s="50">
        <v>440.14500000000004</v>
      </c>
    </row>
    <row r="509" spans="4:16" x14ac:dyDescent="0.2">
      <c r="D509">
        <v>100000297</v>
      </c>
      <c r="E509" s="49">
        <v>44238</v>
      </c>
      <c r="F509" t="s">
        <v>2153</v>
      </c>
      <c r="G509" t="s">
        <v>1913</v>
      </c>
      <c r="H509">
        <v>2</v>
      </c>
      <c r="I509">
        <v>28.08</v>
      </c>
      <c r="J509" s="50">
        <v>56.16</v>
      </c>
      <c r="K509" t="s">
        <v>1618</v>
      </c>
      <c r="M509" t="s">
        <v>1621</v>
      </c>
      <c r="N509">
        <v>14.82</v>
      </c>
      <c r="O509" s="49">
        <v>44243</v>
      </c>
      <c r="P509" s="50">
        <v>25.271999999999998</v>
      </c>
    </row>
    <row r="510" spans="4:16" x14ac:dyDescent="0.2">
      <c r="D510">
        <v>100000297</v>
      </c>
      <c r="E510" s="49">
        <v>44682</v>
      </c>
      <c r="F510" t="s">
        <v>2153</v>
      </c>
      <c r="G510" t="s">
        <v>1864</v>
      </c>
      <c r="H510">
        <v>5</v>
      </c>
      <c r="I510">
        <v>102.33</v>
      </c>
      <c r="J510" s="50">
        <v>511.65</v>
      </c>
      <c r="K510" t="s">
        <v>1618</v>
      </c>
      <c r="M510" t="s">
        <v>1629</v>
      </c>
      <c r="N510">
        <v>54.01</v>
      </c>
      <c r="O510" s="49">
        <v>44683</v>
      </c>
      <c r="P510" s="50">
        <v>230.24250000000001</v>
      </c>
    </row>
    <row r="511" spans="4:16" x14ac:dyDescent="0.2">
      <c r="D511">
        <v>100000297</v>
      </c>
      <c r="E511" s="49">
        <v>45141</v>
      </c>
      <c r="F511" t="s">
        <v>2153</v>
      </c>
      <c r="G511" t="s">
        <v>1646</v>
      </c>
      <c r="H511">
        <v>3</v>
      </c>
      <c r="I511">
        <v>42.36</v>
      </c>
      <c r="J511" s="50">
        <v>127.08</v>
      </c>
      <c r="K511" t="s">
        <v>1618</v>
      </c>
      <c r="M511" t="s">
        <v>1629</v>
      </c>
      <c r="N511">
        <v>22.36</v>
      </c>
      <c r="O511" s="49">
        <v>45145</v>
      </c>
      <c r="P511" s="50">
        <v>57.186</v>
      </c>
    </row>
    <row r="512" spans="4:16" x14ac:dyDescent="0.2">
      <c r="D512">
        <v>100000297</v>
      </c>
      <c r="E512" s="49">
        <v>44476</v>
      </c>
      <c r="F512" t="s">
        <v>2153</v>
      </c>
      <c r="G512" t="s">
        <v>2057</v>
      </c>
      <c r="H512">
        <v>1</v>
      </c>
      <c r="I512">
        <v>70.95</v>
      </c>
      <c r="J512" s="50">
        <v>70.95</v>
      </c>
      <c r="K512" t="s">
        <v>1618</v>
      </c>
      <c r="M512" t="s">
        <v>1619</v>
      </c>
      <c r="N512">
        <v>37.450000000000003</v>
      </c>
      <c r="O512" s="49">
        <v>44480</v>
      </c>
      <c r="P512" s="50">
        <v>31.927500000000002</v>
      </c>
    </row>
    <row r="513" spans="4:16" x14ac:dyDescent="0.2">
      <c r="D513">
        <v>100000297</v>
      </c>
      <c r="E513" s="49">
        <v>44744</v>
      </c>
      <c r="F513" t="s">
        <v>2153</v>
      </c>
      <c r="G513" t="s">
        <v>1712</v>
      </c>
      <c r="H513">
        <v>8</v>
      </c>
      <c r="I513">
        <v>40.46</v>
      </c>
      <c r="J513" s="50">
        <v>323.68</v>
      </c>
      <c r="K513" t="s">
        <v>1618</v>
      </c>
      <c r="M513" t="s">
        <v>1619</v>
      </c>
      <c r="N513">
        <v>21.35</v>
      </c>
      <c r="O513" s="49">
        <v>44745</v>
      </c>
      <c r="P513" s="50">
        <v>145.65600000000001</v>
      </c>
    </row>
    <row r="514" spans="4:16" x14ac:dyDescent="0.2">
      <c r="D514">
        <v>100000298</v>
      </c>
      <c r="E514" s="49">
        <v>44447</v>
      </c>
      <c r="F514" t="s">
        <v>2154</v>
      </c>
      <c r="G514" t="s">
        <v>2155</v>
      </c>
      <c r="H514">
        <v>8</v>
      </c>
      <c r="I514">
        <v>55.43</v>
      </c>
      <c r="J514" s="50">
        <v>443.44</v>
      </c>
      <c r="K514" t="s">
        <v>1618</v>
      </c>
      <c r="L514" t="s">
        <v>2156</v>
      </c>
      <c r="M514" t="s">
        <v>1624</v>
      </c>
      <c r="N514">
        <v>29.25</v>
      </c>
      <c r="O514" s="49">
        <v>44451</v>
      </c>
      <c r="P514" s="50">
        <v>199.548</v>
      </c>
    </row>
    <row r="515" spans="4:16" x14ac:dyDescent="0.2">
      <c r="D515">
        <v>100000299</v>
      </c>
      <c r="E515" s="49">
        <v>45219</v>
      </c>
      <c r="F515" t="s">
        <v>2157</v>
      </c>
      <c r="G515" t="s">
        <v>1710</v>
      </c>
      <c r="H515">
        <v>6</v>
      </c>
      <c r="I515">
        <v>104.86</v>
      </c>
      <c r="J515" s="50">
        <v>629.16</v>
      </c>
      <c r="K515" t="s">
        <v>1618</v>
      </c>
      <c r="M515" t="s">
        <v>1627</v>
      </c>
      <c r="N515">
        <v>55.34</v>
      </c>
      <c r="O515" s="49">
        <v>45222</v>
      </c>
      <c r="P515" s="50">
        <v>283.12200000000001</v>
      </c>
    </row>
    <row r="516" spans="4:16" x14ac:dyDescent="0.2">
      <c r="D516">
        <v>100000299</v>
      </c>
      <c r="E516" s="49">
        <v>45488</v>
      </c>
      <c r="F516" t="s">
        <v>2157</v>
      </c>
      <c r="G516" t="s">
        <v>2158</v>
      </c>
      <c r="H516">
        <v>2</v>
      </c>
      <c r="I516">
        <v>108.72</v>
      </c>
      <c r="J516" s="50">
        <v>217.44</v>
      </c>
      <c r="K516" t="s">
        <v>1618</v>
      </c>
      <c r="M516" t="s">
        <v>1621</v>
      </c>
      <c r="N516">
        <v>57.38</v>
      </c>
      <c r="O516" s="49">
        <v>45492</v>
      </c>
      <c r="P516" s="50">
        <v>97.847999999999999</v>
      </c>
    </row>
    <row r="517" spans="4:16" x14ac:dyDescent="0.2">
      <c r="D517">
        <v>100000299</v>
      </c>
      <c r="E517" s="49">
        <v>44772</v>
      </c>
      <c r="F517" t="s">
        <v>2157</v>
      </c>
      <c r="G517" t="s">
        <v>2159</v>
      </c>
      <c r="H517">
        <v>1</v>
      </c>
      <c r="I517">
        <v>81.150000000000006</v>
      </c>
      <c r="J517" s="50">
        <v>81.150000000000006</v>
      </c>
      <c r="K517" t="s">
        <v>1618</v>
      </c>
      <c r="M517" t="s">
        <v>1624</v>
      </c>
      <c r="N517">
        <v>42.83</v>
      </c>
      <c r="O517" s="49">
        <v>44774</v>
      </c>
      <c r="P517" s="50">
        <v>36.517500000000005</v>
      </c>
    </row>
    <row r="518" spans="4:16" x14ac:dyDescent="0.2">
      <c r="D518">
        <v>100000300</v>
      </c>
      <c r="E518" s="49">
        <v>45187</v>
      </c>
      <c r="F518" t="s">
        <v>2160</v>
      </c>
      <c r="G518" t="s">
        <v>2161</v>
      </c>
      <c r="H518">
        <v>8</v>
      </c>
      <c r="I518">
        <v>23.7</v>
      </c>
      <c r="J518" s="50">
        <v>189.6</v>
      </c>
      <c r="K518" t="s">
        <v>1632</v>
      </c>
      <c r="M518" t="s">
        <v>1624</v>
      </c>
      <c r="N518">
        <v>12.51</v>
      </c>
      <c r="O518" s="49">
        <v>45189</v>
      </c>
      <c r="P518" s="50">
        <v>85.32</v>
      </c>
    </row>
    <row r="519" spans="4:16" x14ac:dyDescent="0.2">
      <c r="D519">
        <v>100000300</v>
      </c>
      <c r="E519" s="49">
        <v>44630</v>
      </c>
      <c r="F519" t="s">
        <v>2160</v>
      </c>
      <c r="G519" t="s">
        <v>1717</v>
      </c>
      <c r="H519">
        <v>6</v>
      </c>
      <c r="I519">
        <v>97.03</v>
      </c>
      <c r="J519" s="50">
        <v>582.18000000000006</v>
      </c>
      <c r="K519" t="s">
        <v>1632</v>
      </c>
      <c r="M519" t="s">
        <v>1627</v>
      </c>
      <c r="N519">
        <v>51.21</v>
      </c>
      <c r="O519" s="49">
        <v>44631</v>
      </c>
      <c r="P519" s="50">
        <v>261.98100000000005</v>
      </c>
    </row>
    <row r="520" spans="4:16" x14ac:dyDescent="0.2">
      <c r="D520">
        <v>100000302</v>
      </c>
      <c r="E520" s="49">
        <v>45112</v>
      </c>
      <c r="F520" t="s">
        <v>2162</v>
      </c>
      <c r="G520" t="s">
        <v>2163</v>
      </c>
      <c r="H520">
        <v>7</v>
      </c>
      <c r="I520">
        <v>53.88</v>
      </c>
      <c r="J520" s="50">
        <v>377.16</v>
      </c>
      <c r="K520" t="s">
        <v>1632</v>
      </c>
      <c r="L520" t="s">
        <v>2164</v>
      </c>
      <c r="M520" t="s">
        <v>1624</v>
      </c>
      <c r="N520">
        <v>28.44</v>
      </c>
      <c r="O520" s="49">
        <v>45116</v>
      </c>
      <c r="P520" s="50">
        <v>169.72200000000001</v>
      </c>
    </row>
    <row r="521" spans="4:16" x14ac:dyDescent="0.2">
      <c r="D521">
        <v>100000302</v>
      </c>
      <c r="E521" s="49">
        <v>45451</v>
      </c>
      <c r="F521" t="s">
        <v>2162</v>
      </c>
      <c r="G521" t="s">
        <v>1631</v>
      </c>
      <c r="H521">
        <v>7</v>
      </c>
      <c r="I521">
        <v>89.92</v>
      </c>
      <c r="J521" s="50">
        <v>629.44000000000005</v>
      </c>
      <c r="K521" t="s">
        <v>1632</v>
      </c>
      <c r="L521" t="s">
        <v>2164</v>
      </c>
      <c r="M521" t="s">
        <v>1621</v>
      </c>
      <c r="N521">
        <v>47.46</v>
      </c>
      <c r="O521" s="49">
        <v>45453</v>
      </c>
      <c r="P521" s="50">
        <v>283.24800000000005</v>
      </c>
    </row>
    <row r="522" spans="4:16" x14ac:dyDescent="0.2">
      <c r="D522">
        <v>100000303</v>
      </c>
      <c r="E522" s="49">
        <v>44276</v>
      </c>
      <c r="F522" t="s">
        <v>2165</v>
      </c>
      <c r="G522" t="s">
        <v>2016</v>
      </c>
      <c r="H522">
        <v>5</v>
      </c>
      <c r="I522">
        <v>107.92</v>
      </c>
      <c r="J522" s="50">
        <v>539.6</v>
      </c>
      <c r="K522" t="s">
        <v>1632</v>
      </c>
      <c r="L522" t="s">
        <v>2166</v>
      </c>
      <c r="M522" t="s">
        <v>1629</v>
      </c>
      <c r="N522">
        <v>56.96</v>
      </c>
      <c r="O522" s="49">
        <v>44278</v>
      </c>
      <c r="P522" s="50">
        <v>242.82000000000002</v>
      </c>
    </row>
    <row r="523" spans="4:16" x14ac:dyDescent="0.2">
      <c r="D523">
        <v>100000305</v>
      </c>
      <c r="E523" s="49">
        <v>44287</v>
      </c>
      <c r="F523" t="s">
        <v>2167</v>
      </c>
      <c r="G523" t="s">
        <v>2168</v>
      </c>
      <c r="H523">
        <v>3</v>
      </c>
      <c r="I523">
        <v>30.63</v>
      </c>
      <c r="J523" s="50">
        <v>91.89</v>
      </c>
      <c r="K523" t="s">
        <v>1618</v>
      </c>
      <c r="M523" t="s">
        <v>1624</v>
      </c>
      <c r="N523">
        <v>16.170000000000002</v>
      </c>
      <c r="O523" s="49">
        <v>44290</v>
      </c>
      <c r="P523" s="50">
        <v>41.350500000000004</v>
      </c>
    </row>
    <row r="524" spans="4:16" x14ac:dyDescent="0.2">
      <c r="D524">
        <v>100000306</v>
      </c>
      <c r="E524" s="49">
        <v>45287</v>
      </c>
      <c r="F524" t="s">
        <v>2169</v>
      </c>
      <c r="G524" t="s">
        <v>1634</v>
      </c>
      <c r="H524">
        <v>1</v>
      </c>
      <c r="I524">
        <v>54.31</v>
      </c>
      <c r="J524" s="50">
        <v>54.31</v>
      </c>
      <c r="K524" t="s">
        <v>1618</v>
      </c>
      <c r="M524" t="s">
        <v>1629</v>
      </c>
      <c r="N524">
        <v>28.66</v>
      </c>
      <c r="O524" s="49">
        <v>45291</v>
      </c>
      <c r="P524" s="50">
        <v>24.439500000000002</v>
      </c>
    </row>
    <row r="525" spans="4:16" x14ac:dyDescent="0.2">
      <c r="D525">
        <v>100000308</v>
      </c>
      <c r="E525" s="49">
        <v>44772</v>
      </c>
      <c r="F525" t="s">
        <v>2170</v>
      </c>
      <c r="G525" t="s">
        <v>1842</v>
      </c>
      <c r="H525">
        <v>8</v>
      </c>
      <c r="I525">
        <v>100.26</v>
      </c>
      <c r="J525" s="50">
        <v>802.08</v>
      </c>
      <c r="K525" t="s">
        <v>1618</v>
      </c>
      <c r="M525" t="s">
        <v>1624</v>
      </c>
      <c r="N525">
        <v>52.91</v>
      </c>
      <c r="O525" s="49">
        <v>44774</v>
      </c>
      <c r="P525" s="50">
        <v>360.93600000000004</v>
      </c>
    </row>
    <row r="526" spans="4:16" x14ac:dyDescent="0.2">
      <c r="D526">
        <v>100000308</v>
      </c>
      <c r="E526" s="49">
        <v>45368</v>
      </c>
      <c r="F526" t="s">
        <v>2170</v>
      </c>
      <c r="G526" t="s">
        <v>1679</v>
      </c>
      <c r="H526">
        <v>9</v>
      </c>
      <c r="I526">
        <v>105.05</v>
      </c>
      <c r="J526" s="50">
        <v>945.44999999999993</v>
      </c>
      <c r="K526" t="s">
        <v>1618</v>
      </c>
      <c r="M526" t="s">
        <v>1621</v>
      </c>
      <c r="N526">
        <v>55.44</v>
      </c>
      <c r="O526" s="49">
        <v>45372</v>
      </c>
      <c r="P526" s="50">
        <v>425.45249999999999</v>
      </c>
    </row>
    <row r="527" spans="4:16" x14ac:dyDescent="0.2">
      <c r="D527">
        <v>100000309</v>
      </c>
      <c r="E527" s="49">
        <v>44472</v>
      </c>
      <c r="F527" t="s">
        <v>2171</v>
      </c>
      <c r="G527" t="s">
        <v>1900</v>
      </c>
      <c r="H527">
        <v>2</v>
      </c>
      <c r="I527">
        <v>98.64</v>
      </c>
      <c r="J527" s="50">
        <v>197.28</v>
      </c>
      <c r="K527" t="s">
        <v>1618</v>
      </c>
      <c r="M527" t="s">
        <v>1619</v>
      </c>
      <c r="N527">
        <v>52.06</v>
      </c>
      <c r="O527" s="49">
        <v>44475</v>
      </c>
      <c r="P527" s="50">
        <v>88.775999999999996</v>
      </c>
    </row>
    <row r="528" spans="4:16" x14ac:dyDescent="0.2">
      <c r="D528">
        <v>100000309</v>
      </c>
      <c r="E528" s="49">
        <v>44496</v>
      </c>
      <c r="F528" t="s">
        <v>2171</v>
      </c>
      <c r="G528" t="s">
        <v>2057</v>
      </c>
      <c r="H528">
        <v>10</v>
      </c>
      <c r="I528">
        <v>73.7</v>
      </c>
      <c r="J528" s="50">
        <v>737</v>
      </c>
      <c r="K528" t="s">
        <v>1618</v>
      </c>
      <c r="M528" t="s">
        <v>1624</v>
      </c>
      <c r="N528">
        <v>38.9</v>
      </c>
      <c r="O528" s="49">
        <v>44499</v>
      </c>
      <c r="P528" s="50">
        <v>331.65000000000003</v>
      </c>
    </row>
    <row r="529" spans="4:16" x14ac:dyDescent="0.2">
      <c r="D529">
        <v>100000309</v>
      </c>
      <c r="E529" s="49">
        <v>44665</v>
      </c>
      <c r="F529" t="s">
        <v>2171</v>
      </c>
      <c r="G529" t="s">
        <v>1975</v>
      </c>
      <c r="H529">
        <v>3</v>
      </c>
      <c r="I529">
        <v>115.35</v>
      </c>
      <c r="J529" s="50">
        <v>346.05</v>
      </c>
      <c r="K529" t="s">
        <v>1618</v>
      </c>
      <c r="M529" t="s">
        <v>1629</v>
      </c>
      <c r="N529">
        <v>60.88</v>
      </c>
      <c r="O529" s="49">
        <v>44667</v>
      </c>
      <c r="P529" s="50">
        <v>155.7225</v>
      </c>
    </row>
    <row r="530" spans="4:16" x14ac:dyDescent="0.2">
      <c r="D530">
        <v>100000310</v>
      </c>
      <c r="E530" s="49">
        <v>45214</v>
      </c>
      <c r="F530" t="s">
        <v>2172</v>
      </c>
      <c r="G530" t="s">
        <v>1681</v>
      </c>
      <c r="H530">
        <v>9</v>
      </c>
      <c r="I530">
        <v>100.31</v>
      </c>
      <c r="J530" s="50">
        <v>902.79</v>
      </c>
      <c r="K530" t="s">
        <v>1618</v>
      </c>
      <c r="M530" t="s">
        <v>1624</v>
      </c>
      <c r="N530">
        <v>52.94</v>
      </c>
      <c r="O530" s="49">
        <v>45217</v>
      </c>
      <c r="P530" s="50">
        <v>406.25549999999998</v>
      </c>
    </row>
    <row r="531" spans="4:16" x14ac:dyDescent="0.2">
      <c r="D531">
        <v>100000310</v>
      </c>
      <c r="E531" s="49">
        <v>45519</v>
      </c>
      <c r="F531" t="s">
        <v>2172</v>
      </c>
      <c r="G531" t="s">
        <v>1661</v>
      </c>
      <c r="H531">
        <v>4</v>
      </c>
      <c r="I531">
        <v>42.16</v>
      </c>
      <c r="J531" s="50">
        <v>168.64</v>
      </c>
      <c r="K531" t="s">
        <v>1618</v>
      </c>
      <c r="M531" t="s">
        <v>1629</v>
      </c>
      <c r="N531">
        <v>22.25</v>
      </c>
      <c r="O531" s="49">
        <v>45520</v>
      </c>
      <c r="P531" s="50">
        <v>75.887999999999991</v>
      </c>
    </row>
    <row r="532" spans="4:16" x14ac:dyDescent="0.2">
      <c r="D532">
        <v>100000310</v>
      </c>
      <c r="E532" s="49">
        <v>45457</v>
      </c>
      <c r="F532" t="s">
        <v>2172</v>
      </c>
      <c r="G532" t="s">
        <v>1937</v>
      </c>
      <c r="H532">
        <v>5</v>
      </c>
      <c r="I532">
        <v>84.9</v>
      </c>
      <c r="J532" s="50">
        <v>424.5</v>
      </c>
      <c r="K532" t="s">
        <v>1618</v>
      </c>
      <c r="M532" t="s">
        <v>1629</v>
      </c>
      <c r="N532">
        <v>44.81</v>
      </c>
      <c r="O532" s="49">
        <v>45458</v>
      </c>
      <c r="P532" s="50">
        <v>191.02500000000001</v>
      </c>
    </row>
    <row r="533" spans="4:16" x14ac:dyDescent="0.2">
      <c r="D533">
        <v>100000311</v>
      </c>
      <c r="E533" s="49">
        <v>44298</v>
      </c>
      <c r="F533" t="s">
        <v>2173</v>
      </c>
      <c r="G533" t="s">
        <v>1910</v>
      </c>
      <c r="H533">
        <v>5</v>
      </c>
      <c r="I533">
        <v>17.05</v>
      </c>
      <c r="J533" s="50">
        <v>85.25</v>
      </c>
      <c r="K533" t="s">
        <v>1618</v>
      </c>
      <c r="M533" t="s">
        <v>1619</v>
      </c>
      <c r="N533">
        <v>9</v>
      </c>
      <c r="O533" s="49">
        <v>44301</v>
      </c>
      <c r="P533" s="50">
        <v>38.362500000000004</v>
      </c>
    </row>
    <row r="534" spans="4:16" x14ac:dyDescent="0.2">
      <c r="D534">
        <v>100000311</v>
      </c>
      <c r="E534" s="49">
        <v>44804</v>
      </c>
      <c r="F534" t="s">
        <v>2173</v>
      </c>
      <c r="G534" t="s">
        <v>1742</v>
      </c>
      <c r="H534">
        <v>8</v>
      </c>
      <c r="I534">
        <v>67.19</v>
      </c>
      <c r="J534" s="50">
        <v>537.52</v>
      </c>
      <c r="K534" t="s">
        <v>1618</v>
      </c>
      <c r="M534" t="s">
        <v>1624</v>
      </c>
      <c r="N534">
        <v>35.46</v>
      </c>
      <c r="O534" s="49">
        <v>44806</v>
      </c>
      <c r="P534" s="50">
        <v>241.88399999999999</v>
      </c>
    </row>
    <row r="535" spans="4:16" x14ac:dyDescent="0.2">
      <c r="D535">
        <v>100000311</v>
      </c>
      <c r="E535" s="49">
        <v>44702</v>
      </c>
      <c r="F535" t="s">
        <v>2173</v>
      </c>
      <c r="G535" t="s">
        <v>2174</v>
      </c>
      <c r="H535">
        <v>9</v>
      </c>
      <c r="I535">
        <v>73.64</v>
      </c>
      <c r="J535" s="50">
        <v>662.76</v>
      </c>
      <c r="K535" t="s">
        <v>1618</v>
      </c>
      <c r="M535" t="s">
        <v>1621</v>
      </c>
      <c r="N535">
        <v>38.869999999999997</v>
      </c>
      <c r="O535" s="49">
        <v>44706</v>
      </c>
      <c r="P535" s="50">
        <v>298.24200000000002</v>
      </c>
    </row>
    <row r="536" spans="4:16" x14ac:dyDescent="0.2">
      <c r="D536">
        <v>100000311</v>
      </c>
      <c r="E536" s="49">
        <v>45366</v>
      </c>
      <c r="F536" t="s">
        <v>2173</v>
      </c>
      <c r="G536" t="s">
        <v>1831</v>
      </c>
      <c r="H536">
        <v>3</v>
      </c>
      <c r="I536">
        <v>117.38</v>
      </c>
      <c r="J536" s="50">
        <v>352.14</v>
      </c>
      <c r="K536" t="s">
        <v>1618</v>
      </c>
      <c r="M536" t="s">
        <v>1627</v>
      </c>
      <c r="N536">
        <v>61.95</v>
      </c>
      <c r="O536" s="49">
        <v>45371</v>
      </c>
      <c r="P536" s="50">
        <v>158.46299999999999</v>
      </c>
    </row>
    <row r="537" spans="4:16" x14ac:dyDescent="0.2">
      <c r="D537">
        <v>100000312</v>
      </c>
      <c r="E537" s="49">
        <v>44767</v>
      </c>
      <c r="F537" t="s">
        <v>2175</v>
      </c>
      <c r="G537" t="s">
        <v>1929</v>
      </c>
      <c r="H537">
        <v>7</v>
      </c>
      <c r="I537">
        <v>66.650000000000006</v>
      </c>
      <c r="J537" s="50">
        <v>466.55000000000013</v>
      </c>
      <c r="K537" t="s">
        <v>1618</v>
      </c>
      <c r="L537" t="s">
        <v>2176</v>
      </c>
      <c r="M537" t="s">
        <v>1621</v>
      </c>
      <c r="N537">
        <v>35.18</v>
      </c>
      <c r="O537" s="49">
        <v>44770</v>
      </c>
      <c r="P537" s="50">
        <v>209.94750000000005</v>
      </c>
    </row>
    <row r="538" spans="4:16" x14ac:dyDescent="0.2">
      <c r="D538">
        <v>100000313</v>
      </c>
      <c r="E538" s="49">
        <v>44653</v>
      </c>
      <c r="F538" t="s">
        <v>2177</v>
      </c>
      <c r="G538" t="s">
        <v>1617</v>
      </c>
      <c r="H538">
        <v>3</v>
      </c>
      <c r="I538">
        <v>73.05</v>
      </c>
      <c r="J538" s="50">
        <v>219.15</v>
      </c>
      <c r="K538" t="s">
        <v>1632</v>
      </c>
      <c r="L538" t="s">
        <v>2178</v>
      </c>
      <c r="M538" t="s">
        <v>1624</v>
      </c>
      <c r="N538">
        <v>38.549999999999997</v>
      </c>
      <c r="O538" s="49">
        <v>44655</v>
      </c>
      <c r="P538" s="50">
        <v>98.617500000000007</v>
      </c>
    </row>
    <row r="539" spans="4:16" x14ac:dyDescent="0.2">
      <c r="D539">
        <v>100000313</v>
      </c>
      <c r="E539" s="49">
        <v>44934</v>
      </c>
      <c r="F539" t="s">
        <v>2177</v>
      </c>
      <c r="G539" t="s">
        <v>1777</v>
      </c>
      <c r="H539">
        <v>9</v>
      </c>
      <c r="I539">
        <v>71.06</v>
      </c>
      <c r="J539" s="50">
        <v>639.54</v>
      </c>
      <c r="K539" t="s">
        <v>1632</v>
      </c>
      <c r="L539" t="s">
        <v>2178</v>
      </c>
      <c r="M539" t="s">
        <v>1627</v>
      </c>
      <c r="N539">
        <v>37.5</v>
      </c>
      <c r="O539" s="49">
        <v>44935</v>
      </c>
      <c r="P539" s="50">
        <v>287.79300000000001</v>
      </c>
    </row>
    <row r="540" spans="4:16" x14ac:dyDescent="0.2">
      <c r="D540">
        <v>100000315</v>
      </c>
      <c r="E540" s="49">
        <v>44202</v>
      </c>
      <c r="F540" t="s">
        <v>2179</v>
      </c>
      <c r="G540" t="s">
        <v>2180</v>
      </c>
      <c r="H540">
        <v>1</v>
      </c>
      <c r="I540">
        <v>78.540000000000006</v>
      </c>
      <c r="J540" s="50">
        <v>78.540000000000006</v>
      </c>
      <c r="K540" t="s">
        <v>1618</v>
      </c>
      <c r="M540" t="s">
        <v>1624</v>
      </c>
      <c r="N540">
        <v>41.45</v>
      </c>
      <c r="O540" s="49">
        <v>44207</v>
      </c>
      <c r="P540" s="50">
        <v>35.343000000000004</v>
      </c>
    </row>
    <row r="541" spans="4:16" x14ac:dyDescent="0.2">
      <c r="D541">
        <v>100000316</v>
      </c>
      <c r="E541" s="49">
        <v>45432</v>
      </c>
      <c r="F541" t="s">
        <v>2181</v>
      </c>
      <c r="G541" t="s">
        <v>2182</v>
      </c>
      <c r="H541">
        <v>5</v>
      </c>
      <c r="I541">
        <v>96.33</v>
      </c>
      <c r="J541" s="50">
        <v>481.65</v>
      </c>
      <c r="K541" t="s">
        <v>1632</v>
      </c>
      <c r="M541" t="s">
        <v>1624</v>
      </c>
      <c r="N541">
        <v>50.84</v>
      </c>
      <c r="O541" s="49">
        <v>45436</v>
      </c>
      <c r="P541" s="50">
        <v>216.74250000000001</v>
      </c>
    </row>
    <row r="542" spans="4:16" x14ac:dyDescent="0.2">
      <c r="D542">
        <v>100000317</v>
      </c>
      <c r="E542" s="49">
        <v>45653</v>
      </c>
      <c r="F542" t="s">
        <v>2183</v>
      </c>
      <c r="G542" t="s">
        <v>2155</v>
      </c>
      <c r="H542">
        <v>3</v>
      </c>
      <c r="I542">
        <v>54.44</v>
      </c>
      <c r="J542" s="50">
        <v>163.32</v>
      </c>
      <c r="K542" t="s">
        <v>1632</v>
      </c>
      <c r="L542" t="s">
        <v>2184</v>
      </c>
      <c r="M542" t="s">
        <v>1621</v>
      </c>
      <c r="N542">
        <v>28.73</v>
      </c>
      <c r="O542" s="49">
        <v>45656</v>
      </c>
      <c r="P542" s="50">
        <v>73.494</v>
      </c>
    </row>
    <row r="543" spans="4:16" x14ac:dyDescent="0.2">
      <c r="D543">
        <v>100000317</v>
      </c>
      <c r="E543" s="49">
        <v>44350</v>
      </c>
      <c r="F543" t="s">
        <v>2183</v>
      </c>
      <c r="G543" t="s">
        <v>2064</v>
      </c>
      <c r="H543">
        <v>3</v>
      </c>
      <c r="I543">
        <v>10.14</v>
      </c>
      <c r="J543" s="50">
        <v>30.42</v>
      </c>
      <c r="K543" t="s">
        <v>1632</v>
      </c>
      <c r="L543" t="s">
        <v>2184</v>
      </c>
      <c r="M543" t="s">
        <v>1621</v>
      </c>
      <c r="N543">
        <v>5.35</v>
      </c>
      <c r="O543" s="49">
        <v>44353</v>
      </c>
      <c r="P543" s="50">
        <v>13.689000000000002</v>
      </c>
    </row>
    <row r="544" spans="4:16" x14ac:dyDescent="0.2">
      <c r="D544">
        <v>100000318</v>
      </c>
      <c r="E544" s="49">
        <v>44846</v>
      </c>
      <c r="F544" t="s">
        <v>2185</v>
      </c>
      <c r="G544" t="s">
        <v>1620</v>
      </c>
      <c r="H544">
        <v>8</v>
      </c>
      <c r="I544">
        <v>81.260000000000005</v>
      </c>
      <c r="J544" s="50">
        <v>650.08000000000004</v>
      </c>
      <c r="K544" t="s">
        <v>1632</v>
      </c>
      <c r="L544" t="s">
        <v>2186</v>
      </c>
      <c r="M544" t="s">
        <v>1629</v>
      </c>
      <c r="N544">
        <v>42.89</v>
      </c>
      <c r="O544" s="49">
        <v>44849</v>
      </c>
      <c r="P544" s="50">
        <v>292.536</v>
      </c>
    </row>
    <row r="545" spans="4:16" x14ac:dyDescent="0.2">
      <c r="D545">
        <v>100000319</v>
      </c>
      <c r="E545" s="49">
        <v>44893</v>
      </c>
      <c r="F545" t="s">
        <v>2187</v>
      </c>
      <c r="G545" t="s">
        <v>2004</v>
      </c>
      <c r="H545">
        <v>8</v>
      </c>
      <c r="I545">
        <v>93.98</v>
      </c>
      <c r="J545" s="50">
        <v>751.84</v>
      </c>
      <c r="K545" t="s">
        <v>1632</v>
      </c>
      <c r="M545" t="s">
        <v>1629</v>
      </c>
      <c r="N545">
        <v>49.6</v>
      </c>
      <c r="O545" s="49">
        <v>44897</v>
      </c>
      <c r="P545" s="50">
        <v>338.32800000000003</v>
      </c>
    </row>
    <row r="546" spans="4:16" x14ac:dyDescent="0.2">
      <c r="D546">
        <v>100000320</v>
      </c>
      <c r="E546" s="49">
        <v>44417</v>
      </c>
      <c r="F546" t="s">
        <v>2188</v>
      </c>
      <c r="G546" t="s">
        <v>1872</v>
      </c>
      <c r="H546">
        <v>9</v>
      </c>
      <c r="I546">
        <v>93.5</v>
      </c>
      <c r="J546" s="50">
        <v>841.5</v>
      </c>
      <c r="K546" t="s">
        <v>1618</v>
      </c>
      <c r="L546" t="s">
        <v>2189</v>
      </c>
      <c r="M546" t="s">
        <v>1624</v>
      </c>
      <c r="N546">
        <v>49.35</v>
      </c>
      <c r="O546" s="49">
        <v>44421</v>
      </c>
      <c r="P546" s="50">
        <v>378.67500000000001</v>
      </c>
    </row>
    <row r="547" spans="4:16" x14ac:dyDescent="0.2">
      <c r="D547">
        <v>100000323</v>
      </c>
      <c r="E547" s="49">
        <v>45382</v>
      </c>
      <c r="F547" t="s">
        <v>2190</v>
      </c>
      <c r="G547" t="s">
        <v>1807</v>
      </c>
      <c r="H547">
        <v>7</v>
      </c>
      <c r="I547">
        <v>76.290000000000006</v>
      </c>
      <c r="J547" s="50">
        <v>534.03000000000009</v>
      </c>
      <c r="K547" t="s">
        <v>1632</v>
      </c>
      <c r="M547" t="s">
        <v>1619</v>
      </c>
      <c r="N547">
        <v>40.26</v>
      </c>
      <c r="O547" s="49">
        <v>45384</v>
      </c>
      <c r="P547" s="50">
        <v>240.31350000000003</v>
      </c>
    </row>
    <row r="548" spans="4:16" x14ac:dyDescent="0.2">
      <c r="D548">
        <v>100000323</v>
      </c>
      <c r="E548" s="49">
        <v>45173</v>
      </c>
      <c r="F548" t="s">
        <v>2190</v>
      </c>
      <c r="G548" t="s">
        <v>2191</v>
      </c>
      <c r="H548">
        <v>1</v>
      </c>
      <c r="I548">
        <v>37.65</v>
      </c>
      <c r="J548" s="50">
        <v>37.65</v>
      </c>
      <c r="K548" t="s">
        <v>1632</v>
      </c>
      <c r="M548" t="s">
        <v>1619</v>
      </c>
      <c r="N548">
        <v>19.87</v>
      </c>
      <c r="O548" s="49">
        <v>45174</v>
      </c>
      <c r="P548" s="50">
        <v>16.942499999999999</v>
      </c>
    </row>
    <row r="549" spans="4:16" x14ac:dyDescent="0.2">
      <c r="D549">
        <v>100000323</v>
      </c>
      <c r="E549" s="49">
        <v>45211</v>
      </c>
      <c r="F549" t="s">
        <v>2190</v>
      </c>
      <c r="G549" t="s">
        <v>2192</v>
      </c>
      <c r="H549">
        <v>8</v>
      </c>
      <c r="I549">
        <v>48.32</v>
      </c>
      <c r="J549" s="50">
        <v>386.56</v>
      </c>
      <c r="K549" t="s">
        <v>1632</v>
      </c>
      <c r="M549" t="s">
        <v>1624</v>
      </c>
      <c r="N549">
        <v>25.5</v>
      </c>
      <c r="O549" s="49">
        <v>45216</v>
      </c>
      <c r="P549" s="50">
        <v>173.952</v>
      </c>
    </row>
    <row r="550" spans="4:16" x14ac:dyDescent="0.2">
      <c r="D550">
        <v>100000324</v>
      </c>
      <c r="E550" s="49">
        <v>44380</v>
      </c>
      <c r="F550" t="s">
        <v>2193</v>
      </c>
      <c r="G550" t="s">
        <v>2194</v>
      </c>
      <c r="H550">
        <v>4</v>
      </c>
      <c r="I550">
        <v>89.74</v>
      </c>
      <c r="J550" s="50">
        <v>358.96</v>
      </c>
      <c r="K550" t="s">
        <v>1618</v>
      </c>
      <c r="L550" t="s">
        <v>2195</v>
      </c>
      <c r="M550" t="s">
        <v>1624</v>
      </c>
      <c r="N550">
        <v>47.36</v>
      </c>
      <c r="O550" s="49">
        <v>44382</v>
      </c>
      <c r="P550" s="50">
        <v>161.53199999999998</v>
      </c>
    </row>
    <row r="551" spans="4:16" x14ac:dyDescent="0.2">
      <c r="D551">
        <v>100000327</v>
      </c>
      <c r="E551" s="49">
        <v>45532</v>
      </c>
      <c r="F551" t="s">
        <v>2196</v>
      </c>
      <c r="G551" t="s">
        <v>2025</v>
      </c>
      <c r="H551">
        <v>2</v>
      </c>
      <c r="I551">
        <v>100.83</v>
      </c>
      <c r="J551" s="50">
        <v>201.66</v>
      </c>
      <c r="K551" t="s">
        <v>1632</v>
      </c>
      <c r="L551" t="s">
        <v>2119</v>
      </c>
      <c r="M551" t="s">
        <v>1624</v>
      </c>
      <c r="N551">
        <v>53.22</v>
      </c>
      <c r="O551" s="49">
        <v>45536</v>
      </c>
      <c r="P551" s="50">
        <v>90.747</v>
      </c>
    </row>
    <row r="552" spans="4:16" x14ac:dyDescent="0.2">
      <c r="D552">
        <v>100000329</v>
      </c>
      <c r="E552" s="49">
        <v>44776</v>
      </c>
      <c r="F552" t="s">
        <v>2197</v>
      </c>
      <c r="G552" t="s">
        <v>1688</v>
      </c>
      <c r="H552">
        <v>3</v>
      </c>
      <c r="I552">
        <v>37.340000000000003</v>
      </c>
      <c r="J552" s="50">
        <v>112.02</v>
      </c>
      <c r="K552" t="s">
        <v>1618</v>
      </c>
      <c r="M552" t="s">
        <v>1619</v>
      </c>
      <c r="N552">
        <v>19.71</v>
      </c>
      <c r="O552" s="49">
        <v>44778</v>
      </c>
      <c r="P552" s="50">
        <v>50.408999999999999</v>
      </c>
    </row>
    <row r="553" spans="4:16" x14ac:dyDescent="0.2">
      <c r="D553">
        <v>100000329</v>
      </c>
      <c r="E553" s="49">
        <v>45634</v>
      </c>
      <c r="F553" t="s">
        <v>2197</v>
      </c>
      <c r="G553" t="s">
        <v>1644</v>
      </c>
      <c r="H553">
        <v>7</v>
      </c>
      <c r="I553">
        <v>56.5</v>
      </c>
      <c r="J553" s="50">
        <v>395.5</v>
      </c>
      <c r="K553" t="s">
        <v>1618</v>
      </c>
      <c r="M553" t="s">
        <v>1624</v>
      </c>
      <c r="N553">
        <v>29.82</v>
      </c>
      <c r="O553" s="49">
        <v>45636</v>
      </c>
      <c r="P553" s="50">
        <v>177.97499999999999</v>
      </c>
    </row>
    <row r="554" spans="4:16" x14ac:dyDescent="0.2">
      <c r="D554">
        <v>100000329</v>
      </c>
      <c r="E554" s="49">
        <v>44536</v>
      </c>
      <c r="F554" t="s">
        <v>2197</v>
      </c>
      <c r="G554" t="s">
        <v>1775</v>
      </c>
      <c r="H554">
        <v>10</v>
      </c>
      <c r="I554">
        <v>70.88</v>
      </c>
      <c r="J554" s="50">
        <v>708.8</v>
      </c>
      <c r="K554" t="s">
        <v>1618</v>
      </c>
      <c r="M554" t="s">
        <v>1627</v>
      </c>
      <c r="N554">
        <v>37.409999999999997</v>
      </c>
      <c r="O554" s="49">
        <v>44540</v>
      </c>
      <c r="P554" s="50">
        <v>318.95999999999998</v>
      </c>
    </row>
    <row r="555" spans="4:16" x14ac:dyDescent="0.2">
      <c r="D555">
        <v>100000329</v>
      </c>
      <c r="E555" s="49">
        <v>45122</v>
      </c>
      <c r="F555" t="s">
        <v>2197</v>
      </c>
      <c r="G555" t="s">
        <v>2198</v>
      </c>
      <c r="H555">
        <v>8</v>
      </c>
      <c r="I555">
        <v>61.96</v>
      </c>
      <c r="J555" s="50">
        <v>495.68</v>
      </c>
      <c r="K555" t="s">
        <v>1618</v>
      </c>
      <c r="M555" t="s">
        <v>1621</v>
      </c>
      <c r="N555">
        <v>32.700000000000003</v>
      </c>
      <c r="O555" s="49">
        <v>45124</v>
      </c>
      <c r="P555" s="50">
        <v>223.05600000000001</v>
      </c>
    </row>
    <row r="556" spans="4:16" x14ac:dyDescent="0.2">
      <c r="D556">
        <v>100000329</v>
      </c>
      <c r="E556" s="49">
        <v>45202</v>
      </c>
      <c r="F556" t="s">
        <v>2197</v>
      </c>
      <c r="G556" t="s">
        <v>1864</v>
      </c>
      <c r="H556">
        <v>6</v>
      </c>
      <c r="I556">
        <v>108.13</v>
      </c>
      <c r="J556" s="50">
        <v>648.78</v>
      </c>
      <c r="K556" t="s">
        <v>1618</v>
      </c>
      <c r="M556" t="s">
        <v>1629</v>
      </c>
      <c r="N556">
        <v>57.07</v>
      </c>
      <c r="O556" s="49">
        <v>45204</v>
      </c>
      <c r="P556" s="50">
        <v>291.95100000000002</v>
      </c>
    </row>
    <row r="557" spans="4:16" x14ac:dyDescent="0.2">
      <c r="D557">
        <v>100000331</v>
      </c>
      <c r="E557" s="49">
        <v>45305</v>
      </c>
      <c r="F557" t="s">
        <v>2199</v>
      </c>
      <c r="G557" t="s">
        <v>1655</v>
      </c>
      <c r="H557">
        <v>10</v>
      </c>
      <c r="I557">
        <v>38.39</v>
      </c>
      <c r="J557" s="50">
        <v>383.9</v>
      </c>
      <c r="K557" t="s">
        <v>1632</v>
      </c>
      <c r="M557" t="s">
        <v>1624</v>
      </c>
      <c r="N557">
        <v>20.260000000000002</v>
      </c>
      <c r="O557" s="49">
        <v>45310</v>
      </c>
      <c r="P557" s="50">
        <v>172.755</v>
      </c>
    </row>
    <row r="558" spans="4:16" x14ac:dyDescent="0.2">
      <c r="D558">
        <v>100000332</v>
      </c>
      <c r="E558" s="49">
        <v>45017</v>
      </c>
      <c r="F558" t="s">
        <v>2200</v>
      </c>
      <c r="G558" t="s">
        <v>1702</v>
      </c>
      <c r="H558">
        <v>8</v>
      </c>
      <c r="I558">
        <v>57.75</v>
      </c>
      <c r="J558" s="50">
        <v>462</v>
      </c>
      <c r="K558" t="s">
        <v>1618</v>
      </c>
      <c r="M558" t="s">
        <v>1619</v>
      </c>
      <c r="N558">
        <v>30.48</v>
      </c>
      <c r="O558" s="49">
        <v>45021</v>
      </c>
      <c r="P558" s="50">
        <v>207.9</v>
      </c>
    </row>
    <row r="559" spans="4:16" x14ac:dyDescent="0.2">
      <c r="D559">
        <v>100000333</v>
      </c>
      <c r="E559" s="49">
        <v>44583</v>
      </c>
      <c r="F559" t="s">
        <v>2201</v>
      </c>
      <c r="G559" t="s">
        <v>2202</v>
      </c>
      <c r="H559">
        <v>6</v>
      </c>
      <c r="I559">
        <v>76</v>
      </c>
      <c r="J559" s="50">
        <v>456</v>
      </c>
      <c r="K559" t="s">
        <v>1618</v>
      </c>
      <c r="M559" t="s">
        <v>1627</v>
      </c>
      <c r="N559">
        <v>40.11</v>
      </c>
      <c r="O559" s="49">
        <v>44586</v>
      </c>
      <c r="P559" s="50">
        <v>205.20000000000002</v>
      </c>
    </row>
    <row r="560" spans="4:16" x14ac:dyDescent="0.2">
      <c r="D560">
        <v>100000333</v>
      </c>
      <c r="E560" s="49">
        <v>44228</v>
      </c>
      <c r="F560" t="s">
        <v>2201</v>
      </c>
      <c r="G560" t="s">
        <v>2182</v>
      </c>
      <c r="H560">
        <v>6</v>
      </c>
      <c r="I560">
        <v>105.32</v>
      </c>
      <c r="J560" s="50">
        <v>631.91999999999996</v>
      </c>
      <c r="K560" t="s">
        <v>1618</v>
      </c>
      <c r="M560" t="s">
        <v>1624</v>
      </c>
      <c r="N560">
        <v>55.59</v>
      </c>
      <c r="O560" s="49">
        <v>44229</v>
      </c>
      <c r="P560" s="50">
        <v>284.36399999999998</v>
      </c>
    </row>
    <row r="561" spans="4:16" x14ac:dyDescent="0.2">
      <c r="D561">
        <v>100000334</v>
      </c>
      <c r="E561" s="49">
        <v>45488</v>
      </c>
      <c r="F561" t="s">
        <v>2203</v>
      </c>
      <c r="G561" t="s">
        <v>1941</v>
      </c>
      <c r="H561">
        <v>10</v>
      </c>
      <c r="I561">
        <v>114.49</v>
      </c>
      <c r="J561" s="50">
        <v>1144.9000000000001</v>
      </c>
      <c r="K561" t="s">
        <v>1618</v>
      </c>
      <c r="M561" t="s">
        <v>1619</v>
      </c>
      <c r="N561">
        <v>60.42</v>
      </c>
      <c r="O561" s="49">
        <v>45492</v>
      </c>
      <c r="P561" s="50">
        <v>515.20500000000004</v>
      </c>
    </row>
    <row r="562" spans="4:16" x14ac:dyDescent="0.2">
      <c r="D562">
        <v>100000334</v>
      </c>
      <c r="E562" s="49">
        <v>44489</v>
      </c>
      <c r="F562" t="s">
        <v>2203</v>
      </c>
      <c r="G562" t="s">
        <v>2204</v>
      </c>
      <c r="H562">
        <v>2</v>
      </c>
      <c r="I562">
        <v>38.5</v>
      </c>
      <c r="J562" s="50">
        <v>77</v>
      </c>
      <c r="K562" t="s">
        <v>1618</v>
      </c>
      <c r="M562" t="s">
        <v>1629</v>
      </c>
      <c r="N562">
        <v>20.32</v>
      </c>
      <c r="O562" s="49">
        <v>44490</v>
      </c>
      <c r="P562" s="50">
        <v>34.65</v>
      </c>
    </row>
    <row r="563" spans="4:16" x14ac:dyDescent="0.2">
      <c r="D563">
        <v>100000334</v>
      </c>
      <c r="E563" s="49">
        <v>44939</v>
      </c>
      <c r="F563" t="s">
        <v>2203</v>
      </c>
      <c r="G563" t="s">
        <v>1636</v>
      </c>
      <c r="H563">
        <v>5</v>
      </c>
      <c r="I563">
        <v>56.31</v>
      </c>
      <c r="J563" s="50">
        <v>281.55</v>
      </c>
      <c r="K563" t="s">
        <v>1618</v>
      </c>
      <c r="M563" t="s">
        <v>1629</v>
      </c>
      <c r="N563">
        <v>29.72</v>
      </c>
      <c r="O563" s="49">
        <v>44942</v>
      </c>
      <c r="P563" s="50">
        <v>126.69750000000001</v>
      </c>
    </row>
    <row r="564" spans="4:16" x14ac:dyDescent="0.2">
      <c r="D564">
        <v>100000335</v>
      </c>
      <c r="E564" s="49">
        <v>44561</v>
      </c>
      <c r="F564" t="s">
        <v>2205</v>
      </c>
      <c r="G564" t="s">
        <v>2101</v>
      </c>
      <c r="H564">
        <v>5</v>
      </c>
      <c r="I564">
        <v>79.23</v>
      </c>
      <c r="J564" s="50">
        <v>396.15</v>
      </c>
      <c r="K564" t="s">
        <v>1618</v>
      </c>
      <c r="L564" t="s">
        <v>2206</v>
      </c>
      <c r="M564" t="s">
        <v>1624</v>
      </c>
      <c r="N564">
        <v>41.82</v>
      </c>
      <c r="O564" s="49">
        <v>44562</v>
      </c>
      <c r="P564" s="50">
        <v>178.26749999999998</v>
      </c>
    </row>
    <row r="565" spans="4:16" x14ac:dyDescent="0.2">
      <c r="D565">
        <v>100000335</v>
      </c>
      <c r="E565" s="49">
        <v>45186</v>
      </c>
      <c r="F565" t="s">
        <v>2205</v>
      </c>
      <c r="G565" t="s">
        <v>2207</v>
      </c>
      <c r="H565">
        <v>8</v>
      </c>
      <c r="I565">
        <v>68.510000000000005</v>
      </c>
      <c r="J565" s="50">
        <v>548.08000000000004</v>
      </c>
      <c r="K565" t="s">
        <v>1618</v>
      </c>
      <c r="L565" t="s">
        <v>2206</v>
      </c>
      <c r="M565" t="s">
        <v>1629</v>
      </c>
      <c r="N565">
        <v>36.159999999999997</v>
      </c>
      <c r="O565" s="49">
        <v>45190</v>
      </c>
      <c r="P565" s="50">
        <v>246.63600000000002</v>
      </c>
    </row>
    <row r="566" spans="4:16" x14ac:dyDescent="0.2">
      <c r="D566">
        <v>100000336</v>
      </c>
      <c r="E566" s="49">
        <v>44686</v>
      </c>
      <c r="F566" t="s">
        <v>2208</v>
      </c>
      <c r="G566" t="s">
        <v>1777</v>
      </c>
      <c r="H566">
        <v>5</v>
      </c>
      <c r="I566">
        <v>118.59</v>
      </c>
      <c r="J566" s="50">
        <v>592.95000000000005</v>
      </c>
      <c r="K566" t="s">
        <v>1632</v>
      </c>
      <c r="M566" t="s">
        <v>1627</v>
      </c>
      <c r="N566">
        <v>62.59</v>
      </c>
      <c r="O566" s="49">
        <v>44689</v>
      </c>
      <c r="P566" s="50">
        <v>266.82750000000004</v>
      </c>
    </row>
    <row r="567" spans="4:16" x14ac:dyDescent="0.2">
      <c r="D567">
        <v>100000337</v>
      </c>
      <c r="E567" s="49">
        <v>45645</v>
      </c>
      <c r="F567" t="s">
        <v>2209</v>
      </c>
      <c r="G567" t="s">
        <v>1802</v>
      </c>
      <c r="H567">
        <v>4</v>
      </c>
      <c r="I567">
        <v>39.65</v>
      </c>
      <c r="J567" s="50">
        <v>158.6</v>
      </c>
      <c r="K567" t="s">
        <v>1618</v>
      </c>
      <c r="M567" t="s">
        <v>1629</v>
      </c>
      <c r="N567">
        <v>20.93</v>
      </c>
      <c r="O567" s="49">
        <v>45650</v>
      </c>
      <c r="P567" s="50">
        <v>71.37</v>
      </c>
    </row>
    <row r="568" spans="4:16" x14ac:dyDescent="0.2">
      <c r="D568">
        <v>100000337</v>
      </c>
      <c r="E568" s="49">
        <v>44388</v>
      </c>
      <c r="F568" t="s">
        <v>2209</v>
      </c>
      <c r="G568" t="s">
        <v>2210</v>
      </c>
      <c r="H568">
        <v>10</v>
      </c>
      <c r="I568">
        <v>54.76</v>
      </c>
      <c r="J568" s="50">
        <v>547.6</v>
      </c>
      <c r="K568" t="s">
        <v>1618</v>
      </c>
      <c r="M568" t="s">
        <v>1627</v>
      </c>
      <c r="N568">
        <v>28.9</v>
      </c>
      <c r="O568" s="49">
        <v>44390</v>
      </c>
      <c r="P568" s="50">
        <v>246.42000000000002</v>
      </c>
    </row>
    <row r="569" spans="4:16" x14ac:dyDescent="0.2">
      <c r="D569">
        <v>100000337</v>
      </c>
      <c r="E569" s="49">
        <v>45160</v>
      </c>
      <c r="F569" t="s">
        <v>2209</v>
      </c>
      <c r="G569" t="s">
        <v>1719</v>
      </c>
      <c r="H569">
        <v>7</v>
      </c>
      <c r="I569">
        <v>24.23</v>
      </c>
      <c r="J569" s="50">
        <v>169.61</v>
      </c>
      <c r="K569" t="s">
        <v>1618</v>
      </c>
      <c r="M569" t="s">
        <v>1619</v>
      </c>
      <c r="N569">
        <v>12.79</v>
      </c>
      <c r="O569" s="49">
        <v>45165</v>
      </c>
      <c r="P569" s="50">
        <v>76.324500000000015</v>
      </c>
    </row>
    <row r="570" spans="4:16" x14ac:dyDescent="0.2">
      <c r="D570">
        <v>100000337</v>
      </c>
      <c r="E570" s="49">
        <v>44230</v>
      </c>
      <c r="F570" t="s">
        <v>2209</v>
      </c>
      <c r="G570" t="s">
        <v>2086</v>
      </c>
      <c r="H570">
        <v>8</v>
      </c>
      <c r="I570">
        <v>26.55</v>
      </c>
      <c r="J570" s="50">
        <v>212.4</v>
      </c>
      <c r="K570" t="s">
        <v>1618</v>
      </c>
      <c r="M570" t="s">
        <v>1627</v>
      </c>
      <c r="N570">
        <v>14.01</v>
      </c>
      <c r="O570" s="49">
        <v>44235</v>
      </c>
      <c r="P570" s="50">
        <v>95.58</v>
      </c>
    </row>
    <row r="571" spans="4:16" x14ac:dyDescent="0.2">
      <c r="D571">
        <v>100000338</v>
      </c>
      <c r="E571" s="49">
        <v>44473</v>
      </c>
      <c r="F571" t="s">
        <v>2211</v>
      </c>
      <c r="G571" t="s">
        <v>1636</v>
      </c>
      <c r="H571">
        <v>5</v>
      </c>
      <c r="I571">
        <v>64.3</v>
      </c>
      <c r="J571" s="50">
        <v>321.5</v>
      </c>
      <c r="K571" t="s">
        <v>1618</v>
      </c>
      <c r="M571" t="s">
        <v>1627</v>
      </c>
      <c r="N571">
        <v>33.94</v>
      </c>
      <c r="O571" s="49">
        <v>44476</v>
      </c>
      <c r="P571" s="50">
        <v>144.67500000000001</v>
      </c>
    </row>
    <row r="572" spans="4:16" x14ac:dyDescent="0.2">
      <c r="D572">
        <v>100000339</v>
      </c>
      <c r="E572" s="49">
        <v>44893</v>
      </c>
      <c r="F572" t="s">
        <v>2212</v>
      </c>
      <c r="G572" t="s">
        <v>2213</v>
      </c>
      <c r="H572">
        <v>7</v>
      </c>
      <c r="I572">
        <v>75.58</v>
      </c>
      <c r="J572" s="50">
        <v>529.05999999999995</v>
      </c>
      <c r="K572" t="s">
        <v>1632</v>
      </c>
      <c r="L572" t="s">
        <v>2214</v>
      </c>
      <c r="M572" t="s">
        <v>1624</v>
      </c>
      <c r="N572">
        <v>39.89</v>
      </c>
      <c r="O572" s="49">
        <v>44896</v>
      </c>
      <c r="P572" s="50">
        <v>238.07699999999997</v>
      </c>
    </row>
    <row r="573" spans="4:16" x14ac:dyDescent="0.2">
      <c r="D573">
        <v>100000339</v>
      </c>
      <c r="E573" s="49">
        <v>44798</v>
      </c>
      <c r="F573" t="s">
        <v>2212</v>
      </c>
      <c r="G573" t="s">
        <v>1688</v>
      </c>
      <c r="H573">
        <v>10</v>
      </c>
      <c r="I573">
        <v>66.67</v>
      </c>
      <c r="J573" s="50">
        <v>666.7</v>
      </c>
      <c r="K573" t="s">
        <v>1632</v>
      </c>
      <c r="L573" t="s">
        <v>2214</v>
      </c>
      <c r="M573" t="s">
        <v>1629</v>
      </c>
      <c r="N573">
        <v>35.19</v>
      </c>
      <c r="O573" s="49">
        <v>44801</v>
      </c>
      <c r="P573" s="50">
        <v>300.01500000000004</v>
      </c>
    </row>
    <row r="574" spans="4:16" x14ac:dyDescent="0.2">
      <c r="D574">
        <v>100000339</v>
      </c>
      <c r="E574" s="49">
        <v>44426</v>
      </c>
      <c r="F574" t="s">
        <v>2212</v>
      </c>
      <c r="G574" t="s">
        <v>2159</v>
      </c>
      <c r="H574">
        <v>7</v>
      </c>
      <c r="I574">
        <v>47.09</v>
      </c>
      <c r="J574" s="50">
        <v>329.63</v>
      </c>
      <c r="K574" t="s">
        <v>1632</v>
      </c>
      <c r="L574" t="s">
        <v>2214</v>
      </c>
      <c r="M574" t="s">
        <v>1624</v>
      </c>
      <c r="N574">
        <v>24.85</v>
      </c>
      <c r="O574" s="49">
        <v>44431</v>
      </c>
      <c r="P574" s="50">
        <v>148.33350000000002</v>
      </c>
    </row>
    <row r="575" spans="4:16" x14ac:dyDescent="0.2">
      <c r="D575">
        <v>100000339</v>
      </c>
      <c r="E575" s="49">
        <v>45151</v>
      </c>
      <c r="F575" t="s">
        <v>2212</v>
      </c>
      <c r="G575" t="s">
        <v>1831</v>
      </c>
      <c r="H575">
        <v>3</v>
      </c>
      <c r="I575">
        <v>88.39</v>
      </c>
      <c r="J575" s="50">
        <v>265.17</v>
      </c>
      <c r="K575" t="s">
        <v>1632</v>
      </c>
      <c r="L575" t="s">
        <v>2214</v>
      </c>
      <c r="M575" t="s">
        <v>1619</v>
      </c>
      <c r="N575">
        <v>46.65</v>
      </c>
      <c r="O575" s="49">
        <v>45154</v>
      </c>
      <c r="P575" s="50">
        <v>119.32650000000001</v>
      </c>
    </row>
    <row r="576" spans="4:16" x14ac:dyDescent="0.2">
      <c r="D576">
        <v>100000339</v>
      </c>
      <c r="E576" s="49">
        <v>45221</v>
      </c>
      <c r="F576" t="s">
        <v>2212</v>
      </c>
      <c r="G576" t="s">
        <v>2182</v>
      </c>
      <c r="H576">
        <v>4</v>
      </c>
      <c r="I576">
        <v>13.55</v>
      </c>
      <c r="J576" s="50">
        <v>54.2</v>
      </c>
      <c r="K576" t="s">
        <v>1632</v>
      </c>
      <c r="L576" t="s">
        <v>2214</v>
      </c>
      <c r="M576" t="s">
        <v>1624</v>
      </c>
      <c r="N576">
        <v>7.15</v>
      </c>
      <c r="O576" s="49">
        <v>45226</v>
      </c>
      <c r="P576" s="50">
        <v>24.39</v>
      </c>
    </row>
    <row r="577" spans="4:16" x14ac:dyDescent="0.2">
      <c r="D577">
        <v>100000339</v>
      </c>
      <c r="E577" s="49">
        <v>44304</v>
      </c>
      <c r="F577" t="s">
        <v>2212</v>
      </c>
      <c r="G577" t="s">
        <v>1918</v>
      </c>
      <c r="H577">
        <v>2</v>
      </c>
      <c r="I577">
        <v>118.37</v>
      </c>
      <c r="J577" s="50">
        <v>236.74</v>
      </c>
      <c r="K577" t="s">
        <v>1632</v>
      </c>
      <c r="L577" t="s">
        <v>2214</v>
      </c>
      <c r="M577" t="s">
        <v>1629</v>
      </c>
      <c r="N577">
        <v>62.47</v>
      </c>
      <c r="O577" s="49">
        <v>44308</v>
      </c>
      <c r="P577" s="50">
        <v>106.533</v>
      </c>
    </row>
    <row r="578" spans="4:16" x14ac:dyDescent="0.2">
      <c r="D578">
        <v>100000340</v>
      </c>
      <c r="E578" s="49">
        <v>45471</v>
      </c>
      <c r="F578" t="s">
        <v>2215</v>
      </c>
      <c r="G578" t="s">
        <v>1634</v>
      </c>
      <c r="H578">
        <v>8</v>
      </c>
      <c r="I578">
        <v>44.69</v>
      </c>
      <c r="J578" s="50">
        <v>357.52</v>
      </c>
      <c r="K578" t="s">
        <v>1632</v>
      </c>
      <c r="M578" t="s">
        <v>1627</v>
      </c>
      <c r="N578">
        <v>23.59</v>
      </c>
      <c r="O578" s="49">
        <v>45475</v>
      </c>
      <c r="P578" s="50">
        <v>160.88399999999999</v>
      </c>
    </row>
    <row r="579" spans="4:16" x14ac:dyDescent="0.2">
      <c r="D579">
        <v>100000341</v>
      </c>
      <c r="E579" s="49">
        <v>45154</v>
      </c>
      <c r="F579" t="s">
        <v>2216</v>
      </c>
      <c r="G579" t="s">
        <v>2019</v>
      </c>
      <c r="H579">
        <v>3</v>
      </c>
      <c r="I579">
        <v>113.65</v>
      </c>
      <c r="J579" s="50">
        <v>340.95</v>
      </c>
      <c r="K579" t="s">
        <v>1632</v>
      </c>
      <c r="M579" t="s">
        <v>1621</v>
      </c>
      <c r="N579">
        <v>59.98</v>
      </c>
      <c r="O579" s="49">
        <v>45158</v>
      </c>
      <c r="P579" s="50">
        <v>153.42750000000001</v>
      </c>
    </row>
    <row r="580" spans="4:16" x14ac:dyDescent="0.2">
      <c r="D580">
        <v>100000341</v>
      </c>
      <c r="E580" s="49">
        <v>45397</v>
      </c>
      <c r="F580" t="s">
        <v>2216</v>
      </c>
      <c r="G580" t="s">
        <v>2217</v>
      </c>
      <c r="H580">
        <v>10</v>
      </c>
      <c r="I580">
        <v>51.34</v>
      </c>
      <c r="J580" s="50">
        <v>513.40000000000009</v>
      </c>
      <c r="K580" t="s">
        <v>1632</v>
      </c>
      <c r="M580" t="s">
        <v>1621</v>
      </c>
      <c r="N580">
        <v>27.1</v>
      </c>
      <c r="O580" s="49">
        <v>45399</v>
      </c>
      <c r="P580" s="50">
        <v>231.03000000000006</v>
      </c>
    </row>
    <row r="581" spans="4:16" x14ac:dyDescent="0.2">
      <c r="D581">
        <v>100000342</v>
      </c>
      <c r="E581" s="49">
        <v>44604</v>
      </c>
      <c r="F581" t="s">
        <v>2218</v>
      </c>
      <c r="G581" t="s">
        <v>2217</v>
      </c>
      <c r="H581">
        <v>6</v>
      </c>
      <c r="I581">
        <v>114.33</v>
      </c>
      <c r="J581" s="50">
        <v>685.98</v>
      </c>
      <c r="K581" t="s">
        <v>1618</v>
      </c>
      <c r="L581" t="s">
        <v>2219</v>
      </c>
      <c r="M581" t="s">
        <v>1629</v>
      </c>
      <c r="N581">
        <v>60.34</v>
      </c>
      <c r="O581" s="49">
        <v>44605</v>
      </c>
      <c r="P581" s="50">
        <v>308.69100000000003</v>
      </c>
    </row>
    <row r="582" spans="4:16" x14ac:dyDescent="0.2">
      <c r="D582">
        <v>100000342</v>
      </c>
      <c r="E582" s="49">
        <v>44295</v>
      </c>
      <c r="F582" t="s">
        <v>2218</v>
      </c>
      <c r="G582" t="s">
        <v>2041</v>
      </c>
      <c r="H582">
        <v>5</v>
      </c>
      <c r="I582">
        <v>23.13</v>
      </c>
      <c r="J582" s="50">
        <v>115.65</v>
      </c>
      <c r="K582" t="s">
        <v>1618</v>
      </c>
      <c r="L582" t="s">
        <v>2219</v>
      </c>
      <c r="M582" t="s">
        <v>1629</v>
      </c>
      <c r="N582">
        <v>12.21</v>
      </c>
      <c r="O582" s="49">
        <v>44300</v>
      </c>
      <c r="P582" s="50">
        <v>52.042500000000004</v>
      </c>
    </row>
    <row r="583" spans="4:16" x14ac:dyDescent="0.2">
      <c r="D583">
        <v>100000343</v>
      </c>
      <c r="E583" s="49">
        <v>44417</v>
      </c>
      <c r="F583" t="s">
        <v>2220</v>
      </c>
      <c r="G583" t="s">
        <v>1664</v>
      </c>
      <c r="H583">
        <v>2</v>
      </c>
      <c r="I583">
        <v>46.63</v>
      </c>
      <c r="J583" s="50">
        <v>93.26</v>
      </c>
      <c r="K583" t="s">
        <v>1632</v>
      </c>
      <c r="M583" t="s">
        <v>1624</v>
      </c>
      <c r="N583">
        <v>24.61</v>
      </c>
      <c r="O583" s="49">
        <v>44422</v>
      </c>
      <c r="P583" s="50">
        <v>41.967000000000006</v>
      </c>
    </row>
    <row r="584" spans="4:16" x14ac:dyDescent="0.2">
      <c r="D584">
        <v>100000343</v>
      </c>
      <c r="E584" s="49">
        <v>44774</v>
      </c>
      <c r="F584" t="s">
        <v>2220</v>
      </c>
      <c r="G584" t="s">
        <v>1712</v>
      </c>
      <c r="H584">
        <v>8</v>
      </c>
      <c r="I584">
        <v>33.97</v>
      </c>
      <c r="J584" s="50">
        <v>271.76</v>
      </c>
      <c r="K584" t="s">
        <v>1632</v>
      </c>
      <c r="M584" t="s">
        <v>1621</v>
      </c>
      <c r="N584">
        <v>17.93</v>
      </c>
      <c r="O584" s="49">
        <v>44775</v>
      </c>
      <c r="P584" s="50">
        <v>122.292</v>
      </c>
    </row>
    <row r="585" spans="4:16" x14ac:dyDescent="0.2">
      <c r="D585">
        <v>100000343</v>
      </c>
      <c r="E585" s="49">
        <v>44343</v>
      </c>
      <c r="F585" t="s">
        <v>2220</v>
      </c>
      <c r="G585" t="s">
        <v>1699</v>
      </c>
      <c r="H585">
        <v>4</v>
      </c>
      <c r="I585">
        <v>111.29</v>
      </c>
      <c r="J585" s="50">
        <v>445.16</v>
      </c>
      <c r="K585" t="s">
        <v>1632</v>
      </c>
      <c r="M585" t="s">
        <v>1621</v>
      </c>
      <c r="N585">
        <v>58.74</v>
      </c>
      <c r="O585" s="49">
        <v>44347</v>
      </c>
      <c r="P585" s="50">
        <v>200.322</v>
      </c>
    </row>
    <row r="586" spans="4:16" x14ac:dyDescent="0.2">
      <c r="D586">
        <v>100000343</v>
      </c>
      <c r="E586" s="49">
        <v>45083</v>
      </c>
      <c r="F586" t="s">
        <v>2220</v>
      </c>
      <c r="G586" t="s">
        <v>1865</v>
      </c>
      <c r="H586">
        <v>4</v>
      </c>
      <c r="I586">
        <v>63.78</v>
      </c>
      <c r="J586" s="50">
        <v>255.12</v>
      </c>
      <c r="K586" t="s">
        <v>1632</v>
      </c>
      <c r="M586" t="s">
        <v>1621</v>
      </c>
      <c r="N586">
        <v>33.659999999999997</v>
      </c>
      <c r="O586" s="49">
        <v>45084</v>
      </c>
      <c r="P586" s="50">
        <v>114.804</v>
      </c>
    </row>
    <row r="587" spans="4:16" x14ac:dyDescent="0.2">
      <c r="D587">
        <v>100000343</v>
      </c>
      <c r="E587" s="49">
        <v>45034</v>
      </c>
      <c r="F587" t="s">
        <v>2220</v>
      </c>
      <c r="G587" t="s">
        <v>1789</v>
      </c>
      <c r="H587">
        <v>9</v>
      </c>
      <c r="I587">
        <v>45.75</v>
      </c>
      <c r="J587" s="50">
        <v>411.75</v>
      </c>
      <c r="K587" t="s">
        <v>1632</v>
      </c>
      <c r="M587" t="s">
        <v>1621</v>
      </c>
      <c r="N587">
        <v>24.15</v>
      </c>
      <c r="O587" s="49">
        <v>45038</v>
      </c>
      <c r="P587" s="50">
        <v>185.28749999999999</v>
      </c>
    </row>
    <row r="588" spans="4:16" x14ac:dyDescent="0.2">
      <c r="D588">
        <v>100000344</v>
      </c>
      <c r="E588" s="49">
        <v>45077</v>
      </c>
      <c r="F588" t="s">
        <v>2221</v>
      </c>
      <c r="G588" t="s">
        <v>2088</v>
      </c>
      <c r="H588">
        <v>9</v>
      </c>
      <c r="I588">
        <v>15.86</v>
      </c>
      <c r="J588" s="50">
        <v>142.74</v>
      </c>
      <c r="K588" t="s">
        <v>1618</v>
      </c>
      <c r="M588" t="s">
        <v>1621</v>
      </c>
      <c r="N588">
        <v>8.3699999999999992</v>
      </c>
      <c r="O588" s="49">
        <v>45078</v>
      </c>
      <c r="P588" s="50">
        <v>64.233000000000004</v>
      </c>
    </row>
    <row r="589" spans="4:16" x14ac:dyDescent="0.2">
      <c r="D589">
        <v>100000344</v>
      </c>
      <c r="E589" s="49">
        <v>45380</v>
      </c>
      <c r="F589" t="s">
        <v>2221</v>
      </c>
      <c r="G589" t="s">
        <v>1754</v>
      </c>
      <c r="H589">
        <v>8</v>
      </c>
      <c r="I589">
        <v>106.8</v>
      </c>
      <c r="J589" s="50">
        <v>854.4</v>
      </c>
      <c r="K589" t="s">
        <v>1618</v>
      </c>
      <c r="M589" t="s">
        <v>1629</v>
      </c>
      <c r="N589">
        <v>56.37</v>
      </c>
      <c r="O589" s="49">
        <v>45383</v>
      </c>
      <c r="P589" s="50">
        <v>384.48</v>
      </c>
    </row>
    <row r="590" spans="4:16" x14ac:dyDescent="0.2">
      <c r="D590">
        <v>100000345</v>
      </c>
      <c r="E590" s="49">
        <v>45320</v>
      </c>
      <c r="F590" t="s">
        <v>2222</v>
      </c>
      <c r="G590" t="s">
        <v>1947</v>
      </c>
      <c r="H590">
        <v>7</v>
      </c>
      <c r="I590">
        <v>69.36</v>
      </c>
      <c r="J590" s="50">
        <v>485.52</v>
      </c>
      <c r="K590" t="s">
        <v>1632</v>
      </c>
      <c r="M590" t="s">
        <v>1629</v>
      </c>
      <c r="N590">
        <v>36.61</v>
      </c>
      <c r="O590" s="49">
        <v>45322</v>
      </c>
      <c r="P590" s="50">
        <v>218.48400000000001</v>
      </c>
    </row>
    <row r="591" spans="4:16" x14ac:dyDescent="0.2">
      <c r="D591">
        <v>100000346</v>
      </c>
      <c r="E591" s="49">
        <v>44334</v>
      </c>
      <c r="F591" t="s">
        <v>2223</v>
      </c>
      <c r="G591" t="s">
        <v>1623</v>
      </c>
      <c r="H591">
        <v>6</v>
      </c>
      <c r="I591">
        <v>118.93</v>
      </c>
      <c r="J591" s="50">
        <v>713.58</v>
      </c>
      <c r="K591" t="s">
        <v>1618</v>
      </c>
      <c r="L591" t="s">
        <v>2224</v>
      </c>
      <c r="M591" t="s">
        <v>1627</v>
      </c>
      <c r="N591">
        <v>62.77</v>
      </c>
      <c r="O591" s="49">
        <v>44337</v>
      </c>
      <c r="P591" s="50">
        <v>321.11100000000005</v>
      </c>
    </row>
    <row r="592" spans="4:16" x14ac:dyDescent="0.2">
      <c r="D592">
        <v>100000348</v>
      </c>
      <c r="E592" s="49">
        <v>44286</v>
      </c>
      <c r="F592" t="s">
        <v>2225</v>
      </c>
      <c r="G592" t="s">
        <v>1859</v>
      </c>
      <c r="H592">
        <v>6</v>
      </c>
      <c r="I592">
        <v>37.31</v>
      </c>
      <c r="J592" s="50">
        <v>223.86</v>
      </c>
      <c r="K592" t="s">
        <v>1618</v>
      </c>
      <c r="M592" t="s">
        <v>1629</v>
      </c>
      <c r="N592">
        <v>19.690000000000001</v>
      </c>
      <c r="O592" s="49">
        <v>44290</v>
      </c>
      <c r="P592" s="50">
        <v>100.73700000000001</v>
      </c>
    </row>
    <row r="593" spans="4:16" x14ac:dyDescent="0.2">
      <c r="D593">
        <v>100000348</v>
      </c>
      <c r="E593" s="49">
        <v>44683</v>
      </c>
      <c r="F593" t="s">
        <v>2225</v>
      </c>
      <c r="G593" t="s">
        <v>2039</v>
      </c>
      <c r="H593">
        <v>8</v>
      </c>
      <c r="I593">
        <v>101.44</v>
      </c>
      <c r="J593" s="50">
        <v>811.52</v>
      </c>
      <c r="K593" t="s">
        <v>1618</v>
      </c>
      <c r="M593" t="s">
        <v>1627</v>
      </c>
      <c r="N593">
        <v>53.54</v>
      </c>
      <c r="O593" s="49">
        <v>44688</v>
      </c>
      <c r="P593" s="50">
        <v>365.18400000000003</v>
      </c>
    </row>
    <row r="594" spans="4:16" x14ac:dyDescent="0.2">
      <c r="D594">
        <v>100000348</v>
      </c>
      <c r="E594" s="49">
        <v>45259</v>
      </c>
      <c r="F594" t="s">
        <v>2225</v>
      </c>
      <c r="G594" t="s">
        <v>1651</v>
      </c>
      <c r="H594">
        <v>4</v>
      </c>
      <c r="I594">
        <v>106.41</v>
      </c>
      <c r="J594" s="50">
        <v>425.64</v>
      </c>
      <c r="K594" t="s">
        <v>1618</v>
      </c>
      <c r="M594" t="s">
        <v>1624</v>
      </c>
      <c r="N594">
        <v>56.16</v>
      </c>
      <c r="O594" s="49">
        <v>45260</v>
      </c>
      <c r="P594" s="50">
        <v>191.53800000000001</v>
      </c>
    </row>
    <row r="595" spans="4:16" x14ac:dyDescent="0.2">
      <c r="D595">
        <v>100000348</v>
      </c>
      <c r="E595" s="49">
        <v>45024</v>
      </c>
      <c r="F595" t="s">
        <v>2225</v>
      </c>
      <c r="G595" t="s">
        <v>2191</v>
      </c>
      <c r="H595">
        <v>1</v>
      </c>
      <c r="I595">
        <v>71.39</v>
      </c>
      <c r="J595" s="50">
        <v>71.39</v>
      </c>
      <c r="K595" t="s">
        <v>1618</v>
      </c>
      <c r="M595" t="s">
        <v>1619</v>
      </c>
      <c r="N595">
        <v>37.68</v>
      </c>
      <c r="O595" s="49">
        <v>45027</v>
      </c>
      <c r="P595" s="50">
        <v>32.125500000000002</v>
      </c>
    </row>
    <row r="596" spans="4:16" x14ac:dyDescent="0.2">
      <c r="D596">
        <v>100000350</v>
      </c>
      <c r="E596" s="49">
        <v>44413</v>
      </c>
      <c r="F596" t="s">
        <v>2226</v>
      </c>
      <c r="G596" t="s">
        <v>1681</v>
      </c>
      <c r="H596">
        <v>1</v>
      </c>
      <c r="I596">
        <v>64.33</v>
      </c>
      <c r="J596" s="50">
        <v>64.33</v>
      </c>
      <c r="K596" t="s">
        <v>1618</v>
      </c>
      <c r="L596" t="s">
        <v>2227</v>
      </c>
      <c r="M596" t="s">
        <v>1621</v>
      </c>
      <c r="N596">
        <v>33.950000000000003</v>
      </c>
      <c r="O596" s="49">
        <v>44414</v>
      </c>
      <c r="P596" s="50">
        <v>28.948499999999999</v>
      </c>
    </row>
    <row r="597" spans="4:16" x14ac:dyDescent="0.2">
      <c r="D597">
        <v>100000352</v>
      </c>
      <c r="E597" s="49">
        <v>45274</v>
      </c>
      <c r="F597" t="s">
        <v>2228</v>
      </c>
      <c r="G597" t="s">
        <v>2103</v>
      </c>
      <c r="H597">
        <v>9</v>
      </c>
      <c r="I597">
        <v>62.11</v>
      </c>
      <c r="J597" s="50">
        <v>558.99</v>
      </c>
      <c r="K597" t="s">
        <v>1632</v>
      </c>
      <c r="M597" t="s">
        <v>1621</v>
      </c>
      <c r="N597">
        <v>32.78</v>
      </c>
      <c r="O597" s="49">
        <v>45275</v>
      </c>
      <c r="P597" s="50">
        <v>251.5455</v>
      </c>
    </row>
    <row r="598" spans="4:16" x14ac:dyDescent="0.2">
      <c r="D598">
        <v>100000352</v>
      </c>
      <c r="E598" s="49">
        <v>44565</v>
      </c>
      <c r="F598" t="s">
        <v>2228</v>
      </c>
      <c r="G598" t="s">
        <v>1702</v>
      </c>
      <c r="H598">
        <v>7</v>
      </c>
      <c r="I598">
        <v>10.29</v>
      </c>
      <c r="J598" s="50">
        <v>72.03</v>
      </c>
      <c r="K598" t="s">
        <v>1632</v>
      </c>
      <c r="M598" t="s">
        <v>1627</v>
      </c>
      <c r="N598">
        <v>5.43</v>
      </c>
      <c r="O598" s="49">
        <v>44570</v>
      </c>
      <c r="P598" s="50">
        <v>32.413499999999999</v>
      </c>
    </row>
    <row r="599" spans="4:16" x14ac:dyDescent="0.2">
      <c r="D599">
        <v>100000352</v>
      </c>
      <c r="E599" s="49">
        <v>45512</v>
      </c>
      <c r="F599" t="s">
        <v>2228</v>
      </c>
      <c r="G599" t="s">
        <v>1712</v>
      </c>
      <c r="H599">
        <v>3</v>
      </c>
      <c r="I599">
        <v>100.56</v>
      </c>
      <c r="J599" s="50">
        <v>301.68</v>
      </c>
      <c r="K599" t="s">
        <v>1632</v>
      </c>
      <c r="M599" t="s">
        <v>1619</v>
      </c>
      <c r="N599">
        <v>53.07</v>
      </c>
      <c r="O599" s="49">
        <v>45516</v>
      </c>
      <c r="P599" s="50">
        <v>135.756</v>
      </c>
    </row>
    <row r="600" spans="4:16" x14ac:dyDescent="0.2">
      <c r="D600">
        <v>100000353</v>
      </c>
      <c r="E600" s="49">
        <v>45653</v>
      </c>
      <c r="F600" t="s">
        <v>2229</v>
      </c>
      <c r="G600" t="s">
        <v>1807</v>
      </c>
      <c r="H600">
        <v>2</v>
      </c>
      <c r="I600">
        <v>73.84</v>
      </c>
      <c r="J600" s="50">
        <v>147.68</v>
      </c>
      <c r="K600" t="s">
        <v>1618</v>
      </c>
      <c r="M600" t="s">
        <v>1621</v>
      </c>
      <c r="N600">
        <v>38.97</v>
      </c>
      <c r="O600" s="49">
        <v>45654</v>
      </c>
      <c r="P600" s="50">
        <v>66.456000000000003</v>
      </c>
    </row>
    <row r="601" spans="4:16" x14ac:dyDescent="0.2">
      <c r="D601">
        <v>100000353</v>
      </c>
      <c r="E601" s="49">
        <v>45276</v>
      </c>
      <c r="F601" t="s">
        <v>2229</v>
      </c>
      <c r="G601" t="s">
        <v>1710</v>
      </c>
      <c r="H601">
        <v>1</v>
      </c>
      <c r="I601">
        <v>22.56</v>
      </c>
      <c r="J601" s="50">
        <v>22.56</v>
      </c>
      <c r="K601" t="s">
        <v>1618</v>
      </c>
      <c r="M601" t="s">
        <v>1621</v>
      </c>
      <c r="N601">
        <v>11.91</v>
      </c>
      <c r="O601" s="49">
        <v>45277</v>
      </c>
      <c r="P601" s="50">
        <v>10.151999999999999</v>
      </c>
    </row>
    <row r="602" spans="4:16" x14ac:dyDescent="0.2">
      <c r="D602">
        <v>100000353</v>
      </c>
      <c r="E602" s="49">
        <v>44405</v>
      </c>
      <c r="F602" t="s">
        <v>2229</v>
      </c>
      <c r="G602" t="s">
        <v>2230</v>
      </c>
      <c r="H602">
        <v>1</v>
      </c>
      <c r="I602">
        <v>94.71</v>
      </c>
      <c r="J602" s="50">
        <v>94.71</v>
      </c>
      <c r="K602" t="s">
        <v>1618</v>
      </c>
      <c r="M602" t="s">
        <v>1619</v>
      </c>
      <c r="N602">
        <v>49.99</v>
      </c>
      <c r="O602" s="49">
        <v>44408</v>
      </c>
      <c r="P602" s="50">
        <v>42.619499999999995</v>
      </c>
    </row>
    <row r="603" spans="4:16" x14ac:dyDescent="0.2">
      <c r="D603">
        <v>100000353</v>
      </c>
      <c r="E603" s="49">
        <v>44904</v>
      </c>
      <c r="F603" t="s">
        <v>2229</v>
      </c>
      <c r="G603" t="s">
        <v>1674</v>
      </c>
      <c r="H603">
        <v>7</v>
      </c>
      <c r="I603">
        <v>50.94</v>
      </c>
      <c r="J603" s="50">
        <v>356.58</v>
      </c>
      <c r="K603" t="s">
        <v>1618</v>
      </c>
      <c r="M603" t="s">
        <v>1619</v>
      </c>
      <c r="N603">
        <v>26.88</v>
      </c>
      <c r="O603" s="49">
        <v>44907</v>
      </c>
      <c r="P603" s="50">
        <v>160.46099999999998</v>
      </c>
    </row>
    <row r="604" spans="4:16" x14ac:dyDescent="0.2">
      <c r="D604">
        <v>100000353</v>
      </c>
      <c r="E604" s="49">
        <v>45021</v>
      </c>
      <c r="F604" t="s">
        <v>2229</v>
      </c>
      <c r="G604" t="s">
        <v>1865</v>
      </c>
      <c r="H604">
        <v>5</v>
      </c>
      <c r="I604">
        <v>93.99</v>
      </c>
      <c r="J604" s="50">
        <v>469.95</v>
      </c>
      <c r="K604" t="s">
        <v>1618</v>
      </c>
      <c r="M604" t="s">
        <v>1621</v>
      </c>
      <c r="N604">
        <v>49.61</v>
      </c>
      <c r="O604" s="49">
        <v>45024</v>
      </c>
      <c r="P604" s="50">
        <v>211.47749999999999</v>
      </c>
    </row>
    <row r="605" spans="4:16" x14ac:dyDescent="0.2">
      <c r="D605">
        <v>100000354</v>
      </c>
      <c r="E605" s="49">
        <v>44734</v>
      </c>
      <c r="F605" t="s">
        <v>2231</v>
      </c>
      <c r="G605" t="s">
        <v>2232</v>
      </c>
      <c r="H605">
        <v>2</v>
      </c>
      <c r="I605">
        <v>70.599999999999994</v>
      </c>
      <c r="J605" s="50">
        <v>141.19999999999999</v>
      </c>
      <c r="K605" t="s">
        <v>1618</v>
      </c>
      <c r="L605" t="s">
        <v>2233</v>
      </c>
      <c r="M605" t="s">
        <v>1627</v>
      </c>
      <c r="N605">
        <v>37.26</v>
      </c>
      <c r="O605" s="49">
        <v>44736</v>
      </c>
      <c r="P605" s="50">
        <v>63.54</v>
      </c>
    </row>
    <row r="606" spans="4:16" x14ac:dyDescent="0.2">
      <c r="D606">
        <v>100000356</v>
      </c>
      <c r="E606" s="49">
        <v>44557</v>
      </c>
      <c r="F606" t="s">
        <v>2234</v>
      </c>
      <c r="G606" t="s">
        <v>2147</v>
      </c>
      <c r="H606">
        <v>6</v>
      </c>
      <c r="I606">
        <v>36.08</v>
      </c>
      <c r="J606" s="50">
        <v>216.48</v>
      </c>
      <c r="K606" t="s">
        <v>1618</v>
      </c>
      <c r="M606" t="s">
        <v>1619</v>
      </c>
      <c r="N606">
        <v>19.04</v>
      </c>
      <c r="O606" s="49">
        <v>44560</v>
      </c>
      <c r="P606" s="50">
        <v>97.415999999999997</v>
      </c>
    </row>
    <row r="607" spans="4:16" x14ac:dyDescent="0.2">
      <c r="D607">
        <v>100000356</v>
      </c>
      <c r="E607" s="49">
        <v>45628</v>
      </c>
      <c r="F607" t="s">
        <v>2234</v>
      </c>
      <c r="G607" t="s">
        <v>1815</v>
      </c>
      <c r="H607">
        <v>3</v>
      </c>
      <c r="I607">
        <v>53.6</v>
      </c>
      <c r="J607" s="50">
        <v>160.80000000000001</v>
      </c>
      <c r="K607" t="s">
        <v>1618</v>
      </c>
      <c r="M607" t="s">
        <v>1627</v>
      </c>
      <c r="N607">
        <v>28.29</v>
      </c>
      <c r="O607" s="49">
        <v>45630</v>
      </c>
      <c r="P607" s="50">
        <v>72.360000000000014</v>
      </c>
    </row>
    <row r="608" spans="4:16" x14ac:dyDescent="0.2">
      <c r="D608">
        <v>100000356</v>
      </c>
      <c r="E608" s="49">
        <v>44340</v>
      </c>
      <c r="F608" t="s">
        <v>2234</v>
      </c>
      <c r="G608" t="s">
        <v>1842</v>
      </c>
      <c r="H608">
        <v>3</v>
      </c>
      <c r="I608">
        <v>57.27</v>
      </c>
      <c r="J608" s="50">
        <v>171.81</v>
      </c>
      <c r="K608" t="s">
        <v>1618</v>
      </c>
      <c r="M608" t="s">
        <v>1624</v>
      </c>
      <c r="N608">
        <v>30.23</v>
      </c>
      <c r="O608" s="49">
        <v>44341</v>
      </c>
      <c r="P608" s="50">
        <v>77.31450000000001</v>
      </c>
    </row>
    <row r="609" spans="4:16" x14ac:dyDescent="0.2">
      <c r="D609">
        <v>100000356</v>
      </c>
      <c r="E609" s="49">
        <v>44680</v>
      </c>
      <c r="F609" t="s">
        <v>2234</v>
      </c>
      <c r="G609" t="s">
        <v>1644</v>
      </c>
      <c r="H609">
        <v>5</v>
      </c>
      <c r="I609">
        <v>70.430000000000007</v>
      </c>
      <c r="J609" s="50">
        <v>352.15</v>
      </c>
      <c r="K609" t="s">
        <v>1618</v>
      </c>
      <c r="M609" t="s">
        <v>1629</v>
      </c>
      <c r="N609">
        <v>37.17</v>
      </c>
      <c r="O609" s="49">
        <v>44685</v>
      </c>
      <c r="P609" s="50">
        <v>158.4675</v>
      </c>
    </row>
    <row r="610" spans="4:16" x14ac:dyDescent="0.2">
      <c r="D610">
        <v>100000358</v>
      </c>
      <c r="E610" s="49">
        <v>44431</v>
      </c>
      <c r="F610" t="s">
        <v>2235</v>
      </c>
      <c r="G610" t="s">
        <v>1922</v>
      </c>
      <c r="H610">
        <v>6</v>
      </c>
      <c r="I610">
        <v>68.44</v>
      </c>
      <c r="J610" s="50">
        <v>410.64</v>
      </c>
      <c r="K610" t="s">
        <v>1632</v>
      </c>
      <c r="L610" t="s">
        <v>2236</v>
      </c>
      <c r="M610" t="s">
        <v>1627</v>
      </c>
      <c r="N610">
        <v>36.119999999999997</v>
      </c>
      <c r="O610" s="49">
        <v>44435</v>
      </c>
      <c r="P610" s="50">
        <v>184.78800000000001</v>
      </c>
    </row>
    <row r="611" spans="4:16" x14ac:dyDescent="0.2">
      <c r="D611">
        <v>100000358</v>
      </c>
      <c r="E611" s="49">
        <v>45059</v>
      </c>
      <c r="F611" t="s">
        <v>2235</v>
      </c>
      <c r="G611" t="s">
        <v>2004</v>
      </c>
      <c r="H611">
        <v>6</v>
      </c>
      <c r="I611">
        <v>35.15</v>
      </c>
      <c r="J611" s="50">
        <v>210.9</v>
      </c>
      <c r="K611" t="s">
        <v>1632</v>
      </c>
      <c r="L611" t="s">
        <v>2236</v>
      </c>
      <c r="M611" t="s">
        <v>1629</v>
      </c>
      <c r="N611">
        <v>18.55</v>
      </c>
      <c r="O611" s="49">
        <v>45063</v>
      </c>
      <c r="P611" s="50">
        <v>94.905000000000001</v>
      </c>
    </row>
    <row r="612" spans="4:16" x14ac:dyDescent="0.2">
      <c r="D612">
        <v>100000359</v>
      </c>
      <c r="E612" s="49">
        <v>44811</v>
      </c>
      <c r="F612" t="s">
        <v>2237</v>
      </c>
      <c r="G612" t="s">
        <v>1658</v>
      </c>
      <c r="H612">
        <v>9</v>
      </c>
      <c r="I612">
        <v>82.35</v>
      </c>
      <c r="J612" s="50">
        <v>741.15</v>
      </c>
      <c r="K612" t="s">
        <v>1618</v>
      </c>
      <c r="M612" t="s">
        <v>1621</v>
      </c>
      <c r="N612">
        <v>43.46</v>
      </c>
      <c r="O612" s="49">
        <v>44814</v>
      </c>
      <c r="P612" s="50">
        <v>333.51749999999998</v>
      </c>
    </row>
    <row r="613" spans="4:16" x14ac:dyDescent="0.2">
      <c r="D613">
        <v>100000361</v>
      </c>
      <c r="E613" s="49">
        <v>44277</v>
      </c>
      <c r="F613" t="s">
        <v>2238</v>
      </c>
      <c r="G613" t="s">
        <v>2103</v>
      </c>
      <c r="H613">
        <v>3</v>
      </c>
      <c r="I613">
        <v>39.880000000000003</v>
      </c>
      <c r="J613" s="50">
        <v>119.64</v>
      </c>
      <c r="K613" t="s">
        <v>1632</v>
      </c>
      <c r="L613" t="s">
        <v>2239</v>
      </c>
      <c r="M613" t="s">
        <v>1624</v>
      </c>
      <c r="N613">
        <v>21.05</v>
      </c>
      <c r="O613" s="49">
        <v>44279</v>
      </c>
      <c r="P613" s="50">
        <v>53.838000000000001</v>
      </c>
    </row>
    <row r="614" spans="4:16" x14ac:dyDescent="0.2">
      <c r="D614">
        <v>100000361</v>
      </c>
      <c r="E614" s="49">
        <v>44966</v>
      </c>
      <c r="F614" t="s">
        <v>2238</v>
      </c>
      <c r="G614" t="s">
        <v>2240</v>
      </c>
      <c r="H614">
        <v>5</v>
      </c>
      <c r="I614">
        <v>117.65</v>
      </c>
      <c r="J614" s="50">
        <v>588.25</v>
      </c>
      <c r="K614" t="s">
        <v>1632</v>
      </c>
      <c r="L614" t="s">
        <v>2239</v>
      </c>
      <c r="M614" t="s">
        <v>1621</v>
      </c>
      <c r="N614">
        <v>62.09</v>
      </c>
      <c r="O614" s="49">
        <v>44967</v>
      </c>
      <c r="P614" s="50">
        <v>264.71250000000003</v>
      </c>
    </row>
    <row r="615" spans="4:16" x14ac:dyDescent="0.2">
      <c r="D615">
        <v>100000362</v>
      </c>
      <c r="E615" s="49">
        <v>44968</v>
      </c>
      <c r="F615" t="s">
        <v>2241</v>
      </c>
      <c r="G615" t="s">
        <v>2242</v>
      </c>
      <c r="H615">
        <v>8</v>
      </c>
      <c r="I615">
        <v>88.8</v>
      </c>
      <c r="J615" s="50">
        <v>710.4</v>
      </c>
      <c r="K615" t="s">
        <v>1632</v>
      </c>
      <c r="M615" t="s">
        <v>1629</v>
      </c>
      <c r="N615">
        <v>46.87</v>
      </c>
      <c r="O615" s="49">
        <v>44972</v>
      </c>
      <c r="P615" s="50">
        <v>319.68</v>
      </c>
    </row>
    <row r="616" spans="4:16" x14ac:dyDescent="0.2">
      <c r="D616">
        <v>100000363</v>
      </c>
      <c r="E616" s="49">
        <v>45385</v>
      </c>
      <c r="F616" t="s">
        <v>2243</v>
      </c>
      <c r="G616" t="s">
        <v>2078</v>
      </c>
      <c r="H616">
        <v>8</v>
      </c>
      <c r="I616">
        <v>65.650000000000006</v>
      </c>
      <c r="J616" s="50">
        <v>525.20000000000005</v>
      </c>
      <c r="K616" t="s">
        <v>1618</v>
      </c>
      <c r="L616" t="s">
        <v>2244</v>
      </c>
      <c r="M616" t="s">
        <v>1621</v>
      </c>
      <c r="N616">
        <v>34.65</v>
      </c>
      <c r="O616" s="49">
        <v>45389</v>
      </c>
      <c r="P616" s="50">
        <v>236.34000000000003</v>
      </c>
    </row>
    <row r="617" spans="4:16" x14ac:dyDescent="0.2">
      <c r="D617">
        <v>100000365</v>
      </c>
      <c r="E617" s="49">
        <v>45421</v>
      </c>
      <c r="F617" t="s">
        <v>2245</v>
      </c>
      <c r="G617" t="s">
        <v>1817</v>
      </c>
      <c r="H617">
        <v>4</v>
      </c>
      <c r="I617">
        <v>99.02</v>
      </c>
      <c r="J617" s="50">
        <v>396.08</v>
      </c>
      <c r="K617" t="s">
        <v>1618</v>
      </c>
      <c r="M617" t="s">
        <v>1624</v>
      </c>
      <c r="N617">
        <v>52.26</v>
      </c>
      <c r="O617" s="49">
        <v>45424</v>
      </c>
      <c r="P617" s="50">
        <v>178.23599999999999</v>
      </c>
    </row>
    <row r="618" spans="4:16" x14ac:dyDescent="0.2">
      <c r="D618">
        <v>100000368</v>
      </c>
      <c r="E618" s="49">
        <v>44669</v>
      </c>
      <c r="F618" t="s">
        <v>2246</v>
      </c>
      <c r="G618" t="s">
        <v>1666</v>
      </c>
      <c r="H618">
        <v>2</v>
      </c>
      <c r="I618">
        <v>12.89</v>
      </c>
      <c r="J618" s="50">
        <v>25.78</v>
      </c>
      <c r="K618" t="s">
        <v>1632</v>
      </c>
      <c r="M618" t="s">
        <v>1619</v>
      </c>
      <c r="N618">
        <v>6.8</v>
      </c>
      <c r="O618" s="49">
        <v>44671</v>
      </c>
      <c r="P618" s="50">
        <v>11.601000000000001</v>
      </c>
    </row>
    <row r="619" spans="4:16" x14ac:dyDescent="0.2">
      <c r="D619">
        <v>100000369</v>
      </c>
      <c r="E619" s="49">
        <v>45401</v>
      </c>
      <c r="F619" t="s">
        <v>2247</v>
      </c>
      <c r="G619" t="s">
        <v>1658</v>
      </c>
      <c r="H619">
        <v>1</v>
      </c>
      <c r="I619">
        <v>13.27</v>
      </c>
      <c r="J619" s="50">
        <v>13.27</v>
      </c>
      <c r="K619" t="s">
        <v>1618</v>
      </c>
      <c r="M619" t="s">
        <v>1621</v>
      </c>
      <c r="N619">
        <v>7</v>
      </c>
      <c r="O619" s="49">
        <v>45404</v>
      </c>
      <c r="P619" s="50">
        <v>5.9714999999999998</v>
      </c>
    </row>
    <row r="620" spans="4:16" x14ac:dyDescent="0.2">
      <c r="D620">
        <v>100000369</v>
      </c>
      <c r="E620" s="49">
        <v>44398</v>
      </c>
      <c r="F620" t="s">
        <v>2247</v>
      </c>
      <c r="G620" t="s">
        <v>1697</v>
      </c>
      <c r="H620">
        <v>8</v>
      </c>
      <c r="I620">
        <v>30.8</v>
      </c>
      <c r="J620" s="50">
        <v>246.4</v>
      </c>
      <c r="K620" t="s">
        <v>1618</v>
      </c>
      <c r="M620" t="s">
        <v>1619</v>
      </c>
      <c r="N620">
        <v>16.260000000000002</v>
      </c>
      <c r="O620" s="49">
        <v>44402</v>
      </c>
      <c r="P620" s="50">
        <v>110.88000000000001</v>
      </c>
    </row>
    <row r="621" spans="4:16" x14ac:dyDescent="0.2">
      <c r="D621">
        <v>100000370</v>
      </c>
      <c r="E621" s="49">
        <v>45581</v>
      </c>
      <c r="F621" t="s">
        <v>2248</v>
      </c>
      <c r="G621" t="s">
        <v>2159</v>
      </c>
      <c r="H621">
        <v>2</v>
      </c>
      <c r="I621">
        <v>72.44</v>
      </c>
      <c r="J621" s="50">
        <v>144.88</v>
      </c>
      <c r="K621" t="s">
        <v>1632</v>
      </c>
      <c r="M621" t="s">
        <v>1619</v>
      </c>
      <c r="N621">
        <v>38.229999999999997</v>
      </c>
      <c r="O621" s="49">
        <v>45583</v>
      </c>
      <c r="P621" s="50">
        <v>65.195999999999998</v>
      </c>
    </row>
    <row r="622" spans="4:16" x14ac:dyDescent="0.2">
      <c r="D622">
        <v>100000372</v>
      </c>
      <c r="E622" s="49">
        <v>45644</v>
      </c>
      <c r="F622" t="s">
        <v>2249</v>
      </c>
      <c r="G622" t="s">
        <v>1820</v>
      </c>
      <c r="H622">
        <v>9</v>
      </c>
      <c r="I622">
        <v>110.66</v>
      </c>
      <c r="J622" s="50">
        <v>995.93999999999994</v>
      </c>
      <c r="K622" t="s">
        <v>1632</v>
      </c>
      <c r="L622" t="s">
        <v>2250</v>
      </c>
      <c r="M622" t="s">
        <v>1627</v>
      </c>
      <c r="N622">
        <v>58.4</v>
      </c>
      <c r="O622" s="49">
        <v>45646</v>
      </c>
      <c r="P622" s="50">
        <v>448.173</v>
      </c>
    </row>
    <row r="623" spans="4:16" x14ac:dyDescent="0.2">
      <c r="D623">
        <v>100000373</v>
      </c>
      <c r="E623" s="49">
        <v>44484</v>
      </c>
      <c r="F623" t="s">
        <v>2251</v>
      </c>
      <c r="G623" t="s">
        <v>2147</v>
      </c>
      <c r="H623">
        <v>3</v>
      </c>
      <c r="I623">
        <v>26.96</v>
      </c>
      <c r="J623" s="50">
        <v>80.88</v>
      </c>
      <c r="K623" t="s">
        <v>1632</v>
      </c>
      <c r="M623" t="s">
        <v>1619</v>
      </c>
      <c r="N623">
        <v>14.23</v>
      </c>
      <c r="O623" s="49">
        <v>44489</v>
      </c>
      <c r="P623" s="50">
        <v>36.396000000000001</v>
      </c>
    </row>
    <row r="624" spans="4:16" x14ac:dyDescent="0.2">
      <c r="D624">
        <v>100000373</v>
      </c>
      <c r="E624" s="49">
        <v>45072</v>
      </c>
      <c r="F624" t="s">
        <v>2251</v>
      </c>
      <c r="G624" t="s">
        <v>1941</v>
      </c>
      <c r="H624">
        <v>1</v>
      </c>
      <c r="I624">
        <v>62.05</v>
      </c>
      <c r="J624" s="50">
        <v>62.05</v>
      </c>
      <c r="K624" t="s">
        <v>1632</v>
      </c>
      <c r="M624" t="s">
        <v>1629</v>
      </c>
      <c r="N624">
        <v>32.75</v>
      </c>
      <c r="O624" s="49">
        <v>45073</v>
      </c>
      <c r="P624" s="50">
        <v>27.922499999999999</v>
      </c>
    </row>
    <row r="625" spans="4:16" x14ac:dyDescent="0.2">
      <c r="D625">
        <v>100000373</v>
      </c>
      <c r="E625" s="49">
        <v>44925</v>
      </c>
      <c r="F625" t="s">
        <v>2251</v>
      </c>
      <c r="G625" t="s">
        <v>2064</v>
      </c>
      <c r="H625">
        <v>10</v>
      </c>
      <c r="I625">
        <v>83.77</v>
      </c>
      <c r="J625" s="50">
        <v>837.69999999999993</v>
      </c>
      <c r="K625" t="s">
        <v>1632</v>
      </c>
      <c r="M625" t="s">
        <v>1629</v>
      </c>
      <c r="N625">
        <v>44.21</v>
      </c>
      <c r="O625" s="49">
        <v>44927</v>
      </c>
      <c r="P625" s="50">
        <v>376.96499999999997</v>
      </c>
    </row>
    <row r="626" spans="4:16" x14ac:dyDescent="0.2">
      <c r="D626">
        <v>100000373</v>
      </c>
      <c r="E626" s="49">
        <v>44757</v>
      </c>
      <c r="F626" t="s">
        <v>2251</v>
      </c>
      <c r="G626" t="s">
        <v>1696</v>
      </c>
      <c r="H626">
        <v>10</v>
      </c>
      <c r="I626">
        <v>34.43</v>
      </c>
      <c r="J626" s="50">
        <v>344.3</v>
      </c>
      <c r="K626" t="s">
        <v>1632</v>
      </c>
      <c r="M626" t="s">
        <v>1621</v>
      </c>
      <c r="N626">
        <v>18.170000000000002</v>
      </c>
      <c r="O626" s="49">
        <v>44760</v>
      </c>
      <c r="P626" s="50">
        <v>154.935</v>
      </c>
    </row>
    <row r="627" spans="4:16" x14ac:dyDescent="0.2">
      <c r="D627">
        <v>100000374</v>
      </c>
      <c r="E627" s="49">
        <v>45279</v>
      </c>
      <c r="F627" t="s">
        <v>2252</v>
      </c>
      <c r="G627" t="s">
        <v>2090</v>
      </c>
      <c r="H627">
        <v>2</v>
      </c>
      <c r="I627">
        <v>102.36</v>
      </c>
      <c r="J627" s="50">
        <v>204.72</v>
      </c>
      <c r="K627" t="s">
        <v>1618</v>
      </c>
      <c r="M627" t="s">
        <v>1627</v>
      </c>
      <c r="N627">
        <v>54.02</v>
      </c>
      <c r="O627" s="49">
        <v>45282</v>
      </c>
      <c r="P627" s="50">
        <v>92.123999999999995</v>
      </c>
    </row>
    <row r="628" spans="4:16" x14ac:dyDescent="0.2">
      <c r="D628">
        <v>100000375</v>
      </c>
      <c r="E628" s="49">
        <v>44743</v>
      </c>
      <c r="F628" t="s">
        <v>2253</v>
      </c>
      <c r="G628" t="s">
        <v>1652</v>
      </c>
      <c r="H628">
        <v>7</v>
      </c>
      <c r="I628">
        <v>27.59</v>
      </c>
      <c r="J628" s="50">
        <v>193.13</v>
      </c>
      <c r="K628" t="s">
        <v>1632</v>
      </c>
      <c r="M628" t="s">
        <v>1621</v>
      </c>
      <c r="N628">
        <v>14.56</v>
      </c>
      <c r="O628" s="49">
        <v>44744</v>
      </c>
      <c r="P628" s="50">
        <v>86.908500000000004</v>
      </c>
    </row>
    <row r="629" spans="4:16" x14ac:dyDescent="0.2">
      <c r="D629">
        <v>100000376</v>
      </c>
      <c r="E629" s="49">
        <v>44967</v>
      </c>
      <c r="F629" t="s">
        <v>2254</v>
      </c>
      <c r="G629" t="s">
        <v>2042</v>
      </c>
      <c r="H629">
        <v>1</v>
      </c>
      <c r="I629">
        <v>105.31</v>
      </c>
      <c r="J629" s="50">
        <v>105.31</v>
      </c>
      <c r="K629" t="s">
        <v>1618</v>
      </c>
      <c r="M629" t="s">
        <v>1627</v>
      </c>
      <c r="N629">
        <v>55.58</v>
      </c>
      <c r="O629" s="49">
        <v>44969</v>
      </c>
      <c r="P629" s="50">
        <v>47.389500000000005</v>
      </c>
    </row>
    <row r="630" spans="4:16" x14ac:dyDescent="0.2">
      <c r="D630">
        <v>100000376</v>
      </c>
      <c r="E630" s="49">
        <v>45514</v>
      </c>
      <c r="F630" t="s">
        <v>2254</v>
      </c>
      <c r="G630" t="s">
        <v>2255</v>
      </c>
      <c r="H630">
        <v>2</v>
      </c>
      <c r="I630">
        <v>41.21</v>
      </c>
      <c r="J630" s="50">
        <v>82.42</v>
      </c>
      <c r="K630" t="s">
        <v>1618</v>
      </c>
      <c r="M630" t="s">
        <v>1621</v>
      </c>
      <c r="N630">
        <v>21.75</v>
      </c>
      <c r="O630" s="49">
        <v>45519</v>
      </c>
      <c r="P630" s="50">
        <v>37.088999999999999</v>
      </c>
    </row>
    <row r="631" spans="4:16" x14ac:dyDescent="0.2">
      <c r="D631">
        <v>100000376</v>
      </c>
      <c r="E631" s="49">
        <v>44817</v>
      </c>
      <c r="F631" t="s">
        <v>2254</v>
      </c>
      <c r="G631" t="s">
        <v>1644</v>
      </c>
      <c r="H631">
        <v>6</v>
      </c>
      <c r="I631">
        <v>32.1</v>
      </c>
      <c r="J631" s="50">
        <v>192.6</v>
      </c>
      <c r="K631" t="s">
        <v>1618</v>
      </c>
      <c r="M631" t="s">
        <v>1627</v>
      </c>
      <c r="N631">
        <v>16.940000000000001</v>
      </c>
      <c r="O631" s="49">
        <v>44820</v>
      </c>
      <c r="P631" s="50">
        <v>86.67</v>
      </c>
    </row>
    <row r="632" spans="4:16" x14ac:dyDescent="0.2">
      <c r="D632">
        <v>100000377</v>
      </c>
      <c r="E632" s="49">
        <v>45073</v>
      </c>
      <c r="F632" t="s">
        <v>2256</v>
      </c>
      <c r="G632" t="s">
        <v>2163</v>
      </c>
      <c r="H632">
        <v>4</v>
      </c>
      <c r="I632">
        <v>14.17</v>
      </c>
      <c r="J632" s="50">
        <v>56.68</v>
      </c>
      <c r="K632" t="s">
        <v>1632</v>
      </c>
      <c r="M632" t="s">
        <v>1627</v>
      </c>
      <c r="N632">
        <v>7.48</v>
      </c>
      <c r="O632" s="49">
        <v>45075</v>
      </c>
      <c r="P632" s="50">
        <v>25.506</v>
      </c>
    </row>
    <row r="633" spans="4:16" x14ac:dyDescent="0.2">
      <c r="D633">
        <v>100000377</v>
      </c>
      <c r="E633" s="49">
        <v>44972</v>
      </c>
      <c r="F633" t="s">
        <v>2256</v>
      </c>
      <c r="G633" t="s">
        <v>1953</v>
      </c>
      <c r="H633">
        <v>6</v>
      </c>
      <c r="I633">
        <v>84.6</v>
      </c>
      <c r="J633" s="50">
        <v>507.6</v>
      </c>
      <c r="K633" t="s">
        <v>1632</v>
      </c>
      <c r="M633" t="s">
        <v>1629</v>
      </c>
      <c r="N633">
        <v>44.65</v>
      </c>
      <c r="O633" s="49">
        <v>44977</v>
      </c>
      <c r="P633" s="50">
        <v>228.42000000000002</v>
      </c>
    </row>
    <row r="634" spans="4:16" x14ac:dyDescent="0.2">
      <c r="D634">
        <v>100000378</v>
      </c>
      <c r="E634" s="49">
        <v>44434</v>
      </c>
      <c r="F634" t="s">
        <v>2257</v>
      </c>
      <c r="G634" t="s">
        <v>1950</v>
      </c>
      <c r="H634">
        <v>3</v>
      </c>
      <c r="I634">
        <v>58.62</v>
      </c>
      <c r="J634" s="50">
        <v>175.86</v>
      </c>
      <c r="K634" t="s">
        <v>1618</v>
      </c>
      <c r="L634" t="s">
        <v>2258</v>
      </c>
      <c r="M634" t="s">
        <v>1624</v>
      </c>
      <c r="N634">
        <v>30.94</v>
      </c>
      <c r="O634" s="49">
        <v>44435</v>
      </c>
      <c r="P634" s="50">
        <v>79.137000000000015</v>
      </c>
    </row>
    <row r="635" spans="4:16" x14ac:dyDescent="0.2">
      <c r="D635">
        <v>100000380</v>
      </c>
      <c r="E635" s="49">
        <v>44310</v>
      </c>
      <c r="F635" t="s">
        <v>2259</v>
      </c>
      <c r="G635" t="s">
        <v>1783</v>
      </c>
      <c r="H635">
        <v>5</v>
      </c>
      <c r="I635">
        <v>67.2</v>
      </c>
      <c r="J635" s="50">
        <v>336</v>
      </c>
      <c r="K635" t="s">
        <v>1618</v>
      </c>
      <c r="L635" t="s">
        <v>2260</v>
      </c>
      <c r="M635" t="s">
        <v>1629</v>
      </c>
      <c r="N635">
        <v>35.47</v>
      </c>
      <c r="O635" s="49">
        <v>44313</v>
      </c>
      <c r="P635" s="50">
        <v>151.20000000000002</v>
      </c>
    </row>
    <row r="636" spans="4:16" x14ac:dyDescent="0.2">
      <c r="D636">
        <v>100000380</v>
      </c>
      <c r="E636" s="49">
        <v>45648</v>
      </c>
      <c r="F636" t="s">
        <v>2259</v>
      </c>
      <c r="G636" t="s">
        <v>2261</v>
      </c>
      <c r="H636">
        <v>9</v>
      </c>
      <c r="I636">
        <v>61.76</v>
      </c>
      <c r="J636" s="50">
        <v>555.84</v>
      </c>
      <c r="K636" t="s">
        <v>1618</v>
      </c>
      <c r="L636" t="s">
        <v>2260</v>
      </c>
      <c r="M636" t="s">
        <v>1627</v>
      </c>
      <c r="N636">
        <v>32.6</v>
      </c>
      <c r="O636" s="49">
        <v>45652</v>
      </c>
      <c r="P636" s="50">
        <v>250.12800000000001</v>
      </c>
    </row>
    <row r="637" spans="4:16" x14ac:dyDescent="0.2">
      <c r="D637">
        <v>100000381</v>
      </c>
      <c r="E637" s="49">
        <v>44356</v>
      </c>
      <c r="F637" t="s">
        <v>2262</v>
      </c>
      <c r="G637" t="s">
        <v>2263</v>
      </c>
      <c r="H637">
        <v>1</v>
      </c>
      <c r="I637">
        <v>32.03</v>
      </c>
      <c r="J637" s="50">
        <v>32.03</v>
      </c>
      <c r="K637" t="s">
        <v>1632</v>
      </c>
      <c r="M637" t="s">
        <v>1621</v>
      </c>
      <c r="N637">
        <v>16.899999999999999</v>
      </c>
      <c r="O637" s="49">
        <v>44361</v>
      </c>
      <c r="P637" s="50">
        <v>14.413500000000001</v>
      </c>
    </row>
    <row r="638" spans="4:16" x14ac:dyDescent="0.2">
      <c r="D638">
        <v>100000382</v>
      </c>
      <c r="E638" s="49">
        <v>44538</v>
      </c>
      <c r="F638" t="s">
        <v>2264</v>
      </c>
      <c r="G638" t="s">
        <v>1754</v>
      </c>
      <c r="H638">
        <v>8</v>
      </c>
      <c r="I638">
        <v>67.16</v>
      </c>
      <c r="J638" s="50">
        <v>537.28</v>
      </c>
      <c r="K638" t="s">
        <v>1618</v>
      </c>
      <c r="L638" t="s">
        <v>2265</v>
      </c>
      <c r="M638" t="s">
        <v>1619</v>
      </c>
      <c r="N638">
        <v>35.450000000000003</v>
      </c>
      <c r="O638" s="49">
        <v>44539</v>
      </c>
      <c r="P638" s="50">
        <v>241.77599999999998</v>
      </c>
    </row>
    <row r="639" spans="4:16" x14ac:dyDescent="0.2">
      <c r="D639">
        <v>100000383</v>
      </c>
      <c r="E639" s="49">
        <v>45244</v>
      </c>
      <c r="F639" t="s">
        <v>2266</v>
      </c>
      <c r="G639" t="s">
        <v>1670</v>
      </c>
      <c r="H639">
        <v>6</v>
      </c>
      <c r="I639">
        <v>54.26</v>
      </c>
      <c r="J639" s="50">
        <v>325.56</v>
      </c>
      <c r="K639" t="s">
        <v>1632</v>
      </c>
      <c r="M639" t="s">
        <v>1629</v>
      </c>
      <c r="N639">
        <v>28.64</v>
      </c>
      <c r="O639" s="49">
        <v>45245</v>
      </c>
      <c r="P639" s="50">
        <v>146.50200000000001</v>
      </c>
    </row>
    <row r="640" spans="4:16" x14ac:dyDescent="0.2">
      <c r="D640">
        <v>100000384</v>
      </c>
      <c r="E640" s="49">
        <v>44553</v>
      </c>
      <c r="F640" t="s">
        <v>2267</v>
      </c>
      <c r="G640" t="s">
        <v>1978</v>
      </c>
      <c r="H640">
        <v>8</v>
      </c>
      <c r="I640">
        <v>16.399999999999999</v>
      </c>
      <c r="J640" s="50">
        <v>131.19999999999999</v>
      </c>
      <c r="K640" t="s">
        <v>1618</v>
      </c>
      <c r="L640" t="s">
        <v>2268</v>
      </c>
      <c r="M640" t="s">
        <v>1624</v>
      </c>
      <c r="N640">
        <v>8.66</v>
      </c>
      <c r="O640" s="49">
        <v>44558</v>
      </c>
      <c r="P640" s="50">
        <v>59.04</v>
      </c>
    </row>
    <row r="641" spans="4:16" x14ac:dyDescent="0.2">
      <c r="D641">
        <v>100000385</v>
      </c>
      <c r="E641" s="49">
        <v>45257</v>
      </c>
      <c r="F641" t="s">
        <v>1907</v>
      </c>
      <c r="G641" t="s">
        <v>2269</v>
      </c>
      <c r="H641">
        <v>6</v>
      </c>
      <c r="I641">
        <v>89.92</v>
      </c>
      <c r="J641" s="50">
        <v>539.52</v>
      </c>
      <c r="K641" t="s">
        <v>1632</v>
      </c>
      <c r="M641" t="s">
        <v>1629</v>
      </c>
      <c r="N641">
        <v>47.46</v>
      </c>
      <c r="O641" s="49">
        <v>45260</v>
      </c>
      <c r="P641" s="50">
        <v>242.78399999999999</v>
      </c>
    </row>
    <row r="642" spans="4:16" x14ac:dyDescent="0.2">
      <c r="D642">
        <v>100000386</v>
      </c>
      <c r="E642" s="49">
        <v>45538</v>
      </c>
      <c r="F642" t="s">
        <v>2270</v>
      </c>
      <c r="G642" t="s">
        <v>2163</v>
      </c>
      <c r="H642">
        <v>2</v>
      </c>
      <c r="I642">
        <v>81.93</v>
      </c>
      <c r="J642" s="50">
        <v>163.86</v>
      </c>
      <c r="K642" t="s">
        <v>1632</v>
      </c>
      <c r="M642" t="s">
        <v>1629</v>
      </c>
      <c r="N642">
        <v>43.24</v>
      </c>
      <c r="O642" s="49">
        <v>45542</v>
      </c>
      <c r="P642" s="50">
        <v>73.737000000000009</v>
      </c>
    </row>
    <row r="643" spans="4:16" x14ac:dyDescent="0.2">
      <c r="D643">
        <v>100000386</v>
      </c>
      <c r="E643" s="49">
        <v>45598</v>
      </c>
      <c r="F643" t="s">
        <v>2270</v>
      </c>
      <c r="G643" t="s">
        <v>2028</v>
      </c>
      <c r="H643">
        <v>3</v>
      </c>
      <c r="I643">
        <v>70.98</v>
      </c>
      <c r="J643" s="50">
        <v>212.94</v>
      </c>
      <c r="K643" t="s">
        <v>1632</v>
      </c>
      <c r="M643" t="s">
        <v>1627</v>
      </c>
      <c r="N643">
        <v>37.46</v>
      </c>
      <c r="O643" s="49">
        <v>45600</v>
      </c>
      <c r="P643" s="50">
        <v>95.823000000000008</v>
      </c>
    </row>
    <row r="644" spans="4:16" x14ac:dyDescent="0.2">
      <c r="D644">
        <v>100000387</v>
      </c>
      <c r="E644" s="49">
        <v>44834</v>
      </c>
      <c r="F644" t="s">
        <v>2271</v>
      </c>
      <c r="G644" t="s">
        <v>2132</v>
      </c>
      <c r="H644">
        <v>1</v>
      </c>
      <c r="I644">
        <v>67.77</v>
      </c>
      <c r="J644" s="50">
        <v>67.77</v>
      </c>
      <c r="K644" t="s">
        <v>1618</v>
      </c>
      <c r="L644" t="s">
        <v>2272</v>
      </c>
      <c r="M644" t="s">
        <v>1629</v>
      </c>
      <c r="N644">
        <v>35.770000000000003</v>
      </c>
      <c r="O644" s="49">
        <v>44838</v>
      </c>
      <c r="P644" s="50">
        <v>30.496499999999997</v>
      </c>
    </row>
    <row r="645" spans="4:16" x14ac:dyDescent="0.2">
      <c r="D645">
        <v>100000388</v>
      </c>
      <c r="E645" s="49">
        <v>44553</v>
      </c>
      <c r="F645" t="s">
        <v>2273</v>
      </c>
      <c r="G645" t="s">
        <v>1646</v>
      </c>
      <c r="H645">
        <v>10</v>
      </c>
      <c r="I645">
        <v>113.16</v>
      </c>
      <c r="J645" s="50">
        <v>1131.5999999999999</v>
      </c>
      <c r="K645" t="s">
        <v>1618</v>
      </c>
      <c r="L645" t="s">
        <v>2274</v>
      </c>
      <c r="M645" t="s">
        <v>1629</v>
      </c>
      <c r="N645">
        <v>59.72</v>
      </c>
      <c r="O645" s="49">
        <v>44555</v>
      </c>
      <c r="P645" s="50">
        <v>509.21999999999997</v>
      </c>
    </row>
    <row r="646" spans="4:16" x14ac:dyDescent="0.2">
      <c r="D646">
        <v>100000389</v>
      </c>
      <c r="E646" s="49">
        <v>44715</v>
      </c>
      <c r="F646" t="s">
        <v>2275</v>
      </c>
      <c r="G646" t="s">
        <v>1663</v>
      </c>
      <c r="H646">
        <v>9</v>
      </c>
      <c r="I646">
        <v>45.07</v>
      </c>
      <c r="J646" s="50">
        <v>405.63</v>
      </c>
      <c r="K646" t="s">
        <v>1618</v>
      </c>
      <c r="L646" t="s">
        <v>2276</v>
      </c>
      <c r="M646" t="s">
        <v>1627</v>
      </c>
      <c r="N646">
        <v>23.79</v>
      </c>
      <c r="O646" s="49">
        <v>44720</v>
      </c>
      <c r="P646" s="50">
        <v>182.5335</v>
      </c>
    </row>
    <row r="647" spans="4:16" x14ac:dyDescent="0.2">
      <c r="D647">
        <v>100000390</v>
      </c>
      <c r="E647" s="49">
        <v>44781</v>
      </c>
      <c r="F647" t="s">
        <v>2277</v>
      </c>
      <c r="G647" t="s">
        <v>2278</v>
      </c>
      <c r="H647">
        <v>3</v>
      </c>
      <c r="I647">
        <v>67.459999999999994</v>
      </c>
      <c r="J647" s="50">
        <v>202.38</v>
      </c>
      <c r="K647" t="s">
        <v>1632</v>
      </c>
      <c r="M647" t="s">
        <v>1621</v>
      </c>
      <c r="N647">
        <v>35.6</v>
      </c>
      <c r="O647" s="49">
        <v>44782</v>
      </c>
      <c r="P647" s="50">
        <v>91.070999999999998</v>
      </c>
    </row>
    <row r="648" spans="4:16" x14ac:dyDescent="0.2">
      <c r="D648">
        <v>100000391</v>
      </c>
      <c r="E648" s="49">
        <v>44495</v>
      </c>
      <c r="F648" t="s">
        <v>2279</v>
      </c>
      <c r="G648" t="s">
        <v>1701</v>
      </c>
      <c r="H648">
        <v>2</v>
      </c>
      <c r="I648">
        <v>103.2</v>
      </c>
      <c r="J648" s="50">
        <v>206.4</v>
      </c>
      <c r="K648" t="s">
        <v>1618</v>
      </c>
      <c r="M648" t="s">
        <v>1624</v>
      </c>
      <c r="N648">
        <v>54.47</v>
      </c>
      <c r="O648" s="49">
        <v>44496</v>
      </c>
      <c r="P648" s="50">
        <v>92.88000000000001</v>
      </c>
    </row>
    <row r="649" spans="4:16" x14ac:dyDescent="0.2">
      <c r="D649">
        <v>100000392</v>
      </c>
      <c r="E649" s="49">
        <v>44486</v>
      </c>
      <c r="F649" t="s">
        <v>2280</v>
      </c>
      <c r="G649" t="s">
        <v>1801</v>
      </c>
      <c r="H649">
        <v>3</v>
      </c>
      <c r="I649">
        <v>18.28</v>
      </c>
      <c r="J649" s="50">
        <v>54.84</v>
      </c>
      <c r="K649" t="s">
        <v>1632</v>
      </c>
      <c r="M649" t="s">
        <v>1629</v>
      </c>
      <c r="N649">
        <v>9.65</v>
      </c>
      <c r="O649" s="49">
        <v>44491</v>
      </c>
      <c r="P649" s="50">
        <v>24.678000000000001</v>
      </c>
    </row>
    <row r="650" spans="4:16" x14ac:dyDescent="0.2">
      <c r="D650">
        <v>100000392</v>
      </c>
      <c r="E650" s="49">
        <v>44716</v>
      </c>
      <c r="F650" t="s">
        <v>2280</v>
      </c>
      <c r="G650" t="s">
        <v>1651</v>
      </c>
      <c r="H650">
        <v>8</v>
      </c>
      <c r="I650">
        <v>104.84</v>
      </c>
      <c r="J650" s="50">
        <v>838.72</v>
      </c>
      <c r="K650" t="s">
        <v>1632</v>
      </c>
      <c r="M650" t="s">
        <v>1624</v>
      </c>
      <c r="N650">
        <v>55.33</v>
      </c>
      <c r="O650" s="49">
        <v>44717</v>
      </c>
      <c r="P650" s="50">
        <v>377.42400000000004</v>
      </c>
    </row>
    <row r="651" spans="4:16" x14ac:dyDescent="0.2">
      <c r="D651">
        <v>100000393</v>
      </c>
      <c r="E651" s="49">
        <v>44697</v>
      </c>
      <c r="F651" t="s">
        <v>2281</v>
      </c>
      <c r="G651" t="s">
        <v>1924</v>
      </c>
      <c r="H651">
        <v>7</v>
      </c>
      <c r="I651">
        <v>46.09</v>
      </c>
      <c r="J651" s="50">
        <v>322.63</v>
      </c>
      <c r="K651" t="s">
        <v>1618</v>
      </c>
      <c r="M651" t="s">
        <v>1619</v>
      </c>
      <c r="N651">
        <v>24.33</v>
      </c>
      <c r="O651" s="49">
        <v>44698</v>
      </c>
      <c r="P651" s="50">
        <v>145.18350000000001</v>
      </c>
    </row>
    <row r="652" spans="4:16" x14ac:dyDescent="0.2">
      <c r="D652">
        <v>100000393</v>
      </c>
      <c r="E652" s="49">
        <v>44973</v>
      </c>
      <c r="F652" t="s">
        <v>2281</v>
      </c>
      <c r="G652" t="s">
        <v>1674</v>
      </c>
      <c r="H652">
        <v>3</v>
      </c>
      <c r="I652">
        <v>88.58</v>
      </c>
      <c r="J652" s="50">
        <v>265.74</v>
      </c>
      <c r="K652" t="s">
        <v>1618</v>
      </c>
      <c r="M652" t="s">
        <v>1621</v>
      </c>
      <c r="N652">
        <v>46.75</v>
      </c>
      <c r="O652" s="49">
        <v>44974</v>
      </c>
      <c r="P652" s="50">
        <v>119.58300000000001</v>
      </c>
    </row>
    <row r="653" spans="4:16" x14ac:dyDescent="0.2">
      <c r="D653">
        <v>100000393</v>
      </c>
      <c r="E653" s="49">
        <v>44972</v>
      </c>
      <c r="F653" t="s">
        <v>2281</v>
      </c>
      <c r="G653" t="s">
        <v>1820</v>
      </c>
      <c r="H653">
        <v>3</v>
      </c>
      <c r="I653">
        <v>79.62</v>
      </c>
      <c r="J653" s="50">
        <v>238.86</v>
      </c>
      <c r="K653" t="s">
        <v>1618</v>
      </c>
      <c r="M653" t="s">
        <v>1621</v>
      </c>
      <c r="N653">
        <v>42.02</v>
      </c>
      <c r="O653" s="49">
        <v>44975</v>
      </c>
      <c r="P653" s="50">
        <v>107.48700000000001</v>
      </c>
    </row>
    <row r="654" spans="4:16" x14ac:dyDescent="0.2">
      <c r="D654">
        <v>100000394</v>
      </c>
      <c r="E654" s="49">
        <v>44815</v>
      </c>
      <c r="F654" t="s">
        <v>2282</v>
      </c>
      <c r="G654" t="s">
        <v>2079</v>
      </c>
      <c r="H654">
        <v>4</v>
      </c>
      <c r="I654">
        <v>28.45</v>
      </c>
      <c r="J654" s="50">
        <v>113.8</v>
      </c>
      <c r="K654" t="s">
        <v>1632</v>
      </c>
      <c r="M654" t="s">
        <v>1629</v>
      </c>
      <c r="N654">
        <v>15.02</v>
      </c>
      <c r="O654" s="49">
        <v>44820</v>
      </c>
      <c r="P654" s="50">
        <v>51.21</v>
      </c>
    </row>
    <row r="655" spans="4:16" x14ac:dyDescent="0.2">
      <c r="D655">
        <v>100000395</v>
      </c>
      <c r="E655" s="49">
        <v>44752</v>
      </c>
      <c r="F655" t="s">
        <v>2283</v>
      </c>
      <c r="G655" t="s">
        <v>2038</v>
      </c>
      <c r="H655">
        <v>4</v>
      </c>
      <c r="I655">
        <v>91.6</v>
      </c>
      <c r="J655" s="50">
        <v>366.4</v>
      </c>
      <c r="K655" t="s">
        <v>1618</v>
      </c>
      <c r="L655" t="s">
        <v>2284</v>
      </c>
      <c r="M655" t="s">
        <v>1624</v>
      </c>
      <c r="N655">
        <v>48.34</v>
      </c>
      <c r="O655" s="49">
        <v>44753</v>
      </c>
      <c r="P655" s="50">
        <v>164.88</v>
      </c>
    </row>
    <row r="656" spans="4:16" x14ac:dyDescent="0.2">
      <c r="D656">
        <v>100000396</v>
      </c>
      <c r="E656" s="49">
        <v>44639</v>
      </c>
      <c r="F656" t="s">
        <v>2285</v>
      </c>
      <c r="G656" t="s">
        <v>1963</v>
      </c>
      <c r="H656">
        <v>5</v>
      </c>
      <c r="I656">
        <v>101.96</v>
      </c>
      <c r="J656" s="50">
        <v>509.8</v>
      </c>
      <c r="K656" t="s">
        <v>1618</v>
      </c>
      <c r="L656" t="s">
        <v>2286</v>
      </c>
      <c r="M656" t="s">
        <v>1619</v>
      </c>
      <c r="N656">
        <v>53.81</v>
      </c>
      <c r="O656" s="49">
        <v>44640</v>
      </c>
      <c r="P656" s="50">
        <v>229.41</v>
      </c>
    </row>
    <row r="657" spans="4:16" x14ac:dyDescent="0.2">
      <c r="D657">
        <v>100000396</v>
      </c>
      <c r="E657" s="49">
        <v>45098</v>
      </c>
      <c r="F657" t="s">
        <v>2285</v>
      </c>
      <c r="G657" t="s">
        <v>1882</v>
      </c>
      <c r="H657">
        <v>4</v>
      </c>
      <c r="I657">
        <v>103.49</v>
      </c>
      <c r="J657" s="50">
        <v>413.96</v>
      </c>
      <c r="K657" t="s">
        <v>1618</v>
      </c>
      <c r="L657" t="s">
        <v>2286</v>
      </c>
      <c r="M657" t="s">
        <v>1619</v>
      </c>
      <c r="N657">
        <v>54.62</v>
      </c>
      <c r="O657" s="49">
        <v>45101</v>
      </c>
      <c r="P657" s="50">
        <v>186.28199999999998</v>
      </c>
    </row>
    <row r="658" spans="4:16" x14ac:dyDescent="0.2">
      <c r="D658">
        <v>100000396</v>
      </c>
      <c r="E658" s="49">
        <v>45521</v>
      </c>
      <c r="F658" t="s">
        <v>2285</v>
      </c>
      <c r="G658" t="s">
        <v>1831</v>
      </c>
      <c r="H658">
        <v>10</v>
      </c>
      <c r="I658">
        <v>32.28</v>
      </c>
      <c r="J658" s="50">
        <v>322.8</v>
      </c>
      <c r="K658" t="s">
        <v>1618</v>
      </c>
      <c r="L658" t="s">
        <v>2286</v>
      </c>
      <c r="M658" t="s">
        <v>1621</v>
      </c>
      <c r="N658">
        <v>17.04</v>
      </c>
      <c r="O658" s="49">
        <v>45523</v>
      </c>
      <c r="P658" s="50">
        <v>145.26000000000002</v>
      </c>
    </row>
    <row r="659" spans="4:16" x14ac:dyDescent="0.2">
      <c r="D659">
        <v>100000397</v>
      </c>
      <c r="E659" s="49">
        <v>45323</v>
      </c>
      <c r="F659" t="s">
        <v>2287</v>
      </c>
      <c r="G659" t="s">
        <v>1719</v>
      </c>
      <c r="H659">
        <v>6</v>
      </c>
      <c r="I659">
        <v>61.13</v>
      </c>
      <c r="J659" s="50">
        <v>366.78</v>
      </c>
      <c r="K659" t="s">
        <v>1618</v>
      </c>
      <c r="L659" t="s">
        <v>2288</v>
      </c>
      <c r="M659" t="s">
        <v>1624</v>
      </c>
      <c r="N659">
        <v>32.26</v>
      </c>
      <c r="O659" s="49">
        <v>45326</v>
      </c>
      <c r="P659" s="50">
        <v>165.05099999999999</v>
      </c>
    </row>
    <row r="660" spans="4:16" x14ac:dyDescent="0.2">
      <c r="D660">
        <v>100000397</v>
      </c>
      <c r="E660" s="49">
        <v>44798</v>
      </c>
      <c r="F660" t="s">
        <v>2287</v>
      </c>
      <c r="G660" t="s">
        <v>1890</v>
      </c>
      <c r="H660">
        <v>7</v>
      </c>
      <c r="I660">
        <v>78.19</v>
      </c>
      <c r="J660" s="50">
        <v>547.32999999999993</v>
      </c>
      <c r="K660" t="s">
        <v>1618</v>
      </c>
      <c r="L660" t="s">
        <v>2288</v>
      </c>
      <c r="M660" t="s">
        <v>1624</v>
      </c>
      <c r="N660">
        <v>41.27</v>
      </c>
      <c r="O660" s="49">
        <v>44801</v>
      </c>
      <c r="P660" s="50">
        <v>246.29849999999996</v>
      </c>
    </row>
    <row r="661" spans="4:16" x14ac:dyDescent="0.2">
      <c r="D661">
        <v>100000397</v>
      </c>
      <c r="E661" s="49">
        <v>45014</v>
      </c>
      <c r="F661" t="s">
        <v>2287</v>
      </c>
      <c r="G661" t="s">
        <v>2005</v>
      </c>
      <c r="H661">
        <v>3</v>
      </c>
      <c r="I661">
        <v>23.92</v>
      </c>
      <c r="J661" s="50">
        <v>71.760000000000005</v>
      </c>
      <c r="K661" t="s">
        <v>1618</v>
      </c>
      <c r="L661" t="s">
        <v>2288</v>
      </c>
      <c r="M661" t="s">
        <v>1624</v>
      </c>
      <c r="N661">
        <v>12.62</v>
      </c>
      <c r="O661" s="49">
        <v>45018</v>
      </c>
      <c r="P661" s="50">
        <v>32.292000000000002</v>
      </c>
    </row>
    <row r="662" spans="4:16" x14ac:dyDescent="0.2">
      <c r="D662">
        <v>100000399</v>
      </c>
      <c r="E662" s="49">
        <v>44707</v>
      </c>
      <c r="F662" t="s">
        <v>2289</v>
      </c>
      <c r="G662" t="s">
        <v>1857</v>
      </c>
      <c r="H662">
        <v>2</v>
      </c>
      <c r="I662">
        <v>21.98</v>
      </c>
      <c r="J662" s="50">
        <v>43.96</v>
      </c>
      <c r="K662" t="s">
        <v>1618</v>
      </c>
      <c r="M662" t="s">
        <v>1619</v>
      </c>
      <c r="N662">
        <v>11.6</v>
      </c>
      <c r="O662" s="49">
        <v>44712</v>
      </c>
      <c r="P662" s="50">
        <v>19.782</v>
      </c>
    </row>
    <row r="663" spans="4:16" x14ac:dyDescent="0.2">
      <c r="D663">
        <v>100000399</v>
      </c>
      <c r="E663" s="49">
        <v>45647</v>
      </c>
      <c r="F663" t="s">
        <v>2289</v>
      </c>
      <c r="G663" t="s">
        <v>2017</v>
      </c>
      <c r="H663">
        <v>3</v>
      </c>
      <c r="I663">
        <v>90.73</v>
      </c>
      <c r="J663" s="50">
        <v>272.19</v>
      </c>
      <c r="K663" t="s">
        <v>1618</v>
      </c>
      <c r="M663" t="s">
        <v>1621</v>
      </c>
      <c r="N663">
        <v>47.88</v>
      </c>
      <c r="O663" s="49">
        <v>45651</v>
      </c>
      <c r="P663" s="50">
        <v>122.4855</v>
      </c>
    </row>
    <row r="664" spans="4:16" x14ac:dyDescent="0.2">
      <c r="D664">
        <v>100000399</v>
      </c>
      <c r="E664" s="49">
        <v>44358</v>
      </c>
      <c r="F664" t="s">
        <v>2289</v>
      </c>
      <c r="G664" t="s">
        <v>1918</v>
      </c>
      <c r="H664">
        <v>5</v>
      </c>
      <c r="I664">
        <v>37.86</v>
      </c>
      <c r="J664" s="50">
        <v>189.3</v>
      </c>
      <c r="K664" t="s">
        <v>1618</v>
      </c>
      <c r="M664" t="s">
        <v>1629</v>
      </c>
      <c r="N664">
        <v>19.98</v>
      </c>
      <c r="O664" s="49">
        <v>44361</v>
      </c>
      <c r="P664" s="50">
        <v>85.185000000000002</v>
      </c>
    </row>
    <row r="665" spans="4:16" x14ac:dyDescent="0.2">
      <c r="D665">
        <v>100000399</v>
      </c>
      <c r="E665" s="49">
        <v>45308</v>
      </c>
      <c r="F665" t="s">
        <v>2289</v>
      </c>
      <c r="G665" t="s">
        <v>2163</v>
      </c>
      <c r="H665">
        <v>8</v>
      </c>
      <c r="I665">
        <v>32.46</v>
      </c>
      <c r="J665" s="50">
        <v>259.68</v>
      </c>
      <c r="K665" t="s">
        <v>1618</v>
      </c>
      <c r="M665" t="s">
        <v>1624</v>
      </c>
      <c r="N665">
        <v>17.13</v>
      </c>
      <c r="O665" s="49">
        <v>45310</v>
      </c>
      <c r="P665" s="50">
        <v>116.85600000000001</v>
      </c>
    </row>
    <row r="666" spans="4:16" x14ac:dyDescent="0.2">
      <c r="D666">
        <v>100000400</v>
      </c>
      <c r="E666" s="49">
        <v>45327</v>
      </c>
      <c r="F666" t="s">
        <v>2290</v>
      </c>
      <c r="G666" t="s">
        <v>1830</v>
      </c>
      <c r="H666">
        <v>7</v>
      </c>
      <c r="I666">
        <v>86.95</v>
      </c>
      <c r="J666" s="50">
        <v>608.65</v>
      </c>
      <c r="K666" t="s">
        <v>1618</v>
      </c>
      <c r="M666" t="s">
        <v>1624</v>
      </c>
      <c r="N666">
        <v>45.89</v>
      </c>
      <c r="O666" s="49">
        <v>45330</v>
      </c>
      <c r="P666" s="50">
        <v>273.89249999999998</v>
      </c>
    </row>
    <row r="667" spans="4:16" x14ac:dyDescent="0.2">
      <c r="D667">
        <v>100000400</v>
      </c>
      <c r="E667" s="49">
        <v>44600</v>
      </c>
      <c r="F667" t="s">
        <v>2290</v>
      </c>
      <c r="G667" t="s">
        <v>1617</v>
      </c>
      <c r="H667">
        <v>8</v>
      </c>
      <c r="I667">
        <v>72.91</v>
      </c>
      <c r="J667" s="50">
        <v>583.28</v>
      </c>
      <c r="K667" t="s">
        <v>1618</v>
      </c>
      <c r="M667" t="s">
        <v>1621</v>
      </c>
      <c r="N667">
        <v>38.479999999999997</v>
      </c>
      <c r="O667" s="49">
        <v>44605</v>
      </c>
      <c r="P667" s="50">
        <v>262.476</v>
      </c>
    </row>
    <row r="668" spans="4:16" x14ac:dyDescent="0.2">
      <c r="D668">
        <v>100000400</v>
      </c>
      <c r="E668" s="49">
        <v>44818</v>
      </c>
      <c r="F668" t="s">
        <v>2290</v>
      </c>
      <c r="G668" t="s">
        <v>1739</v>
      </c>
      <c r="H668">
        <v>6</v>
      </c>
      <c r="I668">
        <v>12.62</v>
      </c>
      <c r="J668" s="50">
        <v>75.72</v>
      </c>
      <c r="K668" t="s">
        <v>1618</v>
      </c>
      <c r="M668" t="s">
        <v>1621</v>
      </c>
      <c r="N668">
        <v>6.66</v>
      </c>
      <c r="O668" s="49">
        <v>44821</v>
      </c>
      <c r="P668" s="50">
        <v>34.073999999999998</v>
      </c>
    </row>
    <row r="669" spans="4:16" x14ac:dyDescent="0.2">
      <c r="D669">
        <v>100000400</v>
      </c>
      <c r="E669" s="49">
        <v>45636</v>
      </c>
      <c r="F669" t="s">
        <v>2290</v>
      </c>
      <c r="G669" t="s">
        <v>2291</v>
      </c>
      <c r="H669">
        <v>1</v>
      </c>
      <c r="I669">
        <v>29.66</v>
      </c>
      <c r="J669" s="50">
        <v>29.66</v>
      </c>
      <c r="K669" t="s">
        <v>1618</v>
      </c>
      <c r="M669" t="s">
        <v>1627</v>
      </c>
      <c r="N669">
        <v>15.65</v>
      </c>
      <c r="O669" s="49">
        <v>45639</v>
      </c>
      <c r="P669" s="50">
        <v>13.347</v>
      </c>
    </row>
    <row r="670" spans="4:16" x14ac:dyDescent="0.2">
      <c r="D670">
        <v>100000400</v>
      </c>
      <c r="E670" s="49">
        <v>44651</v>
      </c>
      <c r="F670" t="s">
        <v>2290</v>
      </c>
      <c r="G670" t="s">
        <v>1628</v>
      </c>
      <c r="H670">
        <v>7</v>
      </c>
      <c r="I670">
        <v>22.31</v>
      </c>
      <c r="J670" s="50">
        <v>156.16999999999999</v>
      </c>
      <c r="K670" t="s">
        <v>1618</v>
      </c>
      <c r="M670" t="s">
        <v>1624</v>
      </c>
      <c r="N670">
        <v>11.77</v>
      </c>
      <c r="O670" s="49">
        <v>44654</v>
      </c>
      <c r="P670" s="50">
        <v>70.276499999999999</v>
      </c>
    </row>
    <row r="671" spans="4:16" x14ac:dyDescent="0.2">
      <c r="D671">
        <v>100000402</v>
      </c>
      <c r="E671" s="49">
        <v>45448</v>
      </c>
      <c r="F671" t="s">
        <v>2292</v>
      </c>
      <c r="G671" t="s">
        <v>2213</v>
      </c>
      <c r="H671">
        <v>1</v>
      </c>
      <c r="I671">
        <v>30.5</v>
      </c>
      <c r="J671" s="50">
        <v>30.5</v>
      </c>
      <c r="K671" t="s">
        <v>1632</v>
      </c>
      <c r="L671" t="s">
        <v>2293</v>
      </c>
      <c r="M671" t="s">
        <v>1621</v>
      </c>
      <c r="N671">
        <v>16.100000000000001</v>
      </c>
      <c r="O671" s="49">
        <v>45452</v>
      </c>
      <c r="P671" s="50">
        <v>13.725</v>
      </c>
    </row>
    <row r="672" spans="4:16" x14ac:dyDescent="0.2">
      <c r="D672">
        <v>100000402</v>
      </c>
      <c r="E672" s="49">
        <v>45096</v>
      </c>
      <c r="F672" t="s">
        <v>2292</v>
      </c>
      <c r="G672" t="s">
        <v>1626</v>
      </c>
      <c r="H672">
        <v>6</v>
      </c>
      <c r="I672">
        <v>84.72</v>
      </c>
      <c r="J672" s="50">
        <v>508.32</v>
      </c>
      <c r="K672" t="s">
        <v>1632</v>
      </c>
      <c r="L672" t="s">
        <v>2293</v>
      </c>
      <c r="M672" t="s">
        <v>1621</v>
      </c>
      <c r="N672">
        <v>44.71</v>
      </c>
      <c r="O672" s="49">
        <v>45097</v>
      </c>
      <c r="P672" s="50">
        <v>228.744</v>
      </c>
    </row>
    <row r="673" spans="4:16" x14ac:dyDescent="0.2">
      <c r="D673">
        <v>100000403</v>
      </c>
      <c r="E673" s="49">
        <v>44479</v>
      </c>
      <c r="F673" t="s">
        <v>2294</v>
      </c>
      <c r="G673" t="s">
        <v>1805</v>
      </c>
      <c r="H673">
        <v>9</v>
      </c>
      <c r="I673">
        <v>71.2</v>
      </c>
      <c r="J673" s="50">
        <v>640.80000000000007</v>
      </c>
      <c r="K673" t="s">
        <v>1632</v>
      </c>
      <c r="M673" t="s">
        <v>1629</v>
      </c>
      <c r="N673">
        <v>37.58</v>
      </c>
      <c r="O673" s="49">
        <v>44482</v>
      </c>
      <c r="P673" s="50">
        <v>288.36</v>
      </c>
    </row>
    <row r="674" spans="4:16" x14ac:dyDescent="0.2">
      <c r="D674">
        <v>100000403</v>
      </c>
      <c r="E674" s="49">
        <v>44609</v>
      </c>
      <c r="F674" t="s">
        <v>2294</v>
      </c>
      <c r="G674" t="s">
        <v>2086</v>
      </c>
      <c r="H674">
        <v>1</v>
      </c>
      <c r="I674">
        <v>95.02</v>
      </c>
      <c r="J674" s="50">
        <v>95.02</v>
      </c>
      <c r="K674" t="s">
        <v>1632</v>
      </c>
      <c r="M674" t="s">
        <v>1624</v>
      </c>
      <c r="N674">
        <v>50.15</v>
      </c>
      <c r="O674" s="49">
        <v>44613</v>
      </c>
      <c r="P674" s="50">
        <v>42.759</v>
      </c>
    </row>
    <row r="675" spans="4:16" x14ac:dyDescent="0.2">
      <c r="D675">
        <v>100000404</v>
      </c>
      <c r="E675" s="49">
        <v>44427</v>
      </c>
      <c r="F675" t="s">
        <v>2295</v>
      </c>
      <c r="G675" t="s">
        <v>1702</v>
      </c>
      <c r="H675">
        <v>4</v>
      </c>
      <c r="I675">
        <v>98.89</v>
      </c>
      <c r="J675" s="50">
        <v>395.56</v>
      </c>
      <c r="K675" t="s">
        <v>1618</v>
      </c>
      <c r="M675" t="s">
        <v>1627</v>
      </c>
      <c r="N675">
        <v>52.19</v>
      </c>
      <c r="O675" s="49">
        <v>44428</v>
      </c>
      <c r="P675" s="50">
        <v>178.00200000000001</v>
      </c>
    </row>
    <row r="676" spans="4:16" x14ac:dyDescent="0.2">
      <c r="D676">
        <v>100000405</v>
      </c>
      <c r="E676" s="49">
        <v>44465</v>
      </c>
      <c r="F676" t="s">
        <v>2296</v>
      </c>
      <c r="G676" t="s">
        <v>1674</v>
      </c>
      <c r="H676">
        <v>10</v>
      </c>
      <c r="I676">
        <v>107.1</v>
      </c>
      <c r="J676" s="50">
        <v>1071</v>
      </c>
      <c r="K676" t="s">
        <v>1632</v>
      </c>
      <c r="M676" t="s">
        <v>1627</v>
      </c>
      <c r="N676">
        <v>56.52</v>
      </c>
      <c r="O676" s="49">
        <v>44468</v>
      </c>
      <c r="P676" s="50">
        <v>481.95</v>
      </c>
    </row>
    <row r="677" spans="4:16" x14ac:dyDescent="0.2">
      <c r="D677">
        <v>100000406</v>
      </c>
      <c r="E677" s="49">
        <v>44751</v>
      </c>
      <c r="F677" t="s">
        <v>2297</v>
      </c>
      <c r="G677" t="s">
        <v>2132</v>
      </c>
      <c r="H677">
        <v>4</v>
      </c>
      <c r="I677">
        <v>13.44</v>
      </c>
      <c r="J677" s="50">
        <v>53.76</v>
      </c>
      <c r="K677" t="s">
        <v>1632</v>
      </c>
      <c r="L677" t="s">
        <v>2298</v>
      </c>
      <c r="M677" t="s">
        <v>1627</v>
      </c>
      <c r="N677">
        <v>7.09</v>
      </c>
      <c r="O677" s="49">
        <v>44755</v>
      </c>
      <c r="P677" s="50">
        <v>24.192</v>
      </c>
    </row>
    <row r="678" spans="4:16" x14ac:dyDescent="0.2">
      <c r="D678">
        <v>100000407</v>
      </c>
      <c r="E678" s="49">
        <v>45324</v>
      </c>
      <c r="F678" t="s">
        <v>2299</v>
      </c>
      <c r="G678" t="s">
        <v>1859</v>
      </c>
      <c r="H678">
        <v>2</v>
      </c>
      <c r="I678">
        <v>58.97</v>
      </c>
      <c r="J678" s="50">
        <v>117.94</v>
      </c>
      <c r="K678" t="s">
        <v>1618</v>
      </c>
      <c r="M678" t="s">
        <v>1624</v>
      </c>
      <c r="N678">
        <v>31.12</v>
      </c>
      <c r="O678" s="49">
        <v>45328</v>
      </c>
      <c r="P678" s="50">
        <v>53.073</v>
      </c>
    </row>
    <row r="679" spans="4:16" x14ac:dyDescent="0.2">
      <c r="D679">
        <v>100000408</v>
      </c>
      <c r="E679" s="49">
        <v>45512</v>
      </c>
      <c r="F679" t="s">
        <v>2300</v>
      </c>
      <c r="G679" t="s">
        <v>2301</v>
      </c>
      <c r="H679">
        <v>10</v>
      </c>
      <c r="I679">
        <v>87.36</v>
      </c>
      <c r="J679" s="50">
        <v>873.6</v>
      </c>
      <c r="K679" t="s">
        <v>1618</v>
      </c>
      <c r="M679" t="s">
        <v>1629</v>
      </c>
      <c r="N679">
        <v>46.11</v>
      </c>
      <c r="O679" s="49">
        <v>45517</v>
      </c>
      <c r="P679" s="50">
        <v>393.12</v>
      </c>
    </row>
    <row r="680" spans="4:16" x14ac:dyDescent="0.2">
      <c r="D680">
        <v>100000408</v>
      </c>
      <c r="E680" s="49">
        <v>45476</v>
      </c>
      <c r="F680" t="s">
        <v>2300</v>
      </c>
      <c r="G680" t="s">
        <v>1901</v>
      </c>
      <c r="H680">
        <v>2</v>
      </c>
      <c r="I680">
        <v>34.46</v>
      </c>
      <c r="J680" s="50">
        <v>68.92</v>
      </c>
      <c r="K680" t="s">
        <v>1618</v>
      </c>
      <c r="M680" t="s">
        <v>1624</v>
      </c>
      <c r="N680">
        <v>18.190000000000001</v>
      </c>
      <c r="O680" s="49">
        <v>45479</v>
      </c>
      <c r="P680" s="50">
        <v>31.014000000000003</v>
      </c>
    </row>
    <row r="681" spans="4:16" x14ac:dyDescent="0.2">
      <c r="D681">
        <v>100000408</v>
      </c>
      <c r="E681" s="49">
        <v>44619</v>
      </c>
      <c r="F681" t="s">
        <v>2300</v>
      </c>
      <c r="G681" t="s">
        <v>2302</v>
      </c>
      <c r="H681">
        <v>6</v>
      </c>
      <c r="I681">
        <v>28.39</v>
      </c>
      <c r="J681" s="50">
        <v>170.34</v>
      </c>
      <c r="K681" t="s">
        <v>1618</v>
      </c>
      <c r="M681" t="s">
        <v>1624</v>
      </c>
      <c r="N681">
        <v>14.98</v>
      </c>
      <c r="O681" s="49">
        <v>44624</v>
      </c>
      <c r="P681" s="50">
        <v>76.653000000000006</v>
      </c>
    </row>
    <row r="682" spans="4:16" x14ac:dyDescent="0.2">
      <c r="D682">
        <v>100000409</v>
      </c>
      <c r="E682" s="49">
        <v>44708</v>
      </c>
      <c r="F682" t="s">
        <v>2303</v>
      </c>
      <c r="G682" t="s">
        <v>1825</v>
      </c>
      <c r="H682">
        <v>1</v>
      </c>
      <c r="I682">
        <v>106.63</v>
      </c>
      <c r="J682" s="50">
        <v>106.63</v>
      </c>
      <c r="K682" t="s">
        <v>1618</v>
      </c>
      <c r="M682" t="s">
        <v>1619</v>
      </c>
      <c r="N682">
        <v>56.28</v>
      </c>
      <c r="O682" s="49">
        <v>44710</v>
      </c>
      <c r="P682" s="50">
        <v>47.983499999999999</v>
      </c>
    </row>
    <row r="683" spans="4:16" x14ac:dyDescent="0.2">
      <c r="D683">
        <v>100000409</v>
      </c>
      <c r="E683" s="49">
        <v>44378</v>
      </c>
      <c r="F683" t="s">
        <v>2303</v>
      </c>
      <c r="G683" t="s">
        <v>1714</v>
      </c>
      <c r="H683">
        <v>3</v>
      </c>
      <c r="I683">
        <v>59.86</v>
      </c>
      <c r="J683" s="50">
        <v>179.58</v>
      </c>
      <c r="K683" t="s">
        <v>1618</v>
      </c>
      <c r="M683" t="s">
        <v>1624</v>
      </c>
      <c r="N683">
        <v>31.59</v>
      </c>
      <c r="O683" s="49">
        <v>44379</v>
      </c>
      <c r="P683" s="50">
        <v>80.811000000000007</v>
      </c>
    </row>
    <row r="684" spans="4:16" x14ac:dyDescent="0.2">
      <c r="D684">
        <v>100000411</v>
      </c>
      <c r="E684" s="49">
        <v>44784</v>
      </c>
      <c r="F684" t="s">
        <v>2304</v>
      </c>
      <c r="G684" t="s">
        <v>2305</v>
      </c>
      <c r="H684">
        <v>5</v>
      </c>
      <c r="I684">
        <v>16.73</v>
      </c>
      <c r="J684" s="50">
        <v>83.65</v>
      </c>
      <c r="K684" t="s">
        <v>1632</v>
      </c>
      <c r="M684" t="s">
        <v>1627</v>
      </c>
      <c r="N684">
        <v>8.83</v>
      </c>
      <c r="O684" s="49">
        <v>44789</v>
      </c>
      <c r="P684" s="50">
        <v>37.642500000000005</v>
      </c>
    </row>
    <row r="685" spans="4:16" x14ac:dyDescent="0.2">
      <c r="D685">
        <v>100000411</v>
      </c>
      <c r="E685" s="49">
        <v>45185</v>
      </c>
      <c r="F685" t="s">
        <v>2304</v>
      </c>
      <c r="G685" t="s">
        <v>2306</v>
      </c>
      <c r="H685">
        <v>7</v>
      </c>
      <c r="I685">
        <v>63.11</v>
      </c>
      <c r="J685" s="50">
        <v>441.77</v>
      </c>
      <c r="K685" t="s">
        <v>1632</v>
      </c>
      <c r="M685" t="s">
        <v>1624</v>
      </c>
      <c r="N685">
        <v>33.31</v>
      </c>
      <c r="O685" s="49">
        <v>45189</v>
      </c>
      <c r="P685" s="50">
        <v>198.79650000000001</v>
      </c>
    </row>
    <row r="686" spans="4:16" x14ac:dyDescent="0.2">
      <c r="D686">
        <v>100000411</v>
      </c>
      <c r="E686" s="49">
        <v>45163</v>
      </c>
      <c r="F686" t="s">
        <v>2304</v>
      </c>
      <c r="G686" t="s">
        <v>1921</v>
      </c>
      <c r="H686">
        <v>2</v>
      </c>
      <c r="I686">
        <v>93.1</v>
      </c>
      <c r="J686" s="50">
        <v>186.2</v>
      </c>
      <c r="K686" t="s">
        <v>1632</v>
      </c>
      <c r="M686" t="s">
        <v>1624</v>
      </c>
      <c r="N686">
        <v>49.14</v>
      </c>
      <c r="O686" s="49">
        <v>45165</v>
      </c>
      <c r="P686" s="50">
        <v>83.789999999999992</v>
      </c>
    </row>
    <row r="687" spans="4:16" x14ac:dyDescent="0.2">
      <c r="D687">
        <v>100000411</v>
      </c>
      <c r="E687" s="49">
        <v>44936</v>
      </c>
      <c r="F687" t="s">
        <v>2304</v>
      </c>
      <c r="G687" t="s">
        <v>1955</v>
      </c>
      <c r="H687">
        <v>4</v>
      </c>
      <c r="I687">
        <v>51.5</v>
      </c>
      <c r="J687" s="50">
        <v>206</v>
      </c>
      <c r="K687" t="s">
        <v>1632</v>
      </c>
      <c r="M687" t="s">
        <v>1619</v>
      </c>
      <c r="N687">
        <v>27.18</v>
      </c>
      <c r="O687" s="49">
        <v>44941</v>
      </c>
      <c r="P687" s="50">
        <v>92.7</v>
      </c>
    </row>
    <row r="688" spans="4:16" x14ac:dyDescent="0.2">
      <c r="D688">
        <v>100000411</v>
      </c>
      <c r="E688" s="49">
        <v>45598</v>
      </c>
      <c r="F688" t="s">
        <v>2304</v>
      </c>
      <c r="G688" t="s">
        <v>1631</v>
      </c>
      <c r="H688">
        <v>4</v>
      </c>
      <c r="I688">
        <v>28.01</v>
      </c>
      <c r="J688" s="50">
        <v>112.04</v>
      </c>
      <c r="K688" t="s">
        <v>1632</v>
      </c>
      <c r="M688" t="s">
        <v>1627</v>
      </c>
      <c r="N688">
        <v>14.78</v>
      </c>
      <c r="O688" s="49">
        <v>45599</v>
      </c>
      <c r="P688" s="50">
        <v>50.418000000000006</v>
      </c>
    </row>
    <row r="689" spans="4:16" x14ac:dyDescent="0.2">
      <c r="D689">
        <v>100000413</v>
      </c>
      <c r="E689" s="49">
        <v>44672</v>
      </c>
      <c r="F689" t="s">
        <v>2307</v>
      </c>
      <c r="G689" t="s">
        <v>1718</v>
      </c>
      <c r="H689">
        <v>2</v>
      </c>
      <c r="I689">
        <v>12.66</v>
      </c>
      <c r="J689" s="50">
        <v>25.32</v>
      </c>
      <c r="K689" t="s">
        <v>1618</v>
      </c>
      <c r="L689" t="s">
        <v>2308</v>
      </c>
      <c r="M689" t="s">
        <v>1629</v>
      </c>
      <c r="N689">
        <v>6.68</v>
      </c>
      <c r="O689" s="49">
        <v>44677</v>
      </c>
      <c r="P689" s="50">
        <v>11.394</v>
      </c>
    </row>
    <row r="690" spans="4:16" x14ac:dyDescent="0.2">
      <c r="D690">
        <v>100000413</v>
      </c>
      <c r="E690" s="49">
        <v>45585</v>
      </c>
      <c r="F690" t="s">
        <v>2307</v>
      </c>
      <c r="G690" t="s">
        <v>1665</v>
      </c>
      <c r="H690">
        <v>6</v>
      </c>
      <c r="I690">
        <v>105.37</v>
      </c>
      <c r="J690" s="50">
        <v>632.22</v>
      </c>
      <c r="K690" t="s">
        <v>1618</v>
      </c>
      <c r="L690" t="s">
        <v>2308</v>
      </c>
      <c r="M690" t="s">
        <v>1621</v>
      </c>
      <c r="N690">
        <v>55.61</v>
      </c>
      <c r="O690" s="49">
        <v>45590</v>
      </c>
      <c r="P690" s="50">
        <v>284.49900000000002</v>
      </c>
    </row>
    <row r="691" spans="4:16" x14ac:dyDescent="0.2">
      <c r="D691">
        <v>100000413</v>
      </c>
      <c r="E691" s="49">
        <v>44348</v>
      </c>
      <c r="F691" t="s">
        <v>2307</v>
      </c>
      <c r="G691" t="s">
        <v>1833</v>
      </c>
      <c r="H691">
        <v>5</v>
      </c>
      <c r="I691">
        <v>98.29</v>
      </c>
      <c r="J691" s="50">
        <v>491.45</v>
      </c>
      <c r="K691" t="s">
        <v>1618</v>
      </c>
      <c r="L691" t="s">
        <v>2308</v>
      </c>
      <c r="M691" t="s">
        <v>1629</v>
      </c>
      <c r="N691">
        <v>51.87</v>
      </c>
      <c r="O691" s="49">
        <v>44352</v>
      </c>
      <c r="P691" s="50">
        <v>221.1525</v>
      </c>
    </row>
    <row r="692" spans="4:16" x14ac:dyDescent="0.2">
      <c r="D692">
        <v>100000414</v>
      </c>
      <c r="E692" s="49">
        <v>44317</v>
      </c>
      <c r="F692" t="s">
        <v>2309</v>
      </c>
      <c r="G692" t="s">
        <v>1999</v>
      </c>
      <c r="H692">
        <v>2</v>
      </c>
      <c r="I692">
        <v>94.98</v>
      </c>
      <c r="J692" s="50">
        <v>189.96</v>
      </c>
      <c r="K692" t="s">
        <v>1618</v>
      </c>
      <c r="L692" t="s">
        <v>2310</v>
      </c>
      <c r="M692" t="s">
        <v>1619</v>
      </c>
      <c r="N692">
        <v>50.13</v>
      </c>
      <c r="O692" s="49">
        <v>44322</v>
      </c>
      <c r="P692" s="50">
        <v>85.481999999999999</v>
      </c>
    </row>
    <row r="693" spans="4:16" x14ac:dyDescent="0.2">
      <c r="D693">
        <v>100000417</v>
      </c>
      <c r="E693" s="49">
        <v>44219</v>
      </c>
      <c r="F693" t="s">
        <v>2311</v>
      </c>
      <c r="G693" t="s">
        <v>1686</v>
      </c>
      <c r="H693">
        <v>9</v>
      </c>
      <c r="I693">
        <v>43.4</v>
      </c>
      <c r="J693" s="50">
        <v>390.6</v>
      </c>
      <c r="K693" t="s">
        <v>1618</v>
      </c>
      <c r="M693" t="s">
        <v>1621</v>
      </c>
      <c r="N693">
        <v>22.91</v>
      </c>
      <c r="O693" s="49">
        <v>44221</v>
      </c>
      <c r="P693" s="50">
        <v>175.77</v>
      </c>
    </row>
    <row r="694" spans="4:16" x14ac:dyDescent="0.2">
      <c r="D694">
        <v>100000420</v>
      </c>
      <c r="E694" s="49">
        <v>44781</v>
      </c>
      <c r="F694" t="s">
        <v>2312</v>
      </c>
      <c r="G694" t="s">
        <v>1642</v>
      </c>
      <c r="H694">
        <v>4</v>
      </c>
      <c r="I694">
        <v>75.61</v>
      </c>
      <c r="J694" s="50">
        <v>302.44</v>
      </c>
      <c r="K694" t="s">
        <v>1632</v>
      </c>
      <c r="M694" t="s">
        <v>1629</v>
      </c>
      <c r="N694">
        <v>39.9</v>
      </c>
      <c r="O694" s="49">
        <v>44785</v>
      </c>
      <c r="P694" s="50">
        <v>136.09800000000001</v>
      </c>
    </row>
    <row r="695" spans="4:16" x14ac:dyDescent="0.2">
      <c r="D695">
        <v>100000420</v>
      </c>
      <c r="E695" s="49">
        <v>45495</v>
      </c>
      <c r="F695" t="s">
        <v>2312</v>
      </c>
      <c r="G695" t="s">
        <v>1921</v>
      </c>
      <c r="H695">
        <v>9</v>
      </c>
      <c r="I695">
        <v>48.67</v>
      </c>
      <c r="J695" s="50">
        <v>438.03</v>
      </c>
      <c r="K695" t="s">
        <v>1632</v>
      </c>
      <c r="M695" t="s">
        <v>1621</v>
      </c>
      <c r="N695">
        <v>25.69</v>
      </c>
      <c r="O695" s="49">
        <v>45496</v>
      </c>
      <c r="P695" s="50">
        <v>197.11349999999999</v>
      </c>
    </row>
    <row r="696" spans="4:16" x14ac:dyDescent="0.2">
      <c r="D696">
        <v>100000421</v>
      </c>
      <c r="E696" s="49">
        <v>45488</v>
      </c>
      <c r="F696" t="s">
        <v>2313</v>
      </c>
      <c r="G696" t="s">
        <v>1948</v>
      </c>
      <c r="H696">
        <v>4</v>
      </c>
      <c r="I696">
        <v>68</v>
      </c>
      <c r="J696" s="50">
        <v>272</v>
      </c>
      <c r="K696" t="s">
        <v>1618</v>
      </c>
      <c r="L696" t="s">
        <v>1994</v>
      </c>
      <c r="M696" t="s">
        <v>1621</v>
      </c>
      <c r="N696">
        <v>35.89</v>
      </c>
      <c r="O696" s="49">
        <v>45493</v>
      </c>
      <c r="P696" s="50">
        <v>122.4</v>
      </c>
    </row>
    <row r="697" spans="4:16" x14ac:dyDescent="0.2">
      <c r="D697">
        <v>100000421</v>
      </c>
      <c r="E697" s="49">
        <v>45381</v>
      </c>
      <c r="F697" t="s">
        <v>2313</v>
      </c>
      <c r="G697" t="s">
        <v>1736</v>
      </c>
      <c r="H697">
        <v>9</v>
      </c>
      <c r="I697">
        <v>20.37</v>
      </c>
      <c r="J697" s="50">
        <v>183.33</v>
      </c>
      <c r="K697" t="s">
        <v>1618</v>
      </c>
      <c r="L697" t="s">
        <v>1994</v>
      </c>
      <c r="M697" t="s">
        <v>1621</v>
      </c>
      <c r="N697">
        <v>10.75</v>
      </c>
      <c r="O697" s="49">
        <v>45382</v>
      </c>
      <c r="P697" s="50">
        <v>82.498500000000007</v>
      </c>
    </row>
    <row r="698" spans="4:16" x14ac:dyDescent="0.2">
      <c r="D698">
        <v>100000421</v>
      </c>
      <c r="E698" s="49">
        <v>44520</v>
      </c>
      <c r="F698" t="s">
        <v>2313</v>
      </c>
      <c r="G698" t="s">
        <v>1649</v>
      </c>
      <c r="H698">
        <v>7</v>
      </c>
      <c r="I698">
        <v>20.8</v>
      </c>
      <c r="J698" s="50">
        <v>145.6</v>
      </c>
      <c r="K698" t="s">
        <v>1618</v>
      </c>
      <c r="L698" t="s">
        <v>1994</v>
      </c>
      <c r="M698" t="s">
        <v>1624</v>
      </c>
      <c r="N698">
        <v>10.98</v>
      </c>
      <c r="O698" s="49">
        <v>44523</v>
      </c>
      <c r="P698" s="50">
        <v>65.52</v>
      </c>
    </row>
    <row r="699" spans="4:16" x14ac:dyDescent="0.2">
      <c r="D699">
        <v>100000422</v>
      </c>
      <c r="E699" s="49">
        <v>44449</v>
      </c>
      <c r="F699" t="s">
        <v>2314</v>
      </c>
      <c r="G699" t="s">
        <v>1744</v>
      </c>
      <c r="H699">
        <v>8</v>
      </c>
      <c r="I699">
        <v>68.92</v>
      </c>
      <c r="J699" s="50">
        <v>551.36</v>
      </c>
      <c r="K699" t="s">
        <v>1618</v>
      </c>
      <c r="L699" t="s">
        <v>2315</v>
      </c>
      <c r="M699" t="s">
        <v>1629</v>
      </c>
      <c r="N699">
        <v>36.369999999999997</v>
      </c>
      <c r="O699" s="49">
        <v>44452</v>
      </c>
      <c r="P699" s="50">
        <v>248.11200000000002</v>
      </c>
    </row>
    <row r="700" spans="4:16" x14ac:dyDescent="0.2">
      <c r="D700">
        <v>100000422</v>
      </c>
      <c r="E700" s="49">
        <v>44820</v>
      </c>
      <c r="F700" t="s">
        <v>2314</v>
      </c>
      <c r="G700" t="s">
        <v>1815</v>
      </c>
      <c r="H700">
        <v>2</v>
      </c>
      <c r="I700">
        <v>35.020000000000003</v>
      </c>
      <c r="J700" s="50">
        <v>70.040000000000006</v>
      </c>
      <c r="K700" t="s">
        <v>1618</v>
      </c>
      <c r="L700" t="s">
        <v>2315</v>
      </c>
      <c r="M700" t="s">
        <v>1619</v>
      </c>
      <c r="N700">
        <v>18.48</v>
      </c>
      <c r="O700" s="49">
        <v>44822</v>
      </c>
      <c r="P700" s="50">
        <v>31.518000000000004</v>
      </c>
    </row>
    <row r="701" spans="4:16" x14ac:dyDescent="0.2">
      <c r="D701">
        <v>100000423</v>
      </c>
      <c r="E701" s="49">
        <v>44524</v>
      </c>
      <c r="F701" t="s">
        <v>2316</v>
      </c>
      <c r="G701" t="s">
        <v>2121</v>
      </c>
      <c r="H701">
        <v>4</v>
      </c>
      <c r="I701">
        <v>36.799999999999997</v>
      </c>
      <c r="J701" s="50">
        <v>147.19999999999999</v>
      </c>
      <c r="K701" t="s">
        <v>1618</v>
      </c>
      <c r="M701" t="s">
        <v>1627</v>
      </c>
      <c r="N701">
        <v>19.420000000000002</v>
      </c>
      <c r="O701" s="49">
        <v>44528</v>
      </c>
      <c r="P701" s="50">
        <v>66.239999999999995</v>
      </c>
    </row>
    <row r="702" spans="4:16" x14ac:dyDescent="0.2">
      <c r="D702">
        <v>100000424</v>
      </c>
      <c r="E702" s="49">
        <v>44489</v>
      </c>
      <c r="F702" t="s">
        <v>2317</v>
      </c>
      <c r="G702" t="s">
        <v>1649</v>
      </c>
      <c r="H702">
        <v>3</v>
      </c>
      <c r="I702">
        <v>42.23</v>
      </c>
      <c r="J702" s="50">
        <v>126.69</v>
      </c>
      <c r="K702" t="s">
        <v>1618</v>
      </c>
      <c r="M702" t="s">
        <v>1627</v>
      </c>
      <c r="N702">
        <v>22.29</v>
      </c>
      <c r="O702" s="49">
        <v>44492</v>
      </c>
      <c r="P702" s="50">
        <v>57.0105</v>
      </c>
    </row>
    <row r="703" spans="4:16" x14ac:dyDescent="0.2">
      <c r="D703">
        <v>100000425</v>
      </c>
      <c r="E703" s="49">
        <v>45099</v>
      </c>
      <c r="F703" t="s">
        <v>2318</v>
      </c>
      <c r="G703" t="s">
        <v>2204</v>
      </c>
      <c r="H703">
        <v>2</v>
      </c>
      <c r="I703">
        <v>43.77</v>
      </c>
      <c r="J703" s="50">
        <v>87.54</v>
      </c>
      <c r="K703" t="s">
        <v>1632</v>
      </c>
      <c r="M703" t="s">
        <v>1624</v>
      </c>
      <c r="N703">
        <v>23.1</v>
      </c>
      <c r="O703" s="49">
        <v>45102</v>
      </c>
      <c r="P703" s="50">
        <v>39.393000000000001</v>
      </c>
    </row>
    <row r="704" spans="4:16" x14ac:dyDescent="0.2">
      <c r="D704">
        <v>100000425</v>
      </c>
      <c r="E704" s="49">
        <v>44306</v>
      </c>
      <c r="F704" t="s">
        <v>2318</v>
      </c>
      <c r="G704" t="s">
        <v>2192</v>
      </c>
      <c r="H704">
        <v>3</v>
      </c>
      <c r="I704">
        <v>95.05</v>
      </c>
      <c r="J704" s="50">
        <v>285.14999999999998</v>
      </c>
      <c r="K704" t="s">
        <v>1632</v>
      </c>
      <c r="M704" t="s">
        <v>1629</v>
      </c>
      <c r="N704">
        <v>50.16</v>
      </c>
      <c r="O704" s="49">
        <v>44308</v>
      </c>
      <c r="P704" s="50">
        <v>128.3175</v>
      </c>
    </row>
    <row r="705" spans="4:16" x14ac:dyDescent="0.2">
      <c r="D705">
        <v>100000426</v>
      </c>
      <c r="E705" s="49">
        <v>44398</v>
      </c>
      <c r="F705" t="s">
        <v>2319</v>
      </c>
      <c r="G705" t="s">
        <v>2096</v>
      </c>
      <c r="H705">
        <v>2</v>
      </c>
      <c r="I705">
        <v>109.04</v>
      </c>
      <c r="J705" s="50">
        <v>218.08</v>
      </c>
      <c r="K705" t="s">
        <v>1618</v>
      </c>
      <c r="L705" t="s">
        <v>2320</v>
      </c>
      <c r="M705" t="s">
        <v>1619</v>
      </c>
      <c r="N705">
        <v>57.55</v>
      </c>
      <c r="O705" s="49">
        <v>44403</v>
      </c>
      <c r="P705" s="50">
        <v>98.13600000000001</v>
      </c>
    </row>
    <row r="706" spans="4:16" x14ac:dyDescent="0.2">
      <c r="D706">
        <v>100000427</v>
      </c>
      <c r="E706" s="49">
        <v>45035</v>
      </c>
      <c r="F706" t="s">
        <v>2321</v>
      </c>
      <c r="G706" t="s">
        <v>2204</v>
      </c>
      <c r="H706">
        <v>10</v>
      </c>
      <c r="I706">
        <v>57.57</v>
      </c>
      <c r="J706" s="50">
        <v>575.70000000000005</v>
      </c>
      <c r="K706" t="s">
        <v>1618</v>
      </c>
      <c r="M706" t="s">
        <v>1629</v>
      </c>
      <c r="N706">
        <v>30.38</v>
      </c>
      <c r="O706" s="49">
        <v>45039</v>
      </c>
      <c r="P706" s="50">
        <v>259.06500000000005</v>
      </c>
    </row>
    <row r="707" spans="4:16" x14ac:dyDescent="0.2">
      <c r="D707">
        <v>100000429</v>
      </c>
      <c r="E707" s="49">
        <v>44887</v>
      </c>
      <c r="F707" t="s">
        <v>2322</v>
      </c>
      <c r="G707" t="s">
        <v>1744</v>
      </c>
      <c r="H707">
        <v>5</v>
      </c>
      <c r="I707">
        <v>83.42</v>
      </c>
      <c r="J707" s="50">
        <v>417.1</v>
      </c>
      <c r="K707" t="s">
        <v>1618</v>
      </c>
      <c r="M707" t="s">
        <v>1627</v>
      </c>
      <c r="N707">
        <v>44.03</v>
      </c>
      <c r="O707" s="49">
        <v>44889</v>
      </c>
      <c r="P707" s="50">
        <v>187.69500000000002</v>
      </c>
    </row>
    <row r="708" spans="4:16" x14ac:dyDescent="0.2">
      <c r="D708">
        <v>100000429</v>
      </c>
      <c r="E708" s="49">
        <v>44308</v>
      </c>
      <c r="F708" t="s">
        <v>2322</v>
      </c>
      <c r="G708" t="s">
        <v>2130</v>
      </c>
      <c r="H708">
        <v>8</v>
      </c>
      <c r="I708">
        <v>99.63</v>
      </c>
      <c r="J708" s="50">
        <v>797.04</v>
      </c>
      <c r="K708" t="s">
        <v>1618</v>
      </c>
      <c r="M708" t="s">
        <v>1627</v>
      </c>
      <c r="N708">
        <v>52.58</v>
      </c>
      <c r="O708" s="49">
        <v>44310</v>
      </c>
      <c r="P708" s="50">
        <v>358.66800000000001</v>
      </c>
    </row>
    <row r="709" spans="4:16" x14ac:dyDescent="0.2">
      <c r="D709">
        <v>100000429</v>
      </c>
      <c r="E709" s="49">
        <v>45439</v>
      </c>
      <c r="F709" t="s">
        <v>2322</v>
      </c>
      <c r="G709" t="s">
        <v>1864</v>
      </c>
      <c r="H709">
        <v>8</v>
      </c>
      <c r="I709">
        <v>110.19</v>
      </c>
      <c r="J709" s="50">
        <v>881.52</v>
      </c>
      <c r="K709" t="s">
        <v>1618</v>
      </c>
      <c r="M709" t="s">
        <v>1627</v>
      </c>
      <c r="N709">
        <v>58.16</v>
      </c>
      <c r="O709" s="49">
        <v>45442</v>
      </c>
      <c r="P709" s="50">
        <v>396.68400000000003</v>
      </c>
    </row>
    <row r="710" spans="4:16" x14ac:dyDescent="0.2">
      <c r="D710">
        <v>100000429</v>
      </c>
      <c r="E710" s="49">
        <v>45316</v>
      </c>
      <c r="F710" t="s">
        <v>2322</v>
      </c>
      <c r="G710" t="s">
        <v>2323</v>
      </c>
      <c r="H710">
        <v>6</v>
      </c>
      <c r="I710">
        <v>42.87</v>
      </c>
      <c r="J710" s="50">
        <v>257.22000000000003</v>
      </c>
      <c r="K710" t="s">
        <v>1618</v>
      </c>
      <c r="M710" t="s">
        <v>1627</v>
      </c>
      <c r="N710">
        <v>22.63</v>
      </c>
      <c r="O710" s="49">
        <v>45318</v>
      </c>
      <c r="P710" s="50">
        <v>115.74900000000001</v>
      </c>
    </row>
    <row r="711" spans="4:16" x14ac:dyDescent="0.2">
      <c r="D711">
        <v>100000429</v>
      </c>
      <c r="E711" s="49">
        <v>44795</v>
      </c>
      <c r="F711" t="s">
        <v>2322</v>
      </c>
      <c r="G711" t="s">
        <v>2003</v>
      </c>
      <c r="H711">
        <v>1</v>
      </c>
      <c r="I711">
        <v>104.32</v>
      </c>
      <c r="J711" s="50">
        <v>104.32</v>
      </c>
      <c r="K711" t="s">
        <v>1618</v>
      </c>
      <c r="M711" t="s">
        <v>1619</v>
      </c>
      <c r="N711">
        <v>55.06</v>
      </c>
      <c r="O711" s="49">
        <v>44800</v>
      </c>
      <c r="P711" s="50">
        <v>46.943999999999996</v>
      </c>
    </row>
    <row r="712" spans="4:16" x14ac:dyDescent="0.2">
      <c r="D712">
        <v>100000430</v>
      </c>
      <c r="E712" s="49">
        <v>45503</v>
      </c>
      <c r="F712" t="s">
        <v>2324</v>
      </c>
      <c r="G712" t="s">
        <v>2060</v>
      </c>
      <c r="H712">
        <v>1</v>
      </c>
      <c r="I712">
        <v>77.55</v>
      </c>
      <c r="J712" s="50">
        <v>77.55</v>
      </c>
      <c r="K712" t="s">
        <v>1632</v>
      </c>
      <c r="M712" t="s">
        <v>1629</v>
      </c>
      <c r="N712">
        <v>40.93</v>
      </c>
      <c r="O712" s="49">
        <v>45507</v>
      </c>
      <c r="P712" s="50">
        <v>34.897500000000001</v>
      </c>
    </row>
    <row r="713" spans="4:16" x14ac:dyDescent="0.2">
      <c r="D713">
        <v>100000430</v>
      </c>
      <c r="E713" s="49">
        <v>44722</v>
      </c>
      <c r="F713" t="s">
        <v>2324</v>
      </c>
      <c r="G713" t="s">
        <v>1874</v>
      </c>
      <c r="H713">
        <v>3</v>
      </c>
      <c r="I713">
        <v>84.59</v>
      </c>
      <c r="J713" s="50">
        <v>253.77</v>
      </c>
      <c r="K713" t="s">
        <v>1632</v>
      </c>
      <c r="M713" t="s">
        <v>1624</v>
      </c>
      <c r="N713">
        <v>44.64</v>
      </c>
      <c r="O713" s="49">
        <v>44725</v>
      </c>
      <c r="P713" s="50">
        <v>114.1965</v>
      </c>
    </row>
    <row r="714" spans="4:16" x14ac:dyDescent="0.2">
      <c r="D714">
        <v>100000430</v>
      </c>
      <c r="E714" s="49">
        <v>45188</v>
      </c>
      <c r="F714" t="s">
        <v>2324</v>
      </c>
      <c r="G714" t="s">
        <v>1945</v>
      </c>
      <c r="H714">
        <v>6</v>
      </c>
      <c r="I714">
        <v>44.67</v>
      </c>
      <c r="J714" s="50">
        <v>268.02</v>
      </c>
      <c r="K714" t="s">
        <v>1632</v>
      </c>
      <c r="M714" t="s">
        <v>1624</v>
      </c>
      <c r="N714">
        <v>23.58</v>
      </c>
      <c r="O714" s="49">
        <v>45191</v>
      </c>
      <c r="P714" s="50">
        <v>120.60899999999999</v>
      </c>
    </row>
    <row r="715" spans="4:16" x14ac:dyDescent="0.2">
      <c r="D715">
        <v>100000430</v>
      </c>
      <c r="E715" s="49">
        <v>44444</v>
      </c>
      <c r="F715" t="s">
        <v>2324</v>
      </c>
      <c r="G715" t="s">
        <v>1719</v>
      </c>
      <c r="H715">
        <v>8</v>
      </c>
      <c r="I715">
        <v>41.54</v>
      </c>
      <c r="J715" s="50">
        <v>332.32</v>
      </c>
      <c r="K715" t="s">
        <v>1632</v>
      </c>
      <c r="M715" t="s">
        <v>1624</v>
      </c>
      <c r="N715">
        <v>21.92</v>
      </c>
      <c r="O715" s="49">
        <v>44446</v>
      </c>
      <c r="P715" s="50">
        <v>149.54400000000001</v>
      </c>
    </row>
    <row r="716" spans="4:16" x14ac:dyDescent="0.2">
      <c r="D716">
        <v>100000430</v>
      </c>
      <c r="E716" s="49">
        <v>44889</v>
      </c>
      <c r="F716" t="s">
        <v>2324</v>
      </c>
      <c r="G716" t="s">
        <v>1953</v>
      </c>
      <c r="H716">
        <v>10</v>
      </c>
      <c r="I716">
        <v>113.75</v>
      </c>
      <c r="J716" s="50">
        <v>1137.5</v>
      </c>
      <c r="K716" t="s">
        <v>1632</v>
      </c>
      <c r="M716" t="s">
        <v>1621</v>
      </c>
      <c r="N716">
        <v>60.03</v>
      </c>
      <c r="O716" s="49">
        <v>44893</v>
      </c>
      <c r="P716" s="50">
        <v>511.875</v>
      </c>
    </row>
    <row r="717" spans="4:16" x14ac:dyDescent="0.2">
      <c r="D717">
        <v>100000430</v>
      </c>
      <c r="E717" s="49">
        <v>44249</v>
      </c>
      <c r="F717" t="s">
        <v>2324</v>
      </c>
      <c r="G717" t="s">
        <v>2016</v>
      </c>
      <c r="H717">
        <v>2</v>
      </c>
      <c r="I717">
        <v>79.83</v>
      </c>
      <c r="J717" s="50">
        <v>159.66</v>
      </c>
      <c r="K717" t="s">
        <v>1632</v>
      </c>
      <c r="M717" t="s">
        <v>1627</v>
      </c>
      <c r="N717">
        <v>42.13</v>
      </c>
      <c r="O717" s="49">
        <v>44251</v>
      </c>
      <c r="P717" s="50">
        <v>71.846999999999994</v>
      </c>
    </row>
    <row r="718" spans="4:16" x14ac:dyDescent="0.2">
      <c r="D718">
        <v>100000430</v>
      </c>
      <c r="E718" s="49">
        <v>44857</v>
      </c>
      <c r="F718" t="s">
        <v>2324</v>
      </c>
      <c r="G718" t="s">
        <v>2076</v>
      </c>
      <c r="H718">
        <v>3</v>
      </c>
      <c r="I718">
        <v>35.380000000000003</v>
      </c>
      <c r="J718" s="50">
        <v>106.14</v>
      </c>
      <c r="K718" t="s">
        <v>1632</v>
      </c>
      <c r="M718" t="s">
        <v>1619</v>
      </c>
      <c r="N718">
        <v>18.670000000000002</v>
      </c>
      <c r="O718" s="49">
        <v>44862</v>
      </c>
      <c r="P718" s="50">
        <v>47.762999999999998</v>
      </c>
    </row>
    <row r="719" spans="4:16" x14ac:dyDescent="0.2">
      <c r="D719">
        <v>100000431</v>
      </c>
      <c r="E719" s="49">
        <v>44466</v>
      </c>
      <c r="F719" t="s">
        <v>2325</v>
      </c>
      <c r="G719" t="s">
        <v>1823</v>
      </c>
      <c r="H719">
        <v>10</v>
      </c>
      <c r="I719">
        <v>54.32</v>
      </c>
      <c r="J719" s="50">
        <v>543.20000000000005</v>
      </c>
      <c r="K719" t="s">
        <v>1632</v>
      </c>
      <c r="M719" t="s">
        <v>1627</v>
      </c>
      <c r="N719">
        <v>28.67</v>
      </c>
      <c r="O719" s="49">
        <v>44470</v>
      </c>
      <c r="P719" s="50">
        <v>244.44000000000003</v>
      </c>
    </row>
    <row r="720" spans="4:16" x14ac:dyDescent="0.2">
      <c r="D720">
        <v>100000431</v>
      </c>
      <c r="E720" s="49">
        <v>44358</v>
      </c>
      <c r="F720" t="s">
        <v>2325</v>
      </c>
      <c r="G720" t="s">
        <v>1651</v>
      </c>
      <c r="H720">
        <v>9</v>
      </c>
      <c r="I720">
        <v>39.56</v>
      </c>
      <c r="J720" s="50">
        <v>356.04</v>
      </c>
      <c r="K720" t="s">
        <v>1632</v>
      </c>
      <c r="M720" t="s">
        <v>1621</v>
      </c>
      <c r="N720">
        <v>20.88</v>
      </c>
      <c r="O720" s="49">
        <v>44361</v>
      </c>
      <c r="P720" s="50">
        <v>160.21800000000002</v>
      </c>
    </row>
    <row r="721" spans="4:16" x14ac:dyDescent="0.2">
      <c r="D721">
        <v>100000431</v>
      </c>
      <c r="E721" s="49">
        <v>44664</v>
      </c>
      <c r="F721" t="s">
        <v>2325</v>
      </c>
      <c r="G721" t="s">
        <v>2302</v>
      </c>
      <c r="H721">
        <v>4</v>
      </c>
      <c r="I721">
        <v>27.92</v>
      </c>
      <c r="J721" s="50">
        <v>111.68</v>
      </c>
      <c r="K721" t="s">
        <v>1632</v>
      </c>
      <c r="M721" t="s">
        <v>1624</v>
      </c>
      <c r="N721">
        <v>14.74</v>
      </c>
      <c r="O721" s="49">
        <v>44669</v>
      </c>
      <c r="P721" s="50">
        <v>50.256000000000007</v>
      </c>
    </row>
    <row r="722" spans="4:16" x14ac:dyDescent="0.2">
      <c r="D722">
        <v>100000433</v>
      </c>
      <c r="E722" s="49">
        <v>45290</v>
      </c>
      <c r="F722" t="s">
        <v>2326</v>
      </c>
      <c r="G722" t="s">
        <v>1987</v>
      </c>
      <c r="H722">
        <v>10</v>
      </c>
      <c r="I722">
        <v>27.64</v>
      </c>
      <c r="J722" s="50">
        <v>276.39999999999998</v>
      </c>
      <c r="K722" t="s">
        <v>1632</v>
      </c>
      <c r="L722" t="s">
        <v>2327</v>
      </c>
      <c r="M722" t="s">
        <v>1624</v>
      </c>
      <c r="N722">
        <v>14.59</v>
      </c>
      <c r="O722" s="49">
        <v>45295</v>
      </c>
      <c r="P722" s="50">
        <v>124.38</v>
      </c>
    </row>
    <row r="723" spans="4:16" x14ac:dyDescent="0.2">
      <c r="D723">
        <v>100000433</v>
      </c>
      <c r="E723" s="49">
        <v>44779</v>
      </c>
      <c r="F723" t="s">
        <v>2326</v>
      </c>
      <c r="G723" t="s">
        <v>2230</v>
      </c>
      <c r="H723">
        <v>1</v>
      </c>
      <c r="I723">
        <v>22.7</v>
      </c>
      <c r="J723" s="50">
        <v>22.7</v>
      </c>
      <c r="K723" t="s">
        <v>1632</v>
      </c>
      <c r="L723" t="s">
        <v>2327</v>
      </c>
      <c r="M723" t="s">
        <v>1621</v>
      </c>
      <c r="N723">
        <v>11.98</v>
      </c>
      <c r="O723" s="49">
        <v>44784</v>
      </c>
      <c r="P723" s="50">
        <v>10.215</v>
      </c>
    </row>
    <row r="724" spans="4:16" x14ac:dyDescent="0.2">
      <c r="D724">
        <v>100000433</v>
      </c>
      <c r="E724" s="49">
        <v>45354</v>
      </c>
      <c r="F724" t="s">
        <v>2326</v>
      </c>
      <c r="G724" t="s">
        <v>2323</v>
      </c>
      <c r="H724">
        <v>10</v>
      </c>
      <c r="I724">
        <v>59.89</v>
      </c>
      <c r="J724" s="50">
        <v>598.9</v>
      </c>
      <c r="K724" t="s">
        <v>1632</v>
      </c>
      <c r="L724" t="s">
        <v>2327</v>
      </c>
      <c r="M724" t="s">
        <v>1629</v>
      </c>
      <c r="N724">
        <v>31.61</v>
      </c>
      <c r="O724" s="49">
        <v>45356</v>
      </c>
      <c r="P724" s="50">
        <v>269.505</v>
      </c>
    </row>
    <row r="725" spans="4:16" x14ac:dyDescent="0.2">
      <c r="D725">
        <v>100000433</v>
      </c>
      <c r="E725" s="49">
        <v>45575</v>
      </c>
      <c r="F725" t="s">
        <v>2326</v>
      </c>
      <c r="G725" t="s">
        <v>2328</v>
      </c>
      <c r="H725">
        <v>5</v>
      </c>
      <c r="I725">
        <v>111.69</v>
      </c>
      <c r="J725" s="50">
        <v>558.45000000000005</v>
      </c>
      <c r="K725" t="s">
        <v>1632</v>
      </c>
      <c r="L725" t="s">
        <v>2327</v>
      </c>
      <c r="M725" t="s">
        <v>1627</v>
      </c>
      <c r="N725">
        <v>58.95</v>
      </c>
      <c r="O725" s="49">
        <v>45580</v>
      </c>
      <c r="P725" s="50">
        <v>251.30250000000004</v>
      </c>
    </row>
    <row r="726" spans="4:16" x14ac:dyDescent="0.2">
      <c r="D726">
        <v>100000435</v>
      </c>
      <c r="E726" s="49">
        <v>44928</v>
      </c>
      <c r="F726" t="s">
        <v>2329</v>
      </c>
      <c r="G726" t="s">
        <v>1628</v>
      </c>
      <c r="H726">
        <v>10</v>
      </c>
      <c r="I726">
        <v>19.43</v>
      </c>
      <c r="J726" s="50">
        <v>194.3</v>
      </c>
      <c r="K726" t="s">
        <v>1632</v>
      </c>
      <c r="M726" t="s">
        <v>1619</v>
      </c>
      <c r="N726">
        <v>10.25</v>
      </c>
      <c r="O726" s="49">
        <v>44932</v>
      </c>
      <c r="P726" s="50">
        <v>87.435000000000002</v>
      </c>
    </row>
    <row r="727" spans="4:16" x14ac:dyDescent="0.2">
      <c r="D727">
        <v>100000435</v>
      </c>
      <c r="E727" s="49">
        <v>45201</v>
      </c>
      <c r="F727" t="s">
        <v>2329</v>
      </c>
      <c r="G727" t="s">
        <v>2330</v>
      </c>
      <c r="H727">
        <v>1</v>
      </c>
      <c r="I727">
        <v>29.96</v>
      </c>
      <c r="J727" s="50">
        <v>29.96</v>
      </c>
      <c r="K727" t="s">
        <v>1632</v>
      </c>
      <c r="M727" t="s">
        <v>1621</v>
      </c>
      <c r="N727">
        <v>15.81</v>
      </c>
      <c r="O727" s="49">
        <v>45203</v>
      </c>
      <c r="P727" s="50">
        <v>13.482000000000001</v>
      </c>
    </row>
    <row r="728" spans="4:16" x14ac:dyDescent="0.2">
      <c r="D728">
        <v>100000435</v>
      </c>
      <c r="E728" s="49">
        <v>44420</v>
      </c>
      <c r="F728" t="s">
        <v>2329</v>
      </c>
      <c r="G728" t="s">
        <v>1688</v>
      </c>
      <c r="H728">
        <v>4</v>
      </c>
      <c r="I728">
        <v>68.53</v>
      </c>
      <c r="J728" s="50">
        <v>274.12</v>
      </c>
      <c r="K728" t="s">
        <v>1632</v>
      </c>
      <c r="M728" t="s">
        <v>1629</v>
      </c>
      <c r="N728">
        <v>36.17</v>
      </c>
      <c r="O728" s="49">
        <v>44425</v>
      </c>
      <c r="P728" s="50">
        <v>123.354</v>
      </c>
    </row>
    <row r="729" spans="4:16" x14ac:dyDescent="0.2">
      <c r="D729">
        <v>100000435</v>
      </c>
      <c r="E729" s="49">
        <v>44211</v>
      </c>
      <c r="F729" t="s">
        <v>2329</v>
      </c>
      <c r="G729" t="s">
        <v>2331</v>
      </c>
      <c r="H729">
        <v>9</v>
      </c>
      <c r="I729">
        <v>38.53</v>
      </c>
      <c r="J729" s="50">
        <v>346.77</v>
      </c>
      <c r="K729" t="s">
        <v>1632</v>
      </c>
      <c r="M729" t="s">
        <v>1624</v>
      </c>
      <c r="N729">
        <v>20.34</v>
      </c>
      <c r="O729" s="49">
        <v>44213</v>
      </c>
      <c r="P729" s="50">
        <v>156.04650000000001</v>
      </c>
    </row>
    <row r="730" spans="4:16" x14ac:dyDescent="0.2">
      <c r="D730">
        <v>100000436</v>
      </c>
      <c r="E730" s="49">
        <v>44553</v>
      </c>
      <c r="F730" t="s">
        <v>2332</v>
      </c>
      <c r="G730" t="s">
        <v>2101</v>
      </c>
      <c r="H730">
        <v>7</v>
      </c>
      <c r="I730">
        <v>37.53</v>
      </c>
      <c r="J730" s="50">
        <v>262.70999999999998</v>
      </c>
      <c r="K730" t="s">
        <v>1618</v>
      </c>
      <c r="M730" t="s">
        <v>1629</v>
      </c>
      <c r="N730">
        <v>19.809999999999999</v>
      </c>
      <c r="O730" s="49">
        <v>44555</v>
      </c>
      <c r="P730" s="50">
        <v>118.2195</v>
      </c>
    </row>
    <row r="731" spans="4:16" x14ac:dyDescent="0.2">
      <c r="D731">
        <v>100000437</v>
      </c>
      <c r="E731" s="49">
        <v>44391</v>
      </c>
      <c r="F731" t="s">
        <v>2333</v>
      </c>
      <c r="G731" t="s">
        <v>1823</v>
      </c>
      <c r="H731">
        <v>6</v>
      </c>
      <c r="I731">
        <v>97.32</v>
      </c>
      <c r="J731" s="50">
        <v>583.91999999999996</v>
      </c>
      <c r="K731" t="s">
        <v>1618</v>
      </c>
      <c r="M731" t="s">
        <v>1627</v>
      </c>
      <c r="N731">
        <v>51.36</v>
      </c>
      <c r="O731" s="49">
        <v>44392</v>
      </c>
      <c r="P731" s="50">
        <v>262.76400000000001</v>
      </c>
    </row>
    <row r="732" spans="4:16" x14ac:dyDescent="0.2">
      <c r="D732">
        <v>100000437</v>
      </c>
      <c r="E732" s="49">
        <v>45481</v>
      </c>
      <c r="F732" t="s">
        <v>2333</v>
      </c>
      <c r="G732" t="s">
        <v>1853</v>
      </c>
      <c r="H732">
        <v>1</v>
      </c>
      <c r="I732">
        <v>87.92</v>
      </c>
      <c r="J732" s="50">
        <v>87.92</v>
      </c>
      <c r="K732" t="s">
        <v>1618</v>
      </c>
      <c r="M732" t="s">
        <v>1629</v>
      </c>
      <c r="N732">
        <v>46.4</v>
      </c>
      <c r="O732" s="49">
        <v>45485</v>
      </c>
      <c r="P732" s="50">
        <v>39.564</v>
      </c>
    </row>
    <row r="733" spans="4:16" x14ac:dyDescent="0.2">
      <c r="D733">
        <v>100000438</v>
      </c>
      <c r="E733" s="49">
        <v>45104</v>
      </c>
      <c r="F733" t="s">
        <v>2334</v>
      </c>
      <c r="G733" t="s">
        <v>1663</v>
      </c>
      <c r="H733">
        <v>1</v>
      </c>
      <c r="I733">
        <v>58.33</v>
      </c>
      <c r="J733" s="50">
        <v>58.33</v>
      </c>
      <c r="K733" t="s">
        <v>1618</v>
      </c>
      <c r="M733" t="s">
        <v>1629</v>
      </c>
      <c r="N733">
        <v>30.79</v>
      </c>
      <c r="O733" s="49">
        <v>45108</v>
      </c>
      <c r="P733" s="50">
        <v>26.2485</v>
      </c>
    </row>
    <row r="734" spans="4:16" x14ac:dyDescent="0.2">
      <c r="D734">
        <v>100000439</v>
      </c>
      <c r="E734" s="49">
        <v>45462</v>
      </c>
      <c r="F734" t="s">
        <v>2335</v>
      </c>
      <c r="G734" t="s">
        <v>1963</v>
      </c>
      <c r="H734">
        <v>5</v>
      </c>
      <c r="I734">
        <v>73.64</v>
      </c>
      <c r="J734" s="50">
        <v>368.2</v>
      </c>
      <c r="K734" t="s">
        <v>1632</v>
      </c>
      <c r="M734" t="s">
        <v>1619</v>
      </c>
      <c r="N734">
        <v>38.869999999999997</v>
      </c>
      <c r="O734" s="49">
        <v>45464</v>
      </c>
      <c r="P734" s="50">
        <v>165.69</v>
      </c>
    </row>
    <row r="735" spans="4:16" x14ac:dyDescent="0.2">
      <c r="D735">
        <v>100000440</v>
      </c>
      <c r="E735" s="49">
        <v>44290</v>
      </c>
      <c r="F735" t="s">
        <v>2336</v>
      </c>
      <c r="G735" t="s">
        <v>2337</v>
      </c>
      <c r="H735">
        <v>3</v>
      </c>
      <c r="I735">
        <v>44.04</v>
      </c>
      <c r="J735" s="50">
        <v>132.12</v>
      </c>
      <c r="K735" t="s">
        <v>1632</v>
      </c>
      <c r="M735" t="s">
        <v>1624</v>
      </c>
      <c r="N735">
        <v>23.24</v>
      </c>
      <c r="O735" s="49">
        <v>44292</v>
      </c>
      <c r="P735" s="50">
        <v>59.454000000000001</v>
      </c>
    </row>
    <row r="736" spans="4:16" x14ac:dyDescent="0.2">
      <c r="D736">
        <v>100000440</v>
      </c>
      <c r="E736" s="49">
        <v>44219</v>
      </c>
      <c r="F736" t="s">
        <v>2336</v>
      </c>
      <c r="G736" t="s">
        <v>1953</v>
      </c>
      <c r="H736">
        <v>7</v>
      </c>
      <c r="I736">
        <v>70.900000000000006</v>
      </c>
      <c r="J736" s="50">
        <v>496.30000000000013</v>
      </c>
      <c r="K736" t="s">
        <v>1632</v>
      </c>
      <c r="M736" t="s">
        <v>1619</v>
      </c>
      <c r="N736">
        <v>37.42</v>
      </c>
      <c r="O736" s="49">
        <v>44220</v>
      </c>
      <c r="P736" s="50">
        <v>223.33500000000006</v>
      </c>
    </row>
    <row r="737" spans="4:16" x14ac:dyDescent="0.2">
      <c r="D737">
        <v>100000441</v>
      </c>
      <c r="E737" s="49">
        <v>44535</v>
      </c>
      <c r="F737" t="s">
        <v>2338</v>
      </c>
      <c r="G737" t="s">
        <v>1895</v>
      </c>
      <c r="H737">
        <v>6</v>
      </c>
      <c r="I737">
        <v>23.61</v>
      </c>
      <c r="J737" s="50">
        <v>141.66</v>
      </c>
      <c r="K737" t="s">
        <v>1632</v>
      </c>
      <c r="M737" t="s">
        <v>1619</v>
      </c>
      <c r="N737">
        <v>12.46</v>
      </c>
      <c r="O737" s="49">
        <v>44536</v>
      </c>
      <c r="P737" s="50">
        <v>63.747</v>
      </c>
    </row>
    <row r="738" spans="4:16" x14ac:dyDescent="0.2">
      <c r="D738">
        <v>100000449</v>
      </c>
      <c r="E738" s="49">
        <v>44982</v>
      </c>
      <c r="F738" t="s">
        <v>2339</v>
      </c>
      <c r="G738" t="s">
        <v>1939</v>
      </c>
      <c r="H738">
        <v>8</v>
      </c>
      <c r="I738">
        <v>64.739999999999995</v>
      </c>
      <c r="J738" s="50">
        <v>517.91999999999996</v>
      </c>
      <c r="K738" t="s">
        <v>1618</v>
      </c>
      <c r="M738" t="s">
        <v>1627</v>
      </c>
      <c r="N738">
        <v>34.17</v>
      </c>
      <c r="O738" s="49">
        <v>44987</v>
      </c>
      <c r="P738" s="50">
        <v>233.06399999999999</v>
      </c>
    </row>
    <row r="739" spans="4:16" x14ac:dyDescent="0.2">
      <c r="D739">
        <v>100000451</v>
      </c>
      <c r="E739" s="49">
        <v>44352</v>
      </c>
      <c r="F739" t="s">
        <v>2340</v>
      </c>
      <c r="G739" t="s">
        <v>2151</v>
      </c>
      <c r="H739">
        <v>1</v>
      </c>
      <c r="I739">
        <v>57.86</v>
      </c>
      <c r="J739" s="50">
        <v>57.86</v>
      </c>
      <c r="K739" t="s">
        <v>1632</v>
      </c>
      <c r="M739" t="s">
        <v>1619</v>
      </c>
      <c r="N739">
        <v>30.54</v>
      </c>
      <c r="O739" s="49">
        <v>44355</v>
      </c>
      <c r="P739" s="50">
        <v>26.036999999999999</v>
      </c>
    </row>
    <row r="740" spans="4:16" x14ac:dyDescent="0.2">
      <c r="D740">
        <v>100000451</v>
      </c>
      <c r="E740" s="49">
        <v>45253</v>
      </c>
      <c r="F740" t="s">
        <v>2340</v>
      </c>
      <c r="G740" t="s">
        <v>1641</v>
      </c>
      <c r="H740">
        <v>10</v>
      </c>
      <c r="I740">
        <v>28.42</v>
      </c>
      <c r="J740" s="50">
        <v>284.2</v>
      </c>
      <c r="K740" t="s">
        <v>1632</v>
      </c>
      <c r="M740" t="s">
        <v>1624</v>
      </c>
      <c r="N740">
        <v>15</v>
      </c>
      <c r="O740" s="49">
        <v>45255</v>
      </c>
      <c r="P740" s="50">
        <v>127.89</v>
      </c>
    </row>
    <row r="741" spans="4:16" x14ac:dyDescent="0.2">
      <c r="D741">
        <v>100000453</v>
      </c>
      <c r="E741" s="49">
        <v>45414</v>
      </c>
      <c r="F741" t="s">
        <v>2341</v>
      </c>
      <c r="G741" t="s">
        <v>2204</v>
      </c>
      <c r="H741">
        <v>4</v>
      </c>
      <c r="I741">
        <v>60.26</v>
      </c>
      <c r="J741" s="50">
        <v>241.04</v>
      </c>
      <c r="K741" t="s">
        <v>1618</v>
      </c>
      <c r="L741" t="s">
        <v>2342</v>
      </c>
      <c r="M741" t="s">
        <v>1619</v>
      </c>
      <c r="N741">
        <v>31.8</v>
      </c>
      <c r="O741" s="49">
        <v>45417</v>
      </c>
      <c r="P741" s="50">
        <v>108.468</v>
      </c>
    </row>
    <row r="742" spans="4:16" x14ac:dyDescent="0.2">
      <c r="D742">
        <v>100000453</v>
      </c>
      <c r="E742" s="49">
        <v>44334</v>
      </c>
      <c r="F742" t="s">
        <v>2341</v>
      </c>
      <c r="G742" t="s">
        <v>2202</v>
      </c>
      <c r="H742">
        <v>4</v>
      </c>
      <c r="I742">
        <v>102.9</v>
      </c>
      <c r="J742" s="50">
        <v>411.6</v>
      </c>
      <c r="K742" t="s">
        <v>1618</v>
      </c>
      <c r="L742" t="s">
        <v>2342</v>
      </c>
      <c r="M742" t="s">
        <v>1619</v>
      </c>
      <c r="N742">
        <v>54.31</v>
      </c>
      <c r="O742" s="49">
        <v>44335</v>
      </c>
      <c r="P742" s="50">
        <v>185.22000000000003</v>
      </c>
    </row>
    <row r="743" spans="4:16" x14ac:dyDescent="0.2">
      <c r="D743">
        <v>100000453</v>
      </c>
      <c r="E743" s="49">
        <v>45170</v>
      </c>
      <c r="F743" t="s">
        <v>2341</v>
      </c>
      <c r="G743" t="s">
        <v>1768</v>
      </c>
      <c r="H743">
        <v>10</v>
      </c>
      <c r="I743">
        <v>68.5</v>
      </c>
      <c r="J743" s="50">
        <v>685</v>
      </c>
      <c r="K743" t="s">
        <v>1618</v>
      </c>
      <c r="L743" t="s">
        <v>2342</v>
      </c>
      <c r="M743" t="s">
        <v>1624</v>
      </c>
      <c r="N743">
        <v>36.15</v>
      </c>
      <c r="O743" s="49">
        <v>45171</v>
      </c>
      <c r="P743" s="50">
        <v>308.25</v>
      </c>
    </row>
    <row r="744" spans="4:16" x14ac:dyDescent="0.2">
      <c r="D744">
        <v>100000453</v>
      </c>
      <c r="E744" s="49">
        <v>44478</v>
      </c>
      <c r="F744" t="s">
        <v>2341</v>
      </c>
      <c r="G744" t="s">
        <v>2263</v>
      </c>
      <c r="H744">
        <v>6</v>
      </c>
      <c r="I744">
        <v>106.07</v>
      </c>
      <c r="J744" s="50">
        <v>636.41999999999996</v>
      </c>
      <c r="K744" t="s">
        <v>1618</v>
      </c>
      <c r="L744" t="s">
        <v>2342</v>
      </c>
      <c r="M744" t="s">
        <v>1627</v>
      </c>
      <c r="N744">
        <v>55.98</v>
      </c>
      <c r="O744" s="49">
        <v>44479</v>
      </c>
      <c r="P744" s="50">
        <v>286.38900000000001</v>
      </c>
    </row>
    <row r="745" spans="4:16" x14ac:dyDescent="0.2">
      <c r="D745">
        <v>100000453</v>
      </c>
      <c r="E745" s="49">
        <v>45249</v>
      </c>
      <c r="F745" t="s">
        <v>2341</v>
      </c>
      <c r="G745" t="s">
        <v>1702</v>
      </c>
      <c r="H745">
        <v>1</v>
      </c>
      <c r="I745">
        <v>28.73</v>
      </c>
      <c r="J745" s="50">
        <v>28.73</v>
      </c>
      <c r="K745" t="s">
        <v>1618</v>
      </c>
      <c r="L745" t="s">
        <v>2342</v>
      </c>
      <c r="M745" t="s">
        <v>1629</v>
      </c>
      <c r="N745">
        <v>15.16</v>
      </c>
      <c r="O745" s="49">
        <v>45250</v>
      </c>
      <c r="P745" s="50">
        <v>12.9285</v>
      </c>
    </row>
    <row r="746" spans="4:16" x14ac:dyDescent="0.2">
      <c r="D746">
        <v>100000453</v>
      </c>
      <c r="E746" s="49">
        <v>44342</v>
      </c>
      <c r="F746" t="s">
        <v>2341</v>
      </c>
      <c r="G746" t="s">
        <v>1726</v>
      </c>
      <c r="H746">
        <v>2</v>
      </c>
      <c r="I746">
        <v>63.7</v>
      </c>
      <c r="J746" s="50">
        <v>127.4</v>
      </c>
      <c r="K746" t="s">
        <v>1618</v>
      </c>
      <c r="L746" t="s">
        <v>2342</v>
      </c>
      <c r="M746" t="s">
        <v>1624</v>
      </c>
      <c r="N746">
        <v>33.619999999999997</v>
      </c>
      <c r="O746" s="49">
        <v>44343</v>
      </c>
      <c r="P746" s="50">
        <v>57.330000000000005</v>
      </c>
    </row>
    <row r="747" spans="4:16" x14ac:dyDescent="0.2">
      <c r="D747">
        <v>100000453</v>
      </c>
      <c r="E747" s="49">
        <v>45590</v>
      </c>
      <c r="F747" t="s">
        <v>2341</v>
      </c>
      <c r="G747" t="s">
        <v>2174</v>
      </c>
      <c r="H747">
        <v>9</v>
      </c>
      <c r="I747">
        <v>67.150000000000006</v>
      </c>
      <c r="J747" s="50">
        <v>604.35</v>
      </c>
      <c r="K747" t="s">
        <v>1618</v>
      </c>
      <c r="L747" t="s">
        <v>2342</v>
      </c>
      <c r="M747" t="s">
        <v>1629</v>
      </c>
      <c r="N747">
        <v>35.44</v>
      </c>
      <c r="O747" s="49">
        <v>45592</v>
      </c>
      <c r="P747" s="50">
        <v>271.95750000000004</v>
      </c>
    </row>
    <row r="748" spans="4:16" x14ac:dyDescent="0.2">
      <c r="D748">
        <v>100000453</v>
      </c>
      <c r="E748" s="49">
        <v>44822</v>
      </c>
      <c r="F748" t="s">
        <v>2341</v>
      </c>
      <c r="G748" t="s">
        <v>1691</v>
      </c>
      <c r="H748">
        <v>7</v>
      </c>
      <c r="I748">
        <v>23.1</v>
      </c>
      <c r="J748" s="50">
        <v>161.69999999999999</v>
      </c>
      <c r="K748" t="s">
        <v>1618</v>
      </c>
      <c r="L748" t="s">
        <v>2342</v>
      </c>
      <c r="M748" t="s">
        <v>1624</v>
      </c>
      <c r="N748">
        <v>12.19</v>
      </c>
      <c r="O748" s="49">
        <v>44827</v>
      </c>
      <c r="P748" s="50">
        <v>72.765000000000001</v>
      </c>
    </row>
    <row r="749" spans="4:16" x14ac:dyDescent="0.2">
      <c r="D749">
        <v>100000453</v>
      </c>
      <c r="E749" s="49">
        <v>45193</v>
      </c>
      <c r="F749" t="s">
        <v>2341</v>
      </c>
      <c r="G749" t="s">
        <v>1932</v>
      </c>
      <c r="H749">
        <v>6</v>
      </c>
      <c r="I749">
        <v>89.17</v>
      </c>
      <c r="J749" s="50">
        <v>535.02</v>
      </c>
      <c r="K749" t="s">
        <v>1618</v>
      </c>
      <c r="L749" t="s">
        <v>2342</v>
      </c>
      <c r="M749" t="s">
        <v>1624</v>
      </c>
      <c r="N749">
        <v>47.06</v>
      </c>
      <c r="O749" s="49">
        <v>45194</v>
      </c>
      <c r="P749" s="50">
        <v>240.75899999999999</v>
      </c>
    </row>
    <row r="750" spans="4:16" x14ac:dyDescent="0.2">
      <c r="D750">
        <v>100000453</v>
      </c>
      <c r="E750" s="49">
        <v>44305</v>
      </c>
      <c r="F750" t="s">
        <v>2341</v>
      </c>
      <c r="G750" t="s">
        <v>2343</v>
      </c>
      <c r="H750">
        <v>10</v>
      </c>
      <c r="I750">
        <v>28.6</v>
      </c>
      <c r="J750" s="50">
        <v>286</v>
      </c>
      <c r="K750" t="s">
        <v>1618</v>
      </c>
      <c r="L750" t="s">
        <v>2342</v>
      </c>
      <c r="M750" t="s">
        <v>1624</v>
      </c>
      <c r="N750">
        <v>15.09</v>
      </c>
      <c r="O750" s="49">
        <v>44308</v>
      </c>
      <c r="P750" s="50">
        <v>128.70000000000002</v>
      </c>
    </row>
    <row r="751" spans="4:16" x14ac:dyDescent="0.2">
      <c r="D751">
        <v>100000453</v>
      </c>
      <c r="E751" s="49">
        <v>44697</v>
      </c>
      <c r="F751" t="s">
        <v>2341</v>
      </c>
      <c r="G751" t="s">
        <v>2028</v>
      </c>
      <c r="H751">
        <v>4</v>
      </c>
      <c r="I751">
        <v>94.78</v>
      </c>
      <c r="J751" s="50">
        <v>379.12</v>
      </c>
      <c r="K751" t="s">
        <v>1618</v>
      </c>
      <c r="L751" t="s">
        <v>2342</v>
      </c>
      <c r="M751" t="s">
        <v>1629</v>
      </c>
      <c r="N751">
        <v>50.02</v>
      </c>
      <c r="O751" s="49">
        <v>44700</v>
      </c>
      <c r="P751" s="50">
        <v>170.60400000000001</v>
      </c>
    </row>
    <row r="752" spans="4:16" x14ac:dyDescent="0.2">
      <c r="D752">
        <v>100000453</v>
      </c>
      <c r="E752" s="49">
        <v>44587</v>
      </c>
      <c r="F752" t="s">
        <v>2341</v>
      </c>
      <c r="G752" t="s">
        <v>1669</v>
      </c>
      <c r="H752">
        <v>4</v>
      </c>
      <c r="I752">
        <v>10.38</v>
      </c>
      <c r="J752" s="50">
        <v>41.52</v>
      </c>
      <c r="K752" t="s">
        <v>1618</v>
      </c>
      <c r="L752" t="s">
        <v>2342</v>
      </c>
      <c r="M752" t="s">
        <v>1629</v>
      </c>
      <c r="N752">
        <v>5.48</v>
      </c>
      <c r="O752" s="49">
        <v>44592</v>
      </c>
      <c r="P752" s="50">
        <v>18.684000000000001</v>
      </c>
    </row>
    <row r="753" spans="4:16" x14ac:dyDescent="0.2">
      <c r="D753">
        <v>100000453</v>
      </c>
      <c r="E753" s="49">
        <v>44866</v>
      </c>
      <c r="F753" t="s">
        <v>2341</v>
      </c>
      <c r="G753" t="s">
        <v>2344</v>
      </c>
      <c r="H753">
        <v>9</v>
      </c>
      <c r="I753">
        <v>36.409999999999997</v>
      </c>
      <c r="J753" s="50">
        <v>327.68999999999988</v>
      </c>
      <c r="K753" t="s">
        <v>1618</v>
      </c>
      <c r="L753" t="s">
        <v>2342</v>
      </c>
      <c r="M753" t="s">
        <v>1629</v>
      </c>
      <c r="N753">
        <v>19.22</v>
      </c>
      <c r="O753" s="49">
        <v>44869</v>
      </c>
      <c r="P753" s="50">
        <v>147.46049999999994</v>
      </c>
    </row>
    <row r="754" spans="4:16" x14ac:dyDescent="0.2">
      <c r="D754">
        <v>100000453</v>
      </c>
      <c r="E754" s="49">
        <v>45019</v>
      </c>
      <c r="F754" t="s">
        <v>2341</v>
      </c>
      <c r="G754" t="s">
        <v>2112</v>
      </c>
      <c r="H754">
        <v>10</v>
      </c>
      <c r="I754">
        <v>77.13</v>
      </c>
      <c r="J754" s="50">
        <v>771.3</v>
      </c>
      <c r="K754" t="s">
        <v>1618</v>
      </c>
      <c r="L754" t="s">
        <v>2342</v>
      </c>
      <c r="M754" t="s">
        <v>1627</v>
      </c>
      <c r="N754">
        <v>40.71</v>
      </c>
      <c r="O754" s="49">
        <v>45024</v>
      </c>
      <c r="P754" s="50">
        <v>347.08499999999998</v>
      </c>
    </row>
    <row r="755" spans="4:16" x14ac:dyDescent="0.2">
      <c r="D755">
        <v>100000453</v>
      </c>
      <c r="E755" s="49">
        <v>44517</v>
      </c>
      <c r="F755" t="s">
        <v>2341</v>
      </c>
      <c r="G755" t="s">
        <v>1704</v>
      </c>
      <c r="H755">
        <v>1</v>
      </c>
      <c r="I755">
        <v>63.93</v>
      </c>
      <c r="J755" s="50">
        <v>63.93</v>
      </c>
      <c r="K755" t="s">
        <v>1618</v>
      </c>
      <c r="L755" t="s">
        <v>2342</v>
      </c>
      <c r="M755" t="s">
        <v>1619</v>
      </c>
      <c r="N755">
        <v>33.74</v>
      </c>
      <c r="O755" s="49">
        <v>44520</v>
      </c>
      <c r="P755" s="50">
        <v>28.7685</v>
      </c>
    </row>
    <row r="756" spans="4:16" x14ac:dyDescent="0.2">
      <c r="D756">
        <v>100000455</v>
      </c>
      <c r="E756" s="49">
        <v>44364</v>
      </c>
      <c r="F756" t="s">
        <v>2345</v>
      </c>
      <c r="G756" t="s">
        <v>1844</v>
      </c>
      <c r="H756">
        <v>4</v>
      </c>
      <c r="I756">
        <v>29.07</v>
      </c>
      <c r="J756" s="50">
        <v>116.28</v>
      </c>
      <c r="K756" t="s">
        <v>1632</v>
      </c>
      <c r="M756" t="s">
        <v>1627</v>
      </c>
      <c r="N756">
        <v>15.34</v>
      </c>
      <c r="O756" s="49">
        <v>44367</v>
      </c>
      <c r="P756" s="50">
        <v>52.326000000000001</v>
      </c>
    </row>
    <row r="757" spans="4:16" x14ac:dyDescent="0.2">
      <c r="D757">
        <v>100000455</v>
      </c>
      <c r="E757" s="49">
        <v>44863</v>
      </c>
      <c r="F757" t="s">
        <v>2345</v>
      </c>
      <c r="G757" t="s">
        <v>1872</v>
      </c>
      <c r="H757">
        <v>6</v>
      </c>
      <c r="I757">
        <v>71.69</v>
      </c>
      <c r="J757" s="50">
        <v>430.14</v>
      </c>
      <c r="K757" t="s">
        <v>1632</v>
      </c>
      <c r="M757" t="s">
        <v>1621</v>
      </c>
      <c r="N757">
        <v>37.840000000000003</v>
      </c>
      <c r="O757" s="49">
        <v>44867</v>
      </c>
      <c r="P757" s="50">
        <v>193.56299999999999</v>
      </c>
    </row>
    <row r="758" spans="4:16" x14ac:dyDescent="0.2">
      <c r="D758">
        <v>100000455</v>
      </c>
      <c r="E758" s="49">
        <v>44398</v>
      </c>
      <c r="F758" t="s">
        <v>2345</v>
      </c>
      <c r="G758" t="s">
        <v>2346</v>
      </c>
      <c r="H758">
        <v>9</v>
      </c>
      <c r="I758">
        <v>112.04</v>
      </c>
      <c r="J758" s="50">
        <v>1008.36</v>
      </c>
      <c r="K758" t="s">
        <v>1632</v>
      </c>
      <c r="M758" t="s">
        <v>1629</v>
      </c>
      <c r="N758">
        <v>59.13</v>
      </c>
      <c r="O758" s="49">
        <v>44403</v>
      </c>
      <c r="P758" s="50">
        <v>453.762</v>
      </c>
    </row>
    <row r="759" spans="4:16" x14ac:dyDescent="0.2">
      <c r="D759">
        <v>100000455</v>
      </c>
      <c r="E759" s="49">
        <v>44212</v>
      </c>
      <c r="F759" t="s">
        <v>2345</v>
      </c>
      <c r="G759" t="s">
        <v>1985</v>
      </c>
      <c r="H759">
        <v>1</v>
      </c>
      <c r="I759">
        <v>28.62</v>
      </c>
      <c r="J759" s="50">
        <v>28.62</v>
      </c>
      <c r="K759" t="s">
        <v>1632</v>
      </c>
      <c r="M759" t="s">
        <v>1624</v>
      </c>
      <c r="N759">
        <v>15.1</v>
      </c>
      <c r="O759" s="49">
        <v>44217</v>
      </c>
      <c r="P759" s="50">
        <v>12.879000000000001</v>
      </c>
    </row>
    <row r="760" spans="4:16" x14ac:dyDescent="0.2">
      <c r="D760">
        <v>100000456</v>
      </c>
      <c r="E760" s="49">
        <v>45461</v>
      </c>
      <c r="F760" t="s">
        <v>2347</v>
      </c>
      <c r="G760" t="s">
        <v>1744</v>
      </c>
      <c r="H760">
        <v>10</v>
      </c>
      <c r="I760">
        <v>44.58</v>
      </c>
      <c r="J760" s="50">
        <v>445.8</v>
      </c>
      <c r="K760" t="s">
        <v>1618</v>
      </c>
      <c r="M760" t="s">
        <v>1627</v>
      </c>
      <c r="N760">
        <v>23.53</v>
      </c>
      <c r="O760" s="49">
        <v>45462</v>
      </c>
      <c r="P760" s="50">
        <v>200.61</v>
      </c>
    </row>
    <row r="761" spans="4:16" x14ac:dyDescent="0.2">
      <c r="D761">
        <v>100000456</v>
      </c>
      <c r="E761" s="49">
        <v>44244</v>
      </c>
      <c r="F761" t="s">
        <v>2347</v>
      </c>
      <c r="G761" t="s">
        <v>2348</v>
      </c>
      <c r="H761">
        <v>7</v>
      </c>
      <c r="I761">
        <v>80.67</v>
      </c>
      <c r="J761" s="50">
        <v>564.69000000000005</v>
      </c>
      <c r="K761" t="s">
        <v>1618</v>
      </c>
      <c r="M761" t="s">
        <v>1619</v>
      </c>
      <c r="N761">
        <v>42.58</v>
      </c>
      <c r="O761" s="49">
        <v>44245</v>
      </c>
      <c r="P761" s="50">
        <v>254.11050000000003</v>
      </c>
    </row>
    <row r="762" spans="4:16" x14ac:dyDescent="0.2">
      <c r="D762">
        <v>100000457</v>
      </c>
      <c r="E762" s="49">
        <v>44731</v>
      </c>
      <c r="F762" t="s">
        <v>2349</v>
      </c>
      <c r="G762" t="s">
        <v>1913</v>
      </c>
      <c r="H762">
        <v>3</v>
      </c>
      <c r="I762">
        <v>11.62</v>
      </c>
      <c r="J762" s="50">
        <v>34.86</v>
      </c>
      <c r="K762" t="s">
        <v>1618</v>
      </c>
      <c r="M762" t="s">
        <v>1621</v>
      </c>
      <c r="N762">
        <v>6.13</v>
      </c>
      <c r="O762" s="49">
        <v>44736</v>
      </c>
      <c r="P762" s="50">
        <v>15.686999999999999</v>
      </c>
    </row>
    <row r="763" spans="4:16" x14ac:dyDescent="0.2">
      <c r="D763">
        <v>100000458</v>
      </c>
      <c r="E763" s="49">
        <v>45482</v>
      </c>
      <c r="F763" t="s">
        <v>2350</v>
      </c>
      <c r="G763" t="s">
        <v>1712</v>
      </c>
      <c r="H763">
        <v>8</v>
      </c>
      <c r="I763">
        <v>111.39</v>
      </c>
      <c r="J763" s="50">
        <v>891.12</v>
      </c>
      <c r="K763" t="s">
        <v>1632</v>
      </c>
      <c r="M763" t="s">
        <v>1621</v>
      </c>
      <c r="N763">
        <v>58.79</v>
      </c>
      <c r="O763" s="49">
        <v>45484</v>
      </c>
      <c r="P763" s="50">
        <v>401.00400000000002</v>
      </c>
    </row>
    <row r="764" spans="4:16" x14ac:dyDescent="0.2">
      <c r="D764">
        <v>100000458</v>
      </c>
      <c r="E764" s="49">
        <v>44226</v>
      </c>
      <c r="F764" t="s">
        <v>2350</v>
      </c>
      <c r="G764" t="s">
        <v>2192</v>
      </c>
      <c r="H764">
        <v>1</v>
      </c>
      <c r="I764">
        <v>75.849999999999994</v>
      </c>
      <c r="J764" s="50">
        <v>75.849999999999994</v>
      </c>
      <c r="K764" t="s">
        <v>1632</v>
      </c>
      <c r="M764" t="s">
        <v>1629</v>
      </c>
      <c r="N764">
        <v>40.03</v>
      </c>
      <c r="O764" s="49">
        <v>44229</v>
      </c>
      <c r="P764" s="50">
        <v>34.1325</v>
      </c>
    </row>
    <row r="765" spans="4:16" x14ac:dyDescent="0.2">
      <c r="D765">
        <v>100000458</v>
      </c>
      <c r="E765" s="49">
        <v>44772</v>
      </c>
      <c r="F765" t="s">
        <v>2350</v>
      </c>
      <c r="G765" t="s">
        <v>1846</v>
      </c>
      <c r="H765">
        <v>8</v>
      </c>
      <c r="I765">
        <v>79.569999999999993</v>
      </c>
      <c r="J765" s="50">
        <v>636.55999999999995</v>
      </c>
      <c r="K765" t="s">
        <v>1632</v>
      </c>
      <c r="M765" t="s">
        <v>1621</v>
      </c>
      <c r="N765">
        <v>41.99</v>
      </c>
      <c r="O765" s="49">
        <v>44776</v>
      </c>
      <c r="P765" s="50">
        <v>286.452</v>
      </c>
    </row>
    <row r="766" spans="4:16" x14ac:dyDescent="0.2">
      <c r="D766">
        <v>100000458</v>
      </c>
      <c r="E766" s="49">
        <v>44721</v>
      </c>
      <c r="F766" t="s">
        <v>2350</v>
      </c>
      <c r="G766" t="s">
        <v>2147</v>
      </c>
      <c r="H766">
        <v>1</v>
      </c>
      <c r="I766">
        <v>118.67</v>
      </c>
      <c r="J766" s="50">
        <v>118.67</v>
      </c>
      <c r="K766" t="s">
        <v>1632</v>
      </c>
      <c r="M766" t="s">
        <v>1627</v>
      </c>
      <c r="N766">
        <v>62.63</v>
      </c>
      <c r="O766" s="49">
        <v>44726</v>
      </c>
      <c r="P766" s="50">
        <v>53.401499999999999</v>
      </c>
    </row>
    <row r="767" spans="4:16" x14ac:dyDescent="0.2">
      <c r="D767">
        <v>100000459</v>
      </c>
      <c r="E767" s="49">
        <v>44370</v>
      </c>
      <c r="F767" t="s">
        <v>2351</v>
      </c>
      <c r="G767" t="s">
        <v>2302</v>
      </c>
      <c r="H767">
        <v>6</v>
      </c>
      <c r="I767">
        <v>84.92</v>
      </c>
      <c r="J767" s="50">
        <v>509.52</v>
      </c>
      <c r="K767" t="s">
        <v>1632</v>
      </c>
      <c r="M767" t="s">
        <v>1619</v>
      </c>
      <c r="N767">
        <v>44.82</v>
      </c>
      <c r="O767" s="49">
        <v>44373</v>
      </c>
      <c r="P767" s="50">
        <v>229.28399999999999</v>
      </c>
    </row>
    <row r="768" spans="4:16" x14ac:dyDescent="0.2">
      <c r="D768">
        <v>100000461</v>
      </c>
      <c r="E768" s="49">
        <v>45147</v>
      </c>
      <c r="F768" t="s">
        <v>2352</v>
      </c>
      <c r="G768" t="s">
        <v>1874</v>
      </c>
      <c r="H768">
        <v>4</v>
      </c>
      <c r="I768">
        <v>12.13</v>
      </c>
      <c r="J768" s="50">
        <v>48.52</v>
      </c>
      <c r="K768" t="s">
        <v>1632</v>
      </c>
      <c r="M768" t="s">
        <v>1621</v>
      </c>
      <c r="N768">
        <v>6.4</v>
      </c>
      <c r="O768" s="49">
        <v>45148</v>
      </c>
      <c r="P768" s="50">
        <v>21.834000000000003</v>
      </c>
    </row>
    <row r="769" spans="4:16" x14ac:dyDescent="0.2">
      <c r="D769">
        <v>100000462</v>
      </c>
      <c r="E769" s="49">
        <v>44613</v>
      </c>
      <c r="F769" t="s">
        <v>2353</v>
      </c>
      <c r="G769" t="s">
        <v>1987</v>
      </c>
      <c r="H769">
        <v>3</v>
      </c>
      <c r="I769">
        <v>42.24</v>
      </c>
      <c r="J769" s="50">
        <v>126.72</v>
      </c>
      <c r="K769" t="s">
        <v>1632</v>
      </c>
      <c r="M769" t="s">
        <v>1621</v>
      </c>
      <c r="N769">
        <v>22.29</v>
      </c>
      <c r="O769" s="49">
        <v>44617</v>
      </c>
      <c r="P769" s="50">
        <v>57.024000000000001</v>
      </c>
    </row>
    <row r="770" spans="4:16" x14ac:dyDescent="0.2">
      <c r="D770">
        <v>100000464</v>
      </c>
      <c r="E770" s="49">
        <v>44477</v>
      </c>
      <c r="F770" t="s">
        <v>2354</v>
      </c>
      <c r="G770" t="s">
        <v>1834</v>
      </c>
      <c r="H770">
        <v>2</v>
      </c>
      <c r="I770">
        <v>26.36</v>
      </c>
      <c r="J770" s="50">
        <v>52.72</v>
      </c>
      <c r="K770" t="s">
        <v>1632</v>
      </c>
      <c r="M770" t="s">
        <v>1621</v>
      </c>
      <c r="N770">
        <v>13.91</v>
      </c>
      <c r="O770" s="49">
        <v>44481</v>
      </c>
      <c r="P770" s="50">
        <v>23.724</v>
      </c>
    </row>
    <row r="771" spans="4:16" x14ac:dyDescent="0.2">
      <c r="D771">
        <v>100000464</v>
      </c>
      <c r="E771" s="49">
        <v>44872</v>
      </c>
      <c r="F771" t="s">
        <v>2354</v>
      </c>
      <c r="G771" t="s">
        <v>1937</v>
      </c>
      <c r="H771">
        <v>4</v>
      </c>
      <c r="I771">
        <v>36.729999999999997</v>
      </c>
      <c r="J771" s="50">
        <v>146.91999999999999</v>
      </c>
      <c r="K771" t="s">
        <v>1632</v>
      </c>
      <c r="M771" t="s">
        <v>1629</v>
      </c>
      <c r="N771">
        <v>19.39</v>
      </c>
      <c r="O771" s="49">
        <v>44875</v>
      </c>
      <c r="P771" s="50">
        <v>66.11399999999999</v>
      </c>
    </row>
    <row r="772" spans="4:16" x14ac:dyDescent="0.2">
      <c r="D772">
        <v>100000465</v>
      </c>
      <c r="E772" s="49">
        <v>45645</v>
      </c>
      <c r="F772" t="s">
        <v>2355</v>
      </c>
      <c r="G772" t="s">
        <v>2028</v>
      </c>
      <c r="H772">
        <v>1</v>
      </c>
      <c r="I772">
        <v>15.24</v>
      </c>
      <c r="J772" s="50">
        <v>15.24</v>
      </c>
      <c r="K772" t="s">
        <v>1618</v>
      </c>
      <c r="M772" t="s">
        <v>1619</v>
      </c>
      <c r="N772">
        <v>8.0399999999999991</v>
      </c>
      <c r="O772" s="49">
        <v>45650</v>
      </c>
      <c r="P772" s="50">
        <v>6.8580000000000005</v>
      </c>
    </row>
    <row r="773" spans="4:16" x14ac:dyDescent="0.2">
      <c r="D773">
        <v>100000465</v>
      </c>
      <c r="E773" s="49">
        <v>45627</v>
      </c>
      <c r="F773" t="s">
        <v>2355</v>
      </c>
      <c r="G773" t="s">
        <v>1669</v>
      </c>
      <c r="H773">
        <v>2</v>
      </c>
      <c r="I773">
        <v>16.8</v>
      </c>
      <c r="J773" s="50">
        <v>33.6</v>
      </c>
      <c r="K773" t="s">
        <v>1618</v>
      </c>
      <c r="M773" t="s">
        <v>1619</v>
      </c>
      <c r="N773">
        <v>8.8699999999999992</v>
      </c>
      <c r="O773" s="49">
        <v>45631</v>
      </c>
      <c r="P773" s="50">
        <v>15.120000000000001</v>
      </c>
    </row>
    <row r="774" spans="4:16" x14ac:dyDescent="0.2">
      <c r="D774">
        <v>100000465</v>
      </c>
      <c r="E774" s="49">
        <v>44708</v>
      </c>
      <c r="F774" t="s">
        <v>2355</v>
      </c>
      <c r="G774" t="s">
        <v>1687</v>
      </c>
      <c r="H774">
        <v>3</v>
      </c>
      <c r="I774">
        <v>37.340000000000003</v>
      </c>
      <c r="J774" s="50">
        <v>112.02</v>
      </c>
      <c r="K774" t="s">
        <v>1618</v>
      </c>
      <c r="M774" t="s">
        <v>1621</v>
      </c>
      <c r="N774">
        <v>19.71</v>
      </c>
      <c r="O774" s="49">
        <v>44713</v>
      </c>
      <c r="P774" s="50">
        <v>50.408999999999999</v>
      </c>
    </row>
    <row r="775" spans="4:16" x14ac:dyDescent="0.2">
      <c r="D775">
        <v>100000466</v>
      </c>
      <c r="E775" s="49">
        <v>45171</v>
      </c>
      <c r="F775" t="s">
        <v>2356</v>
      </c>
      <c r="G775" t="s">
        <v>2357</v>
      </c>
      <c r="H775">
        <v>6</v>
      </c>
      <c r="I775">
        <v>37.57</v>
      </c>
      <c r="J775" s="50">
        <v>225.42</v>
      </c>
      <c r="K775" t="s">
        <v>1618</v>
      </c>
      <c r="M775" t="s">
        <v>1624</v>
      </c>
      <c r="N775">
        <v>19.829999999999998</v>
      </c>
      <c r="O775" s="49">
        <v>45175</v>
      </c>
      <c r="P775" s="50">
        <v>101.43899999999999</v>
      </c>
    </row>
    <row r="776" spans="4:16" x14ac:dyDescent="0.2">
      <c r="D776">
        <v>100000466</v>
      </c>
      <c r="E776" s="49">
        <v>44637</v>
      </c>
      <c r="F776" t="s">
        <v>2356</v>
      </c>
      <c r="G776" t="s">
        <v>1976</v>
      </c>
      <c r="H776">
        <v>2</v>
      </c>
      <c r="I776">
        <v>56.29</v>
      </c>
      <c r="J776" s="50">
        <v>112.58</v>
      </c>
      <c r="K776" t="s">
        <v>1618</v>
      </c>
      <c r="M776" t="s">
        <v>1627</v>
      </c>
      <c r="N776">
        <v>29.71</v>
      </c>
      <c r="O776" s="49">
        <v>44640</v>
      </c>
      <c r="P776" s="50">
        <v>50.661000000000001</v>
      </c>
    </row>
    <row r="777" spans="4:16" x14ac:dyDescent="0.2">
      <c r="D777">
        <v>100000467</v>
      </c>
      <c r="E777" s="49">
        <v>45279</v>
      </c>
      <c r="F777" t="s">
        <v>2358</v>
      </c>
      <c r="G777" t="s">
        <v>1634</v>
      </c>
      <c r="H777">
        <v>10</v>
      </c>
      <c r="I777">
        <v>82.22</v>
      </c>
      <c r="J777" s="50">
        <v>822.2</v>
      </c>
      <c r="K777" t="s">
        <v>1618</v>
      </c>
      <c r="L777" t="s">
        <v>2359</v>
      </c>
      <c r="M777" t="s">
        <v>1624</v>
      </c>
      <c r="N777">
        <v>43.39</v>
      </c>
      <c r="O777" s="49">
        <v>45284</v>
      </c>
      <c r="P777" s="50">
        <v>369.99</v>
      </c>
    </row>
    <row r="778" spans="4:16" x14ac:dyDescent="0.2">
      <c r="D778">
        <v>100000468</v>
      </c>
      <c r="E778" s="49">
        <v>44291</v>
      </c>
      <c r="F778" t="s">
        <v>2360</v>
      </c>
      <c r="G778" t="s">
        <v>2050</v>
      </c>
      <c r="H778">
        <v>8</v>
      </c>
      <c r="I778">
        <v>19.239999999999998</v>
      </c>
      <c r="J778" s="50">
        <v>153.91999999999999</v>
      </c>
      <c r="K778" t="s">
        <v>1632</v>
      </c>
      <c r="M778" t="s">
        <v>1624</v>
      </c>
      <c r="N778">
        <v>10.15</v>
      </c>
      <c r="O778" s="49">
        <v>44295</v>
      </c>
      <c r="P778" s="50">
        <v>69.263999999999996</v>
      </c>
    </row>
    <row r="779" spans="4:16" x14ac:dyDescent="0.2">
      <c r="D779">
        <v>100000469</v>
      </c>
      <c r="E779" s="49">
        <v>45057</v>
      </c>
      <c r="F779" t="s">
        <v>2361</v>
      </c>
      <c r="G779" t="s">
        <v>1664</v>
      </c>
      <c r="H779">
        <v>4</v>
      </c>
      <c r="I779">
        <v>117.99</v>
      </c>
      <c r="J779" s="50">
        <v>471.96</v>
      </c>
      <c r="K779" t="s">
        <v>1632</v>
      </c>
      <c r="M779" t="s">
        <v>1624</v>
      </c>
      <c r="N779">
        <v>62.27</v>
      </c>
      <c r="O779" s="49">
        <v>45060</v>
      </c>
      <c r="P779" s="50">
        <v>212.38200000000001</v>
      </c>
    </row>
    <row r="780" spans="4:16" x14ac:dyDescent="0.2">
      <c r="D780">
        <v>100000469</v>
      </c>
      <c r="E780" s="49">
        <v>45355</v>
      </c>
      <c r="F780" t="s">
        <v>2361</v>
      </c>
      <c r="G780" t="s">
        <v>1724</v>
      </c>
      <c r="H780">
        <v>2</v>
      </c>
      <c r="I780">
        <v>50.57</v>
      </c>
      <c r="J780" s="50">
        <v>101.14</v>
      </c>
      <c r="K780" t="s">
        <v>1632</v>
      </c>
      <c r="M780" t="s">
        <v>1624</v>
      </c>
      <c r="N780">
        <v>26.69</v>
      </c>
      <c r="O780" s="49">
        <v>45359</v>
      </c>
      <c r="P780" s="50">
        <v>45.512999999999998</v>
      </c>
    </row>
    <row r="781" spans="4:16" x14ac:dyDescent="0.2">
      <c r="D781">
        <v>100000470</v>
      </c>
      <c r="E781" s="49">
        <v>44283</v>
      </c>
      <c r="F781" t="s">
        <v>2362</v>
      </c>
      <c r="G781" t="s">
        <v>1799</v>
      </c>
      <c r="H781">
        <v>1</v>
      </c>
      <c r="I781">
        <v>54.98</v>
      </c>
      <c r="J781" s="50">
        <v>54.98</v>
      </c>
      <c r="K781" t="s">
        <v>1618</v>
      </c>
      <c r="M781" t="s">
        <v>1629</v>
      </c>
      <c r="N781">
        <v>29.02</v>
      </c>
      <c r="O781" s="49">
        <v>44285</v>
      </c>
      <c r="P781" s="50">
        <v>24.741</v>
      </c>
    </row>
    <row r="782" spans="4:16" x14ac:dyDescent="0.2">
      <c r="D782">
        <v>100000471</v>
      </c>
      <c r="E782" s="49">
        <v>45358</v>
      </c>
      <c r="F782" t="s">
        <v>2363</v>
      </c>
      <c r="G782" t="s">
        <v>1636</v>
      </c>
      <c r="H782">
        <v>5</v>
      </c>
      <c r="I782">
        <v>97.21</v>
      </c>
      <c r="J782" s="50">
        <v>486.05</v>
      </c>
      <c r="K782" t="s">
        <v>1632</v>
      </c>
      <c r="M782" t="s">
        <v>1619</v>
      </c>
      <c r="N782">
        <v>51.3</v>
      </c>
      <c r="O782" s="49">
        <v>45360</v>
      </c>
      <c r="P782" s="50">
        <v>218.7225</v>
      </c>
    </row>
    <row r="783" spans="4:16" x14ac:dyDescent="0.2">
      <c r="D783">
        <v>100000471</v>
      </c>
      <c r="E783" s="49">
        <v>44472</v>
      </c>
      <c r="F783" t="s">
        <v>2363</v>
      </c>
      <c r="G783" t="s">
        <v>1724</v>
      </c>
      <c r="H783">
        <v>1</v>
      </c>
      <c r="I783">
        <v>88.79</v>
      </c>
      <c r="J783" s="50">
        <v>88.79</v>
      </c>
      <c r="K783" t="s">
        <v>1632</v>
      </c>
      <c r="M783" t="s">
        <v>1629</v>
      </c>
      <c r="N783">
        <v>46.86</v>
      </c>
      <c r="O783" s="49">
        <v>44474</v>
      </c>
      <c r="P783" s="50">
        <v>39.955500000000001</v>
      </c>
    </row>
    <row r="784" spans="4:16" x14ac:dyDescent="0.2">
      <c r="D784">
        <v>100000471</v>
      </c>
      <c r="E784" s="49">
        <v>44463</v>
      </c>
      <c r="F784" t="s">
        <v>2363</v>
      </c>
      <c r="G784" t="s">
        <v>1848</v>
      </c>
      <c r="H784">
        <v>6</v>
      </c>
      <c r="I784">
        <v>13.72</v>
      </c>
      <c r="J784" s="50">
        <v>82.320000000000007</v>
      </c>
      <c r="K784" t="s">
        <v>1632</v>
      </c>
      <c r="M784" t="s">
        <v>1624</v>
      </c>
      <c r="N784">
        <v>7.24</v>
      </c>
      <c r="O784" s="49">
        <v>44466</v>
      </c>
      <c r="P784" s="50">
        <v>37.044000000000004</v>
      </c>
    </row>
    <row r="785" spans="4:16" x14ac:dyDescent="0.2">
      <c r="D785">
        <v>100000472</v>
      </c>
      <c r="E785" s="49">
        <v>44739</v>
      </c>
      <c r="F785" t="s">
        <v>2364</v>
      </c>
      <c r="G785" t="s">
        <v>1649</v>
      </c>
      <c r="H785">
        <v>6</v>
      </c>
      <c r="I785">
        <v>83.21</v>
      </c>
      <c r="J785" s="50">
        <v>499.26</v>
      </c>
      <c r="K785" t="s">
        <v>1618</v>
      </c>
      <c r="L785" t="s">
        <v>2365</v>
      </c>
      <c r="M785" t="s">
        <v>1621</v>
      </c>
      <c r="N785">
        <v>43.92</v>
      </c>
      <c r="O785" s="49">
        <v>44740</v>
      </c>
      <c r="P785" s="50">
        <v>224.667</v>
      </c>
    </row>
    <row r="786" spans="4:16" x14ac:dyDescent="0.2">
      <c r="D786">
        <v>100000474</v>
      </c>
      <c r="E786" s="49">
        <v>44307</v>
      </c>
      <c r="F786" t="s">
        <v>2366</v>
      </c>
      <c r="G786" t="s">
        <v>2033</v>
      </c>
      <c r="H786">
        <v>1</v>
      </c>
      <c r="I786">
        <v>66.39</v>
      </c>
      <c r="J786" s="50">
        <v>66.39</v>
      </c>
      <c r="K786" t="s">
        <v>1632</v>
      </c>
      <c r="M786" t="s">
        <v>1621</v>
      </c>
      <c r="N786">
        <v>35.04</v>
      </c>
      <c r="O786" s="49">
        <v>44310</v>
      </c>
      <c r="P786" s="50">
        <v>29.875500000000002</v>
      </c>
    </row>
    <row r="787" spans="4:16" x14ac:dyDescent="0.2">
      <c r="D787">
        <v>100000474</v>
      </c>
      <c r="E787" s="49">
        <v>45017</v>
      </c>
      <c r="F787" t="s">
        <v>2366</v>
      </c>
      <c r="G787" t="s">
        <v>1704</v>
      </c>
      <c r="H787">
        <v>7</v>
      </c>
      <c r="I787">
        <v>39.840000000000003</v>
      </c>
      <c r="J787" s="50">
        <v>278.88</v>
      </c>
      <c r="K787" t="s">
        <v>1632</v>
      </c>
      <c r="M787" t="s">
        <v>1621</v>
      </c>
      <c r="N787">
        <v>21.03</v>
      </c>
      <c r="O787" s="49">
        <v>45021</v>
      </c>
      <c r="P787" s="50">
        <v>125.496</v>
      </c>
    </row>
    <row r="788" spans="4:16" x14ac:dyDescent="0.2">
      <c r="D788">
        <v>100000474</v>
      </c>
      <c r="E788" s="49">
        <v>45563</v>
      </c>
      <c r="F788" t="s">
        <v>2366</v>
      </c>
      <c r="G788" t="s">
        <v>1971</v>
      </c>
      <c r="H788">
        <v>6</v>
      </c>
      <c r="I788">
        <v>88.88</v>
      </c>
      <c r="J788" s="50">
        <v>533.28</v>
      </c>
      <c r="K788" t="s">
        <v>1632</v>
      </c>
      <c r="M788" t="s">
        <v>1624</v>
      </c>
      <c r="N788">
        <v>46.91</v>
      </c>
      <c r="O788" s="49">
        <v>45564</v>
      </c>
      <c r="P788" s="50">
        <v>239.976</v>
      </c>
    </row>
    <row r="789" spans="4:16" x14ac:dyDescent="0.2">
      <c r="D789">
        <v>100000475</v>
      </c>
      <c r="E789" s="49">
        <v>44705</v>
      </c>
      <c r="F789" t="s">
        <v>2367</v>
      </c>
      <c r="G789" t="s">
        <v>1967</v>
      </c>
      <c r="H789">
        <v>6</v>
      </c>
      <c r="I789">
        <v>18.93</v>
      </c>
      <c r="J789" s="50">
        <v>113.58</v>
      </c>
      <c r="K789" t="s">
        <v>1618</v>
      </c>
      <c r="M789" t="s">
        <v>1629</v>
      </c>
      <c r="N789">
        <v>9.99</v>
      </c>
      <c r="O789" s="49">
        <v>44710</v>
      </c>
      <c r="P789" s="50">
        <v>51.110999999999997</v>
      </c>
    </row>
    <row r="790" spans="4:16" x14ac:dyDescent="0.2">
      <c r="D790">
        <v>100000476</v>
      </c>
      <c r="E790" s="49">
        <v>44554</v>
      </c>
      <c r="F790" t="s">
        <v>2368</v>
      </c>
      <c r="G790" t="s">
        <v>1768</v>
      </c>
      <c r="H790">
        <v>6</v>
      </c>
      <c r="I790">
        <v>115.91</v>
      </c>
      <c r="J790" s="50">
        <v>695.46</v>
      </c>
      <c r="K790" t="s">
        <v>1632</v>
      </c>
      <c r="M790" t="s">
        <v>1619</v>
      </c>
      <c r="N790">
        <v>61.17</v>
      </c>
      <c r="O790" s="49">
        <v>44558</v>
      </c>
      <c r="P790" s="50">
        <v>312.95700000000005</v>
      </c>
    </row>
    <row r="791" spans="4:16" x14ac:dyDescent="0.2">
      <c r="D791">
        <v>100000476</v>
      </c>
      <c r="E791" s="49">
        <v>44627</v>
      </c>
      <c r="F791" t="s">
        <v>2368</v>
      </c>
      <c r="G791" t="s">
        <v>1781</v>
      </c>
      <c r="H791">
        <v>2</v>
      </c>
      <c r="I791">
        <v>15.22</v>
      </c>
      <c r="J791" s="50">
        <v>30.44</v>
      </c>
      <c r="K791" t="s">
        <v>1632</v>
      </c>
      <c r="M791" t="s">
        <v>1624</v>
      </c>
      <c r="N791">
        <v>8.0299999999999994</v>
      </c>
      <c r="O791" s="49">
        <v>44630</v>
      </c>
      <c r="P791" s="50">
        <v>13.698</v>
      </c>
    </row>
    <row r="792" spans="4:16" x14ac:dyDescent="0.2">
      <c r="D792">
        <v>100000477</v>
      </c>
      <c r="E792" s="49">
        <v>45320</v>
      </c>
      <c r="F792" t="s">
        <v>2369</v>
      </c>
      <c r="G792" t="s">
        <v>2138</v>
      </c>
      <c r="H792">
        <v>6</v>
      </c>
      <c r="I792">
        <v>91.96</v>
      </c>
      <c r="J792" s="50">
        <v>551.76</v>
      </c>
      <c r="K792" t="s">
        <v>1618</v>
      </c>
      <c r="M792" t="s">
        <v>1629</v>
      </c>
      <c r="N792">
        <v>48.53</v>
      </c>
      <c r="O792" s="49">
        <v>45323</v>
      </c>
      <c r="P792" s="50">
        <v>248.292</v>
      </c>
    </row>
    <row r="793" spans="4:16" x14ac:dyDescent="0.2">
      <c r="D793">
        <v>100000478</v>
      </c>
      <c r="E793" s="49">
        <v>45147</v>
      </c>
      <c r="F793" t="s">
        <v>2370</v>
      </c>
      <c r="G793" t="s">
        <v>2079</v>
      </c>
      <c r="H793">
        <v>10</v>
      </c>
      <c r="I793">
        <v>34.81</v>
      </c>
      <c r="J793" s="50">
        <v>348.1</v>
      </c>
      <c r="K793" t="s">
        <v>1618</v>
      </c>
      <c r="M793" t="s">
        <v>1629</v>
      </c>
      <c r="N793">
        <v>18.37</v>
      </c>
      <c r="O793" s="49">
        <v>45152</v>
      </c>
      <c r="P793" s="50">
        <v>156.64500000000001</v>
      </c>
    </row>
    <row r="794" spans="4:16" x14ac:dyDescent="0.2">
      <c r="D794">
        <v>100000478</v>
      </c>
      <c r="E794" s="49">
        <v>44330</v>
      </c>
      <c r="F794" t="s">
        <v>2370</v>
      </c>
      <c r="G794" t="s">
        <v>2078</v>
      </c>
      <c r="H794">
        <v>2</v>
      </c>
      <c r="I794">
        <v>31.44</v>
      </c>
      <c r="J794" s="50">
        <v>62.88</v>
      </c>
      <c r="K794" t="s">
        <v>1618</v>
      </c>
      <c r="M794" t="s">
        <v>1624</v>
      </c>
      <c r="N794">
        <v>16.59</v>
      </c>
      <c r="O794" s="49">
        <v>44335</v>
      </c>
      <c r="P794" s="50">
        <v>28.296000000000003</v>
      </c>
    </row>
    <row r="795" spans="4:16" x14ac:dyDescent="0.2">
      <c r="D795">
        <v>100000478</v>
      </c>
      <c r="E795" s="49">
        <v>45471</v>
      </c>
      <c r="F795" t="s">
        <v>2370</v>
      </c>
      <c r="G795" t="s">
        <v>1953</v>
      </c>
      <c r="H795">
        <v>1</v>
      </c>
      <c r="I795">
        <v>23.93</v>
      </c>
      <c r="J795" s="50">
        <v>23.93</v>
      </c>
      <c r="K795" t="s">
        <v>1618</v>
      </c>
      <c r="M795" t="s">
        <v>1624</v>
      </c>
      <c r="N795">
        <v>12.63</v>
      </c>
      <c r="O795" s="49">
        <v>45472</v>
      </c>
      <c r="P795" s="50">
        <v>10.7685</v>
      </c>
    </row>
    <row r="796" spans="4:16" x14ac:dyDescent="0.2">
      <c r="D796">
        <v>100000479</v>
      </c>
      <c r="E796" s="49">
        <v>45227</v>
      </c>
      <c r="F796" t="s">
        <v>2371</v>
      </c>
      <c r="G796" t="s">
        <v>2372</v>
      </c>
      <c r="H796">
        <v>6</v>
      </c>
      <c r="I796">
        <v>70.709999999999994</v>
      </c>
      <c r="J796" s="50">
        <v>424.26</v>
      </c>
      <c r="K796" t="s">
        <v>1618</v>
      </c>
      <c r="M796" t="s">
        <v>1624</v>
      </c>
      <c r="N796">
        <v>37.32</v>
      </c>
      <c r="O796" s="49">
        <v>45232</v>
      </c>
      <c r="P796" s="50">
        <v>190.917</v>
      </c>
    </row>
    <row r="797" spans="4:16" x14ac:dyDescent="0.2">
      <c r="D797">
        <v>100000479</v>
      </c>
      <c r="E797" s="49">
        <v>45024</v>
      </c>
      <c r="F797" t="s">
        <v>2371</v>
      </c>
      <c r="G797" t="s">
        <v>2373</v>
      </c>
      <c r="H797">
        <v>5</v>
      </c>
      <c r="I797">
        <v>97.25</v>
      </c>
      <c r="J797" s="50">
        <v>486.25</v>
      </c>
      <c r="K797" t="s">
        <v>1618</v>
      </c>
      <c r="M797" t="s">
        <v>1619</v>
      </c>
      <c r="N797">
        <v>51.33</v>
      </c>
      <c r="O797" s="49">
        <v>45029</v>
      </c>
      <c r="P797" s="50">
        <v>218.8125</v>
      </c>
    </row>
    <row r="798" spans="4:16" x14ac:dyDescent="0.2">
      <c r="D798">
        <v>100000479</v>
      </c>
      <c r="E798" s="49">
        <v>44857</v>
      </c>
      <c r="F798" t="s">
        <v>2371</v>
      </c>
      <c r="G798" t="s">
        <v>1674</v>
      </c>
      <c r="H798">
        <v>5</v>
      </c>
      <c r="I798">
        <v>56.39</v>
      </c>
      <c r="J798" s="50">
        <v>281.95</v>
      </c>
      <c r="K798" t="s">
        <v>1618</v>
      </c>
      <c r="M798" t="s">
        <v>1627</v>
      </c>
      <c r="N798">
        <v>29.76</v>
      </c>
      <c r="O798" s="49">
        <v>44860</v>
      </c>
      <c r="P798" s="50">
        <v>126.8775</v>
      </c>
    </row>
    <row r="799" spans="4:16" x14ac:dyDescent="0.2">
      <c r="D799">
        <v>100000480</v>
      </c>
      <c r="E799" s="49">
        <v>44703</v>
      </c>
      <c r="F799" t="s">
        <v>2374</v>
      </c>
      <c r="G799" t="s">
        <v>2278</v>
      </c>
      <c r="H799">
        <v>7</v>
      </c>
      <c r="I799">
        <v>33.630000000000003</v>
      </c>
      <c r="J799" s="50">
        <v>235.41</v>
      </c>
      <c r="K799" t="s">
        <v>1632</v>
      </c>
      <c r="M799" t="s">
        <v>1624</v>
      </c>
      <c r="N799">
        <v>17.75</v>
      </c>
      <c r="O799" s="49">
        <v>44706</v>
      </c>
      <c r="P799" s="50">
        <v>105.9345</v>
      </c>
    </row>
    <row r="800" spans="4:16" x14ac:dyDescent="0.2">
      <c r="D800">
        <v>100000480</v>
      </c>
      <c r="E800" s="49">
        <v>45474</v>
      </c>
      <c r="F800" t="s">
        <v>2374</v>
      </c>
      <c r="G800" t="s">
        <v>2375</v>
      </c>
      <c r="H800">
        <v>5</v>
      </c>
      <c r="I800">
        <v>35.06</v>
      </c>
      <c r="J800" s="50">
        <v>175.3</v>
      </c>
      <c r="K800" t="s">
        <v>1632</v>
      </c>
      <c r="M800" t="s">
        <v>1629</v>
      </c>
      <c r="N800">
        <v>18.5</v>
      </c>
      <c r="O800" s="49">
        <v>45478</v>
      </c>
      <c r="P800" s="50">
        <v>78.885000000000005</v>
      </c>
    </row>
    <row r="801" spans="4:16" x14ac:dyDescent="0.2">
      <c r="D801">
        <v>100000481</v>
      </c>
      <c r="E801" s="49">
        <v>44701</v>
      </c>
      <c r="F801" t="s">
        <v>2376</v>
      </c>
      <c r="G801" t="s">
        <v>1848</v>
      </c>
      <c r="H801">
        <v>5</v>
      </c>
      <c r="I801">
        <v>79.62</v>
      </c>
      <c r="J801" s="50">
        <v>398.1</v>
      </c>
      <c r="K801" t="s">
        <v>1618</v>
      </c>
      <c r="M801" t="s">
        <v>1629</v>
      </c>
      <c r="N801">
        <v>42.02</v>
      </c>
      <c r="O801" s="49">
        <v>44706</v>
      </c>
      <c r="P801" s="50">
        <v>179.14500000000001</v>
      </c>
    </row>
    <row r="802" spans="4:16" x14ac:dyDescent="0.2">
      <c r="D802">
        <v>100000481</v>
      </c>
      <c r="E802" s="49">
        <v>44332</v>
      </c>
      <c r="F802" t="s">
        <v>2376</v>
      </c>
      <c r="G802" t="s">
        <v>2242</v>
      </c>
      <c r="H802">
        <v>5</v>
      </c>
      <c r="I802">
        <v>114.26</v>
      </c>
      <c r="J802" s="50">
        <v>571.30000000000007</v>
      </c>
      <c r="K802" t="s">
        <v>1618</v>
      </c>
      <c r="M802" t="s">
        <v>1627</v>
      </c>
      <c r="N802">
        <v>60.3</v>
      </c>
      <c r="O802" s="49">
        <v>44336</v>
      </c>
      <c r="P802" s="50">
        <v>257.08500000000004</v>
      </c>
    </row>
    <row r="803" spans="4:16" x14ac:dyDescent="0.2">
      <c r="D803">
        <v>100000483</v>
      </c>
      <c r="E803" s="49">
        <v>44793</v>
      </c>
      <c r="F803" t="s">
        <v>2377</v>
      </c>
      <c r="G803" t="s">
        <v>2378</v>
      </c>
      <c r="H803">
        <v>4</v>
      </c>
      <c r="I803">
        <v>37.950000000000003</v>
      </c>
      <c r="J803" s="50">
        <v>151.80000000000001</v>
      </c>
      <c r="K803" t="s">
        <v>1618</v>
      </c>
      <c r="M803" t="s">
        <v>1621</v>
      </c>
      <c r="N803">
        <v>20.03</v>
      </c>
      <c r="O803" s="49">
        <v>44798</v>
      </c>
      <c r="P803" s="50">
        <v>68.31</v>
      </c>
    </row>
    <row r="804" spans="4:16" x14ac:dyDescent="0.2">
      <c r="D804">
        <v>100000483</v>
      </c>
      <c r="E804" s="49">
        <v>45338</v>
      </c>
      <c r="F804" t="s">
        <v>2377</v>
      </c>
      <c r="G804" t="s">
        <v>1943</v>
      </c>
      <c r="H804">
        <v>5</v>
      </c>
      <c r="I804">
        <v>39.25</v>
      </c>
      <c r="J804" s="50">
        <v>196.25</v>
      </c>
      <c r="K804" t="s">
        <v>1618</v>
      </c>
      <c r="M804" t="s">
        <v>1619</v>
      </c>
      <c r="N804">
        <v>20.72</v>
      </c>
      <c r="O804" s="49">
        <v>45342</v>
      </c>
      <c r="P804" s="50">
        <v>88.3125</v>
      </c>
    </row>
    <row r="805" spans="4:16" x14ac:dyDescent="0.2">
      <c r="D805">
        <v>100000485</v>
      </c>
      <c r="E805" s="49">
        <v>44451</v>
      </c>
      <c r="F805" t="s">
        <v>2379</v>
      </c>
      <c r="G805" t="s">
        <v>2380</v>
      </c>
      <c r="H805">
        <v>2</v>
      </c>
      <c r="I805">
        <v>67.930000000000007</v>
      </c>
      <c r="J805" s="50">
        <v>135.86000000000001</v>
      </c>
      <c r="K805" t="s">
        <v>1618</v>
      </c>
      <c r="M805" t="s">
        <v>1621</v>
      </c>
      <c r="N805">
        <v>35.85</v>
      </c>
      <c r="O805" s="49">
        <v>44454</v>
      </c>
      <c r="P805" s="50">
        <v>61.137000000000008</v>
      </c>
    </row>
    <row r="806" spans="4:16" x14ac:dyDescent="0.2">
      <c r="D806">
        <v>100000485</v>
      </c>
      <c r="E806" s="49">
        <v>45175</v>
      </c>
      <c r="F806" t="s">
        <v>2379</v>
      </c>
      <c r="G806" t="s">
        <v>1833</v>
      </c>
      <c r="H806">
        <v>3</v>
      </c>
      <c r="I806">
        <v>91.31</v>
      </c>
      <c r="J806" s="50">
        <v>273.93</v>
      </c>
      <c r="K806" t="s">
        <v>1618</v>
      </c>
      <c r="M806" t="s">
        <v>1629</v>
      </c>
      <c r="N806">
        <v>48.19</v>
      </c>
      <c r="O806" s="49">
        <v>45176</v>
      </c>
      <c r="P806" s="50">
        <v>123.2685</v>
      </c>
    </row>
    <row r="807" spans="4:16" x14ac:dyDescent="0.2">
      <c r="D807">
        <v>100000485</v>
      </c>
      <c r="E807" s="49">
        <v>44417</v>
      </c>
      <c r="F807" t="s">
        <v>2379</v>
      </c>
      <c r="G807" t="s">
        <v>1834</v>
      </c>
      <c r="H807">
        <v>2</v>
      </c>
      <c r="I807">
        <v>27.23</v>
      </c>
      <c r="J807" s="50">
        <v>54.46</v>
      </c>
      <c r="K807" t="s">
        <v>1618</v>
      </c>
      <c r="M807" t="s">
        <v>1627</v>
      </c>
      <c r="N807">
        <v>14.37</v>
      </c>
      <c r="O807" s="49">
        <v>44418</v>
      </c>
      <c r="P807" s="50">
        <v>24.507000000000001</v>
      </c>
    </row>
    <row r="808" spans="4:16" x14ac:dyDescent="0.2">
      <c r="D808">
        <v>100000485</v>
      </c>
      <c r="E808" s="49">
        <v>45152</v>
      </c>
      <c r="F808" t="s">
        <v>2379</v>
      </c>
      <c r="G808" t="s">
        <v>1752</v>
      </c>
      <c r="H808">
        <v>1</v>
      </c>
      <c r="I808">
        <v>77.64</v>
      </c>
      <c r="J808" s="50">
        <v>77.64</v>
      </c>
      <c r="K808" t="s">
        <v>1618</v>
      </c>
      <c r="M808" t="s">
        <v>1619</v>
      </c>
      <c r="N808">
        <v>40.98</v>
      </c>
      <c r="O808" s="49">
        <v>45153</v>
      </c>
      <c r="P808" s="50">
        <v>34.938000000000002</v>
      </c>
    </row>
    <row r="809" spans="4:16" x14ac:dyDescent="0.2">
      <c r="D809">
        <v>100000486</v>
      </c>
      <c r="E809" s="49">
        <v>44634</v>
      </c>
      <c r="F809" t="s">
        <v>2381</v>
      </c>
      <c r="G809" t="s">
        <v>1838</v>
      </c>
      <c r="H809">
        <v>9</v>
      </c>
      <c r="I809">
        <v>47.19</v>
      </c>
      <c r="J809" s="50">
        <v>424.71</v>
      </c>
      <c r="K809" t="s">
        <v>1618</v>
      </c>
      <c r="M809" t="s">
        <v>1629</v>
      </c>
      <c r="N809">
        <v>24.91</v>
      </c>
      <c r="O809" s="49">
        <v>44638</v>
      </c>
      <c r="P809" s="50">
        <v>191.11949999999999</v>
      </c>
    </row>
    <row r="810" spans="4:16" x14ac:dyDescent="0.2">
      <c r="D810">
        <v>100000487</v>
      </c>
      <c r="E810" s="49">
        <v>45480</v>
      </c>
      <c r="F810" t="s">
        <v>2382</v>
      </c>
      <c r="G810" t="s">
        <v>1985</v>
      </c>
      <c r="H810">
        <v>2</v>
      </c>
      <c r="I810">
        <v>55.48</v>
      </c>
      <c r="J810" s="50">
        <v>110.96</v>
      </c>
      <c r="K810" t="s">
        <v>1618</v>
      </c>
      <c r="L810" t="s">
        <v>2310</v>
      </c>
      <c r="M810" t="s">
        <v>1627</v>
      </c>
      <c r="N810">
        <v>29.28</v>
      </c>
      <c r="O810" s="49">
        <v>45485</v>
      </c>
      <c r="P810" s="50">
        <v>49.931999999999995</v>
      </c>
    </row>
    <row r="811" spans="4:16" x14ac:dyDescent="0.2">
      <c r="D811">
        <v>100000487</v>
      </c>
      <c r="E811" s="49">
        <v>44785</v>
      </c>
      <c r="F811" t="s">
        <v>2382</v>
      </c>
      <c r="G811" t="s">
        <v>1859</v>
      </c>
      <c r="H811">
        <v>5</v>
      </c>
      <c r="I811">
        <v>28.69</v>
      </c>
      <c r="J811" s="50">
        <v>143.44999999999999</v>
      </c>
      <c r="K811" t="s">
        <v>1618</v>
      </c>
      <c r="L811" t="s">
        <v>2310</v>
      </c>
      <c r="M811" t="s">
        <v>1627</v>
      </c>
      <c r="N811">
        <v>15.14</v>
      </c>
      <c r="O811" s="49">
        <v>44790</v>
      </c>
      <c r="P811" s="50">
        <v>64.552499999999995</v>
      </c>
    </row>
    <row r="812" spans="4:16" x14ac:dyDescent="0.2">
      <c r="D812">
        <v>100000487</v>
      </c>
      <c r="E812" s="49">
        <v>44796</v>
      </c>
      <c r="F812" t="s">
        <v>2382</v>
      </c>
      <c r="G812" t="s">
        <v>2323</v>
      </c>
      <c r="H812">
        <v>7</v>
      </c>
      <c r="I812">
        <v>18.510000000000002</v>
      </c>
      <c r="J812" s="50">
        <v>129.57</v>
      </c>
      <c r="K812" t="s">
        <v>1618</v>
      </c>
      <c r="L812" t="s">
        <v>2310</v>
      </c>
      <c r="M812" t="s">
        <v>1627</v>
      </c>
      <c r="N812">
        <v>9.77</v>
      </c>
      <c r="O812" s="49">
        <v>44801</v>
      </c>
      <c r="P812" s="50">
        <v>58.3065</v>
      </c>
    </row>
    <row r="813" spans="4:16" x14ac:dyDescent="0.2">
      <c r="D813">
        <v>100000488</v>
      </c>
      <c r="E813" s="49">
        <v>45117</v>
      </c>
      <c r="F813" t="s">
        <v>2383</v>
      </c>
      <c r="G813" t="s">
        <v>1856</v>
      </c>
      <c r="H813">
        <v>6</v>
      </c>
      <c r="I813">
        <v>29.8</v>
      </c>
      <c r="J813" s="50">
        <v>178.8</v>
      </c>
      <c r="K813" t="s">
        <v>1618</v>
      </c>
      <c r="M813" t="s">
        <v>1627</v>
      </c>
      <c r="N813">
        <v>15.73</v>
      </c>
      <c r="O813" s="49">
        <v>45121</v>
      </c>
      <c r="P813" s="50">
        <v>80.460000000000008</v>
      </c>
    </row>
    <row r="814" spans="4:16" x14ac:dyDescent="0.2">
      <c r="D814">
        <v>100000488</v>
      </c>
      <c r="E814" s="49">
        <v>45308</v>
      </c>
      <c r="F814" t="s">
        <v>2383</v>
      </c>
      <c r="G814" t="s">
        <v>1874</v>
      </c>
      <c r="H814">
        <v>6</v>
      </c>
      <c r="I814">
        <v>99.92</v>
      </c>
      <c r="J814" s="50">
        <v>599.52</v>
      </c>
      <c r="K814" t="s">
        <v>1618</v>
      </c>
      <c r="M814" t="s">
        <v>1624</v>
      </c>
      <c r="N814">
        <v>52.74</v>
      </c>
      <c r="O814" s="49">
        <v>45313</v>
      </c>
      <c r="P814" s="50">
        <v>269.78399999999999</v>
      </c>
    </row>
    <row r="815" spans="4:16" x14ac:dyDescent="0.2">
      <c r="D815">
        <v>100000488</v>
      </c>
      <c r="E815" s="49">
        <v>45223</v>
      </c>
      <c r="F815" t="s">
        <v>2383</v>
      </c>
      <c r="G815" t="s">
        <v>2155</v>
      </c>
      <c r="H815">
        <v>9</v>
      </c>
      <c r="I815">
        <v>65.16</v>
      </c>
      <c r="J815" s="50">
        <v>586.43999999999994</v>
      </c>
      <c r="K815" t="s">
        <v>1618</v>
      </c>
      <c r="M815" t="s">
        <v>1629</v>
      </c>
      <c r="N815">
        <v>34.39</v>
      </c>
      <c r="O815" s="49">
        <v>45228</v>
      </c>
      <c r="P815" s="50">
        <v>263.89799999999997</v>
      </c>
    </row>
    <row r="816" spans="4:16" x14ac:dyDescent="0.2">
      <c r="D816">
        <v>100000488</v>
      </c>
      <c r="E816" s="49">
        <v>45183</v>
      </c>
      <c r="F816" t="s">
        <v>2383</v>
      </c>
      <c r="G816" t="s">
        <v>1765</v>
      </c>
      <c r="H816">
        <v>9</v>
      </c>
      <c r="I816">
        <v>65.52</v>
      </c>
      <c r="J816" s="50">
        <v>589.67999999999995</v>
      </c>
      <c r="K816" t="s">
        <v>1618</v>
      </c>
      <c r="M816" t="s">
        <v>1624</v>
      </c>
      <c r="N816">
        <v>34.58</v>
      </c>
      <c r="O816" s="49">
        <v>45188</v>
      </c>
      <c r="P816" s="50">
        <v>265.35599999999999</v>
      </c>
    </row>
    <row r="817" spans="4:16" x14ac:dyDescent="0.2">
      <c r="D817">
        <v>100000489</v>
      </c>
      <c r="E817" s="49">
        <v>45206</v>
      </c>
      <c r="F817" t="s">
        <v>2384</v>
      </c>
      <c r="G817" t="s">
        <v>1910</v>
      </c>
      <c r="H817">
        <v>4</v>
      </c>
      <c r="I817">
        <v>106.92</v>
      </c>
      <c r="J817" s="50">
        <v>427.68</v>
      </c>
      <c r="K817" t="s">
        <v>1618</v>
      </c>
      <c r="M817" t="s">
        <v>1624</v>
      </c>
      <c r="N817">
        <v>56.43</v>
      </c>
      <c r="O817" s="49">
        <v>45208</v>
      </c>
      <c r="P817" s="50">
        <v>192.45600000000002</v>
      </c>
    </row>
    <row r="818" spans="4:16" x14ac:dyDescent="0.2">
      <c r="D818">
        <v>100000490</v>
      </c>
      <c r="E818" s="49">
        <v>44625</v>
      </c>
      <c r="F818" t="s">
        <v>2385</v>
      </c>
      <c r="G818" t="s">
        <v>2291</v>
      </c>
      <c r="H818">
        <v>6</v>
      </c>
      <c r="I818">
        <v>46.59</v>
      </c>
      <c r="J818" s="50">
        <v>279.54000000000002</v>
      </c>
      <c r="K818" t="s">
        <v>1618</v>
      </c>
      <c r="L818" t="s">
        <v>2119</v>
      </c>
      <c r="M818" t="s">
        <v>1624</v>
      </c>
      <c r="N818">
        <v>24.59</v>
      </c>
      <c r="O818" s="49">
        <v>44628</v>
      </c>
      <c r="P818" s="50">
        <v>125.79300000000001</v>
      </c>
    </row>
    <row r="819" spans="4:16" x14ac:dyDescent="0.2">
      <c r="D819">
        <v>100000491</v>
      </c>
      <c r="E819" s="49">
        <v>45443</v>
      </c>
      <c r="F819" t="s">
        <v>2386</v>
      </c>
      <c r="G819" t="s">
        <v>1642</v>
      </c>
      <c r="H819">
        <v>7</v>
      </c>
      <c r="I819">
        <v>98.67</v>
      </c>
      <c r="J819" s="50">
        <v>690.69</v>
      </c>
      <c r="K819" t="s">
        <v>1632</v>
      </c>
      <c r="M819" t="s">
        <v>1627</v>
      </c>
      <c r="N819">
        <v>52.08</v>
      </c>
      <c r="O819" s="49">
        <v>45446</v>
      </c>
      <c r="P819" s="50">
        <v>310.81050000000005</v>
      </c>
    </row>
    <row r="820" spans="4:16" x14ac:dyDescent="0.2">
      <c r="D820">
        <v>100000491</v>
      </c>
      <c r="E820" s="49">
        <v>44736</v>
      </c>
      <c r="F820" t="s">
        <v>2386</v>
      </c>
      <c r="G820" t="s">
        <v>2103</v>
      </c>
      <c r="H820">
        <v>9</v>
      </c>
      <c r="I820">
        <v>93.84</v>
      </c>
      <c r="J820" s="50">
        <v>844.56000000000006</v>
      </c>
      <c r="K820" t="s">
        <v>1632</v>
      </c>
      <c r="M820" t="s">
        <v>1629</v>
      </c>
      <c r="N820">
        <v>49.53</v>
      </c>
      <c r="O820" s="49">
        <v>44738</v>
      </c>
      <c r="P820" s="50">
        <v>380.05200000000002</v>
      </c>
    </row>
    <row r="821" spans="4:16" x14ac:dyDescent="0.2">
      <c r="D821">
        <v>100000491</v>
      </c>
      <c r="E821" s="49">
        <v>44600</v>
      </c>
      <c r="F821" t="s">
        <v>2386</v>
      </c>
      <c r="G821" t="s">
        <v>2387</v>
      </c>
      <c r="H821">
        <v>2</v>
      </c>
      <c r="I821">
        <v>111</v>
      </c>
      <c r="J821" s="50">
        <v>222</v>
      </c>
      <c r="K821" t="s">
        <v>1632</v>
      </c>
      <c r="M821" t="s">
        <v>1619</v>
      </c>
      <c r="N821">
        <v>58.58</v>
      </c>
      <c r="O821" s="49">
        <v>44602</v>
      </c>
      <c r="P821" s="50">
        <v>99.9</v>
      </c>
    </row>
    <row r="822" spans="4:16" x14ac:dyDescent="0.2">
      <c r="D822">
        <v>100000492</v>
      </c>
      <c r="E822" s="49">
        <v>45146</v>
      </c>
      <c r="F822" t="s">
        <v>2388</v>
      </c>
      <c r="G822" t="s">
        <v>1967</v>
      </c>
      <c r="H822">
        <v>9</v>
      </c>
      <c r="I822">
        <v>16.489999999999998</v>
      </c>
      <c r="J822" s="50">
        <v>148.41</v>
      </c>
      <c r="K822" t="s">
        <v>1618</v>
      </c>
      <c r="M822" t="s">
        <v>1619</v>
      </c>
      <c r="N822">
        <v>8.6999999999999993</v>
      </c>
      <c r="O822" s="49">
        <v>45148</v>
      </c>
      <c r="P822" s="50">
        <v>66.784499999999994</v>
      </c>
    </row>
    <row r="823" spans="4:16" x14ac:dyDescent="0.2">
      <c r="D823">
        <v>100000493</v>
      </c>
      <c r="E823" s="49">
        <v>44866</v>
      </c>
      <c r="F823" t="s">
        <v>2389</v>
      </c>
      <c r="G823" t="s">
        <v>2390</v>
      </c>
      <c r="H823">
        <v>1</v>
      </c>
      <c r="I823">
        <v>84.77</v>
      </c>
      <c r="J823" s="50">
        <v>84.77</v>
      </c>
      <c r="K823" t="s">
        <v>1632</v>
      </c>
      <c r="M823" t="s">
        <v>1619</v>
      </c>
      <c r="N823">
        <v>44.74</v>
      </c>
      <c r="O823" s="49">
        <v>44868</v>
      </c>
      <c r="P823" s="50">
        <v>38.146499999999996</v>
      </c>
    </row>
    <row r="824" spans="4:16" x14ac:dyDescent="0.2">
      <c r="D824">
        <v>100000493</v>
      </c>
      <c r="E824" s="49">
        <v>45522</v>
      </c>
      <c r="F824" t="s">
        <v>2389</v>
      </c>
      <c r="G824" t="s">
        <v>1859</v>
      </c>
      <c r="H824">
        <v>3</v>
      </c>
      <c r="I824">
        <v>33.74</v>
      </c>
      <c r="J824" s="50">
        <v>101.22</v>
      </c>
      <c r="K824" t="s">
        <v>1632</v>
      </c>
      <c r="M824" t="s">
        <v>1619</v>
      </c>
      <c r="N824">
        <v>17.809999999999999</v>
      </c>
      <c r="O824" s="49">
        <v>45524</v>
      </c>
      <c r="P824" s="50">
        <v>45.548999999999999</v>
      </c>
    </row>
    <row r="825" spans="4:16" x14ac:dyDescent="0.2">
      <c r="D825">
        <v>100000494</v>
      </c>
      <c r="E825" s="49">
        <v>44971</v>
      </c>
      <c r="F825" t="s">
        <v>2391</v>
      </c>
      <c r="G825" t="s">
        <v>1752</v>
      </c>
      <c r="H825">
        <v>3</v>
      </c>
      <c r="I825">
        <v>89.81</v>
      </c>
      <c r="J825" s="50">
        <v>269.43</v>
      </c>
      <c r="K825" t="s">
        <v>1618</v>
      </c>
      <c r="M825" t="s">
        <v>1619</v>
      </c>
      <c r="N825">
        <v>47.4</v>
      </c>
      <c r="O825" s="49">
        <v>44975</v>
      </c>
      <c r="P825" s="50">
        <v>121.24350000000001</v>
      </c>
    </row>
    <row r="826" spans="4:16" x14ac:dyDescent="0.2">
      <c r="D826">
        <v>100000496</v>
      </c>
      <c r="E826" s="49">
        <v>44915</v>
      </c>
      <c r="F826" t="s">
        <v>2392</v>
      </c>
      <c r="G826" t="s">
        <v>1787</v>
      </c>
      <c r="H826">
        <v>7</v>
      </c>
      <c r="I826">
        <v>48.57</v>
      </c>
      <c r="J826" s="50">
        <v>339.99</v>
      </c>
      <c r="K826" t="s">
        <v>1618</v>
      </c>
      <c r="M826" t="s">
        <v>1629</v>
      </c>
      <c r="N826">
        <v>25.63</v>
      </c>
      <c r="O826" s="49">
        <v>44920</v>
      </c>
      <c r="P826" s="50">
        <v>152.99550000000002</v>
      </c>
    </row>
    <row r="827" spans="4:16" x14ac:dyDescent="0.2">
      <c r="D827">
        <v>100000496</v>
      </c>
      <c r="E827" s="49">
        <v>44801</v>
      </c>
      <c r="F827" t="s">
        <v>2392</v>
      </c>
      <c r="G827" t="s">
        <v>2393</v>
      </c>
      <c r="H827">
        <v>3</v>
      </c>
      <c r="I827">
        <v>96.75</v>
      </c>
      <c r="J827" s="50">
        <v>290.25</v>
      </c>
      <c r="K827" t="s">
        <v>1618</v>
      </c>
      <c r="M827" t="s">
        <v>1629</v>
      </c>
      <c r="N827">
        <v>51.06</v>
      </c>
      <c r="O827" s="49">
        <v>44806</v>
      </c>
      <c r="P827" s="50">
        <v>130.61250000000001</v>
      </c>
    </row>
    <row r="828" spans="4:16" x14ac:dyDescent="0.2">
      <c r="D828">
        <v>100000497</v>
      </c>
      <c r="E828" s="49">
        <v>44968</v>
      </c>
      <c r="F828" t="s">
        <v>1989</v>
      </c>
      <c r="G828" t="s">
        <v>1855</v>
      </c>
      <c r="H828">
        <v>4</v>
      </c>
      <c r="I828">
        <v>29.25</v>
      </c>
      <c r="J828" s="50">
        <v>117</v>
      </c>
      <c r="K828" t="s">
        <v>1618</v>
      </c>
      <c r="M828" t="s">
        <v>1619</v>
      </c>
      <c r="N828">
        <v>15.44</v>
      </c>
      <c r="O828" s="49">
        <v>44973</v>
      </c>
      <c r="P828" s="50">
        <v>52.65</v>
      </c>
    </row>
    <row r="829" spans="4:16" x14ac:dyDescent="0.2">
      <c r="D829">
        <v>100000497</v>
      </c>
      <c r="E829" s="49">
        <v>44417</v>
      </c>
      <c r="F829" t="s">
        <v>1989</v>
      </c>
      <c r="G829" t="s">
        <v>1762</v>
      </c>
      <c r="H829">
        <v>2</v>
      </c>
      <c r="I829">
        <v>32.97</v>
      </c>
      <c r="J829" s="50">
        <v>65.94</v>
      </c>
      <c r="K829" t="s">
        <v>1618</v>
      </c>
      <c r="M829" t="s">
        <v>1619</v>
      </c>
      <c r="N829">
        <v>17.399999999999999</v>
      </c>
      <c r="O829" s="49">
        <v>44422</v>
      </c>
      <c r="P829" s="50">
        <v>29.672999999999998</v>
      </c>
    </row>
    <row r="830" spans="4:16" x14ac:dyDescent="0.2">
      <c r="D830">
        <v>100000500</v>
      </c>
      <c r="E830" s="49">
        <v>45194</v>
      </c>
      <c r="F830" t="s">
        <v>2394</v>
      </c>
      <c r="G830" t="s">
        <v>2025</v>
      </c>
      <c r="H830">
        <v>10</v>
      </c>
      <c r="I830">
        <v>84.48</v>
      </c>
      <c r="J830" s="50">
        <v>844.80000000000007</v>
      </c>
      <c r="K830" t="s">
        <v>1618</v>
      </c>
      <c r="M830" t="s">
        <v>1621</v>
      </c>
      <c r="N830">
        <v>44.59</v>
      </c>
      <c r="O830" s="49">
        <v>45197</v>
      </c>
      <c r="P830" s="50">
        <v>380.16</v>
      </c>
    </row>
    <row r="831" spans="4:16" x14ac:dyDescent="0.2">
      <c r="D831">
        <v>100000500</v>
      </c>
      <c r="E831" s="49">
        <v>44818</v>
      </c>
      <c r="F831" t="s">
        <v>2394</v>
      </c>
      <c r="G831" t="s">
        <v>1990</v>
      </c>
      <c r="H831">
        <v>8</v>
      </c>
      <c r="I831">
        <v>86.36</v>
      </c>
      <c r="J831" s="50">
        <v>690.88</v>
      </c>
      <c r="K831" t="s">
        <v>1618</v>
      </c>
      <c r="M831" t="s">
        <v>1627</v>
      </c>
      <c r="N831">
        <v>45.58</v>
      </c>
      <c r="O831" s="49">
        <v>44819</v>
      </c>
      <c r="P831" s="50">
        <v>310.89600000000002</v>
      </c>
    </row>
    <row r="832" spans="4:16" x14ac:dyDescent="0.2">
      <c r="D832">
        <v>100000500</v>
      </c>
      <c r="E832" s="49">
        <v>45181</v>
      </c>
      <c r="F832" t="s">
        <v>2394</v>
      </c>
      <c r="G832" t="s">
        <v>1690</v>
      </c>
      <c r="H832">
        <v>9</v>
      </c>
      <c r="I832">
        <v>19.87</v>
      </c>
      <c r="J832" s="50">
        <v>178.83</v>
      </c>
      <c r="K832" t="s">
        <v>1618</v>
      </c>
      <c r="M832" t="s">
        <v>1627</v>
      </c>
      <c r="N832">
        <v>10.49</v>
      </c>
      <c r="O832" s="49">
        <v>45185</v>
      </c>
      <c r="P832" s="50">
        <v>80.473500000000001</v>
      </c>
    </row>
    <row r="833" spans="4:16" x14ac:dyDescent="0.2">
      <c r="D833">
        <v>100000501</v>
      </c>
      <c r="E833" s="49">
        <v>44505</v>
      </c>
      <c r="F833" t="s">
        <v>2395</v>
      </c>
      <c r="G833" t="s">
        <v>1647</v>
      </c>
      <c r="H833">
        <v>1</v>
      </c>
      <c r="I833">
        <v>96.93</v>
      </c>
      <c r="J833" s="50">
        <v>96.93</v>
      </c>
      <c r="K833" t="s">
        <v>1618</v>
      </c>
      <c r="L833" t="s">
        <v>2396</v>
      </c>
      <c r="M833" t="s">
        <v>1621</v>
      </c>
      <c r="N833">
        <v>51.16</v>
      </c>
      <c r="O833" s="49">
        <v>44507</v>
      </c>
      <c r="P833" s="50">
        <v>43.618500000000004</v>
      </c>
    </row>
    <row r="834" spans="4:16" x14ac:dyDescent="0.2">
      <c r="D834">
        <v>100000503</v>
      </c>
      <c r="E834" s="49">
        <v>44624</v>
      </c>
      <c r="F834" t="s">
        <v>2397</v>
      </c>
      <c r="G834" t="s">
        <v>1768</v>
      </c>
      <c r="H834">
        <v>6</v>
      </c>
      <c r="I834">
        <v>87.68</v>
      </c>
      <c r="J834" s="50">
        <v>526.08000000000004</v>
      </c>
      <c r="K834" t="s">
        <v>1618</v>
      </c>
      <c r="M834" t="s">
        <v>1629</v>
      </c>
      <c r="N834">
        <v>46.28</v>
      </c>
      <c r="O834" s="49">
        <v>44627</v>
      </c>
      <c r="P834" s="50">
        <v>236.73600000000002</v>
      </c>
    </row>
    <row r="835" spans="4:16" x14ac:dyDescent="0.2">
      <c r="D835">
        <v>100000503</v>
      </c>
      <c r="E835" s="49">
        <v>44735</v>
      </c>
      <c r="F835" t="s">
        <v>2397</v>
      </c>
      <c r="G835" t="s">
        <v>1717</v>
      </c>
      <c r="H835">
        <v>6</v>
      </c>
      <c r="I835">
        <v>19.739999999999998</v>
      </c>
      <c r="J835" s="50">
        <v>118.44</v>
      </c>
      <c r="K835" t="s">
        <v>1618</v>
      </c>
      <c r="M835" t="s">
        <v>1624</v>
      </c>
      <c r="N835">
        <v>10.42</v>
      </c>
      <c r="O835" s="49">
        <v>44740</v>
      </c>
      <c r="P835" s="50">
        <v>53.298000000000002</v>
      </c>
    </row>
    <row r="836" spans="4:16" x14ac:dyDescent="0.2">
      <c r="D836">
        <v>100000503</v>
      </c>
      <c r="E836" s="49">
        <v>45543</v>
      </c>
      <c r="F836" t="s">
        <v>2397</v>
      </c>
      <c r="G836" t="s">
        <v>2125</v>
      </c>
      <c r="H836">
        <v>5</v>
      </c>
      <c r="I836">
        <v>36.619999999999997</v>
      </c>
      <c r="J836" s="50">
        <v>183.1</v>
      </c>
      <c r="K836" t="s">
        <v>1618</v>
      </c>
      <c r="M836" t="s">
        <v>1619</v>
      </c>
      <c r="N836">
        <v>19.329999999999998</v>
      </c>
      <c r="O836" s="49">
        <v>45548</v>
      </c>
      <c r="P836" s="50">
        <v>82.394999999999996</v>
      </c>
    </row>
    <row r="837" spans="4:16" x14ac:dyDescent="0.2">
      <c r="D837">
        <v>100000504</v>
      </c>
      <c r="E837" s="49">
        <v>45364</v>
      </c>
      <c r="F837" t="s">
        <v>2398</v>
      </c>
      <c r="G837" t="s">
        <v>1853</v>
      </c>
      <c r="H837">
        <v>8</v>
      </c>
      <c r="I837">
        <v>15.74</v>
      </c>
      <c r="J837" s="50">
        <v>125.92</v>
      </c>
      <c r="K837" t="s">
        <v>1632</v>
      </c>
      <c r="L837" t="s">
        <v>2399</v>
      </c>
      <c r="M837" t="s">
        <v>1621</v>
      </c>
      <c r="N837">
        <v>8.31</v>
      </c>
      <c r="O837" s="49">
        <v>45367</v>
      </c>
      <c r="P837" s="50">
        <v>56.664000000000001</v>
      </c>
    </row>
    <row r="838" spans="4:16" x14ac:dyDescent="0.2">
      <c r="D838">
        <v>100000505</v>
      </c>
      <c r="E838" s="49">
        <v>44299</v>
      </c>
      <c r="F838" t="s">
        <v>2400</v>
      </c>
      <c r="G838" t="s">
        <v>2069</v>
      </c>
      <c r="H838">
        <v>4</v>
      </c>
      <c r="I838">
        <v>11.76</v>
      </c>
      <c r="J838" s="50">
        <v>47.04</v>
      </c>
      <c r="K838" t="s">
        <v>1632</v>
      </c>
      <c r="M838" t="s">
        <v>1619</v>
      </c>
      <c r="N838">
        <v>6.21</v>
      </c>
      <c r="O838" s="49">
        <v>44304</v>
      </c>
      <c r="P838" s="50">
        <v>21.167999999999999</v>
      </c>
    </row>
    <row r="839" spans="4:16" x14ac:dyDescent="0.2">
      <c r="D839">
        <v>100000505</v>
      </c>
      <c r="E839" s="49">
        <v>45169</v>
      </c>
      <c r="F839" t="s">
        <v>2400</v>
      </c>
      <c r="G839" t="s">
        <v>1792</v>
      </c>
      <c r="H839">
        <v>8</v>
      </c>
      <c r="I839">
        <v>36.950000000000003</v>
      </c>
      <c r="J839" s="50">
        <v>295.60000000000002</v>
      </c>
      <c r="K839" t="s">
        <v>1632</v>
      </c>
      <c r="M839" t="s">
        <v>1629</v>
      </c>
      <c r="N839">
        <v>19.5</v>
      </c>
      <c r="O839" s="49">
        <v>45173</v>
      </c>
      <c r="P839" s="50">
        <v>133.02000000000001</v>
      </c>
    </row>
    <row r="840" spans="4:16" x14ac:dyDescent="0.2">
      <c r="D840">
        <v>100000505</v>
      </c>
      <c r="E840" s="49">
        <v>45208</v>
      </c>
      <c r="F840" t="s">
        <v>2400</v>
      </c>
      <c r="G840" t="s">
        <v>1634</v>
      </c>
      <c r="H840">
        <v>6</v>
      </c>
      <c r="I840">
        <v>22.25</v>
      </c>
      <c r="J840" s="50">
        <v>133.5</v>
      </c>
      <c r="K840" t="s">
        <v>1632</v>
      </c>
      <c r="M840" t="s">
        <v>1621</v>
      </c>
      <c r="N840">
        <v>11.74</v>
      </c>
      <c r="O840" s="49">
        <v>45210</v>
      </c>
      <c r="P840" s="50">
        <v>60.075000000000003</v>
      </c>
    </row>
    <row r="841" spans="4:16" x14ac:dyDescent="0.2">
      <c r="D841">
        <v>100000506</v>
      </c>
      <c r="E841" s="49">
        <v>44643</v>
      </c>
      <c r="F841" t="s">
        <v>2401</v>
      </c>
      <c r="G841" t="s">
        <v>2125</v>
      </c>
      <c r="H841">
        <v>8</v>
      </c>
      <c r="I841">
        <v>73.66</v>
      </c>
      <c r="J841" s="50">
        <v>589.28</v>
      </c>
      <c r="K841" t="s">
        <v>1618</v>
      </c>
      <c r="M841" t="s">
        <v>1624</v>
      </c>
      <c r="N841">
        <v>38.880000000000003</v>
      </c>
      <c r="O841" s="49">
        <v>44645</v>
      </c>
      <c r="P841" s="50">
        <v>265.17599999999999</v>
      </c>
    </row>
    <row r="842" spans="4:16" x14ac:dyDescent="0.2">
      <c r="D842">
        <v>100000507</v>
      </c>
      <c r="E842" s="49">
        <v>45111</v>
      </c>
      <c r="F842" t="s">
        <v>2402</v>
      </c>
      <c r="G842" t="s">
        <v>1718</v>
      </c>
      <c r="H842">
        <v>6</v>
      </c>
      <c r="I842">
        <v>116.96</v>
      </c>
      <c r="J842" s="50">
        <v>701.76</v>
      </c>
      <c r="K842" t="s">
        <v>1632</v>
      </c>
      <c r="L842" t="s">
        <v>2403</v>
      </c>
      <c r="M842" t="s">
        <v>1629</v>
      </c>
      <c r="N842">
        <v>61.73</v>
      </c>
      <c r="O842" s="49">
        <v>45116</v>
      </c>
      <c r="P842" s="50">
        <v>315.79200000000003</v>
      </c>
    </row>
    <row r="843" spans="4:16" x14ac:dyDescent="0.2">
      <c r="D843">
        <v>100000507</v>
      </c>
      <c r="E843" s="49">
        <v>45255</v>
      </c>
      <c r="F843" t="s">
        <v>2402</v>
      </c>
      <c r="G843" t="s">
        <v>2084</v>
      </c>
      <c r="H843">
        <v>9</v>
      </c>
      <c r="I843">
        <v>39.64</v>
      </c>
      <c r="J843" s="50">
        <v>356.76</v>
      </c>
      <c r="K843" t="s">
        <v>1632</v>
      </c>
      <c r="L843" t="s">
        <v>2403</v>
      </c>
      <c r="M843" t="s">
        <v>1627</v>
      </c>
      <c r="N843">
        <v>20.92</v>
      </c>
      <c r="O843" s="49">
        <v>45257</v>
      </c>
      <c r="P843" s="50">
        <v>160.542</v>
      </c>
    </row>
    <row r="844" spans="4:16" x14ac:dyDescent="0.2">
      <c r="D844">
        <v>100000509</v>
      </c>
      <c r="E844" s="49">
        <v>44457</v>
      </c>
      <c r="F844" t="s">
        <v>2404</v>
      </c>
      <c r="G844" t="s">
        <v>1812</v>
      </c>
      <c r="H844">
        <v>8</v>
      </c>
      <c r="I844">
        <v>49.5</v>
      </c>
      <c r="J844" s="50">
        <v>396</v>
      </c>
      <c r="K844" t="s">
        <v>1618</v>
      </c>
      <c r="M844" t="s">
        <v>1627</v>
      </c>
      <c r="N844">
        <v>26.12</v>
      </c>
      <c r="O844" s="49">
        <v>44460</v>
      </c>
      <c r="P844" s="50">
        <v>178.20000000000002</v>
      </c>
    </row>
    <row r="845" spans="4:16" x14ac:dyDescent="0.2">
      <c r="D845">
        <v>100000510</v>
      </c>
      <c r="E845" s="49">
        <v>45072</v>
      </c>
      <c r="F845" t="s">
        <v>2405</v>
      </c>
      <c r="G845" t="s">
        <v>2099</v>
      </c>
      <c r="H845">
        <v>5</v>
      </c>
      <c r="I845">
        <v>74.48</v>
      </c>
      <c r="J845" s="50">
        <v>372.4</v>
      </c>
      <c r="K845" t="s">
        <v>1618</v>
      </c>
      <c r="L845" t="s">
        <v>2406</v>
      </c>
      <c r="M845" t="s">
        <v>1624</v>
      </c>
      <c r="N845">
        <v>39.31</v>
      </c>
      <c r="O845" s="49">
        <v>45074</v>
      </c>
      <c r="P845" s="50">
        <v>167.57999999999998</v>
      </c>
    </row>
    <row r="846" spans="4:16" x14ac:dyDescent="0.2">
      <c r="D846">
        <v>100000510</v>
      </c>
      <c r="E846" s="49">
        <v>45054</v>
      </c>
      <c r="F846" t="s">
        <v>2405</v>
      </c>
      <c r="G846" t="s">
        <v>1820</v>
      </c>
      <c r="H846">
        <v>8</v>
      </c>
      <c r="I846">
        <v>47.69</v>
      </c>
      <c r="J846" s="50">
        <v>381.52</v>
      </c>
      <c r="K846" t="s">
        <v>1618</v>
      </c>
      <c r="L846" t="s">
        <v>2406</v>
      </c>
      <c r="M846" t="s">
        <v>1619</v>
      </c>
      <c r="N846">
        <v>25.17</v>
      </c>
      <c r="O846" s="49">
        <v>45058</v>
      </c>
      <c r="P846" s="50">
        <v>171.684</v>
      </c>
    </row>
    <row r="847" spans="4:16" x14ac:dyDescent="0.2">
      <c r="D847">
        <v>100000510</v>
      </c>
      <c r="E847" s="49">
        <v>45107</v>
      </c>
      <c r="F847" t="s">
        <v>2405</v>
      </c>
      <c r="G847" t="s">
        <v>1655</v>
      </c>
      <c r="H847">
        <v>5</v>
      </c>
      <c r="I847">
        <v>54.08</v>
      </c>
      <c r="J847" s="50">
        <v>270.39999999999998</v>
      </c>
      <c r="K847" t="s">
        <v>1618</v>
      </c>
      <c r="L847" t="s">
        <v>2406</v>
      </c>
      <c r="M847" t="s">
        <v>1621</v>
      </c>
      <c r="N847">
        <v>28.54</v>
      </c>
      <c r="O847" s="49">
        <v>45109</v>
      </c>
      <c r="P847" s="50">
        <v>121.67999999999999</v>
      </c>
    </row>
    <row r="848" spans="4:16" x14ac:dyDescent="0.2">
      <c r="D848">
        <v>100000510</v>
      </c>
      <c r="E848" s="49">
        <v>44390</v>
      </c>
      <c r="F848" t="s">
        <v>2405</v>
      </c>
      <c r="G848" t="s">
        <v>2373</v>
      </c>
      <c r="H848">
        <v>7</v>
      </c>
      <c r="I848">
        <v>31.67</v>
      </c>
      <c r="J848" s="50">
        <v>221.69</v>
      </c>
      <c r="K848" t="s">
        <v>1618</v>
      </c>
      <c r="L848" t="s">
        <v>2406</v>
      </c>
      <c r="M848" t="s">
        <v>1619</v>
      </c>
      <c r="N848">
        <v>16.71</v>
      </c>
      <c r="O848" s="49">
        <v>44391</v>
      </c>
      <c r="P848" s="50">
        <v>99.760500000000008</v>
      </c>
    </row>
    <row r="849" spans="4:16" x14ac:dyDescent="0.2">
      <c r="D849">
        <v>100000511</v>
      </c>
      <c r="E849" s="49">
        <v>45083</v>
      </c>
      <c r="F849" t="s">
        <v>2407</v>
      </c>
      <c r="G849" t="s">
        <v>2151</v>
      </c>
      <c r="H849">
        <v>9</v>
      </c>
      <c r="I849">
        <v>61.65</v>
      </c>
      <c r="J849" s="50">
        <v>554.85</v>
      </c>
      <c r="K849" t="s">
        <v>1618</v>
      </c>
      <c r="M849" t="s">
        <v>1627</v>
      </c>
      <c r="N849">
        <v>32.54</v>
      </c>
      <c r="O849" s="49">
        <v>45087</v>
      </c>
      <c r="P849" s="50">
        <v>249.6825</v>
      </c>
    </row>
    <row r="850" spans="4:16" x14ac:dyDescent="0.2">
      <c r="D850">
        <v>100000512</v>
      </c>
      <c r="E850" s="49">
        <v>44858</v>
      </c>
      <c r="F850" t="s">
        <v>2408</v>
      </c>
      <c r="G850" t="s">
        <v>2025</v>
      </c>
      <c r="H850">
        <v>6</v>
      </c>
      <c r="I850">
        <v>18.8</v>
      </c>
      <c r="J850" s="50">
        <v>112.8</v>
      </c>
      <c r="K850" t="s">
        <v>1632</v>
      </c>
      <c r="M850" t="s">
        <v>1621</v>
      </c>
      <c r="N850">
        <v>9.92</v>
      </c>
      <c r="O850" s="49">
        <v>44862</v>
      </c>
      <c r="P850" s="50">
        <v>50.76</v>
      </c>
    </row>
    <row r="851" spans="4:16" x14ac:dyDescent="0.2">
      <c r="D851">
        <v>100000513</v>
      </c>
      <c r="E851" s="49">
        <v>45597</v>
      </c>
      <c r="F851" t="s">
        <v>2409</v>
      </c>
      <c r="G851" t="s">
        <v>1642</v>
      </c>
      <c r="H851">
        <v>5</v>
      </c>
      <c r="I851">
        <v>75.98</v>
      </c>
      <c r="J851" s="50">
        <v>379.9</v>
      </c>
      <c r="K851" t="s">
        <v>1618</v>
      </c>
      <c r="M851" t="s">
        <v>1624</v>
      </c>
      <c r="N851">
        <v>40.1</v>
      </c>
      <c r="O851" s="49">
        <v>45602</v>
      </c>
      <c r="P851" s="50">
        <v>170.95499999999998</v>
      </c>
    </row>
    <row r="852" spans="4:16" x14ac:dyDescent="0.2">
      <c r="D852">
        <v>100000513</v>
      </c>
      <c r="E852" s="49">
        <v>44905</v>
      </c>
      <c r="F852" t="s">
        <v>2409</v>
      </c>
      <c r="G852" t="s">
        <v>1681</v>
      </c>
      <c r="H852">
        <v>6</v>
      </c>
      <c r="I852">
        <v>45.99</v>
      </c>
      <c r="J852" s="50">
        <v>275.94</v>
      </c>
      <c r="K852" t="s">
        <v>1618</v>
      </c>
      <c r="M852" t="s">
        <v>1619</v>
      </c>
      <c r="N852">
        <v>24.27</v>
      </c>
      <c r="O852" s="49">
        <v>44910</v>
      </c>
      <c r="P852" s="50">
        <v>124.173</v>
      </c>
    </row>
    <row r="853" spans="4:16" x14ac:dyDescent="0.2">
      <c r="D853">
        <v>100000514</v>
      </c>
      <c r="E853" s="49">
        <v>45529</v>
      </c>
      <c r="F853" t="s">
        <v>2410</v>
      </c>
      <c r="G853" t="s">
        <v>1669</v>
      </c>
      <c r="H853">
        <v>8</v>
      </c>
      <c r="I853">
        <v>11.78</v>
      </c>
      <c r="J853" s="50">
        <v>94.24</v>
      </c>
      <c r="K853" t="s">
        <v>1632</v>
      </c>
      <c r="M853" t="s">
        <v>1624</v>
      </c>
      <c r="N853">
        <v>6.22</v>
      </c>
      <c r="O853" s="49">
        <v>45530</v>
      </c>
      <c r="P853" s="50">
        <v>42.408000000000001</v>
      </c>
    </row>
    <row r="854" spans="4:16" x14ac:dyDescent="0.2">
      <c r="D854">
        <v>100000514</v>
      </c>
      <c r="E854" s="49">
        <v>45331</v>
      </c>
      <c r="F854" t="s">
        <v>2410</v>
      </c>
      <c r="G854" t="s">
        <v>1918</v>
      </c>
      <c r="H854">
        <v>3</v>
      </c>
      <c r="I854">
        <v>12.37</v>
      </c>
      <c r="J854" s="50">
        <v>37.11</v>
      </c>
      <c r="K854" t="s">
        <v>1632</v>
      </c>
      <c r="M854" t="s">
        <v>1624</v>
      </c>
      <c r="N854">
        <v>6.53</v>
      </c>
      <c r="O854" s="49">
        <v>45335</v>
      </c>
      <c r="P854" s="50">
        <v>16.6995</v>
      </c>
    </row>
    <row r="855" spans="4:16" x14ac:dyDescent="0.2">
      <c r="D855">
        <v>100000515</v>
      </c>
      <c r="E855" s="49">
        <v>45195</v>
      </c>
      <c r="F855" t="s">
        <v>2411</v>
      </c>
      <c r="G855" t="s">
        <v>2412</v>
      </c>
      <c r="H855">
        <v>3</v>
      </c>
      <c r="I855">
        <v>113.22</v>
      </c>
      <c r="J855" s="50">
        <v>339.66</v>
      </c>
      <c r="K855" t="s">
        <v>1632</v>
      </c>
      <c r="M855" t="s">
        <v>1627</v>
      </c>
      <c r="N855">
        <v>59.75</v>
      </c>
      <c r="O855" s="49">
        <v>45199</v>
      </c>
      <c r="P855" s="50">
        <v>152.84700000000001</v>
      </c>
    </row>
    <row r="856" spans="4:16" x14ac:dyDescent="0.2">
      <c r="D856">
        <v>100000516</v>
      </c>
      <c r="E856" s="49">
        <v>44240</v>
      </c>
      <c r="F856" t="s">
        <v>2413</v>
      </c>
      <c r="G856" t="s">
        <v>1631</v>
      </c>
      <c r="H856">
        <v>9</v>
      </c>
      <c r="I856">
        <v>47.81</v>
      </c>
      <c r="J856" s="50">
        <v>430.29</v>
      </c>
      <c r="K856" t="s">
        <v>1618</v>
      </c>
      <c r="M856" t="s">
        <v>1624</v>
      </c>
      <c r="N856">
        <v>25.23</v>
      </c>
      <c r="O856" s="49">
        <v>44244</v>
      </c>
      <c r="P856" s="50">
        <v>193.63050000000001</v>
      </c>
    </row>
    <row r="857" spans="4:16" x14ac:dyDescent="0.2">
      <c r="D857">
        <v>100000517</v>
      </c>
      <c r="E857" s="49">
        <v>45450</v>
      </c>
      <c r="F857" t="s">
        <v>2414</v>
      </c>
      <c r="G857" t="s">
        <v>2261</v>
      </c>
      <c r="H857">
        <v>4</v>
      </c>
      <c r="I857">
        <v>65.36</v>
      </c>
      <c r="J857" s="50">
        <v>261.44</v>
      </c>
      <c r="K857" t="s">
        <v>1632</v>
      </c>
      <c r="M857" t="s">
        <v>1621</v>
      </c>
      <c r="N857">
        <v>34.5</v>
      </c>
      <c r="O857" s="49">
        <v>45453</v>
      </c>
      <c r="P857" s="50">
        <v>117.648</v>
      </c>
    </row>
    <row r="858" spans="4:16" x14ac:dyDescent="0.2">
      <c r="D858">
        <v>100000517</v>
      </c>
      <c r="E858" s="49">
        <v>45098</v>
      </c>
      <c r="F858" t="s">
        <v>2414</v>
      </c>
      <c r="G858" t="s">
        <v>1648</v>
      </c>
      <c r="H858">
        <v>6</v>
      </c>
      <c r="I858">
        <v>53.68</v>
      </c>
      <c r="J858" s="50">
        <v>322.08</v>
      </c>
      <c r="K858" t="s">
        <v>1632</v>
      </c>
      <c r="M858" t="s">
        <v>1627</v>
      </c>
      <c r="N858">
        <v>28.33</v>
      </c>
      <c r="O858" s="49">
        <v>45101</v>
      </c>
      <c r="P858" s="50">
        <v>144.93600000000001</v>
      </c>
    </row>
    <row r="859" spans="4:16" x14ac:dyDescent="0.2">
      <c r="D859">
        <v>100000518</v>
      </c>
      <c r="E859" s="49">
        <v>44936</v>
      </c>
      <c r="F859" t="s">
        <v>2415</v>
      </c>
      <c r="G859" t="s">
        <v>2416</v>
      </c>
      <c r="H859">
        <v>8</v>
      </c>
      <c r="I859">
        <v>13.44</v>
      </c>
      <c r="J859" s="50">
        <v>107.52</v>
      </c>
      <c r="K859" t="s">
        <v>1618</v>
      </c>
      <c r="M859" t="s">
        <v>1624</v>
      </c>
      <c r="N859">
        <v>7.09</v>
      </c>
      <c r="O859" s="49">
        <v>44939</v>
      </c>
      <c r="P859" s="50">
        <v>48.384</v>
      </c>
    </row>
    <row r="860" spans="4:16" x14ac:dyDescent="0.2">
      <c r="D860">
        <v>100000518</v>
      </c>
      <c r="E860" s="49">
        <v>44468</v>
      </c>
      <c r="F860" t="s">
        <v>2415</v>
      </c>
      <c r="G860" t="s">
        <v>2116</v>
      </c>
      <c r="H860">
        <v>8</v>
      </c>
      <c r="I860">
        <v>79.349999999999994</v>
      </c>
      <c r="J860" s="50">
        <v>634.79999999999995</v>
      </c>
      <c r="K860" t="s">
        <v>1618</v>
      </c>
      <c r="M860" t="s">
        <v>1627</v>
      </c>
      <c r="N860">
        <v>41.88</v>
      </c>
      <c r="O860" s="49">
        <v>44472</v>
      </c>
      <c r="P860" s="50">
        <v>285.65999999999997</v>
      </c>
    </row>
    <row r="861" spans="4:16" x14ac:dyDescent="0.2">
      <c r="D861">
        <v>100000518</v>
      </c>
      <c r="E861" s="49">
        <v>45326</v>
      </c>
      <c r="F861" t="s">
        <v>2415</v>
      </c>
      <c r="G861" t="s">
        <v>1646</v>
      </c>
      <c r="H861">
        <v>1</v>
      </c>
      <c r="I861">
        <v>31.08</v>
      </c>
      <c r="J861" s="50">
        <v>31.08</v>
      </c>
      <c r="K861" t="s">
        <v>1618</v>
      </c>
      <c r="M861" t="s">
        <v>1621</v>
      </c>
      <c r="N861">
        <v>16.399999999999999</v>
      </c>
      <c r="O861" s="49">
        <v>45329</v>
      </c>
      <c r="P861" s="50">
        <v>13.985999999999999</v>
      </c>
    </row>
    <row r="862" spans="4:16" x14ac:dyDescent="0.2">
      <c r="D862">
        <v>100000518</v>
      </c>
      <c r="E862" s="49">
        <v>44980</v>
      </c>
      <c r="F862" t="s">
        <v>2415</v>
      </c>
      <c r="G862" t="s">
        <v>2348</v>
      </c>
      <c r="H862">
        <v>9</v>
      </c>
      <c r="I862">
        <v>25.69</v>
      </c>
      <c r="J862" s="50">
        <v>231.21</v>
      </c>
      <c r="K862" t="s">
        <v>1618</v>
      </c>
      <c r="M862" t="s">
        <v>1629</v>
      </c>
      <c r="N862">
        <v>13.56</v>
      </c>
      <c r="O862" s="49">
        <v>44985</v>
      </c>
      <c r="P862" s="50">
        <v>104.0445</v>
      </c>
    </row>
    <row r="863" spans="4:16" x14ac:dyDescent="0.2">
      <c r="D863">
        <v>100000518</v>
      </c>
      <c r="E863" s="49">
        <v>45173</v>
      </c>
      <c r="F863" t="s">
        <v>2415</v>
      </c>
      <c r="G863" t="s">
        <v>2344</v>
      </c>
      <c r="H863">
        <v>10</v>
      </c>
      <c r="I863">
        <v>67.540000000000006</v>
      </c>
      <c r="J863" s="50">
        <v>675.40000000000009</v>
      </c>
      <c r="K863" t="s">
        <v>1618</v>
      </c>
      <c r="M863" t="s">
        <v>1624</v>
      </c>
      <c r="N863">
        <v>35.65</v>
      </c>
      <c r="O863" s="49">
        <v>45177</v>
      </c>
      <c r="P863" s="50">
        <v>303.93000000000006</v>
      </c>
    </row>
    <row r="864" spans="4:16" x14ac:dyDescent="0.2">
      <c r="D864">
        <v>100000519</v>
      </c>
      <c r="E864" s="49">
        <v>45654</v>
      </c>
      <c r="F864" t="s">
        <v>2417</v>
      </c>
      <c r="G864" t="s">
        <v>2418</v>
      </c>
      <c r="H864">
        <v>2</v>
      </c>
      <c r="I864">
        <v>46.43</v>
      </c>
      <c r="J864" s="50">
        <v>92.86</v>
      </c>
      <c r="K864" t="s">
        <v>1618</v>
      </c>
      <c r="M864" t="s">
        <v>1629</v>
      </c>
      <c r="N864">
        <v>24.5</v>
      </c>
      <c r="O864" s="49">
        <v>45658</v>
      </c>
      <c r="P864" s="50">
        <v>41.786999999999999</v>
      </c>
    </row>
    <row r="865" spans="4:16" x14ac:dyDescent="0.2">
      <c r="D865">
        <v>100000519</v>
      </c>
      <c r="E865" s="49">
        <v>45569</v>
      </c>
      <c r="F865" t="s">
        <v>2417</v>
      </c>
      <c r="G865" t="s">
        <v>1848</v>
      </c>
      <c r="H865">
        <v>6</v>
      </c>
      <c r="I865">
        <v>51.57</v>
      </c>
      <c r="J865" s="50">
        <v>309.42</v>
      </c>
      <c r="K865" t="s">
        <v>1618</v>
      </c>
      <c r="M865" t="s">
        <v>1627</v>
      </c>
      <c r="N865">
        <v>27.22</v>
      </c>
      <c r="O865" s="49">
        <v>45572</v>
      </c>
      <c r="P865" s="50">
        <v>139.239</v>
      </c>
    </row>
    <row r="866" spans="4:16" x14ac:dyDescent="0.2">
      <c r="D866">
        <v>100000521</v>
      </c>
      <c r="E866" s="49">
        <v>45262</v>
      </c>
      <c r="F866" t="s">
        <v>2419</v>
      </c>
      <c r="G866" t="s">
        <v>2420</v>
      </c>
      <c r="H866">
        <v>10</v>
      </c>
      <c r="I866">
        <v>63.1</v>
      </c>
      <c r="J866" s="50">
        <v>631</v>
      </c>
      <c r="K866" t="s">
        <v>1618</v>
      </c>
      <c r="M866" t="s">
        <v>1627</v>
      </c>
      <c r="N866">
        <v>33.299999999999997</v>
      </c>
      <c r="O866" s="49">
        <v>45267</v>
      </c>
      <c r="P866" s="50">
        <v>283.95</v>
      </c>
    </row>
    <row r="867" spans="4:16" x14ac:dyDescent="0.2">
      <c r="D867">
        <v>100000521</v>
      </c>
      <c r="E867" s="49">
        <v>45388</v>
      </c>
      <c r="F867" t="s">
        <v>2419</v>
      </c>
      <c r="G867" t="s">
        <v>2210</v>
      </c>
      <c r="H867">
        <v>4</v>
      </c>
      <c r="I867">
        <v>24.11</v>
      </c>
      <c r="J867" s="50">
        <v>96.44</v>
      </c>
      <c r="K867" t="s">
        <v>1618</v>
      </c>
      <c r="M867" t="s">
        <v>1619</v>
      </c>
      <c r="N867">
        <v>12.72</v>
      </c>
      <c r="O867" s="49">
        <v>45389</v>
      </c>
      <c r="P867" s="50">
        <v>43.398000000000003</v>
      </c>
    </row>
    <row r="868" spans="4:16" x14ac:dyDescent="0.2">
      <c r="D868">
        <v>100000521</v>
      </c>
      <c r="E868" s="49">
        <v>44247</v>
      </c>
      <c r="F868" t="s">
        <v>2419</v>
      </c>
      <c r="G868" t="s">
        <v>2343</v>
      </c>
      <c r="H868">
        <v>2</v>
      </c>
      <c r="I868">
        <v>22.56</v>
      </c>
      <c r="J868" s="50">
        <v>45.12</v>
      </c>
      <c r="K868" t="s">
        <v>1618</v>
      </c>
      <c r="M868" t="s">
        <v>1629</v>
      </c>
      <c r="N868">
        <v>11.91</v>
      </c>
      <c r="O868" s="49">
        <v>44252</v>
      </c>
      <c r="P868" s="50">
        <v>20.303999999999998</v>
      </c>
    </row>
    <row r="869" spans="4:16" x14ac:dyDescent="0.2">
      <c r="D869">
        <v>100000523</v>
      </c>
      <c r="E869" s="49">
        <v>44241</v>
      </c>
      <c r="F869" t="s">
        <v>2421</v>
      </c>
      <c r="G869" t="s">
        <v>2158</v>
      </c>
      <c r="H869">
        <v>3</v>
      </c>
      <c r="I869">
        <v>56.48</v>
      </c>
      <c r="J869" s="50">
        <v>169.44</v>
      </c>
      <c r="K869" t="s">
        <v>1632</v>
      </c>
      <c r="M869" t="s">
        <v>1619</v>
      </c>
      <c r="N869">
        <v>29.81</v>
      </c>
      <c r="O869" s="49">
        <v>44243</v>
      </c>
      <c r="P869" s="50">
        <v>76.248000000000005</v>
      </c>
    </row>
    <row r="870" spans="4:16" x14ac:dyDescent="0.2">
      <c r="D870">
        <v>100000523</v>
      </c>
      <c r="E870" s="49">
        <v>44617</v>
      </c>
      <c r="F870" t="s">
        <v>2421</v>
      </c>
      <c r="G870" t="s">
        <v>2161</v>
      </c>
      <c r="H870">
        <v>9</v>
      </c>
      <c r="I870">
        <v>51.72</v>
      </c>
      <c r="J870" s="50">
        <v>465.48</v>
      </c>
      <c r="K870" t="s">
        <v>1632</v>
      </c>
      <c r="M870" t="s">
        <v>1621</v>
      </c>
      <c r="N870">
        <v>27.3</v>
      </c>
      <c r="O870" s="49">
        <v>44621</v>
      </c>
      <c r="P870" s="50">
        <v>209.46600000000001</v>
      </c>
    </row>
    <row r="871" spans="4:16" x14ac:dyDescent="0.2">
      <c r="D871">
        <v>100000527</v>
      </c>
      <c r="E871" s="49">
        <v>45585</v>
      </c>
      <c r="F871" t="s">
        <v>2422</v>
      </c>
      <c r="G871" t="s">
        <v>2331</v>
      </c>
      <c r="H871">
        <v>2</v>
      </c>
      <c r="I871">
        <v>60.97</v>
      </c>
      <c r="J871" s="50">
        <v>121.94</v>
      </c>
      <c r="K871" t="s">
        <v>1618</v>
      </c>
      <c r="M871" t="s">
        <v>1619</v>
      </c>
      <c r="N871">
        <v>32.18</v>
      </c>
      <c r="O871" s="49">
        <v>45589</v>
      </c>
      <c r="P871" s="50">
        <v>54.872999999999998</v>
      </c>
    </row>
    <row r="872" spans="4:16" x14ac:dyDescent="0.2">
      <c r="D872">
        <v>100000528</v>
      </c>
      <c r="E872" s="49">
        <v>44676</v>
      </c>
      <c r="F872" t="s">
        <v>2423</v>
      </c>
      <c r="G872" t="s">
        <v>1956</v>
      </c>
      <c r="H872">
        <v>1</v>
      </c>
      <c r="I872">
        <v>90.45</v>
      </c>
      <c r="J872" s="50">
        <v>90.45</v>
      </c>
      <c r="K872" t="s">
        <v>1618</v>
      </c>
      <c r="M872" t="s">
        <v>1629</v>
      </c>
      <c r="N872">
        <v>47.74</v>
      </c>
      <c r="O872" s="49">
        <v>44679</v>
      </c>
      <c r="P872" s="50">
        <v>40.702500000000001</v>
      </c>
    </row>
    <row r="873" spans="4:16" x14ac:dyDescent="0.2">
      <c r="D873">
        <v>100000529</v>
      </c>
      <c r="E873" s="49">
        <v>44639</v>
      </c>
      <c r="F873" t="s">
        <v>2424</v>
      </c>
      <c r="G873" t="s">
        <v>1922</v>
      </c>
      <c r="H873">
        <v>5</v>
      </c>
      <c r="I873">
        <v>11.59</v>
      </c>
      <c r="J873" s="50">
        <v>57.95</v>
      </c>
      <c r="K873" t="s">
        <v>1618</v>
      </c>
      <c r="L873" t="s">
        <v>2425</v>
      </c>
      <c r="M873" t="s">
        <v>1627</v>
      </c>
      <c r="N873">
        <v>6.12</v>
      </c>
      <c r="O873" s="49">
        <v>44643</v>
      </c>
      <c r="P873" s="50">
        <v>26.077500000000001</v>
      </c>
    </row>
    <row r="874" spans="4:16" x14ac:dyDescent="0.2">
      <c r="D874">
        <v>100000529</v>
      </c>
      <c r="E874" s="49">
        <v>44957</v>
      </c>
      <c r="F874" t="s">
        <v>2424</v>
      </c>
      <c r="G874" t="s">
        <v>1702</v>
      </c>
      <c r="H874">
        <v>4</v>
      </c>
      <c r="I874">
        <v>116.83</v>
      </c>
      <c r="J874" s="50">
        <v>467.32</v>
      </c>
      <c r="K874" t="s">
        <v>1618</v>
      </c>
      <c r="L874" t="s">
        <v>2425</v>
      </c>
      <c r="M874" t="s">
        <v>1624</v>
      </c>
      <c r="N874">
        <v>61.66</v>
      </c>
      <c r="O874" s="49">
        <v>44958</v>
      </c>
      <c r="P874" s="50">
        <v>210.29400000000001</v>
      </c>
    </row>
    <row r="875" spans="4:16" x14ac:dyDescent="0.2">
      <c r="D875">
        <v>100000530</v>
      </c>
      <c r="E875" s="49">
        <v>44556</v>
      </c>
      <c r="F875" t="s">
        <v>2426</v>
      </c>
      <c r="G875" t="s">
        <v>1751</v>
      </c>
      <c r="H875">
        <v>5</v>
      </c>
      <c r="I875">
        <v>95.92</v>
      </c>
      <c r="J875" s="50">
        <v>479.6</v>
      </c>
      <c r="K875" t="s">
        <v>1632</v>
      </c>
      <c r="M875" t="s">
        <v>1621</v>
      </c>
      <c r="N875">
        <v>50.62</v>
      </c>
      <c r="O875" s="49">
        <v>44561</v>
      </c>
      <c r="P875" s="50">
        <v>215.82000000000002</v>
      </c>
    </row>
    <row r="876" spans="4:16" x14ac:dyDescent="0.2">
      <c r="D876">
        <v>100000530</v>
      </c>
      <c r="E876" s="49">
        <v>45010</v>
      </c>
      <c r="F876" t="s">
        <v>2426</v>
      </c>
      <c r="G876" t="s">
        <v>2427</v>
      </c>
      <c r="H876">
        <v>3</v>
      </c>
      <c r="I876">
        <v>31.4</v>
      </c>
      <c r="J876" s="50">
        <v>94.199999999999989</v>
      </c>
      <c r="K876" t="s">
        <v>1632</v>
      </c>
      <c r="M876" t="s">
        <v>1619</v>
      </c>
      <c r="N876">
        <v>16.57</v>
      </c>
      <c r="O876" s="49">
        <v>45014</v>
      </c>
      <c r="P876" s="50">
        <v>42.389999999999993</v>
      </c>
    </row>
    <row r="877" spans="4:16" x14ac:dyDescent="0.2">
      <c r="D877">
        <v>100000531</v>
      </c>
      <c r="E877" s="49">
        <v>45059</v>
      </c>
      <c r="F877" t="s">
        <v>2428</v>
      </c>
      <c r="G877" t="s">
        <v>1766</v>
      </c>
      <c r="H877">
        <v>10</v>
      </c>
      <c r="I877">
        <v>43.27</v>
      </c>
      <c r="J877" s="50">
        <v>432.7</v>
      </c>
      <c r="K877" t="s">
        <v>1632</v>
      </c>
      <c r="M877" t="s">
        <v>1619</v>
      </c>
      <c r="N877">
        <v>22.84</v>
      </c>
      <c r="O877" s="49">
        <v>45061</v>
      </c>
      <c r="P877" s="50">
        <v>194.715</v>
      </c>
    </row>
    <row r="878" spans="4:16" x14ac:dyDescent="0.2">
      <c r="D878">
        <v>100000532</v>
      </c>
      <c r="E878" s="49">
        <v>45344</v>
      </c>
      <c r="F878" t="s">
        <v>2429</v>
      </c>
      <c r="G878" t="s">
        <v>2182</v>
      </c>
      <c r="H878">
        <v>3</v>
      </c>
      <c r="I878">
        <v>91.08</v>
      </c>
      <c r="J878" s="50">
        <v>273.24</v>
      </c>
      <c r="K878" t="s">
        <v>1618</v>
      </c>
      <c r="M878" t="s">
        <v>1629</v>
      </c>
      <c r="N878">
        <v>48.07</v>
      </c>
      <c r="O878" s="49">
        <v>45346</v>
      </c>
      <c r="P878" s="50">
        <v>122.95800000000001</v>
      </c>
    </row>
    <row r="879" spans="4:16" x14ac:dyDescent="0.2">
      <c r="D879">
        <v>100000534</v>
      </c>
      <c r="E879" s="49">
        <v>44857</v>
      </c>
      <c r="F879" t="s">
        <v>2430</v>
      </c>
      <c r="G879" t="s">
        <v>1950</v>
      </c>
      <c r="H879">
        <v>4</v>
      </c>
      <c r="I879">
        <v>81.680000000000007</v>
      </c>
      <c r="J879" s="50">
        <v>326.72000000000003</v>
      </c>
      <c r="K879" t="s">
        <v>1618</v>
      </c>
      <c r="M879" t="s">
        <v>1627</v>
      </c>
      <c r="N879">
        <v>43.11</v>
      </c>
      <c r="O879" s="49">
        <v>44858</v>
      </c>
      <c r="P879" s="50">
        <v>147.02400000000003</v>
      </c>
    </row>
    <row r="880" spans="4:16" x14ac:dyDescent="0.2">
      <c r="D880">
        <v>100000534</v>
      </c>
      <c r="E880" s="49">
        <v>44539</v>
      </c>
      <c r="F880" t="s">
        <v>2430</v>
      </c>
      <c r="G880" t="s">
        <v>2069</v>
      </c>
      <c r="H880">
        <v>9</v>
      </c>
      <c r="I880">
        <v>105.85</v>
      </c>
      <c r="J880" s="50">
        <v>952.65</v>
      </c>
      <c r="K880" t="s">
        <v>1618</v>
      </c>
      <c r="M880" t="s">
        <v>1627</v>
      </c>
      <c r="N880">
        <v>55.86</v>
      </c>
      <c r="O880" s="49">
        <v>44541</v>
      </c>
      <c r="P880" s="50">
        <v>428.6925</v>
      </c>
    </row>
    <row r="881" spans="4:16" x14ac:dyDescent="0.2">
      <c r="D881">
        <v>100000534</v>
      </c>
      <c r="E881" s="49">
        <v>44802</v>
      </c>
      <c r="F881" t="s">
        <v>2430</v>
      </c>
      <c r="G881" t="s">
        <v>2431</v>
      </c>
      <c r="H881">
        <v>3</v>
      </c>
      <c r="I881">
        <v>117.96</v>
      </c>
      <c r="J881" s="50">
        <v>353.88</v>
      </c>
      <c r="K881" t="s">
        <v>1618</v>
      </c>
      <c r="M881" t="s">
        <v>1629</v>
      </c>
      <c r="N881">
        <v>62.26</v>
      </c>
      <c r="O881" s="49">
        <v>44805</v>
      </c>
      <c r="P881" s="50">
        <v>159.24600000000001</v>
      </c>
    </row>
    <row r="882" spans="4:16" x14ac:dyDescent="0.2">
      <c r="D882">
        <v>100000536</v>
      </c>
      <c r="E882" s="49">
        <v>44268</v>
      </c>
      <c r="F882" t="s">
        <v>2432</v>
      </c>
      <c r="G882" t="s">
        <v>1727</v>
      </c>
      <c r="H882">
        <v>10</v>
      </c>
      <c r="I882">
        <v>61.25</v>
      </c>
      <c r="J882" s="50">
        <v>612.5</v>
      </c>
      <c r="K882" t="s">
        <v>1618</v>
      </c>
      <c r="M882" t="s">
        <v>1629</v>
      </c>
      <c r="N882">
        <v>32.33</v>
      </c>
      <c r="O882" s="49">
        <v>44272</v>
      </c>
      <c r="P882" s="50">
        <v>275.625</v>
      </c>
    </row>
    <row r="883" spans="4:16" x14ac:dyDescent="0.2">
      <c r="D883">
        <v>100000537</v>
      </c>
      <c r="E883" s="49">
        <v>44781</v>
      </c>
      <c r="F883" t="s">
        <v>2433</v>
      </c>
      <c r="G883" t="s">
        <v>1922</v>
      </c>
      <c r="H883">
        <v>6</v>
      </c>
      <c r="I883">
        <v>111.08</v>
      </c>
      <c r="J883" s="50">
        <v>666.48</v>
      </c>
      <c r="K883" t="s">
        <v>1632</v>
      </c>
      <c r="M883" t="s">
        <v>1629</v>
      </c>
      <c r="N883">
        <v>58.63</v>
      </c>
      <c r="O883" s="49">
        <v>44786</v>
      </c>
      <c r="P883" s="50">
        <v>299.916</v>
      </c>
    </row>
    <row r="884" spans="4:16" x14ac:dyDescent="0.2">
      <c r="D884">
        <v>100000538</v>
      </c>
      <c r="E884" s="49">
        <v>44600</v>
      </c>
      <c r="F884" t="s">
        <v>2434</v>
      </c>
      <c r="G884" t="s">
        <v>2207</v>
      </c>
      <c r="H884">
        <v>4</v>
      </c>
      <c r="I884">
        <v>113.51</v>
      </c>
      <c r="J884" s="50">
        <v>454.04</v>
      </c>
      <c r="K884" t="s">
        <v>1618</v>
      </c>
      <c r="M884" t="s">
        <v>1629</v>
      </c>
      <c r="N884">
        <v>59.91</v>
      </c>
      <c r="O884" s="49">
        <v>44601</v>
      </c>
      <c r="P884" s="50">
        <v>204.31800000000001</v>
      </c>
    </row>
    <row r="885" spans="4:16" x14ac:dyDescent="0.2">
      <c r="D885">
        <v>100000540</v>
      </c>
      <c r="E885" s="49">
        <v>45571</v>
      </c>
      <c r="F885" t="s">
        <v>2435</v>
      </c>
      <c r="G885" t="s">
        <v>2436</v>
      </c>
      <c r="H885">
        <v>3</v>
      </c>
      <c r="I885">
        <v>84.75</v>
      </c>
      <c r="J885" s="50">
        <v>254.25</v>
      </c>
      <c r="K885" t="s">
        <v>1632</v>
      </c>
      <c r="M885" t="s">
        <v>1629</v>
      </c>
      <c r="N885">
        <v>44.73</v>
      </c>
      <c r="O885" s="49">
        <v>45574</v>
      </c>
      <c r="P885" s="50">
        <v>114.41250000000001</v>
      </c>
    </row>
    <row r="886" spans="4:16" x14ac:dyDescent="0.2">
      <c r="D886">
        <v>100000541</v>
      </c>
      <c r="E886" s="49">
        <v>44683</v>
      </c>
      <c r="F886" t="s">
        <v>2437</v>
      </c>
      <c r="G886" t="s">
        <v>2151</v>
      </c>
      <c r="H886">
        <v>2</v>
      </c>
      <c r="I886">
        <v>47.67</v>
      </c>
      <c r="J886" s="50">
        <v>95.34</v>
      </c>
      <c r="K886" t="s">
        <v>1632</v>
      </c>
      <c r="M886" t="s">
        <v>1629</v>
      </c>
      <c r="N886">
        <v>25.16</v>
      </c>
      <c r="O886" s="49">
        <v>44687</v>
      </c>
      <c r="P886" s="50">
        <v>42.903000000000006</v>
      </c>
    </row>
    <row r="887" spans="4:16" x14ac:dyDescent="0.2">
      <c r="D887">
        <v>100000545</v>
      </c>
      <c r="E887" s="49">
        <v>44205</v>
      </c>
      <c r="F887" t="s">
        <v>2438</v>
      </c>
      <c r="G887" t="s">
        <v>2305</v>
      </c>
      <c r="H887">
        <v>5</v>
      </c>
      <c r="I887">
        <v>30.23</v>
      </c>
      <c r="J887" s="50">
        <v>151.15</v>
      </c>
      <c r="K887" t="s">
        <v>1632</v>
      </c>
      <c r="M887" t="s">
        <v>1627</v>
      </c>
      <c r="N887">
        <v>15.95</v>
      </c>
      <c r="O887" s="49">
        <v>44208</v>
      </c>
      <c r="P887" s="50">
        <v>68.017499999999998</v>
      </c>
    </row>
    <row r="888" spans="4:16" x14ac:dyDescent="0.2">
      <c r="D888">
        <v>100000546</v>
      </c>
      <c r="E888" s="49">
        <v>45586</v>
      </c>
      <c r="F888" t="s">
        <v>2439</v>
      </c>
      <c r="G888" t="s">
        <v>1865</v>
      </c>
      <c r="H888">
        <v>2</v>
      </c>
      <c r="I888">
        <v>100.59</v>
      </c>
      <c r="J888" s="50">
        <v>201.18</v>
      </c>
      <c r="K888" t="s">
        <v>1618</v>
      </c>
      <c r="M888" t="s">
        <v>1624</v>
      </c>
      <c r="N888">
        <v>53.09</v>
      </c>
      <c r="O888" s="49">
        <v>45588</v>
      </c>
      <c r="P888" s="50">
        <v>90.531000000000006</v>
      </c>
    </row>
    <row r="889" spans="4:16" x14ac:dyDescent="0.2">
      <c r="D889">
        <v>100000547</v>
      </c>
      <c r="E889" s="49">
        <v>45000</v>
      </c>
      <c r="F889" t="s">
        <v>2440</v>
      </c>
      <c r="G889" t="s">
        <v>1664</v>
      </c>
      <c r="H889">
        <v>4</v>
      </c>
      <c r="I889">
        <v>57.68</v>
      </c>
      <c r="J889" s="50">
        <v>230.72</v>
      </c>
      <c r="K889" t="s">
        <v>1618</v>
      </c>
      <c r="M889" t="s">
        <v>1624</v>
      </c>
      <c r="N889">
        <v>30.44</v>
      </c>
      <c r="O889" s="49">
        <v>45004</v>
      </c>
      <c r="P889" s="50">
        <v>103.824</v>
      </c>
    </row>
    <row r="890" spans="4:16" x14ac:dyDescent="0.2">
      <c r="D890">
        <v>100000547</v>
      </c>
      <c r="E890" s="49">
        <v>45480</v>
      </c>
      <c r="F890" t="s">
        <v>2440</v>
      </c>
      <c r="G890" t="s">
        <v>1792</v>
      </c>
      <c r="H890">
        <v>7</v>
      </c>
      <c r="I890">
        <v>84.27</v>
      </c>
      <c r="J890" s="50">
        <v>589.89</v>
      </c>
      <c r="K890" t="s">
        <v>1618</v>
      </c>
      <c r="M890" t="s">
        <v>1624</v>
      </c>
      <c r="N890">
        <v>44.48</v>
      </c>
      <c r="O890" s="49">
        <v>45484</v>
      </c>
      <c r="P890" s="50">
        <v>265.45049999999998</v>
      </c>
    </row>
    <row r="891" spans="4:16" x14ac:dyDescent="0.2">
      <c r="D891">
        <v>100000547</v>
      </c>
      <c r="E891" s="49">
        <v>44283</v>
      </c>
      <c r="F891" t="s">
        <v>2440</v>
      </c>
      <c r="G891" t="s">
        <v>1748</v>
      </c>
      <c r="H891">
        <v>8</v>
      </c>
      <c r="I891">
        <v>51.16</v>
      </c>
      <c r="J891" s="50">
        <v>409.28</v>
      </c>
      <c r="K891" t="s">
        <v>1618</v>
      </c>
      <c r="M891" t="s">
        <v>1624</v>
      </c>
      <c r="N891">
        <v>27</v>
      </c>
      <c r="O891" s="49">
        <v>44285</v>
      </c>
      <c r="P891" s="50">
        <v>184.17599999999999</v>
      </c>
    </row>
    <row r="892" spans="4:16" x14ac:dyDescent="0.2">
      <c r="D892">
        <v>100000548</v>
      </c>
      <c r="E892" s="49">
        <v>44290</v>
      </c>
      <c r="F892" t="s">
        <v>2441</v>
      </c>
      <c r="G892" t="s">
        <v>2038</v>
      </c>
      <c r="H892">
        <v>2</v>
      </c>
      <c r="I892">
        <v>29.99</v>
      </c>
      <c r="J892" s="50">
        <v>59.98</v>
      </c>
      <c r="K892" t="s">
        <v>1618</v>
      </c>
      <c r="M892" t="s">
        <v>1627</v>
      </c>
      <c r="N892">
        <v>15.83</v>
      </c>
      <c r="O892" s="49">
        <v>44295</v>
      </c>
      <c r="P892" s="50">
        <v>26.991</v>
      </c>
    </row>
    <row r="893" spans="4:16" x14ac:dyDescent="0.2">
      <c r="D893">
        <v>100000549</v>
      </c>
      <c r="E893" s="49">
        <v>44665</v>
      </c>
      <c r="F893" t="s">
        <v>2442</v>
      </c>
      <c r="G893" t="s">
        <v>2427</v>
      </c>
      <c r="H893">
        <v>3</v>
      </c>
      <c r="I893">
        <v>110.59</v>
      </c>
      <c r="J893" s="50">
        <v>331.77</v>
      </c>
      <c r="K893" t="s">
        <v>1618</v>
      </c>
      <c r="M893" t="s">
        <v>1624</v>
      </c>
      <c r="N893">
        <v>58.37</v>
      </c>
      <c r="O893" s="49">
        <v>44669</v>
      </c>
      <c r="P893" s="50">
        <v>149.29650000000001</v>
      </c>
    </row>
    <row r="894" spans="4:16" x14ac:dyDescent="0.2">
      <c r="D894">
        <v>100000549</v>
      </c>
      <c r="E894" s="49">
        <v>45500</v>
      </c>
      <c r="F894" t="s">
        <v>2442</v>
      </c>
      <c r="G894" t="s">
        <v>1696</v>
      </c>
      <c r="H894">
        <v>5</v>
      </c>
      <c r="I894">
        <v>86.83</v>
      </c>
      <c r="J894" s="50">
        <v>434.15</v>
      </c>
      <c r="K894" t="s">
        <v>1618</v>
      </c>
      <c r="M894" t="s">
        <v>1624</v>
      </c>
      <c r="N894">
        <v>45.83</v>
      </c>
      <c r="O894" s="49">
        <v>45501</v>
      </c>
      <c r="P894" s="50">
        <v>195.36750000000001</v>
      </c>
    </row>
    <row r="895" spans="4:16" x14ac:dyDescent="0.2">
      <c r="D895">
        <v>100000549</v>
      </c>
      <c r="E895" s="49">
        <v>45074</v>
      </c>
      <c r="F895" t="s">
        <v>2442</v>
      </c>
      <c r="G895" t="s">
        <v>1978</v>
      </c>
      <c r="H895">
        <v>1</v>
      </c>
      <c r="I895">
        <v>88.95</v>
      </c>
      <c r="J895" s="50">
        <v>88.95</v>
      </c>
      <c r="K895" t="s">
        <v>1618</v>
      </c>
      <c r="M895" t="s">
        <v>1624</v>
      </c>
      <c r="N895">
        <v>46.95</v>
      </c>
      <c r="O895" s="49">
        <v>45079</v>
      </c>
      <c r="P895" s="50">
        <v>40.027500000000003</v>
      </c>
    </row>
    <row r="896" spans="4:16" x14ac:dyDescent="0.2">
      <c r="D896">
        <v>100000549</v>
      </c>
      <c r="E896" s="49">
        <v>44967</v>
      </c>
      <c r="F896" t="s">
        <v>2442</v>
      </c>
      <c r="G896" t="s">
        <v>1799</v>
      </c>
      <c r="H896">
        <v>5</v>
      </c>
      <c r="I896">
        <v>48.06</v>
      </c>
      <c r="J896" s="50">
        <v>240.3</v>
      </c>
      <c r="K896" t="s">
        <v>1618</v>
      </c>
      <c r="M896" t="s">
        <v>1629</v>
      </c>
      <c r="N896">
        <v>25.36</v>
      </c>
      <c r="O896" s="49">
        <v>44968</v>
      </c>
      <c r="P896" s="50">
        <v>108.13500000000001</v>
      </c>
    </row>
    <row r="897" spans="4:16" x14ac:dyDescent="0.2">
      <c r="D897">
        <v>100000550</v>
      </c>
      <c r="E897" s="49">
        <v>44341</v>
      </c>
      <c r="F897" t="s">
        <v>2443</v>
      </c>
      <c r="G897" t="s">
        <v>2060</v>
      </c>
      <c r="H897">
        <v>9</v>
      </c>
      <c r="I897">
        <v>104.14</v>
      </c>
      <c r="J897" s="50">
        <v>937.26</v>
      </c>
      <c r="K897" t="s">
        <v>1632</v>
      </c>
      <c r="L897" t="s">
        <v>2444</v>
      </c>
      <c r="M897" t="s">
        <v>1619</v>
      </c>
      <c r="N897">
        <v>54.96</v>
      </c>
      <c r="O897" s="49">
        <v>44346</v>
      </c>
      <c r="P897" s="50">
        <v>421.767</v>
      </c>
    </row>
    <row r="898" spans="4:16" x14ac:dyDescent="0.2">
      <c r="D898">
        <v>100000550</v>
      </c>
      <c r="E898" s="49">
        <v>45210</v>
      </c>
      <c r="F898" t="s">
        <v>2443</v>
      </c>
      <c r="G898" t="s">
        <v>1686</v>
      </c>
      <c r="H898">
        <v>2</v>
      </c>
      <c r="I898">
        <v>34.21</v>
      </c>
      <c r="J898" s="50">
        <v>68.42</v>
      </c>
      <c r="K898" t="s">
        <v>1632</v>
      </c>
      <c r="L898" t="s">
        <v>2444</v>
      </c>
      <c r="M898" t="s">
        <v>1624</v>
      </c>
      <c r="N898">
        <v>18.059999999999999</v>
      </c>
      <c r="O898" s="49">
        <v>45211</v>
      </c>
      <c r="P898" s="50">
        <v>30.789000000000001</v>
      </c>
    </row>
    <row r="899" spans="4:16" x14ac:dyDescent="0.2">
      <c r="D899">
        <v>100000550</v>
      </c>
      <c r="E899" s="49">
        <v>44390</v>
      </c>
      <c r="F899" t="s">
        <v>2443</v>
      </c>
      <c r="G899" t="s">
        <v>1777</v>
      </c>
      <c r="H899">
        <v>10</v>
      </c>
      <c r="I899">
        <v>115.79</v>
      </c>
      <c r="J899" s="50">
        <v>1157.9000000000001</v>
      </c>
      <c r="K899" t="s">
        <v>1632</v>
      </c>
      <c r="L899" t="s">
        <v>2444</v>
      </c>
      <c r="M899" t="s">
        <v>1619</v>
      </c>
      <c r="N899">
        <v>61.11</v>
      </c>
      <c r="O899" s="49">
        <v>44392</v>
      </c>
      <c r="P899" s="50">
        <v>521.05500000000006</v>
      </c>
    </row>
    <row r="900" spans="4:16" x14ac:dyDescent="0.2">
      <c r="D900">
        <v>100000550</v>
      </c>
      <c r="E900" s="49">
        <v>45192</v>
      </c>
      <c r="F900" t="s">
        <v>2443</v>
      </c>
      <c r="G900" t="s">
        <v>2291</v>
      </c>
      <c r="H900">
        <v>10</v>
      </c>
      <c r="I900">
        <v>89.57</v>
      </c>
      <c r="J900" s="50">
        <v>895.69999999999993</v>
      </c>
      <c r="K900" t="s">
        <v>1632</v>
      </c>
      <c r="L900" t="s">
        <v>2444</v>
      </c>
      <c r="M900" t="s">
        <v>1621</v>
      </c>
      <c r="N900">
        <v>47.27</v>
      </c>
      <c r="O900" s="49">
        <v>45194</v>
      </c>
      <c r="P900" s="50">
        <v>403.065</v>
      </c>
    </row>
    <row r="901" spans="4:16" x14ac:dyDescent="0.2">
      <c r="D901">
        <v>100000550</v>
      </c>
      <c r="E901" s="49">
        <v>45554</v>
      </c>
      <c r="F901" t="s">
        <v>2443</v>
      </c>
      <c r="G901" t="s">
        <v>1687</v>
      </c>
      <c r="H901">
        <v>7</v>
      </c>
      <c r="I901">
        <v>17.059999999999999</v>
      </c>
      <c r="J901" s="50">
        <v>119.42</v>
      </c>
      <c r="K901" t="s">
        <v>1632</v>
      </c>
      <c r="L901" t="s">
        <v>2444</v>
      </c>
      <c r="M901" t="s">
        <v>1624</v>
      </c>
      <c r="N901">
        <v>9</v>
      </c>
      <c r="O901" s="49">
        <v>45557</v>
      </c>
      <c r="P901" s="50">
        <v>53.739000000000004</v>
      </c>
    </row>
    <row r="902" spans="4:16" x14ac:dyDescent="0.2">
      <c r="D902">
        <v>100000551</v>
      </c>
      <c r="E902" s="49">
        <v>44294</v>
      </c>
      <c r="F902" t="s">
        <v>2445</v>
      </c>
      <c r="G902" t="s">
        <v>1758</v>
      </c>
      <c r="H902">
        <v>3</v>
      </c>
      <c r="I902">
        <v>27.76</v>
      </c>
      <c r="J902" s="50">
        <v>83.28</v>
      </c>
      <c r="K902" t="s">
        <v>1618</v>
      </c>
      <c r="L902" t="s">
        <v>2446</v>
      </c>
      <c r="M902" t="s">
        <v>1621</v>
      </c>
      <c r="N902">
        <v>14.65</v>
      </c>
      <c r="O902" s="49">
        <v>44298</v>
      </c>
      <c r="P902" s="50">
        <v>37.475999999999999</v>
      </c>
    </row>
    <row r="903" spans="4:16" x14ac:dyDescent="0.2">
      <c r="D903">
        <v>100000551</v>
      </c>
      <c r="E903" s="49">
        <v>44260</v>
      </c>
      <c r="F903" t="s">
        <v>2445</v>
      </c>
      <c r="G903" t="s">
        <v>1648</v>
      </c>
      <c r="H903">
        <v>10</v>
      </c>
      <c r="I903">
        <v>27.6</v>
      </c>
      <c r="J903" s="50">
        <v>276</v>
      </c>
      <c r="K903" t="s">
        <v>1618</v>
      </c>
      <c r="L903" t="s">
        <v>2446</v>
      </c>
      <c r="M903" t="s">
        <v>1619</v>
      </c>
      <c r="N903">
        <v>14.57</v>
      </c>
      <c r="O903" s="49">
        <v>44261</v>
      </c>
      <c r="P903" s="50">
        <v>124.2</v>
      </c>
    </row>
    <row r="904" spans="4:16" x14ac:dyDescent="0.2">
      <c r="D904">
        <v>100000551</v>
      </c>
      <c r="E904" s="49">
        <v>45615</v>
      </c>
      <c r="F904" t="s">
        <v>2445</v>
      </c>
      <c r="G904" t="s">
        <v>1719</v>
      </c>
      <c r="H904">
        <v>10</v>
      </c>
      <c r="I904">
        <v>84.51</v>
      </c>
      <c r="J904" s="50">
        <v>845.1</v>
      </c>
      <c r="K904" t="s">
        <v>1618</v>
      </c>
      <c r="L904" t="s">
        <v>2446</v>
      </c>
      <c r="M904" t="s">
        <v>1627</v>
      </c>
      <c r="N904">
        <v>44.6</v>
      </c>
      <c r="O904" s="49">
        <v>45616</v>
      </c>
      <c r="P904" s="50">
        <v>380.29500000000002</v>
      </c>
    </row>
    <row r="905" spans="4:16" x14ac:dyDescent="0.2">
      <c r="D905">
        <v>100000551</v>
      </c>
      <c r="E905" s="49">
        <v>44895</v>
      </c>
      <c r="F905" t="s">
        <v>2445</v>
      </c>
      <c r="G905" t="s">
        <v>2447</v>
      </c>
      <c r="H905">
        <v>8</v>
      </c>
      <c r="I905">
        <v>39.340000000000003</v>
      </c>
      <c r="J905" s="50">
        <v>314.72000000000003</v>
      </c>
      <c r="K905" t="s">
        <v>1618</v>
      </c>
      <c r="L905" t="s">
        <v>2446</v>
      </c>
      <c r="M905" t="s">
        <v>1624</v>
      </c>
      <c r="N905">
        <v>20.76</v>
      </c>
      <c r="O905" s="49">
        <v>44899</v>
      </c>
      <c r="P905" s="50">
        <v>141.62400000000002</v>
      </c>
    </row>
    <row r="906" spans="4:16" x14ac:dyDescent="0.2">
      <c r="D906">
        <v>100000552</v>
      </c>
      <c r="E906" s="49">
        <v>45110</v>
      </c>
      <c r="F906" t="s">
        <v>2448</v>
      </c>
      <c r="G906" t="s">
        <v>2198</v>
      </c>
      <c r="H906">
        <v>9</v>
      </c>
      <c r="I906">
        <v>22.75</v>
      </c>
      <c r="J906" s="50">
        <v>204.75</v>
      </c>
      <c r="K906" t="s">
        <v>1618</v>
      </c>
      <c r="M906" t="s">
        <v>1619</v>
      </c>
      <c r="N906">
        <v>12.01</v>
      </c>
      <c r="O906" s="49">
        <v>45112</v>
      </c>
      <c r="P906" s="50">
        <v>92.137500000000003</v>
      </c>
    </row>
    <row r="907" spans="4:16" x14ac:dyDescent="0.2">
      <c r="D907">
        <v>100000552</v>
      </c>
      <c r="E907" s="49">
        <v>45122</v>
      </c>
      <c r="F907" t="s">
        <v>2448</v>
      </c>
      <c r="G907" t="s">
        <v>1853</v>
      </c>
      <c r="H907">
        <v>3</v>
      </c>
      <c r="I907">
        <v>58.87</v>
      </c>
      <c r="J907" s="50">
        <v>176.61</v>
      </c>
      <c r="K907" t="s">
        <v>1618</v>
      </c>
      <c r="M907" t="s">
        <v>1627</v>
      </c>
      <c r="N907">
        <v>31.07</v>
      </c>
      <c r="O907" s="49">
        <v>45123</v>
      </c>
      <c r="P907" s="50">
        <v>79.474500000000006</v>
      </c>
    </row>
    <row r="908" spans="4:16" x14ac:dyDescent="0.2">
      <c r="D908">
        <v>100000552</v>
      </c>
      <c r="E908" s="49">
        <v>45631</v>
      </c>
      <c r="F908" t="s">
        <v>2448</v>
      </c>
      <c r="G908" t="s">
        <v>2261</v>
      </c>
      <c r="H908">
        <v>2</v>
      </c>
      <c r="I908">
        <v>116.99</v>
      </c>
      <c r="J908" s="50">
        <v>233.98</v>
      </c>
      <c r="K908" t="s">
        <v>1618</v>
      </c>
      <c r="M908" t="s">
        <v>1621</v>
      </c>
      <c r="N908">
        <v>61.74</v>
      </c>
      <c r="O908" s="49">
        <v>45632</v>
      </c>
      <c r="P908" s="50">
        <v>105.291</v>
      </c>
    </row>
    <row r="909" spans="4:16" x14ac:dyDescent="0.2">
      <c r="D909">
        <v>100000552</v>
      </c>
      <c r="E909" s="49">
        <v>44894</v>
      </c>
      <c r="F909" t="s">
        <v>2448</v>
      </c>
      <c r="G909" t="s">
        <v>2004</v>
      </c>
      <c r="H909">
        <v>4</v>
      </c>
      <c r="I909">
        <v>87.91</v>
      </c>
      <c r="J909" s="50">
        <v>351.64</v>
      </c>
      <c r="K909" t="s">
        <v>1618</v>
      </c>
      <c r="M909" t="s">
        <v>1627</v>
      </c>
      <c r="N909">
        <v>46.4</v>
      </c>
      <c r="O909" s="49">
        <v>44899</v>
      </c>
      <c r="P909" s="50">
        <v>158.238</v>
      </c>
    </row>
    <row r="910" spans="4:16" x14ac:dyDescent="0.2">
      <c r="D910">
        <v>100000553</v>
      </c>
      <c r="E910" s="49">
        <v>45109</v>
      </c>
      <c r="F910" t="s">
        <v>2449</v>
      </c>
      <c r="G910" t="s">
        <v>2263</v>
      </c>
      <c r="H910">
        <v>10</v>
      </c>
      <c r="I910">
        <v>56.96</v>
      </c>
      <c r="J910" s="50">
        <v>569.6</v>
      </c>
      <c r="K910" t="s">
        <v>1618</v>
      </c>
      <c r="M910" t="s">
        <v>1624</v>
      </c>
      <c r="N910">
        <v>30.06</v>
      </c>
      <c r="O910" s="49">
        <v>45110</v>
      </c>
      <c r="P910" s="50">
        <v>256.32</v>
      </c>
    </row>
    <row r="911" spans="4:16" x14ac:dyDescent="0.2">
      <c r="D911">
        <v>100000553</v>
      </c>
      <c r="E911" s="49">
        <v>45467</v>
      </c>
      <c r="F911" t="s">
        <v>2449</v>
      </c>
      <c r="G911" t="s">
        <v>2147</v>
      </c>
      <c r="H911">
        <v>6</v>
      </c>
      <c r="I911">
        <v>54.54</v>
      </c>
      <c r="J911" s="50">
        <v>327.24</v>
      </c>
      <c r="K911" t="s">
        <v>1618</v>
      </c>
      <c r="M911" t="s">
        <v>1624</v>
      </c>
      <c r="N911">
        <v>28.78</v>
      </c>
      <c r="O911" s="49">
        <v>45469</v>
      </c>
      <c r="P911" s="50">
        <v>147.25800000000001</v>
      </c>
    </row>
    <row r="912" spans="4:16" x14ac:dyDescent="0.2">
      <c r="D912">
        <v>100000553</v>
      </c>
      <c r="E912" s="49">
        <v>44212</v>
      </c>
      <c r="F912" t="s">
        <v>2449</v>
      </c>
      <c r="G912" t="s">
        <v>2005</v>
      </c>
      <c r="H912">
        <v>7</v>
      </c>
      <c r="I912">
        <v>75.989999999999995</v>
      </c>
      <c r="J912" s="50">
        <v>531.92999999999995</v>
      </c>
      <c r="K912" t="s">
        <v>1618</v>
      </c>
      <c r="M912" t="s">
        <v>1624</v>
      </c>
      <c r="N912">
        <v>40.11</v>
      </c>
      <c r="O912" s="49">
        <v>44215</v>
      </c>
      <c r="P912" s="50">
        <v>239.36849999999998</v>
      </c>
    </row>
    <row r="913" spans="4:16" x14ac:dyDescent="0.2">
      <c r="D913">
        <v>100000553</v>
      </c>
      <c r="E913" s="49">
        <v>45089</v>
      </c>
      <c r="F913" t="s">
        <v>2449</v>
      </c>
      <c r="G913" t="s">
        <v>1789</v>
      </c>
      <c r="H913">
        <v>9</v>
      </c>
      <c r="I913">
        <v>49.96</v>
      </c>
      <c r="J913" s="50">
        <v>449.64</v>
      </c>
      <c r="K913" t="s">
        <v>1618</v>
      </c>
      <c r="M913" t="s">
        <v>1624</v>
      </c>
      <c r="N913">
        <v>26.37</v>
      </c>
      <c r="O913" s="49">
        <v>45091</v>
      </c>
      <c r="P913" s="50">
        <v>202.33799999999999</v>
      </c>
    </row>
    <row r="914" spans="4:16" x14ac:dyDescent="0.2">
      <c r="D914">
        <v>100000557</v>
      </c>
      <c r="E914" s="49">
        <v>45277</v>
      </c>
      <c r="F914" t="s">
        <v>2450</v>
      </c>
      <c r="G914" t="s">
        <v>1696</v>
      </c>
      <c r="H914">
        <v>3</v>
      </c>
      <c r="I914">
        <v>35.869999999999997</v>
      </c>
      <c r="J914" s="50">
        <v>107.61</v>
      </c>
      <c r="K914" t="s">
        <v>1618</v>
      </c>
      <c r="M914" t="s">
        <v>1624</v>
      </c>
      <c r="N914">
        <v>18.93</v>
      </c>
      <c r="O914" s="49">
        <v>45280</v>
      </c>
      <c r="P914" s="50">
        <v>48.424500000000002</v>
      </c>
    </row>
    <row r="915" spans="4:16" x14ac:dyDescent="0.2">
      <c r="D915">
        <v>100000557</v>
      </c>
      <c r="E915" s="49">
        <v>45124</v>
      </c>
      <c r="F915" t="s">
        <v>2450</v>
      </c>
      <c r="G915" t="s">
        <v>1834</v>
      </c>
      <c r="H915">
        <v>10</v>
      </c>
      <c r="I915">
        <v>34.11</v>
      </c>
      <c r="J915" s="50">
        <v>341.1</v>
      </c>
      <c r="K915" t="s">
        <v>1618</v>
      </c>
      <c r="M915" t="s">
        <v>1629</v>
      </c>
      <c r="N915">
        <v>18</v>
      </c>
      <c r="O915" s="49">
        <v>45127</v>
      </c>
      <c r="P915" s="50">
        <v>153.495</v>
      </c>
    </row>
    <row r="916" spans="4:16" x14ac:dyDescent="0.2">
      <c r="D916">
        <v>100000560</v>
      </c>
      <c r="E916" s="49">
        <v>45484</v>
      </c>
      <c r="F916" t="s">
        <v>2451</v>
      </c>
      <c r="G916" t="s">
        <v>1943</v>
      </c>
      <c r="H916">
        <v>8</v>
      </c>
      <c r="I916">
        <v>21.07</v>
      </c>
      <c r="J916" s="50">
        <v>168.56</v>
      </c>
      <c r="K916" t="s">
        <v>1618</v>
      </c>
      <c r="M916" t="s">
        <v>1621</v>
      </c>
      <c r="N916">
        <v>11.12</v>
      </c>
      <c r="O916" s="49">
        <v>45486</v>
      </c>
      <c r="P916" s="50">
        <v>75.852000000000004</v>
      </c>
    </row>
    <row r="917" spans="4:16" x14ac:dyDescent="0.2">
      <c r="D917">
        <v>100000561</v>
      </c>
      <c r="E917" s="49">
        <v>44985</v>
      </c>
      <c r="F917" t="s">
        <v>2452</v>
      </c>
      <c r="G917" t="s">
        <v>1715</v>
      </c>
      <c r="H917">
        <v>9</v>
      </c>
      <c r="I917">
        <v>40.9</v>
      </c>
      <c r="J917" s="50">
        <v>368.1</v>
      </c>
      <c r="K917" t="s">
        <v>1618</v>
      </c>
      <c r="M917" t="s">
        <v>1619</v>
      </c>
      <c r="N917">
        <v>21.59</v>
      </c>
      <c r="O917" s="49">
        <v>44989</v>
      </c>
      <c r="P917" s="50">
        <v>165.64500000000001</v>
      </c>
    </row>
    <row r="918" spans="4:16" x14ac:dyDescent="0.2">
      <c r="D918">
        <v>100000561</v>
      </c>
      <c r="E918" s="49">
        <v>44951</v>
      </c>
      <c r="F918" t="s">
        <v>2452</v>
      </c>
      <c r="G918" t="s">
        <v>2121</v>
      </c>
      <c r="H918">
        <v>1</v>
      </c>
      <c r="I918">
        <v>62.1</v>
      </c>
      <c r="J918" s="50">
        <v>62.1</v>
      </c>
      <c r="K918" t="s">
        <v>1618</v>
      </c>
      <c r="M918" t="s">
        <v>1627</v>
      </c>
      <c r="N918">
        <v>32.770000000000003</v>
      </c>
      <c r="O918" s="49">
        <v>44956</v>
      </c>
      <c r="P918" s="50">
        <v>27.945</v>
      </c>
    </row>
    <row r="919" spans="4:16" x14ac:dyDescent="0.2">
      <c r="D919">
        <v>100000561</v>
      </c>
      <c r="E919" s="49">
        <v>45159</v>
      </c>
      <c r="F919" t="s">
        <v>2452</v>
      </c>
      <c r="G919" t="s">
        <v>1904</v>
      </c>
      <c r="H919">
        <v>8</v>
      </c>
      <c r="I919">
        <v>40.64</v>
      </c>
      <c r="J919" s="50">
        <v>325.12</v>
      </c>
      <c r="K919" t="s">
        <v>1618</v>
      </c>
      <c r="M919" t="s">
        <v>1624</v>
      </c>
      <c r="N919">
        <v>21.45</v>
      </c>
      <c r="O919" s="49">
        <v>45161</v>
      </c>
      <c r="P919" s="50">
        <v>146.304</v>
      </c>
    </row>
    <row r="920" spans="4:16" x14ac:dyDescent="0.2">
      <c r="D920">
        <v>100000562</v>
      </c>
      <c r="E920" s="49">
        <v>44479</v>
      </c>
      <c r="F920" t="s">
        <v>2453</v>
      </c>
      <c r="G920" t="s">
        <v>1978</v>
      </c>
      <c r="H920">
        <v>4</v>
      </c>
      <c r="I920">
        <v>99.04</v>
      </c>
      <c r="J920" s="50">
        <v>396.16</v>
      </c>
      <c r="K920" t="s">
        <v>1632</v>
      </c>
      <c r="L920" t="s">
        <v>2119</v>
      </c>
      <c r="M920" t="s">
        <v>1627</v>
      </c>
      <c r="N920">
        <v>52.27</v>
      </c>
      <c r="O920" s="49">
        <v>44480</v>
      </c>
      <c r="P920" s="50">
        <v>178.27200000000002</v>
      </c>
    </row>
    <row r="921" spans="4:16" x14ac:dyDescent="0.2">
      <c r="D921">
        <v>100000563</v>
      </c>
      <c r="E921" s="49">
        <v>45262</v>
      </c>
      <c r="F921" t="s">
        <v>2454</v>
      </c>
      <c r="G921" t="s">
        <v>2330</v>
      </c>
      <c r="H921">
        <v>6</v>
      </c>
      <c r="I921">
        <v>56.92</v>
      </c>
      <c r="J921" s="50">
        <v>341.52</v>
      </c>
      <c r="K921" t="s">
        <v>1632</v>
      </c>
      <c r="M921" t="s">
        <v>1627</v>
      </c>
      <c r="N921">
        <v>30.04</v>
      </c>
      <c r="O921" s="49">
        <v>45266</v>
      </c>
      <c r="P921" s="50">
        <v>153.684</v>
      </c>
    </row>
    <row r="922" spans="4:16" x14ac:dyDescent="0.2">
      <c r="D922">
        <v>100000565</v>
      </c>
      <c r="E922" s="49">
        <v>44799</v>
      </c>
      <c r="F922" t="s">
        <v>2455</v>
      </c>
      <c r="G922" t="s">
        <v>2416</v>
      </c>
      <c r="H922">
        <v>5</v>
      </c>
      <c r="I922">
        <v>119.92</v>
      </c>
      <c r="J922" s="50">
        <v>599.6</v>
      </c>
      <c r="K922" t="s">
        <v>1618</v>
      </c>
      <c r="M922" t="s">
        <v>1619</v>
      </c>
      <c r="N922">
        <v>63.29</v>
      </c>
      <c r="O922" s="49">
        <v>44803</v>
      </c>
      <c r="P922" s="50">
        <v>269.82</v>
      </c>
    </row>
    <row r="923" spans="4:16" x14ac:dyDescent="0.2">
      <c r="D923">
        <v>100000567</v>
      </c>
      <c r="E923" s="49">
        <v>45172</v>
      </c>
      <c r="F923" t="s">
        <v>2456</v>
      </c>
      <c r="G923" t="s">
        <v>1868</v>
      </c>
      <c r="H923">
        <v>3</v>
      </c>
      <c r="I923">
        <v>101.1</v>
      </c>
      <c r="J923" s="50">
        <v>303.3</v>
      </c>
      <c r="K923" t="s">
        <v>1632</v>
      </c>
      <c r="M923" t="s">
        <v>1619</v>
      </c>
      <c r="N923">
        <v>53.36</v>
      </c>
      <c r="O923" s="49">
        <v>45174</v>
      </c>
      <c r="P923" s="50">
        <v>136.48500000000001</v>
      </c>
    </row>
    <row r="924" spans="4:16" x14ac:dyDescent="0.2">
      <c r="D924">
        <v>100000567</v>
      </c>
      <c r="E924" s="49">
        <v>45165</v>
      </c>
      <c r="F924" t="s">
        <v>2456</v>
      </c>
      <c r="G924" t="s">
        <v>1752</v>
      </c>
      <c r="H924">
        <v>8</v>
      </c>
      <c r="I924">
        <v>84.28</v>
      </c>
      <c r="J924" s="50">
        <v>674.24</v>
      </c>
      <c r="K924" t="s">
        <v>1632</v>
      </c>
      <c r="M924" t="s">
        <v>1621</v>
      </c>
      <c r="N924">
        <v>44.48</v>
      </c>
      <c r="O924" s="49">
        <v>45168</v>
      </c>
      <c r="P924" s="50">
        <v>303.40800000000002</v>
      </c>
    </row>
    <row r="925" spans="4:16" x14ac:dyDescent="0.2">
      <c r="D925">
        <v>100000567</v>
      </c>
      <c r="E925" s="49">
        <v>44590</v>
      </c>
      <c r="F925" t="s">
        <v>2456</v>
      </c>
      <c r="G925" t="s">
        <v>2093</v>
      </c>
      <c r="H925">
        <v>1</v>
      </c>
      <c r="I925">
        <v>109.9</v>
      </c>
      <c r="J925" s="50">
        <v>109.9</v>
      </c>
      <c r="K925" t="s">
        <v>1632</v>
      </c>
      <c r="M925" t="s">
        <v>1619</v>
      </c>
      <c r="N925">
        <v>58</v>
      </c>
      <c r="O925" s="49">
        <v>44595</v>
      </c>
      <c r="P925" s="50">
        <v>49.455000000000005</v>
      </c>
    </row>
    <row r="926" spans="4:16" x14ac:dyDescent="0.2">
      <c r="D926">
        <v>100000568</v>
      </c>
      <c r="E926" s="49">
        <v>44954</v>
      </c>
      <c r="F926" t="s">
        <v>2457</v>
      </c>
      <c r="G926" t="s">
        <v>2078</v>
      </c>
      <c r="H926">
        <v>2</v>
      </c>
      <c r="I926">
        <v>25.82</v>
      </c>
      <c r="J926" s="50">
        <v>51.64</v>
      </c>
      <c r="K926" t="s">
        <v>1618</v>
      </c>
      <c r="M926" t="s">
        <v>1627</v>
      </c>
      <c r="N926">
        <v>13.63</v>
      </c>
      <c r="O926" s="49">
        <v>44955</v>
      </c>
      <c r="P926" s="50">
        <v>23.238</v>
      </c>
    </row>
    <row r="927" spans="4:16" x14ac:dyDescent="0.2">
      <c r="D927">
        <v>100000568</v>
      </c>
      <c r="E927" s="49">
        <v>45316</v>
      </c>
      <c r="F927" t="s">
        <v>2457</v>
      </c>
      <c r="G927" t="s">
        <v>2048</v>
      </c>
      <c r="H927">
        <v>1</v>
      </c>
      <c r="I927">
        <v>54.53</v>
      </c>
      <c r="J927" s="50">
        <v>54.53</v>
      </c>
      <c r="K927" t="s">
        <v>1618</v>
      </c>
      <c r="M927" t="s">
        <v>1624</v>
      </c>
      <c r="N927">
        <v>28.78</v>
      </c>
      <c r="O927" s="49">
        <v>45320</v>
      </c>
      <c r="P927" s="50">
        <v>24.538500000000003</v>
      </c>
    </row>
    <row r="928" spans="4:16" x14ac:dyDescent="0.2">
      <c r="D928">
        <v>100000569</v>
      </c>
      <c r="E928" s="49">
        <v>45131</v>
      </c>
      <c r="F928" t="s">
        <v>2458</v>
      </c>
      <c r="G928" t="s">
        <v>2210</v>
      </c>
      <c r="H928">
        <v>6</v>
      </c>
      <c r="I928">
        <v>74.02</v>
      </c>
      <c r="J928" s="50">
        <v>444.12</v>
      </c>
      <c r="K928" t="s">
        <v>1632</v>
      </c>
      <c r="M928" t="s">
        <v>1624</v>
      </c>
      <c r="N928">
        <v>39.07</v>
      </c>
      <c r="O928" s="49">
        <v>45136</v>
      </c>
      <c r="P928" s="50">
        <v>199.85400000000001</v>
      </c>
    </row>
    <row r="929" spans="4:16" x14ac:dyDescent="0.2">
      <c r="D929">
        <v>100000571</v>
      </c>
      <c r="E929" s="49">
        <v>44576</v>
      </c>
      <c r="F929" t="s">
        <v>2459</v>
      </c>
      <c r="G929" t="s">
        <v>2460</v>
      </c>
      <c r="H929">
        <v>7</v>
      </c>
      <c r="I929">
        <v>93.04</v>
      </c>
      <c r="J929" s="50">
        <v>651.28000000000009</v>
      </c>
      <c r="K929" t="s">
        <v>1618</v>
      </c>
      <c r="M929" t="s">
        <v>1619</v>
      </c>
      <c r="N929">
        <v>49.1</v>
      </c>
      <c r="O929" s="49">
        <v>44580</v>
      </c>
      <c r="P929" s="50">
        <v>293.07600000000002</v>
      </c>
    </row>
    <row r="930" spans="4:16" x14ac:dyDescent="0.2">
      <c r="D930">
        <v>100000571</v>
      </c>
      <c r="E930" s="49">
        <v>44651</v>
      </c>
      <c r="F930" t="s">
        <v>2459</v>
      </c>
      <c r="G930" t="s">
        <v>2331</v>
      </c>
      <c r="H930">
        <v>4</v>
      </c>
      <c r="I930">
        <v>67.22</v>
      </c>
      <c r="J930" s="50">
        <v>268.88</v>
      </c>
      <c r="K930" t="s">
        <v>1618</v>
      </c>
      <c r="M930" t="s">
        <v>1619</v>
      </c>
      <c r="N930">
        <v>35.479999999999997</v>
      </c>
      <c r="O930" s="49">
        <v>44656</v>
      </c>
      <c r="P930" s="50">
        <v>120.996</v>
      </c>
    </row>
    <row r="931" spans="4:16" x14ac:dyDescent="0.2">
      <c r="D931">
        <v>100000571</v>
      </c>
      <c r="E931" s="49">
        <v>45255</v>
      </c>
      <c r="F931" t="s">
        <v>2459</v>
      </c>
      <c r="G931" t="s">
        <v>1924</v>
      </c>
      <c r="H931">
        <v>5</v>
      </c>
      <c r="I931">
        <v>95.55</v>
      </c>
      <c r="J931" s="50">
        <v>477.75</v>
      </c>
      <c r="K931" t="s">
        <v>1618</v>
      </c>
      <c r="M931" t="s">
        <v>1629</v>
      </c>
      <c r="N931">
        <v>50.43</v>
      </c>
      <c r="O931" s="49">
        <v>45260</v>
      </c>
      <c r="P931" s="50">
        <v>214.98750000000001</v>
      </c>
    </row>
    <row r="932" spans="4:16" x14ac:dyDescent="0.2">
      <c r="D932">
        <v>100000572</v>
      </c>
      <c r="E932" s="49">
        <v>44729</v>
      </c>
      <c r="F932" t="s">
        <v>2461</v>
      </c>
      <c r="G932" t="s">
        <v>1664</v>
      </c>
      <c r="H932">
        <v>1</v>
      </c>
      <c r="I932">
        <v>59.04</v>
      </c>
      <c r="J932" s="50">
        <v>59.04</v>
      </c>
      <c r="K932" t="s">
        <v>1632</v>
      </c>
      <c r="L932" t="s">
        <v>2462</v>
      </c>
      <c r="M932" t="s">
        <v>1624</v>
      </c>
      <c r="N932">
        <v>31.16</v>
      </c>
      <c r="O932" s="49">
        <v>44732</v>
      </c>
      <c r="P932" s="50">
        <v>26.568000000000001</v>
      </c>
    </row>
    <row r="933" spans="4:16" x14ac:dyDescent="0.2">
      <c r="D933">
        <v>100000573</v>
      </c>
      <c r="E933" s="49">
        <v>44248</v>
      </c>
      <c r="F933" t="s">
        <v>2463</v>
      </c>
      <c r="G933" t="s">
        <v>2192</v>
      </c>
      <c r="H933">
        <v>4</v>
      </c>
      <c r="I933">
        <v>96.48</v>
      </c>
      <c r="J933" s="50">
        <v>385.92</v>
      </c>
      <c r="K933" t="s">
        <v>1618</v>
      </c>
      <c r="L933" t="s">
        <v>2464</v>
      </c>
      <c r="M933" t="s">
        <v>1619</v>
      </c>
      <c r="N933">
        <v>50.92</v>
      </c>
      <c r="O933" s="49">
        <v>44252</v>
      </c>
      <c r="P933" s="50">
        <v>173.66400000000002</v>
      </c>
    </row>
    <row r="934" spans="4:16" x14ac:dyDescent="0.2">
      <c r="D934">
        <v>100000573</v>
      </c>
      <c r="E934" s="49">
        <v>45657</v>
      </c>
      <c r="F934" t="s">
        <v>2463</v>
      </c>
      <c r="G934" t="s">
        <v>2180</v>
      </c>
      <c r="H934">
        <v>10</v>
      </c>
      <c r="I934">
        <v>57.05</v>
      </c>
      <c r="J934" s="50">
        <v>570.5</v>
      </c>
      <c r="K934" t="s">
        <v>1618</v>
      </c>
      <c r="L934" t="s">
        <v>2464</v>
      </c>
      <c r="M934" t="s">
        <v>1619</v>
      </c>
      <c r="N934">
        <v>30.11</v>
      </c>
      <c r="O934" s="49">
        <v>45658</v>
      </c>
      <c r="P934" s="50">
        <v>256.72500000000002</v>
      </c>
    </row>
    <row r="935" spans="4:16" x14ac:dyDescent="0.2">
      <c r="D935">
        <v>100000573</v>
      </c>
      <c r="E935" s="49">
        <v>44635</v>
      </c>
      <c r="F935" t="s">
        <v>2463</v>
      </c>
      <c r="G935" t="s">
        <v>2465</v>
      </c>
      <c r="H935">
        <v>8</v>
      </c>
      <c r="I935">
        <v>110.45</v>
      </c>
      <c r="J935" s="50">
        <v>883.6</v>
      </c>
      <c r="K935" t="s">
        <v>1618</v>
      </c>
      <c r="L935" t="s">
        <v>2464</v>
      </c>
      <c r="M935" t="s">
        <v>1619</v>
      </c>
      <c r="N935">
        <v>58.29</v>
      </c>
      <c r="O935" s="49">
        <v>44638</v>
      </c>
      <c r="P935" s="50">
        <v>397.62</v>
      </c>
    </row>
    <row r="936" spans="4:16" x14ac:dyDescent="0.2">
      <c r="D936">
        <v>100000574</v>
      </c>
      <c r="E936" s="49">
        <v>45139</v>
      </c>
      <c r="F936" t="s">
        <v>2466</v>
      </c>
      <c r="G936" t="s">
        <v>1999</v>
      </c>
      <c r="H936">
        <v>7</v>
      </c>
      <c r="I936">
        <v>113.31</v>
      </c>
      <c r="J936" s="50">
        <v>793.17000000000007</v>
      </c>
      <c r="K936" t="s">
        <v>1632</v>
      </c>
      <c r="M936" t="s">
        <v>1621</v>
      </c>
      <c r="N936">
        <v>59.8</v>
      </c>
      <c r="O936" s="49">
        <v>45141</v>
      </c>
      <c r="P936" s="50">
        <v>356.92650000000003</v>
      </c>
    </row>
    <row r="937" spans="4:16" x14ac:dyDescent="0.2">
      <c r="D937">
        <v>100000575</v>
      </c>
      <c r="E937" s="49">
        <v>44219</v>
      </c>
      <c r="F937" t="s">
        <v>2467</v>
      </c>
      <c r="G937" t="s">
        <v>1652</v>
      </c>
      <c r="H937">
        <v>7</v>
      </c>
      <c r="I937">
        <v>79.260000000000005</v>
      </c>
      <c r="J937" s="50">
        <v>554.82000000000005</v>
      </c>
      <c r="K937" t="s">
        <v>1618</v>
      </c>
      <c r="M937" t="s">
        <v>1629</v>
      </c>
      <c r="N937">
        <v>41.83</v>
      </c>
      <c r="O937" s="49">
        <v>44220</v>
      </c>
      <c r="P937" s="50">
        <v>249.66900000000004</v>
      </c>
    </row>
    <row r="938" spans="4:16" x14ac:dyDescent="0.2">
      <c r="D938">
        <v>100000575</v>
      </c>
      <c r="E938" s="49">
        <v>45461</v>
      </c>
      <c r="F938" t="s">
        <v>2467</v>
      </c>
      <c r="G938" t="s">
        <v>2019</v>
      </c>
      <c r="H938">
        <v>10</v>
      </c>
      <c r="I938">
        <v>17.03</v>
      </c>
      <c r="J938" s="50">
        <v>170.3</v>
      </c>
      <c r="K938" t="s">
        <v>1618</v>
      </c>
      <c r="M938" t="s">
        <v>1627</v>
      </c>
      <c r="N938">
        <v>8.99</v>
      </c>
      <c r="O938" s="49">
        <v>45464</v>
      </c>
      <c r="P938" s="50">
        <v>76.635000000000005</v>
      </c>
    </row>
    <row r="939" spans="4:16" x14ac:dyDescent="0.2">
      <c r="D939">
        <v>100000575</v>
      </c>
      <c r="E939" s="49">
        <v>44949</v>
      </c>
      <c r="F939" t="s">
        <v>2467</v>
      </c>
      <c r="G939" t="s">
        <v>1841</v>
      </c>
      <c r="H939">
        <v>4</v>
      </c>
      <c r="I939">
        <v>24.24</v>
      </c>
      <c r="J939" s="50">
        <v>96.96</v>
      </c>
      <c r="K939" t="s">
        <v>1618</v>
      </c>
      <c r="M939" t="s">
        <v>1627</v>
      </c>
      <c r="N939">
        <v>12.79</v>
      </c>
      <c r="O939" s="49">
        <v>44952</v>
      </c>
      <c r="P939" s="50">
        <v>43.631999999999998</v>
      </c>
    </row>
    <row r="940" spans="4:16" x14ac:dyDescent="0.2">
      <c r="D940">
        <v>100000575</v>
      </c>
      <c r="E940" s="49">
        <v>44449</v>
      </c>
      <c r="F940" t="s">
        <v>2467</v>
      </c>
      <c r="G940" t="s">
        <v>1631</v>
      </c>
      <c r="H940">
        <v>5</v>
      </c>
      <c r="I940">
        <v>96.08</v>
      </c>
      <c r="J940" s="50">
        <v>480.4</v>
      </c>
      <c r="K940" t="s">
        <v>1618</v>
      </c>
      <c r="M940" t="s">
        <v>1629</v>
      </c>
      <c r="N940">
        <v>50.71</v>
      </c>
      <c r="O940" s="49">
        <v>44452</v>
      </c>
      <c r="P940" s="50">
        <v>216.18</v>
      </c>
    </row>
    <row r="941" spans="4:16" x14ac:dyDescent="0.2">
      <c r="D941">
        <v>100000575</v>
      </c>
      <c r="E941" s="49">
        <v>45157</v>
      </c>
      <c r="F941" t="s">
        <v>2467</v>
      </c>
      <c r="G941" t="s">
        <v>1760</v>
      </c>
      <c r="H941">
        <v>5</v>
      </c>
      <c r="I941">
        <v>46.98</v>
      </c>
      <c r="J941" s="50">
        <v>234.9</v>
      </c>
      <c r="K941" t="s">
        <v>1618</v>
      </c>
      <c r="M941" t="s">
        <v>1629</v>
      </c>
      <c r="N941">
        <v>24.79</v>
      </c>
      <c r="O941" s="49">
        <v>45161</v>
      </c>
      <c r="P941" s="50">
        <v>105.705</v>
      </c>
    </row>
    <row r="942" spans="4:16" x14ac:dyDescent="0.2">
      <c r="D942">
        <v>100000575</v>
      </c>
      <c r="E942" s="49">
        <v>44208</v>
      </c>
      <c r="F942" t="s">
        <v>2467</v>
      </c>
      <c r="G942" t="s">
        <v>1749</v>
      </c>
      <c r="H942">
        <v>8</v>
      </c>
      <c r="I942">
        <v>77.34</v>
      </c>
      <c r="J942" s="50">
        <v>618.72</v>
      </c>
      <c r="K942" t="s">
        <v>1618</v>
      </c>
      <c r="M942" t="s">
        <v>1619</v>
      </c>
      <c r="N942">
        <v>40.82</v>
      </c>
      <c r="O942" s="49">
        <v>44210</v>
      </c>
      <c r="P942" s="50">
        <v>278.42400000000004</v>
      </c>
    </row>
    <row r="943" spans="4:16" x14ac:dyDescent="0.2">
      <c r="D943">
        <v>100000576</v>
      </c>
      <c r="E943" s="49">
        <v>44705</v>
      </c>
      <c r="F943" t="s">
        <v>2468</v>
      </c>
      <c r="G943" t="s">
        <v>1623</v>
      </c>
      <c r="H943">
        <v>7</v>
      </c>
      <c r="I943">
        <v>97.18</v>
      </c>
      <c r="J943" s="50">
        <v>680.26</v>
      </c>
      <c r="K943" t="s">
        <v>1632</v>
      </c>
      <c r="L943" t="s">
        <v>2469</v>
      </c>
      <c r="M943" t="s">
        <v>1629</v>
      </c>
      <c r="N943">
        <v>51.29</v>
      </c>
      <c r="O943" s="49">
        <v>44708</v>
      </c>
      <c r="P943" s="50">
        <v>306.11700000000002</v>
      </c>
    </row>
    <row r="944" spans="4:16" x14ac:dyDescent="0.2">
      <c r="D944">
        <v>100000576</v>
      </c>
      <c r="E944" s="49">
        <v>45081</v>
      </c>
      <c r="F944" t="s">
        <v>2468</v>
      </c>
      <c r="G944" t="s">
        <v>1792</v>
      </c>
      <c r="H944">
        <v>5</v>
      </c>
      <c r="I944">
        <v>93.52</v>
      </c>
      <c r="J944" s="50">
        <v>467.6</v>
      </c>
      <c r="K944" t="s">
        <v>1632</v>
      </c>
      <c r="L944" t="s">
        <v>2469</v>
      </c>
      <c r="M944" t="s">
        <v>1621</v>
      </c>
      <c r="N944">
        <v>49.36</v>
      </c>
      <c r="O944" s="49">
        <v>45083</v>
      </c>
      <c r="P944" s="50">
        <v>210.42000000000002</v>
      </c>
    </row>
    <row r="945" spans="4:16" x14ac:dyDescent="0.2">
      <c r="D945">
        <v>100000576</v>
      </c>
      <c r="E945" s="49">
        <v>44868</v>
      </c>
      <c r="F945" t="s">
        <v>2468</v>
      </c>
      <c r="G945" t="s">
        <v>1781</v>
      </c>
      <c r="H945">
        <v>9</v>
      </c>
      <c r="I945">
        <v>21.43</v>
      </c>
      <c r="J945" s="50">
        <v>192.87</v>
      </c>
      <c r="K945" t="s">
        <v>1632</v>
      </c>
      <c r="L945" t="s">
        <v>2469</v>
      </c>
      <c r="M945" t="s">
        <v>1619</v>
      </c>
      <c r="N945">
        <v>11.31</v>
      </c>
      <c r="O945" s="49">
        <v>44872</v>
      </c>
      <c r="P945" s="50">
        <v>86.791499999999999</v>
      </c>
    </row>
    <row r="946" spans="4:16" x14ac:dyDescent="0.2">
      <c r="D946">
        <v>100000577</v>
      </c>
      <c r="E946" s="49">
        <v>45073</v>
      </c>
      <c r="F946" t="s">
        <v>2470</v>
      </c>
      <c r="G946" t="s">
        <v>2344</v>
      </c>
      <c r="H946">
        <v>7</v>
      </c>
      <c r="I946">
        <v>34.42</v>
      </c>
      <c r="J946" s="50">
        <v>240.94</v>
      </c>
      <c r="K946" t="s">
        <v>1632</v>
      </c>
      <c r="M946" t="s">
        <v>1627</v>
      </c>
      <c r="N946">
        <v>18.170000000000002</v>
      </c>
      <c r="O946" s="49">
        <v>45078</v>
      </c>
      <c r="P946" s="50">
        <v>108.423</v>
      </c>
    </row>
    <row r="947" spans="4:16" x14ac:dyDescent="0.2">
      <c r="D947">
        <v>100000577</v>
      </c>
      <c r="E947" s="49">
        <v>45247</v>
      </c>
      <c r="F947" t="s">
        <v>2470</v>
      </c>
      <c r="G947" t="s">
        <v>1653</v>
      </c>
      <c r="H947">
        <v>1</v>
      </c>
      <c r="I947">
        <v>19.84</v>
      </c>
      <c r="J947" s="50">
        <v>19.84</v>
      </c>
      <c r="K947" t="s">
        <v>1632</v>
      </c>
      <c r="M947" t="s">
        <v>1624</v>
      </c>
      <c r="N947">
        <v>10.47</v>
      </c>
      <c r="O947" s="49">
        <v>45250</v>
      </c>
      <c r="P947" s="50">
        <v>8.9280000000000008</v>
      </c>
    </row>
    <row r="948" spans="4:16" x14ac:dyDescent="0.2">
      <c r="D948">
        <v>100000577</v>
      </c>
      <c r="E948" s="49">
        <v>45166</v>
      </c>
      <c r="F948" t="s">
        <v>2470</v>
      </c>
      <c r="G948" t="s">
        <v>1631</v>
      </c>
      <c r="H948">
        <v>5</v>
      </c>
      <c r="I948">
        <v>61.48</v>
      </c>
      <c r="J948" s="50">
        <v>307.39999999999998</v>
      </c>
      <c r="K948" t="s">
        <v>1632</v>
      </c>
      <c r="M948" t="s">
        <v>1627</v>
      </c>
      <c r="N948">
        <v>32.450000000000003</v>
      </c>
      <c r="O948" s="49">
        <v>45171</v>
      </c>
      <c r="P948" s="50">
        <v>138.32999999999998</v>
      </c>
    </row>
    <row r="949" spans="4:16" x14ac:dyDescent="0.2">
      <c r="D949">
        <v>100000579</v>
      </c>
      <c r="E949" s="49">
        <v>44331</v>
      </c>
      <c r="F949" t="s">
        <v>2471</v>
      </c>
      <c r="G949" t="s">
        <v>2071</v>
      </c>
      <c r="H949">
        <v>3</v>
      </c>
      <c r="I949">
        <v>91.45</v>
      </c>
      <c r="J949" s="50">
        <v>274.35000000000002</v>
      </c>
      <c r="K949" t="s">
        <v>1632</v>
      </c>
      <c r="M949" t="s">
        <v>1627</v>
      </c>
      <c r="N949">
        <v>48.26</v>
      </c>
      <c r="O949" s="49">
        <v>44333</v>
      </c>
      <c r="P949" s="50">
        <v>123.45750000000001</v>
      </c>
    </row>
    <row r="950" spans="4:16" x14ac:dyDescent="0.2">
      <c r="D950">
        <v>100000580</v>
      </c>
      <c r="E950" s="49">
        <v>45642</v>
      </c>
      <c r="F950" t="s">
        <v>2472</v>
      </c>
      <c r="G950" t="s">
        <v>2023</v>
      </c>
      <c r="H950">
        <v>2</v>
      </c>
      <c r="I950">
        <v>103.54</v>
      </c>
      <c r="J950" s="50">
        <v>207.08</v>
      </c>
      <c r="K950" t="s">
        <v>1618</v>
      </c>
      <c r="M950" t="s">
        <v>1621</v>
      </c>
      <c r="N950">
        <v>54.65</v>
      </c>
      <c r="O950" s="49">
        <v>45644</v>
      </c>
      <c r="P950" s="50">
        <v>93.186000000000007</v>
      </c>
    </row>
    <row r="951" spans="4:16" x14ac:dyDescent="0.2">
      <c r="D951">
        <v>100000580</v>
      </c>
      <c r="E951" s="49">
        <v>45084</v>
      </c>
      <c r="F951" t="s">
        <v>2472</v>
      </c>
      <c r="G951" t="s">
        <v>1971</v>
      </c>
      <c r="H951">
        <v>5</v>
      </c>
      <c r="I951">
        <v>50.79</v>
      </c>
      <c r="J951" s="50">
        <v>253.95</v>
      </c>
      <c r="K951" t="s">
        <v>1618</v>
      </c>
      <c r="M951" t="s">
        <v>1624</v>
      </c>
      <c r="N951">
        <v>26.81</v>
      </c>
      <c r="O951" s="49">
        <v>45089</v>
      </c>
      <c r="P951" s="50">
        <v>114.2775</v>
      </c>
    </row>
    <row r="952" spans="4:16" x14ac:dyDescent="0.2">
      <c r="D952">
        <v>100000580</v>
      </c>
      <c r="E952" s="49">
        <v>44745</v>
      </c>
      <c r="F952" t="s">
        <v>2472</v>
      </c>
      <c r="G952" t="s">
        <v>1670</v>
      </c>
      <c r="H952">
        <v>3</v>
      </c>
      <c r="I952">
        <v>11.16</v>
      </c>
      <c r="J952" s="50">
        <v>33.479999999999997</v>
      </c>
      <c r="K952" t="s">
        <v>1618</v>
      </c>
      <c r="M952" t="s">
        <v>1629</v>
      </c>
      <c r="N952">
        <v>5.89</v>
      </c>
      <c r="O952" s="49">
        <v>44748</v>
      </c>
      <c r="P952" s="50">
        <v>15.065999999999999</v>
      </c>
    </row>
    <row r="953" spans="4:16" x14ac:dyDescent="0.2">
      <c r="D953">
        <v>100000581</v>
      </c>
      <c r="E953" s="49">
        <v>44533</v>
      </c>
      <c r="F953" t="s">
        <v>2473</v>
      </c>
      <c r="G953" t="s">
        <v>1841</v>
      </c>
      <c r="H953">
        <v>2</v>
      </c>
      <c r="I953">
        <v>16.66</v>
      </c>
      <c r="J953" s="50">
        <v>33.32</v>
      </c>
      <c r="K953" t="s">
        <v>1632</v>
      </c>
      <c r="M953" t="s">
        <v>1627</v>
      </c>
      <c r="N953">
        <v>8.7899999999999991</v>
      </c>
      <c r="O953" s="49">
        <v>44537</v>
      </c>
      <c r="P953" s="50">
        <v>14.994</v>
      </c>
    </row>
    <row r="954" spans="4:16" x14ac:dyDescent="0.2">
      <c r="D954">
        <v>100000581</v>
      </c>
      <c r="E954" s="49">
        <v>45505</v>
      </c>
      <c r="F954" t="s">
        <v>2473</v>
      </c>
      <c r="G954" t="s">
        <v>1831</v>
      </c>
      <c r="H954">
        <v>3</v>
      </c>
      <c r="I954">
        <v>68.790000000000006</v>
      </c>
      <c r="J954" s="50">
        <v>206.37</v>
      </c>
      <c r="K954" t="s">
        <v>1632</v>
      </c>
      <c r="M954" t="s">
        <v>1624</v>
      </c>
      <c r="N954">
        <v>36.31</v>
      </c>
      <c r="O954" s="49">
        <v>45508</v>
      </c>
      <c r="P954" s="50">
        <v>92.866500000000002</v>
      </c>
    </row>
    <row r="955" spans="4:16" x14ac:dyDescent="0.2">
      <c r="D955">
        <v>100000581</v>
      </c>
      <c r="E955" s="49">
        <v>44343</v>
      </c>
      <c r="F955" t="s">
        <v>2473</v>
      </c>
      <c r="G955" t="s">
        <v>2159</v>
      </c>
      <c r="H955">
        <v>4</v>
      </c>
      <c r="I955">
        <v>55.51</v>
      </c>
      <c r="J955" s="50">
        <v>222.04</v>
      </c>
      <c r="K955" t="s">
        <v>1632</v>
      </c>
      <c r="M955" t="s">
        <v>1619</v>
      </c>
      <c r="N955">
        <v>29.3</v>
      </c>
      <c r="O955" s="49">
        <v>44348</v>
      </c>
      <c r="P955" s="50">
        <v>99.917999999999992</v>
      </c>
    </row>
    <row r="956" spans="4:16" x14ac:dyDescent="0.2">
      <c r="D956">
        <v>100000584</v>
      </c>
      <c r="E956" s="49">
        <v>45276</v>
      </c>
      <c r="F956" t="s">
        <v>2474</v>
      </c>
      <c r="G956" t="s">
        <v>1679</v>
      </c>
      <c r="H956">
        <v>1</v>
      </c>
      <c r="I956">
        <v>26.69</v>
      </c>
      <c r="J956" s="50">
        <v>26.69</v>
      </c>
      <c r="K956" t="s">
        <v>1632</v>
      </c>
      <c r="M956" t="s">
        <v>1621</v>
      </c>
      <c r="N956">
        <v>14.09</v>
      </c>
      <c r="O956" s="49">
        <v>45277</v>
      </c>
      <c r="P956" s="50">
        <v>12.0105</v>
      </c>
    </row>
    <row r="957" spans="4:16" x14ac:dyDescent="0.2">
      <c r="D957">
        <v>100000585</v>
      </c>
      <c r="E957" s="49">
        <v>45161</v>
      </c>
      <c r="F957" t="s">
        <v>2475</v>
      </c>
      <c r="G957" t="s">
        <v>2150</v>
      </c>
      <c r="H957">
        <v>7</v>
      </c>
      <c r="I957">
        <v>69.06</v>
      </c>
      <c r="J957" s="50">
        <v>483.42</v>
      </c>
      <c r="K957" t="s">
        <v>1618</v>
      </c>
      <c r="M957" t="s">
        <v>1624</v>
      </c>
      <c r="N957">
        <v>36.450000000000003</v>
      </c>
      <c r="O957" s="49">
        <v>45163</v>
      </c>
      <c r="P957" s="50">
        <v>217.53900000000002</v>
      </c>
    </row>
    <row r="958" spans="4:16" x14ac:dyDescent="0.2">
      <c r="D958">
        <v>100000585</v>
      </c>
      <c r="E958" s="49">
        <v>45177</v>
      </c>
      <c r="F958" t="s">
        <v>2475</v>
      </c>
      <c r="G958" t="s">
        <v>1777</v>
      </c>
      <c r="H958">
        <v>3</v>
      </c>
      <c r="I958">
        <v>13.92</v>
      </c>
      <c r="J958" s="50">
        <v>41.76</v>
      </c>
      <c r="K958" t="s">
        <v>1618</v>
      </c>
      <c r="M958" t="s">
        <v>1629</v>
      </c>
      <c r="N958">
        <v>7.35</v>
      </c>
      <c r="O958" s="49">
        <v>45179</v>
      </c>
      <c r="P958" s="50">
        <v>18.791999999999998</v>
      </c>
    </row>
    <row r="959" spans="4:16" x14ac:dyDescent="0.2">
      <c r="D959">
        <v>100000586</v>
      </c>
      <c r="E959" s="49">
        <v>44622</v>
      </c>
      <c r="F959" t="s">
        <v>2476</v>
      </c>
      <c r="G959" t="s">
        <v>1642</v>
      </c>
      <c r="H959">
        <v>3</v>
      </c>
      <c r="I959">
        <v>71.61</v>
      </c>
      <c r="J959" s="50">
        <v>214.83</v>
      </c>
      <c r="K959" t="s">
        <v>1618</v>
      </c>
      <c r="M959" t="s">
        <v>1621</v>
      </c>
      <c r="N959">
        <v>37.79</v>
      </c>
      <c r="O959" s="49">
        <v>44624</v>
      </c>
      <c r="P959" s="50">
        <v>96.673500000000004</v>
      </c>
    </row>
    <row r="960" spans="4:16" x14ac:dyDescent="0.2">
      <c r="D960">
        <v>100000586</v>
      </c>
      <c r="E960" s="49">
        <v>44895</v>
      </c>
      <c r="F960" t="s">
        <v>2476</v>
      </c>
      <c r="G960" t="s">
        <v>1872</v>
      </c>
      <c r="H960">
        <v>8</v>
      </c>
      <c r="I960">
        <v>10.34</v>
      </c>
      <c r="J960" s="50">
        <v>82.72</v>
      </c>
      <c r="K960" t="s">
        <v>1618</v>
      </c>
      <c r="M960" t="s">
        <v>1619</v>
      </c>
      <c r="N960">
        <v>5.46</v>
      </c>
      <c r="O960" s="49">
        <v>44896</v>
      </c>
      <c r="P960" s="50">
        <v>37.224000000000004</v>
      </c>
    </row>
    <row r="961" spans="4:16" x14ac:dyDescent="0.2">
      <c r="D961">
        <v>100000587</v>
      </c>
      <c r="E961" s="49">
        <v>45575</v>
      </c>
      <c r="F961" t="s">
        <v>2477</v>
      </c>
      <c r="G961" t="s">
        <v>2125</v>
      </c>
      <c r="H961">
        <v>6</v>
      </c>
      <c r="I961">
        <v>57.76</v>
      </c>
      <c r="J961" s="50">
        <v>346.56</v>
      </c>
      <c r="K961" t="s">
        <v>1618</v>
      </c>
      <c r="M961" t="s">
        <v>1621</v>
      </c>
      <c r="N961">
        <v>30.48</v>
      </c>
      <c r="O961" s="49">
        <v>45578</v>
      </c>
      <c r="P961" s="50">
        <v>155.952</v>
      </c>
    </row>
    <row r="962" spans="4:16" x14ac:dyDescent="0.2">
      <c r="D962">
        <v>100000588</v>
      </c>
      <c r="E962" s="49">
        <v>44427</v>
      </c>
      <c r="F962" t="s">
        <v>2478</v>
      </c>
      <c r="G962" t="s">
        <v>1681</v>
      </c>
      <c r="H962">
        <v>8</v>
      </c>
      <c r="I962">
        <v>78.88</v>
      </c>
      <c r="J962" s="50">
        <v>631.04</v>
      </c>
      <c r="K962" t="s">
        <v>1618</v>
      </c>
      <c r="M962" t="s">
        <v>1629</v>
      </c>
      <c r="N962">
        <v>41.63</v>
      </c>
      <c r="O962" s="49">
        <v>44429</v>
      </c>
      <c r="P962" s="50">
        <v>283.96800000000002</v>
      </c>
    </row>
    <row r="963" spans="4:16" x14ac:dyDescent="0.2">
      <c r="D963">
        <v>100000588</v>
      </c>
      <c r="E963" s="49">
        <v>44813</v>
      </c>
      <c r="F963" t="s">
        <v>2478</v>
      </c>
      <c r="G963" t="s">
        <v>2372</v>
      </c>
      <c r="H963">
        <v>3</v>
      </c>
      <c r="I963">
        <v>47.64</v>
      </c>
      <c r="J963" s="50">
        <v>142.91999999999999</v>
      </c>
      <c r="K963" t="s">
        <v>1618</v>
      </c>
      <c r="M963" t="s">
        <v>1619</v>
      </c>
      <c r="N963">
        <v>25.14</v>
      </c>
      <c r="O963" s="49">
        <v>44814</v>
      </c>
      <c r="P963" s="50">
        <v>64.313999999999993</v>
      </c>
    </row>
    <row r="964" spans="4:16" x14ac:dyDescent="0.2">
      <c r="D964">
        <v>100000588</v>
      </c>
      <c r="E964" s="49">
        <v>44238</v>
      </c>
      <c r="F964" t="s">
        <v>2478</v>
      </c>
      <c r="G964" t="s">
        <v>2163</v>
      </c>
      <c r="H964">
        <v>1</v>
      </c>
      <c r="I964">
        <v>73.86</v>
      </c>
      <c r="J964" s="50">
        <v>73.86</v>
      </c>
      <c r="K964" t="s">
        <v>1618</v>
      </c>
      <c r="M964" t="s">
        <v>1629</v>
      </c>
      <c r="N964">
        <v>38.979999999999997</v>
      </c>
      <c r="O964" s="49">
        <v>44242</v>
      </c>
      <c r="P964" s="50">
        <v>33.237000000000002</v>
      </c>
    </row>
    <row r="965" spans="4:16" x14ac:dyDescent="0.2">
      <c r="D965">
        <v>100000588</v>
      </c>
      <c r="E965" s="49">
        <v>45386</v>
      </c>
      <c r="F965" t="s">
        <v>2478</v>
      </c>
      <c r="G965" t="s">
        <v>1749</v>
      </c>
      <c r="H965">
        <v>8</v>
      </c>
      <c r="I965">
        <v>87.51</v>
      </c>
      <c r="J965" s="50">
        <v>700.08</v>
      </c>
      <c r="K965" t="s">
        <v>1618</v>
      </c>
      <c r="M965" t="s">
        <v>1629</v>
      </c>
      <c r="N965">
        <v>46.19</v>
      </c>
      <c r="O965" s="49">
        <v>45389</v>
      </c>
      <c r="P965" s="50">
        <v>315.036</v>
      </c>
    </row>
    <row r="966" spans="4:16" x14ac:dyDescent="0.2">
      <c r="D966">
        <v>100000588</v>
      </c>
      <c r="E966" s="49">
        <v>44771</v>
      </c>
      <c r="F966" t="s">
        <v>2478</v>
      </c>
      <c r="G966" t="s">
        <v>2337</v>
      </c>
      <c r="H966">
        <v>6</v>
      </c>
      <c r="I966">
        <v>57.6</v>
      </c>
      <c r="J966" s="50">
        <v>345.6</v>
      </c>
      <c r="K966" t="s">
        <v>1618</v>
      </c>
      <c r="M966" t="s">
        <v>1629</v>
      </c>
      <c r="N966">
        <v>30.4</v>
      </c>
      <c r="O966" s="49">
        <v>44776</v>
      </c>
      <c r="P966" s="50">
        <v>155.52000000000001</v>
      </c>
    </row>
    <row r="967" spans="4:16" x14ac:dyDescent="0.2">
      <c r="D967">
        <v>100000588</v>
      </c>
      <c r="E967" s="49">
        <v>45188</v>
      </c>
      <c r="F967" t="s">
        <v>2478</v>
      </c>
      <c r="G967" t="s">
        <v>2418</v>
      </c>
      <c r="H967">
        <v>5</v>
      </c>
      <c r="I967">
        <v>62.75</v>
      </c>
      <c r="J967" s="50">
        <v>313.75</v>
      </c>
      <c r="K967" t="s">
        <v>1618</v>
      </c>
      <c r="M967" t="s">
        <v>1629</v>
      </c>
      <c r="N967">
        <v>33.119999999999997</v>
      </c>
      <c r="O967" s="49">
        <v>45190</v>
      </c>
      <c r="P967" s="50">
        <v>141.1875</v>
      </c>
    </row>
    <row r="968" spans="4:16" x14ac:dyDescent="0.2">
      <c r="D968">
        <v>100000589</v>
      </c>
      <c r="E968" s="49">
        <v>44570</v>
      </c>
      <c r="F968" t="s">
        <v>2479</v>
      </c>
      <c r="G968" t="s">
        <v>2480</v>
      </c>
      <c r="H968">
        <v>10</v>
      </c>
      <c r="I968">
        <v>52.59</v>
      </c>
      <c r="J968" s="50">
        <v>525.90000000000009</v>
      </c>
      <c r="K968" t="s">
        <v>1632</v>
      </c>
      <c r="M968" t="s">
        <v>1624</v>
      </c>
      <c r="N968">
        <v>27.76</v>
      </c>
      <c r="O968" s="49">
        <v>44574</v>
      </c>
      <c r="P968" s="50">
        <v>236.65500000000006</v>
      </c>
    </row>
    <row r="969" spans="4:16" x14ac:dyDescent="0.2">
      <c r="D969">
        <v>100000590</v>
      </c>
      <c r="E969" s="49">
        <v>44778</v>
      </c>
      <c r="F969" t="s">
        <v>2481</v>
      </c>
      <c r="G969" t="s">
        <v>1910</v>
      </c>
      <c r="H969">
        <v>10</v>
      </c>
      <c r="I969">
        <v>13.22</v>
      </c>
      <c r="J969" s="50">
        <v>132.19999999999999</v>
      </c>
      <c r="K969" t="s">
        <v>1632</v>
      </c>
      <c r="M969" t="s">
        <v>1619</v>
      </c>
      <c r="N969">
        <v>6.98</v>
      </c>
      <c r="O969" s="49">
        <v>44779</v>
      </c>
      <c r="P969" s="50">
        <v>59.489999999999995</v>
      </c>
    </row>
    <row r="970" spans="4:16" x14ac:dyDescent="0.2">
      <c r="D970">
        <v>100000590</v>
      </c>
      <c r="E970" s="49">
        <v>45191</v>
      </c>
      <c r="F970" t="s">
        <v>2481</v>
      </c>
      <c r="G970" t="s">
        <v>1718</v>
      </c>
      <c r="H970">
        <v>10</v>
      </c>
      <c r="I970">
        <v>17.53</v>
      </c>
      <c r="J970" s="50">
        <v>175.3</v>
      </c>
      <c r="K970" t="s">
        <v>1632</v>
      </c>
      <c r="M970" t="s">
        <v>1619</v>
      </c>
      <c r="N970">
        <v>9.25</v>
      </c>
      <c r="O970" s="49">
        <v>45193</v>
      </c>
      <c r="P970" s="50">
        <v>78.885000000000005</v>
      </c>
    </row>
    <row r="971" spans="4:16" x14ac:dyDescent="0.2">
      <c r="D971">
        <v>100000591</v>
      </c>
      <c r="E971" s="49">
        <v>44360</v>
      </c>
      <c r="F971" t="s">
        <v>2482</v>
      </c>
      <c r="G971" t="s">
        <v>1990</v>
      </c>
      <c r="H971">
        <v>9</v>
      </c>
      <c r="I971">
        <v>103.75</v>
      </c>
      <c r="J971" s="50">
        <v>933.75</v>
      </c>
      <c r="K971" t="s">
        <v>1618</v>
      </c>
      <c r="M971" t="s">
        <v>1627</v>
      </c>
      <c r="N971">
        <v>54.76</v>
      </c>
      <c r="O971" s="49">
        <v>44362</v>
      </c>
      <c r="P971" s="50">
        <v>420.1875</v>
      </c>
    </row>
    <row r="972" spans="4:16" x14ac:dyDescent="0.2">
      <c r="D972">
        <v>100000593</v>
      </c>
      <c r="E972" s="49">
        <v>45173</v>
      </c>
      <c r="F972" t="s">
        <v>2483</v>
      </c>
      <c r="G972" t="s">
        <v>1717</v>
      </c>
      <c r="H972">
        <v>10</v>
      </c>
      <c r="I972">
        <v>112.65</v>
      </c>
      <c r="J972" s="50">
        <v>1126.5</v>
      </c>
      <c r="K972" t="s">
        <v>1618</v>
      </c>
      <c r="M972" t="s">
        <v>1619</v>
      </c>
      <c r="N972">
        <v>59.45</v>
      </c>
      <c r="O972" s="49">
        <v>45175</v>
      </c>
      <c r="P972" s="50">
        <v>506.92500000000001</v>
      </c>
    </row>
    <row r="973" spans="4:16" x14ac:dyDescent="0.2">
      <c r="D973">
        <v>100000593</v>
      </c>
      <c r="E973" s="49">
        <v>45302</v>
      </c>
      <c r="F973" t="s">
        <v>2483</v>
      </c>
      <c r="G973" t="s">
        <v>2198</v>
      </c>
      <c r="H973">
        <v>7</v>
      </c>
      <c r="I973">
        <v>98.91</v>
      </c>
      <c r="J973" s="50">
        <v>692.37</v>
      </c>
      <c r="K973" t="s">
        <v>1618</v>
      </c>
      <c r="M973" t="s">
        <v>1619</v>
      </c>
      <c r="N973">
        <v>52.2</v>
      </c>
      <c r="O973" s="49">
        <v>45306</v>
      </c>
      <c r="P973" s="50">
        <v>311.56650000000002</v>
      </c>
    </row>
    <row r="974" spans="4:16" x14ac:dyDescent="0.2">
      <c r="D974">
        <v>100000593</v>
      </c>
      <c r="E974" s="49">
        <v>44828</v>
      </c>
      <c r="F974" t="s">
        <v>2483</v>
      </c>
      <c r="G974" t="s">
        <v>1958</v>
      </c>
      <c r="H974">
        <v>8</v>
      </c>
      <c r="I974">
        <v>44.19</v>
      </c>
      <c r="J974" s="50">
        <v>353.52</v>
      </c>
      <c r="K974" t="s">
        <v>1618</v>
      </c>
      <c r="M974" t="s">
        <v>1619</v>
      </c>
      <c r="N974">
        <v>23.32</v>
      </c>
      <c r="O974" s="49">
        <v>44830</v>
      </c>
      <c r="P974" s="50">
        <v>159.084</v>
      </c>
    </row>
    <row r="975" spans="4:16" x14ac:dyDescent="0.2">
      <c r="D975">
        <v>100000593</v>
      </c>
      <c r="E975" s="49">
        <v>44475</v>
      </c>
      <c r="F975" t="s">
        <v>2483</v>
      </c>
      <c r="G975" t="s">
        <v>1967</v>
      </c>
      <c r="H975">
        <v>9</v>
      </c>
      <c r="I975">
        <v>110.59</v>
      </c>
      <c r="J975" s="50">
        <v>995.31000000000006</v>
      </c>
      <c r="K975" t="s">
        <v>1618</v>
      </c>
      <c r="M975" t="s">
        <v>1619</v>
      </c>
      <c r="N975">
        <v>58.37</v>
      </c>
      <c r="O975" s="49">
        <v>44477</v>
      </c>
      <c r="P975" s="50">
        <v>447.88950000000006</v>
      </c>
    </row>
    <row r="976" spans="4:16" x14ac:dyDescent="0.2">
      <c r="D976">
        <v>100000593</v>
      </c>
      <c r="E976" s="49">
        <v>45313</v>
      </c>
      <c r="F976" t="s">
        <v>2483</v>
      </c>
      <c r="G976" t="s">
        <v>1643</v>
      </c>
      <c r="H976">
        <v>1</v>
      </c>
      <c r="I976">
        <v>13.99</v>
      </c>
      <c r="J976" s="50">
        <v>13.99</v>
      </c>
      <c r="K976" t="s">
        <v>1618</v>
      </c>
      <c r="M976" t="s">
        <v>1627</v>
      </c>
      <c r="N976">
        <v>7.38</v>
      </c>
      <c r="O976" s="49">
        <v>45317</v>
      </c>
      <c r="P976" s="50">
        <v>6.2955000000000005</v>
      </c>
    </row>
    <row r="977" spans="4:16" x14ac:dyDescent="0.2">
      <c r="D977">
        <v>100000593</v>
      </c>
      <c r="E977" s="49">
        <v>45647</v>
      </c>
      <c r="F977" t="s">
        <v>2483</v>
      </c>
      <c r="G977" t="s">
        <v>2484</v>
      </c>
      <c r="H977">
        <v>4</v>
      </c>
      <c r="I977">
        <v>88.8</v>
      </c>
      <c r="J977" s="50">
        <v>355.2</v>
      </c>
      <c r="K977" t="s">
        <v>1618</v>
      </c>
      <c r="M977" t="s">
        <v>1624</v>
      </c>
      <c r="N977">
        <v>46.87</v>
      </c>
      <c r="O977" s="49">
        <v>45650</v>
      </c>
      <c r="P977" s="50">
        <v>159.84</v>
      </c>
    </row>
    <row r="978" spans="4:16" x14ac:dyDescent="0.2">
      <c r="D978">
        <v>100000593</v>
      </c>
      <c r="E978" s="49">
        <v>45224</v>
      </c>
      <c r="F978" t="s">
        <v>2483</v>
      </c>
      <c r="G978" t="s">
        <v>1842</v>
      </c>
      <c r="H978">
        <v>5</v>
      </c>
      <c r="I978">
        <v>104.64</v>
      </c>
      <c r="J978" s="50">
        <v>523.20000000000005</v>
      </c>
      <c r="K978" t="s">
        <v>1618</v>
      </c>
      <c r="M978" t="s">
        <v>1629</v>
      </c>
      <c r="N978">
        <v>55.23</v>
      </c>
      <c r="O978" s="49">
        <v>45229</v>
      </c>
      <c r="P978" s="50">
        <v>235.44000000000003</v>
      </c>
    </row>
    <row r="979" spans="4:16" x14ac:dyDescent="0.2">
      <c r="D979">
        <v>100000593</v>
      </c>
      <c r="E979" s="49">
        <v>45584</v>
      </c>
      <c r="F979" t="s">
        <v>2483</v>
      </c>
      <c r="G979" t="s">
        <v>1864</v>
      </c>
      <c r="H979">
        <v>9</v>
      </c>
      <c r="I979">
        <v>56.38</v>
      </c>
      <c r="J979" s="50">
        <v>507.42</v>
      </c>
      <c r="K979" t="s">
        <v>1618</v>
      </c>
      <c r="M979" t="s">
        <v>1627</v>
      </c>
      <c r="N979">
        <v>29.76</v>
      </c>
      <c r="O979" s="49">
        <v>45587</v>
      </c>
      <c r="P979" s="50">
        <v>228.339</v>
      </c>
    </row>
    <row r="980" spans="4:16" x14ac:dyDescent="0.2">
      <c r="D980">
        <v>100000593</v>
      </c>
      <c r="E980" s="49">
        <v>44620</v>
      </c>
      <c r="F980" t="s">
        <v>2483</v>
      </c>
      <c r="G980" t="s">
        <v>1855</v>
      </c>
      <c r="H980">
        <v>6</v>
      </c>
      <c r="I980">
        <v>65.52</v>
      </c>
      <c r="J980" s="50">
        <v>393.12</v>
      </c>
      <c r="K980" t="s">
        <v>1618</v>
      </c>
      <c r="M980" t="s">
        <v>1621</v>
      </c>
      <c r="N980">
        <v>34.58</v>
      </c>
      <c r="O980" s="49">
        <v>44621</v>
      </c>
      <c r="P980" s="50">
        <v>176.904</v>
      </c>
    </row>
    <row r="981" spans="4:16" x14ac:dyDescent="0.2">
      <c r="D981">
        <v>100000593</v>
      </c>
      <c r="E981" s="49">
        <v>44831</v>
      </c>
      <c r="F981" t="s">
        <v>2483</v>
      </c>
      <c r="G981" t="s">
        <v>2485</v>
      </c>
      <c r="H981">
        <v>8</v>
      </c>
      <c r="I981">
        <v>22.16</v>
      </c>
      <c r="J981" s="50">
        <v>177.28</v>
      </c>
      <c r="K981" t="s">
        <v>1618</v>
      </c>
      <c r="M981" t="s">
        <v>1629</v>
      </c>
      <c r="N981">
        <v>11.7</v>
      </c>
      <c r="O981" s="49">
        <v>44835</v>
      </c>
      <c r="P981" s="50">
        <v>79.775999999999996</v>
      </c>
    </row>
    <row r="982" spans="4:16" x14ac:dyDescent="0.2">
      <c r="D982">
        <v>100000594</v>
      </c>
      <c r="E982" s="49">
        <v>45005</v>
      </c>
      <c r="F982" t="s">
        <v>2486</v>
      </c>
      <c r="G982" t="s">
        <v>1649</v>
      </c>
      <c r="H982">
        <v>6</v>
      </c>
      <c r="I982">
        <v>106.62</v>
      </c>
      <c r="J982" s="50">
        <v>639.72</v>
      </c>
      <c r="K982" t="s">
        <v>1618</v>
      </c>
      <c r="M982" t="s">
        <v>1627</v>
      </c>
      <c r="N982">
        <v>56.27</v>
      </c>
      <c r="O982" s="49">
        <v>45009</v>
      </c>
      <c r="P982" s="50">
        <v>287.87400000000002</v>
      </c>
    </row>
    <row r="983" spans="4:16" x14ac:dyDescent="0.2">
      <c r="D983">
        <v>100000595</v>
      </c>
      <c r="E983" s="49">
        <v>45146</v>
      </c>
      <c r="F983" t="s">
        <v>2487</v>
      </c>
      <c r="G983" t="s">
        <v>1651</v>
      </c>
      <c r="H983">
        <v>1</v>
      </c>
      <c r="I983">
        <v>22.89</v>
      </c>
      <c r="J983" s="50">
        <v>22.89</v>
      </c>
      <c r="K983" t="s">
        <v>1632</v>
      </c>
      <c r="L983" t="s">
        <v>2488</v>
      </c>
      <c r="M983" t="s">
        <v>1627</v>
      </c>
      <c r="N983">
        <v>12.08</v>
      </c>
      <c r="O983" s="49">
        <v>45150</v>
      </c>
      <c r="P983" s="50">
        <v>10.300500000000001</v>
      </c>
    </row>
    <row r="984" spans="4:16" x14ac:dyDescent="0.2">
      <c r="D984">
        <v>100000595</v>
      </c>
      <c r="E984" s="49">
        <v>44436</v>
      </c>
      <c r="F984" t="s">
        <v>2487</v>
      </c>
      <c r="G984" t="s">
        <v>1807</v>
      </c>
      <c r="H984">
        <v>4</v>
      </c>
      <c r="I984">
        <v>105.68</v>
      </c>
      <c r="J984" s="50">
        <v>422.72</v>
      </c>
      <c r="K984" t="s">
        <v>1632</v>
      </c>
      <c r="L984" t="s">
        <v>2488</v>
      </c>
      <c r="M984" t="s">
        <v>1624</v>
      </c>
      <c r="N984">
        <v>55.78</v>
      </c>
      <c r="O984" s="49">
        <v>44438</v>
      </c>
      <c r="P984" s="50">
        <v>190.22400000000002</v>
      </c>
    </row>
    <row r="985" spans="4:16" x14ac:dyDescent="0.2">
      <c r="D985">
        <v>100000596</v>
      </c>
      <c r="E985" s="49">
        <v>44994</v>
      </c>
      <c r="F985" t="s">
        <v>2489</v>
      </c>
      <c r="G985" t="s">
        <v>2420</v>
      </c>
      <c r="H985">
        <v>6</v>
      </c>
      <c r="I985">
        <v>57.21</v>
      </c>
      <c r="J985" s="50">
        <v>343.26</v>
      </c>
      <c r="K985" t="s">
        <v>1632</v>
      </c>
      <c r="M985" t="s">
        <v>1627</v>
      </c>
      <c r="N985">
        <v>30.19</v>
      </c>
      <c r="O985" s="49">
        <v>44996</v>
      </c>
      <c r="P985" s="50">
        <v>154.46700000000001</v>
      </c>
    </row>
    <row r="986" spans="4:16" x14ac:dyDescent="0.2">
      <c r="D986">
        <v>100000596</v>
      </c>
      <c r="E986" s="49">
        <v>44334</v>
      </c>
      <c r="F986" t="s">
        <v>2489</v>
      </c>
      <c r="G986" t="s">
        <v>1866</v>
      </c>
      <c r="H986">
        <v>8</v>
      </c>
      <c r="I986">
        <v>24.85</v>
      </c>
      <c r="J986" s="50">
        <v>198.8</v>
      </c>
      <c r="K986" t="s">
        <v>1632</v>
      </c>
      <c r="M986" t="s">
        <v>1627</v>
      </c>
      <c r="N986">
        <v>13.12</v>
      </c>
      <c r="O986" s="49">
        <v>44338</v>
      </c>
      <c r="P986" s="50">
        <v>89.460000000000008</v>
      </c>
    </row>
    <row r="987" spans="4:16" x14ac:dyDescent="0.2">
      <c r="D987">
        <v>100000598</v>
      </c>
      <c r="E987" s="49">
        <v>45292</v>
      </c>
      <c r="F987" t="s">
        <v>2490</v>
      </c>
      <c r="G987" t="s">
        <v>2230</v>
      </c>
      <c r="H987">
        <v>5</v>
      </c>
      <c r="I987">
        <v>101.18</v>
      </c>
      <c r="J987" s="50">
        <v>505.9</v>
      </c>
      <c r="K987" t="s">
        <v>1618</v>
      </c>
      <c r="M987" t="s">
        <v>1624</v>
      </c>
      <c r="N987">
        <v>53.4</v>
      </c>
      <c r="O987" s="49">
        <v>45294</v>
      </c>
      <c r="P987" s="50">
        <v>227.655</v>
      </c>
    </row>
    <row r="988" spans="4:16" x14ac:dyDescent="0.2">
      <c r="D988">
        <v>100000598</v>
      </c>
      <c r="E988" s="49">
        <v>45292</v>
      </c>
      <c r="F988" t="s">
        <v>2490</v>
      </c>
      <c r="G988" t="s">
        <v>1669</v>
      </c>
      <c r="H988">
        <v>7</v>
      </c>
      <c r="I988">
        <v>101.33</v>
      </c>
      <c r="J988" s="50">
        <v>709.31</v>
      </c>
      <c r="K988" t="s">
        <v>1618</v>
      </c>
      <c r="M988" t="s">
        <v>1629</v>
      </c>
      <c r="N988">
        <v>53.48</v>
      </c>
      <c r="O988" s="49">
        <v>45296</v>
      </c>
      <c r="P988" s="50">
        <v>319.18950000000001</v>
      </c>
    </row>
    <row r="989" spans="4:16" x14ac:dyDescent="0.2">
      <c r="D989">
        <v>100000599</v>
      </c>
      <c r="E989" s="49">
        <v>45010</v>
      </c>
      <c r="F989" t="s">
        <v>2491</v>
      </c>
      <c r="G989" t="s">
        <v>1945</v>
      </c>
      <c r="H989">
        <v>4</v>
      </c>
      <c r="I989">
        <v>42.65</v>
      </c>
      <c r="J989" s="50">
        <v>170.6</v>
      </c>
      <c r="K989" t="s">
        <v>1632</v>
      </c>
      <c r="M989" t="s">
        <v>1624</v>
      </c>
      <c r="N989">
        <v>22.51</v>
      </c>
      <c r="O989" s="49">
        <v>45013</v>
      </c>
      <c r="P989" s="50">
        <v>76.77</v>
      </c>
    </row>
    <row r="990" spans="4:16" x14ac:dyDescent="0.2">
      <c r="D990">
        <v>100000599</v>
      </c>
      <c r="E990" s="49">
        <v>45326</v>
      </c>
      <c r="F990" t="s">
        <v>2491</v>
      </c>
      <c r="G990" t="s">
        <v>2372</v>
      </c>
      <c r="H990">
        <v>5</v>
      </c>
      <c r="I990">
        <v>47.02</v>
      </c>
      <c r="J990" s="50">
        <v>235.1</v>
      </c>
      <c r="K990" t="s">
        <v>1632</v>
      </c>
      <c r="M990" t="s">
        <v>1627</v>
      </c>
      <c r="N990">
        <v>24.82</v>
      </c>
      <c r="O990" s="49">
        <v>45330</v>
      </c>
      <c r="P990" s="50">
        <v>105.795</v>
      </c>
    </row>
    <row r="991" spans="4:16" x14ac:dyDescent="0.2">
      <c r="D991">
        <v>100000600</v>
      </c>
      <c r="E991" s="49">
        <v>44657</v>
      </c>
      <c r="F991" t="s">
        <v>2492</v>
      </c>
      <c r="G991" t="s">
        <v>2159</v>
      </c>
      <c r="H991">
        <v>1</v>
      </c>
      <c r="I991">
        <v>58.39</v>
      </c>
      <c r="J991" s="50">
        <v>58.39</v>
      </c>
      <c r="K991" t="s">
        <v>1632</v>
      </c>
      <c r="M991" t="s">
        <v>1624</v>
      </c>
      <c r="N991">
        <v>30.82</v>
      </c>
      <c r="O991" s="49">
        <v>44661</v>
      </c>
      <c r="P991" s="50">
        <v>26.275500000000001</v>
      </c>
    </row>
    <row r="992" spans="4:16" x14ac:dyDescent="0.2">
      <c r="D992">
        <v>100000602</v>
      </c>
      <c r="E992" s="49">
        <v>44230</v>
      </c>
      <c r="F992" t="s">
        <v>2493</v>
      </c>
      <c r="G992" t="s">
        <v>1950</v>
      </c>
      <c r="H992">
        <v>4</v>
      </c>
      <c r="I992">
        <v>29.33</v>
      </c>
      <c r="J992" s="50">
        <v>117.32</v>
      </c>
      <c r="K992" t="s">
        <v>1618</v>
      </c>
      <c r="L992" t="s">
        <v>2494</v>
      </c>
      <c r="M992" t="s">
        <v>1624</v>
      </c>
      <c r="N992">
        <v>15.48</v>
      </c>
      <c r="O992" s="49">
        <v>44235</v>
      </c>
      <c r="P992" s="50">
        <v>52.793999999999997</v>
      </c>
    </row>
    <row r="993" spans="4:16" x14ac:dyDescent="0.2">
      <c r="D993">
        <v>100000603</v>
      </c>
      <c r="E993" s="49">
        <v>45467</v>
      </c>
      <c r="F993" t="s">
        <v>2495</v>
      </c>
      <c r="G993" t="s">
        <v>1695</v>
      </c>
      <c r="H993">
        <v>4</v>
      </c>
      <c r="I993">
        <v>41.51</v>
      </c>
      <c r="J993" s="50">
        <v>166.04</v>
      </c>
      <c r="K993" t="s">
        <v>1618</v>
      </c>
      <c r="L993" t="s">
        <v>2496</v>
      </c>
      <c r="M993" t="s">
        <v>1627</v>
      </c>
      <c r="N993">
        <v>21.91</v>
      </c>
      <c r="O993" s="49">
        <v>45471</v>
      </c>
      <c r="P993" s="50">
        <v>74.718000000000004</v>
      </c>
    </row>
    <row r="994" spans="4:16" x14ac:dyDescent="0.2">
      <c r="D994">
        <v>100000604</v>
      </c>
      <c r="E994" s="49">
        <v>45502</v>
      </c>
      <c r="F994" t="s">
        <v>2497</v>
      </c>
      <c r="G994" t="s">
        <v>1895</v>
      </c>
      <c r="H994">
        <v>9</v>
      </c>
      <c r="I994">
        <v>76.349999999999994</v>
      </c>
      <c r="J994" s="50">
        <v>687.15</v>
      </c>
      <c r="K994" t="s">
        <v>1632</v>
      </c>
      <c r="M994" t="s">
        <v>1627</v>
      </c>
      <c r="N994">
        <v>40.299999999999997</v>
      </c>
      <c r="O994" s="49">
        <v>45505</v>
      </c>
      <c r="P994" s="50">
        <v>309.21749999999997</v>
      </c>
    </row>
    <row r="995" spans="4:16" x14ac:dyDescent="0.2">
      <c r="D995">
        <v>100000605</v>
      </c>
      <c r="E995" s="49">
        <v>44825</v>
      </c>
      <c r="F995" t="s">
        <v>2498</v>
      </c>
      <c r="G995" t="s">
        <v>1799</v>
      </c>
      <c r="H995">
        <v>10</v>
      </c>
      <c r="I995">
        <v>44.75</v>
      </c>
      <c r="J995" s="50">
        <v>447.5</v>
      </c>
      <c r="K995" t="s">
        <v>1618</v>
      </c>
      <c r="M995" t="s">
        <v>1624</v>
      </c>
      <c r="N995">
        <v>23.62</v>
      </c>
      <c r="O995" s="49">
        <v>44830</v>
      </c>
      <c r="P995" s="50">
        <v>201.375</v>
      </c>
    </row>
    <row r="996" spans="4:16" x14ac:dyDescent="0.2">
      <c r="D996">
        <v>100000606</v>
      </c>
      <c r="E996" s="49">
        <v>45238</v>
      </c>
      <c r="F996" t="s">
        <v>2499</v>
      </c>
      <c r="G996" t="s">
        <v>1885</v>
      </c>
      <c r="H996">
        <v>5</v>
      </c>
      <c r="I996">
        <v>16.12</v>
      </c>
      <c r="J996" s="50">
        <v>80.600000000000009</v>
      </c>
      <c r="K996" t="s">
        <v>1632</v>
      </c>
      <c r="M996" t="s">
        <v>1624</v>
      </c>
      <c r="N996">
        <v>8.51</v>
      </c>
      <c r="O996" s="49">
        <v>45239</v>
      </c>
      <c r="P996" s="50">
        <v>36.270000000000003</v>
      </c>
    </row>
    <row r="997" spans="4:16" x14ac:dyDescent="0.2">
      <c r="D997">
        <v>100000607</v>
      </c>
      <c r="E997" s="49">
        <v>45135</v>
      </c>
      <c r="F997" t="s">
        <v>2500</v>
      </c>
      <c r="G997" t="s">
        <v>1864</v>
      </c>
      <c r="H997">
        <v>5</v>
      </c>
      <c r="I997">
        <v>19.02</v>
      </c>
      <c r="J997" s="50">
        <v>95.1</v>
      </c>
      <c r="K997" t="s">
        <v>1618</v>
      </c>
      <c r="M997" t="s">
        <v>1621</v>
      </c>
      <c r="N997">
        <v>10.039999999999999</v>
      </c>
      <c r="O997" s="49">
        <v>45139</v>
      </c>
      <c r="P997" s="50">
        <v>42.795000000000002</v>
      </c>
    </row>
    <row r="998" spans="4:16" x14ac:dyDescent="0.2">
      <c r="D998">
        <v>100000607</v>
      </c>
      <c r="E998" s="49">
        <v>44511</v>
      </c>
      <c r="F998" t="s">
        <v>2500</v>
      </c>
      <c r="G998" t="s">
        <v>2161</v>
      </c>
      <c r="H998">
        <v>10</v>
      </c>
      <c r="I998">
        <v>20.25</v>
      </c>
      <c r="J998" s="50">
        <v>202.5</v>
      </c>
      <c r="K998" t="s">
        <v>1618</v>
      </c>
      <c r="M998" t="s">
        <v>1627</v>
      </c>
      <c r="N998">
        <v>10.69</v>
      </c>
      <c r="O998" s="49">
        <v>44512</v>
      </c>
      <c r="P998" s="50">
        <v>91.125</v>
      </c>
    </row>
    <row r="999" spans="4:16" x14ac:dyDescent="0.2">
      <c r="D999">
        <v>100000608</v>
      </c>
      <c r="E999" s="49">
        <v>45645</v>
      </c>
      <c r="F999" t="s">
        <v>2501</v>
      </c>
      <c r="G999" t="s">
        <v>1639</v>
      </c>
      <c r="H999">
        <v>10</v>
      </c>
      <c r="I999">
        <v>15.84</v>
      </c>
      <c r="J999" s="50">
        <v>158.4</v>
      </c>
      <c r="K999" t="s">
        <v>1618</v>
      </c>
      <c r="M999" t="s">
        <v>1627</v>
      </c>
      <c r="N999">
        <v>8.36</v>
      </c>
      <c r="O999" s="49">
        <v>45648</v>
      </c>
      <c r="P999" s="50">
        <v>71.28</v>
      </c>
    </row>
    <row r="1000" spans="4:16" x14ac:dyDescent="0.2">
      <c r="D1000">
        <v>100000609</v>
      </c>
      <c r="E1000" s="49">
        <v>44818</v>
      </c>
      <c r="F1000" t="s">
        <v>2502</v>
      </c>
      <c r="G1000" t="s">
        <v>1900</v>
      </c>
      <c r="H1000">
        <v>9</v>
      </c>
      <c r="I1000">
        <v>78.09</v>
      </c>
      <c r="J1000" s="50">
        <v>702.81000000000006</v>
      </c>
      <c r="K1000" t="s">
        <v>1618</v>
      </c>
      <c r="M1000" t="s">
        <v>1619</v>
      </c>
      <c r="N1000">
        <v>41.21</v>
      </c>
      <c r="O1000" s="49">
        <v>44822</v>
      </c>
      <c r="P1000" s="50">
        <v>316.26450000000006</v>
      </c>
    </row>
    <row r="1001" spans="4:16" x14ac:dyDescent="0.2">
      <c r="D1001">
        <v>100000610</v>
      </c>
      <c r="E1001" s="49">
        <v>44794</v>
      </c>
      <c r="F1001" t="s">
        <v>2503</v>
      </c>
      <c r="G1001" t="s">
        <v>2198</v>
      </c>
      <c r="H1001">
        <v>5</v>
      </c>
      <c r="I1001">
        <v>50.07</v>
      </c>
      <c r="J1001" s="50">
        <v>250.35</v>
      </c>
      <c r="K1001" t="s">
        <v>1618</v>
      </c>
      <c r="L1001" t="s">
        <v>2504</v>
      </c>
      <c r="M1001" t="s">
        <v>1629</v>
      </c>
      <c r="N1001">
        <v>26.43</v>
      </c>
      <c r="O1001" s="49">
        <v>44796</v>
      </c>
      <c r="P1001" s="50">
        <v>112.6575</v>
      </c>
    </row>
    <row r="1002" spans="4:16" x14ac:dyDescent="0.2">
      <c r="D1002">
        <v>100000611</v>
      </c>
      <c r="E1002" s="49">
        <v>45301</v>
      </c>
      <c r="F1002" t="s">
        <v>2505</v>
      </c>
      <c r="G1002" t="s">
        <v>1831</v>
      </c>
      <c r="H1002">
        <v>3</v>
      </c>
      <c r="I1002">
        <v>10.61</v>
      </c>
      <c r="J1002" s="50">
        <v>31.83</v>
      </c>
      <c r="K1002" t="s">
        <v>1618</v>
      </c>
      <c r="M1002" t="s">
        <v>1627</v>
      </c>
      <c r="N1002">
        <v>5.6</v>
      </c>
      <c r="O1002" s="49">
        <v>45306</v>
      </c>
      <c r="P1002" s="50">
        <v>14.323499999999999</v>
      </c>
    </row>
    <row r="1003" spans="4:16" x14ac:dyDescent="0.2">
      <c r="D1003">
        <v>100000611</v>
      </c>
      <c r="E1003" s="49">
        <v>44498</v>
      </c>
      <c r="F1003" t="s">
        <v>2505</v>
      </c>
      <c r="G1003" t="s">
        <v>1823</v>
      </c>
      <c r="H1003">
        <v>8</v>
      </c>
      <c r="I1003">
        <v>75.86</v>
      </c>
      <c r="J1003" s="50">
        <v>606.88</v>
      </c>
      <c r="K1003" t="s">
        <v>1618</v>
      </c>
      <c r="M1003" t="s">
        <v>1624</v>
      </c>
      <c r="N1003">
        <v>40.04</v>
      </c>
      <c r="O1003" s="49">
        <v>44502</v>
      </c>
      <c r="P1003" s="50">
        <v>273.096</v>
      </c>
    </row>
    <row r="1004" spans="4:16" x14ac:dyDescent="0.2">
      <c r="D1004">
        <v>100000612</v>
      </c>
      <c r="E1004" s="49">
        <v>44647</v>
      </c>
      <c r="F1004" t="s">
        <v>2506</v>
      </c>
      <c r="G1004" t="s">
        <v>2343</v>
      </c>
      <c r="H1004">
        <v>5</v>
      </c>
      <c r="I1004">
        <v>68.38</v>
      </c>
      <c r="J1004" s="50">
        <v>341.9</v>
      </c>
      <c r="K1004" t="s">
        <v>1632</v>
      </c>
      <c r="M1004" t="s">
        <v>1624</v>
      </c>
      <c r="N1004">
        <v>36.090000000000003</v>
      </c>
      <c r="O1004" s="49">
        <v>44652</v>
      </c>
      <c r="P1004" s="50">
        <v>153.85499999999999</v>
      </c>
    </row>
    <row r="1005" spans="4:16" x14ac:dyDescent="0.2">
      <c r="D1005">
        <v>100000613</v>
      </c>
      <c r="E1005" s="49">
        <v>45610</v>
      </c>
      <c r="F1005" t="s">
        <v>2507</v>
      </c>
      <c r="G1005" t="s">
        <v>1715</v>
      </c>
      <c r="H1005">
        <v>2</v>
      </c>
      <c r="I1005">
        <v>53.12</v>
      </c>
      <c r="J1005" s="50">
        <v>106.24</v>
      </c>
      <c r="K1005" t="s">
        <v>1618</v>
      </c>
      <c r="M1005" t="s">
        <v>1627</v>
      </c>
      <c r="N1005">
        <v>28.04</v>
      </c>
      <c r="O1005" s="49">
        <v>45614</v>
      </c>
      <c r="P1005" s="50">
        <v>47.808</v>
      </c>
    </row>
    <row r="1006" spans="4:16" x14ac:dyDescent="0.2">
      <c r="D1006">
        <v>100000614</v>
      </c>
      <c r="E1006" s="49">
        <v>44919</v>
      </c>
      <c r="F1006" t="s">
        <v>2508</v>
      </c>
      <c r="G1006" t="s">
        <v>1760</v>
      </c>
      <c r="H1006">
        <v>10</v>
      </c>
      <c r="I1006">
        <v>51.43</v>
      </c>
      <c r="J1006" s="50">
        <v>514.29999999999995</v>
      </c>
      <c r="K1006" t="s">
        <v>1632</v>
      </c>
      <c r="M1006" t="s">
        <v>1619</v>
      </c>
      <c r="N1006">
        <v>27.14</v>
      </c>
      <c r="O1006" s="49">
        <v>44924</v>
      </c>
      <c r="P1006" s="50">
        <v>231.43499999999997</v>
      </c>
    </row>
    <row r="1007" spans="4:16" x14ac:dyDescent="0.2">
      <c r="D1007">
        <v>100000615</v>
      </c>
      <c r="E1007" s="49">
        <v>45074</v>
      </c>
      <c r="F1007" t="s">
        <v>2509</v>
      </c>
      <c r="G1007" t="s">
        <v>2112</v>
      </c>
      <c r="H1007">
        <v>4</v>
      </c>
      <c r="I1007">
        <v>24.73</v>
      </c>
      <c r="J1007" s="50">
        <v>98.92</v>
      </c>
      <c r="K1007" t="s">
        <v>1632</v>
      </c>
      <c r="M1007" t="s">
        <v>1624</v>
      </c>
      <c r="N1007">
        <v>13.05</v>
      </c>
      <c r="O1007" s="49">
        <v>45078</v>
      </c>
      <c r="P1007" s="50">
        <v>44.514000000000003</v>
      </c>
    </row>
    <row r="1008" spans="4:16" x14ac:dyDescent="0.2">
      <c r="D1008">
        <v>100000616</v>
      </c>
      <c r="E1008" s="49">
        <v>44439</v>
      </c>
      <c r="F1008" t="s">
        <v>2510</v>
      </c>
      <c r="G1008" t="s">
        <v>1675</v>
      </c>
      <c r="H1008">
        <v>6</v>
      </c>
      <c r="I1008">
        <v>30.35</v>
      </c>
      <c r="J1008" s="50">
        <v>182.1</v>
      </c>
      <c r="K1008" t="s">
        <v>1618</v>
      </c>
      <c r="M1008" t="s">
        <v>1624</v>
      </c>
      <c r="N1008">
        <v>16.02</v>
      </c>
      <c r="O1008" s="49">
        <v>44441</v>
      </c>
      <c r="P1008" s="50">
        <v>81.944999999999993</v>
      </c>
    </row>
    <row r="1009" spans="4:16" x14ac:dyDescent="0.2">
      <c r="D1009">
        <v>100000616</v>
      </c>
      <c r="E1009" s="49">
        <v>44495</v>
      </c>
      <c r="F1009" t="s">
        <v>2510</v>
      </c>
      <c r="G1009" t="s">
        <v>1646</v>
      </c>
      <c r="H1009">
        <v>2</v>
      </c>
      <c r="I1009">
        <v>61.39</v>
      </c>
      <c r="J1009" s="50">
        <v>122.78</v>
      </c>
      <c r="K1009" t="s">
        <v>1618</v>
      </c>
      <c r="M1009" t="s">
        <v>1629</v>
      </c>
      <c r="N1009">
        <v>32.4</v>
      </c>
      <c r="O1009" s="49">
        <v>44499</v>
      </c>
      <c r="P1009" s="50">
        <v>55.251000000000005</v>
      </c>
    </row>
    <row r="1010" spans="4:16" x14ac:dyDescent="0.2">
      <c r="D1010">
        <v>100000617</v>
      </c>
      <c r="E1010" s="49">
        <v>45110</v>
      </c>
      <c r="F1010" t="s">
        <v>2511</v>
      </c>
      <c r="G1010" t="s">
        <v>2240</v>
      </c>
      <c r="H1010">
        <v>3</v>
      </c>
      <c r="I1010">
        <v>111.32</v>
      </c>
      <c r="J1010" s="50">
        <v>333.96</v>
      </c>
      <c r="K1010" t="s">
        <v>1632</v>
      </c>
      <c r="M1010" t="s">
        <v>1621</v>
      </c>
      <c r="N1010">
        <v>58.75</v>
      </c>
      <c r="O1010" s="49">
        <v>45114</v>
      </c>
      <c r="P1010" s="50">
        <v>150.28199999999998</v>
      </c>
    </row>
    <row r="1011" spans="4:16" x14ac:dyDescent="0.2">
      <c r="D1011">
        <v>100000617</v>
      </c>
      <c r="E1011" s="49">
        <v>44999</v>
      </c>
      <c r="F1011" t="s">
        <v>2511</v>
      </c>
      <c r="G1011" t="s">
        <v>2306</v>
      </c>
      <c r="H1011">
        <v>5</v>
      </c>
      <c r="I1011">
        <v>119.58</v>
      </c>
      <c r="J1011" s="50">
        <v>597.9</v>
      </c>
      <c r="K1011" t="s">
        <v>1632</v>
      </c>
      <c r="M1011" t="s">
        <v>1621</v>
      </c>
      <c r="N1011">
        <v>63.11</v>
      </c>
      <c r="O1011" s="49">
        <v>45004</v>
      </c>
      <c r="P1011" s="50">
        <v>269.05500000000001</v>
      </c>
    </row>
    <row r="1012" spans="4:16" x14ac:dyDescent="0.2">
      <c r="D1012">
        <v>100000618</v>
      </c>
      <c r="E1012" s="49">
        <v>45316</v>
      </c>
      <c r="F1012" t="s">
        <v>1930</v>
      </c>
      <c r="G1012" t="s">
        <v>2330</v>
      </c>
      <c r="H1012">
        <v>7</v>
      </c>
      <c r="I1012">
        <v>88.94</v>
      </c>
      <c r="J1012" s="50">
        <v>622.57999999999993</v>
      </c>
      <c r="K1012" t="s">
        <v>1618</v>
      </c>
      <c r="L1012" t="s">
        <v>1879</v>
      </c>
      <c r="M1012" t="s">
        <v>1619</v>
      </c>
      <c r="N1012">
        <v>46.94</v>
      </c>
      <c r="O1012" s="49">
        <v>45319</v>
      </c>
      <c r="P1012" s="50">
        <v>280.161</v>
      </c>
    </row>
    <row r="1013" spans="4:16" x14ac:dyDescent="0.2">
      <c r="D1013">
        <v>100000618</v>
      </c>
      <c r="E1013" s="49">
        <v>44688</v>
      </c>
      <c r="F1013" t="s">
        <v>1930</v>
      </c>
      <c r="G1013" t="s">
        <v>2155</v>
      </c>
      <c r="H1013">
        <v>8</v>
      </c>
      <c r="I1013">
        <v>79.66</v>
      </c>
      <c r="J1013" s="50">
        <v>637.28</v>
      </c>
      <c r="K1013" t="s">
        <v>1618</v>
      </c>
      <c r="L1013" t="s">
        <v>1879</v>
      </c>
      <c r="M1013" t="s">
        <v>1627</v>
      </c>
      <c r="N1013">
        <v>42.04</v>
      </c>
      <c r="O1013" s="49">
        <v>44692</v>
      </c>
      <c r="P1013" s="50">
        <v>286.77600000000001</v>
      </c>
    </row>
    <row r="1014" spans="4:16" x14ac:dyDescent="0.2">
      <c r="D1014">
        <v>100000618</v>
      </c>
      <c r="E1014" s="49">
        <v>44896</v>
      </c>
      <c r="F1014" t="s">
        <v>1930</v>
      </c>
      <c r="G1014" t="s">
        <v>2023</v>
      </c>
      <c r="H1014">
        <v>10</v>
      </c>
      <c r="I1014">
        <v>79.25</v>
      </c>
      <c r="J1014" s="50">
        <v>792.5</v>
      </c>
      <c r="K1014" t="s">
        <v>1618</v>
      </c>
      <c r="L1014" t="s">
        <v>1879</v>
      </c>
      <c r="M1014" t="s">
        <v>1629</v>
      </c>
      <c r="N1014">
        <v>41.83</v>
      </c>
      <c r="O1014" s="49">
        <v>44898</v>
      </c>
      <c r="P1014" s="50">
        <v>356.625</v>
      </c>
    </row>
    <row r="1015" spans="4:16" x14ac:dyDescent="0.2">
      <c r="D1015">
        <v>100000618</v>
      </c>
      <c r="E1015" s="49">
        <v>45633</v>
      </c>
      <c r="F1015" t="s">
        <v>1930</v>
      </c>
      <c r="G1015" t="s">
        <v>1865</v>
      </c>
      <c r="H1015">
        <v>4</v>
      </c>
      <c r="I1015">
        <v>20.149999999999999</v>
      </c>
      <c r="J1015" s="50">
        <v>80.599999999999994</v>
      </c>
      <c r="K1015" t="s">
        <v>1618</v>
      </c>
      <c r="L1015" t="s">
        <v>1879</v>
      </c>
      <c r="M1015" t="s">
        <v>1627</v>
      </c>
      <c r="N1015">
        <v>10.63</v>
      </c>
      <c r="O1015" s="49">
        <v>45635</v>
      </c>
      <c r="P1015" s="50">
        <v>36.269999999999996</v>
      </c>
    </row>
    <row r="1016" spans="4:16" x14ac:dyDescent="0.2">
      <c r="D1016">
        <v>100000618</v>
      </c>
      <c r="E1016" s="49">
        <v>44361</v>
      </c>
      <c r="F1016" t="s">
        <v>1930</v>
      </c>
      <c r="G1016" t="s">
        <v>2158</v>
      </c>
      <c r="H1016">
        <v>5</v>
      </c>
      <c r="I1016">
        <v>16.09</v>
      </c>
      <c r="J1016" s="50">
        <v>80.45</v>
      </c>
      <c r="K1016" t="s">
        <v>1618</v>
      </c>
      <c r="L1016" t="s">
        <v>1879</v>
      </c>
      <c r="M1016" t="s">
        <v>1627</v>
      </c>
      <c r="N1016">
        <v>8.49</v>
      </c>
      <c r="O1016" s="49">
        <v>44362</v>
      </c>
      <c r="P1016" s="50">
        <v>36.202500000000001</v>
      </c>
    </row>
    <row r="1017" spans="4:16" x14ac:dyDescent="0.2">
      <c r="D1017">
        <v>100000618</v>
      </c>
      <c r="E1017" s="49">
        <v>44489</v>
      </c>
      <c r="F1017" t="s">
        <v>1930</v>
      </c>
      <c r="G1017" t="s">
        <v>1812</v>
      </c>
      <c r="H1017">
        <v>2</v>
      </c>
      <c r="I1017">
        <v>27.85</v>
      </c>
      <c r="J1017" s="50">
        <v>55.7</v>
      </c>
      <c r="K1017" t="s">
        <v>1618</v>
      </c>
      <c r="L1017" t="s">
        <v>1879</v>
      </c>
      <c r="M1017" t="s">
        <v>1624</v>
      </c>
      <c r="N1017">
        <v>14.7</v>
      </c>
      <c r="O1017" s="49">
        <v>44491</v>
      </c>
      <c r="P1017" s="50">
        <v>25.065000000000001</v>
      </c>
    </row>
    <row r="1018" spans="4:16" x14ac:dyDescent="0.2">
      <c r="D1018">
        <v>100000619</v>
      </c>
      <c r="E1018" s="49">
        <v>44369</v>
      </c>
      <c r="F1018" t="s">
        <v>2512</v>
      </c>
      <c r="G1018" t="s">
        <v>1658</v>
      </c>
      <c r="H1018">
        <v>2</v>
      </c>
      <c r="I1018">
        <v>31.25</v>
      </c>
      <c r="J1018" s="50">
        <v>62.5</v>
      </c>
      <c r="K1018" t="s">
        <v>1632</v>
      </c>
      <c r="M1018" t="s">
        <v>1621</v>
      </c>
      <c r="N1018">
        <v>16.489999999999998</v>
      </c>
      <c r="O1018" s="49">
        <v>44372</v>
      </c>
      <c r="P1018" s="50">
        <v>28.125</v>
      </c>
    </row>
    <row r="1019" spans="4:16" x14ac:dyDescent="0.2">
      <c r="D1019">
        <v>100000619</v>
      </c>
      <c r="E1019" s="49">
        <v>44294</v>
      </c>
      <c r="F1019" t="s">
        <v>2512</v>
      </c>
      <c r="G1019" t="s">
        <v>1801</v>
      </c>
      <c r="H1019">
        <v>7</v>
      </c>
      <c r="I1019">
        <v>112.63</v>
      </c>
      <c r="J1019" s="50">
        <v>788.41</v>
      </c>
      <c r="K1019" t="s">
        <v>1632</v>
      </c>
      <c r="M1019" t="s">
        <v>1619</v>
      </c>
      <c r="N1019">
        <v>59.44</v>
      </c>
      <c r="O1019" s="49">
        <v>44295</v>
      </c>
      <c r="P1019" s="50">
        <v>354.78449999999998</v>
      </c>
    </row>
    <row r="1020" spans="4:16" x14ac:dyDescent="0.2">
      <c r="D1020">
        <v>100000621</v>
      </c>
      <c r="E1020" s="49">
        <v>44207</v>
      </c>
      <c r="F1020" t="s">
        <v>2513</v>
      </c>
      <c r="G1020" t="s">
        <v>2514</v>
      </c>
      <c r="H1020">
        <v>10</v>
      </c>
      <c r="I1020">
        <v>25.07</v>
      </c>
      <c r="J1020" s="50">
        <v>250.7</v>
      </c>
      <c r="K1020" t="s">
        <v>1632</v>
      </c>
      <c r="L1020" t="s">
        <v>2515</v>
      </c>
      <c r="M1020" t="s">
        <v>1629</v>
      </c>
      <c r="N1020">
        <v>13.23</v>
      </c>
      <c r="O1020" s="49">
        <v>44209</v>
      </c>
      <c r="P1020" s="50">
        <v>112.815</v>
      </c>
    </row>
    <row r="1021" spans="4:16" x14ac:dyDescent="0.2">
      <c r="D1021">
        <v>100000621</v>
      </c>
      <c r="E1021" s="49">
        <v>44624</v>
      </c>
      <c r="F1021" t="s">
        <v>2513</v>
      </c>
      <c r="G1021" t="s">
        <v>1736</v>
      </c>
      <c r="H1021">
        <v>7</v>
      </c>
      <c r="I1021">
        <v>83.17</v>
      </c>
      <c r="J1021" s="50">
        <v>582.19000000000005</v>
      </c>
      <c r="K1021" t="s">
        <v>1632</v>
      </c>
      <c r="L1021" t="s">
        <v>2515</v>
      </c>
      <c r="M1021" t="s">
        <v>1619</v>
      </c>
      <c r="N1021">
        <v>43.89</v>
      </c>
      <c r="O1021" s="49">
        <v>44629</v>
      </c>
      <c r="P1021" s="50">
        <v>261.98550000000006</v>
      </c>
    </row>
    <row r="1022" spans="4:16" x14ac:dyDescent="0.2">
      <c r="D1022">
        <v>100000624</v>
      </c>
      <c r="E1022" s="49">
        <v>45467</v>
      </c>
      <c r="F1022" t="s">
        <v>2516</v>
      </c>
      <c r="G1022" t="s">
        <v>2202</v>
      </c>
      <c r="H1022">
        <v>2</v>
      </c>
      <c r="I1022">
        <v>62.19</v>
      </c>
      <c r="J1022" s="50">
        <v>124.38</v>
      </c>
      <c r="K1022" t="s">
        <v>1632</v>
      </c>
      <c r="M1022" t="s">
        <v>1627</v>
      </c>
      <c r="N1022">
        <v>32.82</v>
      </c>
      <c r="O1022" s="49">
        <v>45468</v>
      </c>
      <c r="P1022" s="50">
        <v>55.970999999999997</v>
      </c>
    </row>
    <row r="1023" spans="4:16" x14ac:dyDescent="0.2">
      <c r="D1023">
        <v>100000625</v>
      </c>
      <c r="E1023" s="49">
        <v>44690</v>
      </c>
      <c r="F1023" t="s">
        <v>2517</v>
      </c>
      <c r="G1023" t="s">
        <v>2101</v>
      </c>
      <c r="H1023">
        <v>3</v>
      </c>
      <c r="I1023">
        <v>97.14</v>
      </c>
      <c r="J1023" s="50">
        <v>291.42</v>
      </c>
      <c r="K1023" t="s">
        <v>1632</v>
      </c>
      <c r="L1023" t="s">
        <v>2518</v>
      </c>
      <c r="M1023" t="s">
        <v>1624</v>
      </c>
      <c r="N1023">
        <v>51.27</v>
      </c>
      <c r="O1023" s="49">
        <v>44694</v>
      </c>
      <c r="P1023" s="50">
        <v>131.13900000000001</v>
      </c>
    </row>
    <row r="1024" spans="4:16" x14ac:dyDescent="0.2">
      <c r="D1024">
        <v>100000628</v>
      </c>
      <c r="E1024" s="49">
        <v>44718</v>
      </c>
      <c r="F1024" t="s">
        <v>2519</v>
      </c>
      <c r="G1024" t="s">
        <v>2099</v>
      </c>
      <c r="H1024">
        <v>3</v>
      </c>
      <c r="I1024">
        <v>114.54</v>
      </c>
      <c r="J1024" s="50">
        <v>343.62</v>
      </c>
      <c r="K1024" t="s">
        <v>1632</v>
      </c>
      <c r="L1024" t="s">
        <v>2520</v>
      </c>
      <c r="M1024" t="s">
        <v>1624</v>
      </c>
      <c r="N1024">
        <v>60.45</v>
      </c>
      <c r="O1024" s="49">
        <v>44723</v>
      </c>
      <c r="P1024" s="50">
        <v>154.62900000000002</v>
      </c>
    </row>
    <row r="1025" spans="4:16" x14ac:dyDescent="0.2">
      <c r="D1025">
        <v>100000628</v>
      </c>
      <c r="E1025" s="49">
        <v>44322</v>
      </c>
      <c r="F1025" t="s">
        <v>2519</v>
      </c>
      <c r="G1025" t="s">
        <v>1637</v>
      </c>
      <c r="H1025">
        <v>2</v>
      </c>
      <c r="I1025">
        <v>102.09</v>
      </c>
      <c r="J1025" s="50">
        <v>204.18</v>
      </c>
      <c r="K1025" t="s">
        <v>1632</v>
      </c>
      <c r="L1025" t="s">
        <v>2520</v>
      </c>
      <c r="M1025" t="s">
        <v>1624</v>
      </c>
      <c r="N1025">
        <v>53.88</v>
      </c>
      <c r="O1025" s="49">
        <v>44324</v>
      </c>
      <c r="P1025" s="50">
        <v>91.881</v>
      </c>
    </row>
    <row r="1026" spans="4:16" x14ac:dyDescent="0.2">
      <c r="D1026">
        <v>100000629</v>
      </c>
      <c r="E1026" s="49">
        <v>44836</v>
      </c>
      <c r="F1026" t="s">
        <v>2521</v>
      </c>
      <c r="G1026" t="s">
        <v>2204</v>
      </c>
      <c r="H1026">
        <v>2</v>
      </c>
      <c r="I1026">
        <v>54.56</v>
      </c>
      <c r="J1026" s="50">
        <v>109.12</v>
      </c>
      <c r="K1026" t="s">
        <v>1632</v>
      </c>
      <c r="M1026" t="s">
        <v>1624</v>
      </c>
      <c r="N1026">
        <v>28.8</v>
      </c>
      <c r="O1026" s="49">
        <v>44838</v>
      </c>
      <c r="P1026" s="50">
        <v>49.104000000000006</v>
      </c>
    </row>
    <row r="1027" spans="4:16" x14ac:dyDescent="0.2">
      <c r="D1027">
        <v>100000629</v>
      </c>
      <c r="E1027" s="49">
        <v>44571</v>
      </c>
      <c r="F1027" t="s">
        <v>2521</v>
      </c>
      <c r="G1027" t="s">
        <v>2161</v>
      </c>
      <c r="H1027">
        <v>1</v>
      </c>
      <c r="I1027">
        <v>96</v>
      </c>
      <c r="J1027" s="50">
        <v>96</v>
      </c>
      <c r="K1027" t="s">
        <v>1632</v>
      </c>
      <c r="M1027" t="s">
        <v>1624</v>
      </c>
      <c r="N1027">
        <v>50.67</v>
      </c>
      <c r="O1027" s="49">
        <v>44576</v>
      </c>
      <c r="P1027" s="50">
        <v>43.2</v>
      </c>
    </row>
    <row r="1028" spans="4:16" x14ac:dyDescent="0.2">
      <c r="D1028">
        <v>100000630</v>
      </c>
      <c r="E1028" s="49">
        <v>45129</v>
      </c>
      <c r="F1028" t="s">
        <v>2522</v>
      </c>
      <c r="G1028" t="s">
        <v>2436</v>
      </c>
      <c r="H1028">
        <v>7</v>
      </c>
      <c r="I1028">
        <v>101</v>
      </c>
      <c r="J1028" s="50">
        <v>707</v>
      </c>
      <c r="K1028" t="s">
        <v>1618</v>
      </c>
      <c r="M1028" t="s">
        <v>1629</v>
      </c>
      <c r="N1028">
        <v>53.31</v>
      </c>
      <c r="O1028" s="49">
        <v>45130</v>
      </c>
      <c r="P1028" s="50">
        <v>318.15000000000003</v>
      </c>
    </row>
    <row r="1029" spans="4:16" x14ac:dyDescent="0.2">
      <c r="D1029">
        <v>100000630</v>
      </c>
      <c r="E1029" s="49">
        <v>45652</v>
      </c>
      <c r="F1029" t="s">
        <v>2522</v>
      </c>
      <c r="G1029" t="s">
        <v>1674</v>
      </c>
      <c r="H1029">
        <v>7</v>
      </c>
      <c r="I1029">
        <v>106.15</v>
      </c>
      <c r="J1029" s="50">
        <v>743.05000000000007</v>
      </c>
      <c r="K1029" t="s">
        <v>1618</v>
      </c>
      <c r="M1029" t="s">
        <v>1619</v>
      </c>
      <c r="N1029">
        <v>56.02</v>
      </c>
      <c r="O1029" s="49">
        <v>45653</v>
      </c>
      <c r="P1029" s="50">
        <v>334.37250000000006</v>
      </c>
    </row>
    <row r="1030" spans="4:16" x14ac:dyDescent="0.2">
      <c r="D1030">
        <v>100000631</v>
      </c>
      <c r="E1030" s="49">
        <v>44299</v>
      </c>
      <c r="F1030" t="s">
        <v>2523</v>
      </c>
      <c r="G1030" t="s">
        <v>2378</v>
      </c>
      <c r="H1030">
        <v>8</v>
      </c>
      <c r="I1030">
        <v>40.159999999999997</v>
      </c>
      <c r="J1030" s="50">
        <v>321.27999999999997</v>
      </c>
      <c r="K1030" t="s">
        <v>1618</v>
      </c>
      <c r="L1030" t="s">
        <v>2524</v>
      </c>
      <c r="M1030" t="s">
        <v>1624</v>
      </c>
      <c r="N1030">
        <v>21.2</v>
      </c>
      <c r="O1030" s="49">
        <v>44303</v>
      </c>
      <c r="P1030" s="50">
        <v>144.57599999999999</v>
      </c>
    </row>
    <row r="1031" spans="4:16" x14ac:dyDescent="0.2">
      <c r="D1031">
        <v>100000631</v>
      </c>
      <c r="E1031" s="49">
        <v>44886</v>
      </c>
      <c r="F1031" t="s">
        <v>2523</v>
      </c>
      <c r="G1031" t="s">
        <v>1681</v>
      </c>
      <c r="H1031">
        <v>10</v>
      </c>
      <c r="I1031">
        <v>16.29</v>
      </c>
      <c r="J1031" s="50">
        <v>162.9</v>
      </c>
      <c r="K1031" t="s">
        <v>1618</v>
      </c>
      <c r="L1031" t="s">
        <v>2524</v>
      </c>
      <c r="M1031" t="s">
        <v>1621</v>
      </c>
      <c r="N1031">
        <v>8.6</v>
      </c>
      <c r="O1031" s="49">
        <v>44887</v>
      </c>
      <c r="P1031" s="50">
        <v>73.305000000000007</v>
      </c>
    </row>
    <row r="1032" spans="4:16" x14ac:dyDescent="0.2">
      <c r="D1032">
        <v>100000632</v>
      </c>
      <c r="E1032" s="49">
        <v>44355</v>
      </c>
      <c r="F1032" t="s">
        <v>2525</v>
      </c>
      <c r="G1032" t="s">
        <v>1670</v>
      </c>
      <c r="H1032">
        <v>9</v>
      </c>
      <c r="I1032">
        <v>20.190000000000001</v>
      </c>
      <c r="J1032" s="50">
        <v>181.71</v>
      </c>
      <c r="K1032" t="s">
        <v>1618</v>
      </c>
      <c r="L1032" t="s">
        <v>2526</v>
      </c>
      <c r="M1032" t="s">
        <v>1629</v>
      </c>
      <c r="N1032">
        <v>10.66</v>
      </c>
      <c r="O1032" s="49">
        <v>44358</v>
      </c>
      <c r="P1032" s="50">
        <v>81.769500000000008</v>
      </c>
    </row>
    <row r="1033" spans="4:16" x14ac:dyDescent="0.2">
      <c r="D1033">
        <v>100000633</v>
      </c>
      <c r="E1033" s="49">
        <v>44321</v>
      </c>
      <c r="F1033" t="s">
        <v>2527</v>
      </c>
      <c r="G1033" t="s">
        <v>1857</v>
      </c>
      <c r="H1033">
        <v>9</v>
      </c>
      <c r="I1033">
        <v>92.65</v>
      </c>
      <c r="J1033" s="50">
        <v>833.85</v>
      </c>
      <c r="K1033" t="s">
        <v>1618</v>
      </c>
      <c r="L1033" t="s">
        <v>2528</v>
      </c>
      <c r="M1033" t="s">
        <v>1621</v>
      </c>
      <c r="N1033">
        <v>48.9</v>
      </c>
      <c r="O1033" s="49">
        <v>44324</v>
      </c>
      <c r="P1033" s="50">
        <v>375.23250000000002</v>
      </c>
    </row>
    <row r="1034" spans="4:16" x14ac:dyDescent="0.2">
      <c r="D1034">
        <v>100000634</v>
      </c>
      <c r="E1034" s="49">
        <v>44987</v>
      </c>
      <c r="F1034" t="s">
        <v>2529</v>
      </c>
      <c r="G1034" t="s">
        <v>2240</v>
      </c>
      <c r="H1034">
        <v>7</v>
      </c>
      <c r="I1034">
        <v>54.81</v>
      </c>
      <c r="J1034" s="50">
        <v>383.67</v>
      </c>
      <c r="K1034" t="s">
        <v>1618</v>
      </c>
      <c r="L1034" t="s">
        <v>2530</v>
      </c>
      <c r="M1034" t="s">
        <v>1621</v>
      </c>
      <c r="N1034">
        <v>28.93</v>
      </c>
      <c r="O1034" s="49">
        <v>44992</v>
      </c>
      <c r="P1034" s="50">
        <v>172.6515</v>
      </c>
    </row>
    <row r="1035" spans="4:16" x14ac:dyDescent="0.2">
      <c r="D1035">
        <v>100000637</v>
      </c>
      <c r="E1035" s="49">
        <v>45523</v>
      </c>
      <c r="F1035" t="s">
        <v>2531</v>
      </c>
      <c r="G1035" t="s">
        <v>1702</v>
      </c>
      <c r="H1035">
        <v>4</v>
      </c>
      <c r="I1035">
        <v>35.299999999999997</v>
      </c>
      <c r="J1035" s="50">
        <v>141.19999999999999</v>
      </c>
      <c r="K1035" t="s">
        <v>1618</v>
      </c>
      <c r="L1035" t="s">
        <v>2532</v>
      </c>
      <c r="M1035" t="s">
        <v>1627</v>
      </c>
      <c r="N1035">
        <v>18.63</v>
      </c>
      <c r="O1035" s="49">
        <v>45526</v>
      </c>
      <c r="P1035" s="50">
        <v>63.54</v>
      </c>
    </row>
    <row r="1036" spans="4:16" x14ac:dyDescent="0.2">
      <c r="D1036">
        <v>100000638</v>
      </c>
      <c r="E1036" s="49">
        <v>44860</v>
      </c>
      <c r="F1036" t="s">
        <v>2533</v>
      </c>
      <c r="G1036" t="s">
        <v>2168</v>
      </c>
      <c r="H1036">
        <v>10</v>
      </c>
      <c r="I1036">
        <v>33.78</v>
      </c>
      <c r="J1036" s="50">
        <v>337.8</v>
      </c>
      <c r="K1036" t="s">
        <v>1632</v>
      </c>
      <c r="M1036" t="s">
        <v>1627</v>
      </c>
      <c r="N1036">
        <v>17.829999999999998</v>
      </c>
      <c r="O1036" s="49">
        <v>44862</v>
      </c>
      <c r="P1036" s="50">
        <v>152.01000000000002</v>
      </c>
    </row>
    <row r="1037" spans="4:16" x14ac:dyDescent="0.2">
      <c r="D1037">
        <v>100000639</v>
      </c>
      <c r="E1037" s="49">
        <v>44968</v>
      </c>
      <c r="F1037" t="s">
        <v>2534</v>
      </c>
      <c r="G1037" t="s">
        <v>2306</v>
      </c>
      <c r="H1037">
        <v>3</v>
      </c>
      <c r="I1037">
        <v>31.14</v>
      </c>
      <c r="J1037" s="50">
        <v>93.42</v>
      </c>
      <c r="K1037" t="s">
        <v>1618</v>
      </c>
      <c r="M1037" t="s">
        <v>1619</v>
      </c>
      <c r="N1037">
        <v>16.43</v>
      </c>
      <c r="O1037" s="49">
        <v>44973</v>
      </c>
      <c r="P1037" s="50">
        <v>42.039000000000001</v>
      </c>
    </row>
    <row r="1038" spans="4:16" x14ac:dyDescent="0.2">
      <c r="D1038">
        <v>100000639</v>
      </c>
      <c r="E1038" s="49">
        <v>44388</v>
      </c>
      <c r="F1038" t="s">
        <v>2534</v>
      </c>
      <c r="G1038" t="s">
        <v>2447</v>
      </c>
      <c r="H1038">
        <v>2</v>
      </c>
      <c r="I1038">
        <v>67.53</v>
      </c>
      <c r="J1038" s="50">
        <v>135.06</v>
      </c>
      <c r="K1038" t="s">
        <v>1618</v>
      </c>
      <c r="M1038" t="s">
        <v>1624</v>
      </c>
      <c r="N1038">
        <v>35.64</v>
      </c>
      <c r="O1038" s="49">
        <v>44393</v>
      </c>
      <c r="P1038" s="50">
        <v>60.777000000000001</v>
      </c>
    </row>
    <row r="1039" spans="4:16" x14ac:dyDescent="0.2">
      <c r="D1039">
        <v>100000640</v>
      </c>
      <c r="E1039" s="49">
        <v>45007</v>
      </c>
      <c r="F1039" t="s">
        <v>2535</v>
      </c>
      <c r="G1039" t="s">
        <v>1929</v>
      </c>
      <c r="H1039">
        <v>5</v>
      </c>
      <c r="I1039">
        <v>91.19</v>
      </c>
      <c r="J1039" s="50">
        <v>455.95</v>
      </c>
      <c r="K1039" t="s">
        <v>1632</v>
      </c>
      <c r="M1039" t="s">
        <v>1621</v>
      </c>
      <c r="N1039">
        <v>48.13</v>
      </c>
      <c r="O1039" s="49">
        <v>45012</v>
      </c>
      <c r="P1039" s="50">
        <v>205.17750000000001</v>
      </c>
    </row>
    <row r="1040" spans="4:16" x14ac:dyDescent="0.2">
      <c r="D1040">
        <v>100000643</v>
      </c>
      <c r="E1040" s="49">
        <v>45379</v>
      </c>
      <c r="F1040" t="s">
        <v>2536</v>
      </c>
      <c r="G1040" t="s">
        <v>1655</v>
      </c>
      <c r="H1040">
        <v>4</v>
      </c>
      <c r="I1040">
        <v>44.11</v>
      </c>
      <c r="J1040" s="50">
        <v>176.44</v>
      </c>
      <c r="K1040" t="s">
        <v>1618</v>
      </c>
      <c r="M1040" t="s">
        <v>1629</v>
      </c>
      <c r="N1040">
        <v>23.28</v>
      </c>
      <c r="O1040" s="49">
        <v>45381</v>
      </c>
      <c r="P1040" s="50">
        <v>79.397999999999996</v>
      </c>
    </row>
    <row r="1041" spans="4:16" x14ac:dyDescent="0.2">
      <c r="D1041">
        <v>100000643</v>
      </c>
      <c r="E1041" s="49">
        <v>45508</v>
      </c>
      <c r="F1041" t="s">
        <v>2536</v>
      </c>
      <c r="G1041" t="s">
        <v>1663</v>
      </c>
      <c r="H1041">
        <v>8</v>
      </c>
      <c r="I1041">
        <v>119.7</v>
      </c>
      <c r="J1041" s="50">
        <v>957.6</v>
      </c>
      <c r="K1041" t="s">
        <v>1618</v>
      </c>
      <c r="M1041" t="s">
        <v>1621</v>
      </c>
      <c r="N1041">
        <v>63.17</v>
      </c>
      <c r="O1041" s="49">
        <v>45513</v>
      </c>
      <c r="P1041" s="50">
        <v>430.92</v>
      </c>
    </row>
    <row r="1042" spans="4:16" x14ac:dyDescent="0.2">
      <c r="D1042">
        <v>100000643</v>
      </c>
      <c r="E1042" s="49">
        <v>44848</v>
      </c>
      <c r="F1042" t="s">
        <v>2536</v>
      </c>
      <c r="G1042" t="s">
        <v>2125</v>
      </c>
      <c r="H1042">
        <v>8</v>
      </c>
      <c r="I1042">
        <v>71.48</v>
      </c>
      <c r="J1042" s="50">
        <v>571.84</v>
      </c>
      <c r="K1042" t="s">
        <v>1618</v>
      </c>
      <c r="M1042" t="s">
        <v>1629</v>
      </c>
      <c r="N1042">
        <v>37.729999999999997</v>
      </c>
      <c r="O1042" s="49">
        <v>44850</v>
      </c>
      <c r="P1042" s="50">
        <v>257.32800000000003</v>
      </c>
    </row>
    <row r="1043" spans="4:16" x14ac:dyDescent="0.2">
      <c r="D1043">
        <v>100000644</v>
      </c>
      <c r="E1043" s="49">
        <v>44348</v>
      </c>
      <c r="F1043" t="s">
        <v>2537</v>
      </c>
      <c r="G1043" t="s">
        <v>2038</v>
      </c>
      <c r="H1043">
        <v>10</v>
      </c>
      <c r="I1043">
        <v>65.3</v>
      </c>
      <c r="J1043" s="50">
        <v>653</v>
      </c>
      <c r="K1043" t="s">
        <v>1632</v>
      </c>
      <c r="L1043" t="s">
        <v>2538</v>
      </c>
      <c r="M1043" t="s">
        <v>1629</v>
      </c>
      <c r="N1043">
        <v>34.46</v>
      </c>
      <c r="O1043" s="49">
        <v>44349</v>
      </c>
      <c r="P1043" s="50">
        <v>293.85000000000002</v>
      </c>
    </row>
    <row r="1044" spans="4:16" x14ac:dyDescent="0.2">
      <c r="D1044">
        <v>100000645</v>
      </c>
      <c r="E1044" s="49">
        <v>44711</v>
      </c>
      <c r="F1044" t="s">
        <v>2539</v>
      </c>
      <c r="G1044" t="s">
        <v>1929</v>
      </c>
      <c r="H1044">
        <v>9</v>
      </c>
      <c r="I1044">
        <v>113.52</v>
      </c>
      <c r="J1044" s="50">
        <v>1021.68</v>
      </c>
      <c r="K1044" t="s">
        <v>1632</v>
      </c>
      <c r="M1044" t="s">
        <v>1627</v>
      </c>
      <c r="N1044">
        <v>59.91</v>
      </c>
      <c r="O1044" s="49">
        <v>44713</v>
      </c>
      <c r="P1044" s="50">
        <v>459.75599999999997</v>
      </c>
    </row>
    <row r="1045" spans="4:16" x14ac:dyDescent="0.2">
      <c r="D1045">
        <v>100000647</v>
      </c>
      <c r="E1045" s="49">
        <v>45120</v>
      </c>
      <c r="F1045" t="s">
        <v>2540</v>
      </c>
      <c r="G1045" t="s">
        <v>1700</v>
      </c>
      <c r="H1045">
        <v>2</v>
      </c>
      <c r="I1045">
        <v>93.31</v>
      </c>
      <c r="J1045" s="50">
        <v>186.62</v>
      </c>
      <c r="K1045" t="s">
        <v>1632</v>
      </c>
      <c r="M1045" t="s">
        <v>1621</v>
      </c>
      <c r="N1045">
        <v>49.25</v>
      </c>
      <c r="O1045" s="49">
        <v>45123</v>
      </c>
      <c r="P1045" s="50">
        <v>83.978999999999999</v>
      </c>
    </row>
    <row r="1046" spans="4:16" x14ac:dyDescent="0.2">
      <c r="D1046">
        <v>100000647</v>
      </c>
      <c r="E1046" s="49">
        <v>44274</v>
      </c>
      <c r="F1046" t="s">
        <v>2540</v>
      </c>
      <c r="G1046" t="s">
        <v>2373</v>
      </c>
      <c r="H1046">
        <v>5</v>
      </c>
      <c r="I1046">
        <v>35.04</v>
      </c>
      <c r="J1046" s="50">
        <v>175.2</v>
      </c>
      <c r="K1046" t="s">
        <v>1632</v>
      </c>
      <c r="M1046" t="s">
        <v>1627</v>
      </c>
      <c r="N1046">
        <v>18.489999999999998</v>
      </c>
      <c r="O1046" s="49">
        <v>44279</v>
      </c>
      <c r="P1046" s="50">
        <v>78.84</v>
      </c>
    </row>
    <row r="1047" spans="4:16" x14ac:dyDescent="0.2">
      <c r="D1047">
        <v>100000647</v>
      </c>
      <c r="E1047" s="49">
        <v>44728</v>
      </c>
      <c r="F1047" t="s">
        <v>2540</v>
      </c>
      <c r="G1047" t="s">
        <v>1897</v>
      </c>
      <c r="H1047">
        <v>3</v>
      </c>
      <c r="I1047">
        <v>107.19</v>
      </c>
      <c r="J1047" s="50">
        <v>321.57</v>
      </c>
      <c r="K1047" t="s">
        <v>1632</v>
      </c>
      <c r="M1047" t="s">
        <v>1629</v>
      </c>
      <c r="N1047">
        <v>56.57</v>
      </c>
      <c r="O1047" s="49">
        <v>44730</v>
      </c>
      <c r="P1047" s="50">
        <v>144.70650000000001</v>
      </c>
    </row>
    <row r="1048" spans="4:16" x14ac:dyDescent="0.2">
      <c r="D1048">
        <v>100000647</v>
      </c>
      <c r="E1048" s="49">
        <v>44346</v>
      </c>
      <c r="F1048" t="s">
        <v>2540</v>
      </c>
      <c r="G1048" t="s">
        <v>2147</v>
      </c>
      <c r="H1048">
        <v>1</v>
      </c>
      <c r="I1048">
        <v>73.13</v>
      </c>
      <c r="J1048" s="50">
        <v>73.13</v>
      </c>
      <c r="K1048" t="s">
        <v>1632</v>
      </c>
      <c r="M1048" t="s">
        <v>1629</v>
      </c>
      <c r="N1048">
        <v>38.6</v>
      </c>
      <c r="O1048" s="49">
        <v>44350</v>
      </c>
      <c r="P1048" s="50">
        <v>32.908499999999997</v>
      </c>
    </row>
    <row r="1049" spans="4:16" x14ac:dyDescent="0.2">
      <c r="D1049">
        <v>100000648</v>
      </c>
      <c r="E1049" s="49">
        <v>44909</v>
      </c>
      <c r="F1049" t="s">
        <v>2541</v>
      </c>
      <c r="G1049" t="s">
        <v>2180</v>
      </c>
      <c r="H1049">
        <v>10</v>
      </c>
      <c r="I1049">
        <v>99.74</v>
      </c>
      <c r="J1049" s="50">
        <v>997.4</v>
      </c>
      <c r="K1049" t="s">
        <v>1618</v>
      </c>
      <c r="M1049" t="s">
        <v>1629</v>
      </c>
      <c r="N1049">
        <v>52.64</v>
      </c>
      <c r="O1049" s="49">
        <v>44913</v>
      </c>
      <c r="P1049" s="50">
        <v>448.83</v>
      </c>
    </row>
    <row r="1050" spans="4:16" x14ac:dyDescent="0.2">
      <c r="D1050">
        <v>100000649</v>
      </c>
      <c r="E1050" s="49">
        <v>45357</v>
      </c>
      <c r="F1050" t="s">
        <v>2542</v>
      </c>
      <c r="G1050" t="s">
        <v>1971</v>
      </c>
      <c r="H1050">
        <v>2</v>
      </c>
      <c r="I1050">
        <v>29.88</v>
      </c>
      <c r="J1050" s="50">
        <v>59.76</v>
      </c>
      <c r="K1050" t="s">
        <v>1618</v>
      </c>
      <c r="M1050" t="s">
        <v>1629</v>
      </c>
      <c r="N1050">
        <v>15.77</v>
      </c>
      <c r="O1050" s="49">
        <v>45361</v>
      </c>
      <c r="P1050" s="50">
        <v>26.891999999999999</v>
      </c>
    </row>
    <row r="1051" spans="4:16" x14ac:dyDescent="0.2">
      <c r="D1051">
        <v>100000649</v>
      </c>
      <c r="E1051" s="49">
        <v>44668</v>
      </c>
      <c r="F1051" t="s">
        <v>2542</v>
      </c>
      <c r="G1051" t="s">
        <v>1681</v>
      </c>
      <c r="H1051">
        <v>6</v>
      </c>
      <c r="I1051">
        <v>95.61</v>
      </c>
      <c r="J1051" s="50">
        <v>573.66</v>
      </c>
      <c r="K1051" t="s">
        <v>1618</v>
      </c>
      <c r="M1051" t="s">
        <v>1627</v>
      </c>
      <c r="N1051">
        <v>50.46</v>
      </c>
      <c r="O1051" s="49">
        <v>44673</v>
      </c>
      <c r="P1051" s="50">
        <v>258.14699999999999</v>
      </c>
    </row>
    <row r="1052" spans="4:16" x14ac:dyDescent="0.2">
      <c r="D1052">
        <v>100000649</v>
      </c>
      <c r="E1052" s="49">
        <v>44489</v>
      </c>
      <c r="F1052" t="s">
        <v>2542</v>
      </c>
      <c r="G1052" t="s">
        <v>2484</v>
      </c>
      <c r="H1052">
        <v>6</v>
      </c>
      <c r="I1052">
        <v>105.78</v>
      </c>
      <c r="J1052" s="50">
        <v>634.68000000000006</v>
      </c>
      <c r="K1052" t="s">
        <v>1618</v>
      </c>
      <c r="M1052" t="s">
        <v>1619</v>
      </c>
      <c r="N1052">
        <v>55.83</v>
      </c>
      <c r="O1052" s="49">
        <v>44494</v>
      </c>
      <c r="P1052" s="50">
        <v>285.60600000000005</v>
      </c>
    </row>
    <row r="1053" spans="4:16" x14ac:dyDescent="0.2">
      <c r="D1053">
        <v>100000652</v>
      </c>
      <c r="E1053" s="49">
        <v>44727</v>
      </c>
      <c r="F1053" t="s">
        <v>2543</v>
      </c>
      <c r="G1053" t="s">
        <v>1739</v>
      </c>
      <c r="H1053">
        <v>8</v>
      </c>
      <c r="I1053">
        <v>39.74</v>
      </c>
      <c r="J1053" s="50">
        <v>317.92</v>
      </c>
      <c r="K1053" t="s">
        <v>1618</v>
      </c>
      <c r="M1053" t="s">
        <v>1619</v>
      </c>
      <c r="N1053">
        <v>20.97</v>
      </c>
      <c r="O1053" s="49">
        <v>44728</v>
      </c>
      <c r="P1053" s="50">
        <v>143.06400000000002</v>
      </c>
    </row>
    <row r="1054" spans="4:16" x14ac:dyDescent="0.2">
      <c r="D1054">
        <v>100000652</v>
      </c>
      <c r="E1054" s="49">
        <v>45617</v>
      </c>
      <c r="F1054" t="s">
        <v>2543</v>
      </c>
      <c r="G1054" t="s">
        <v>1667</v>
      </c>
      <c r="H1054">
        <v>4</v>
      </c>
      <c r="I1054">
        <v>81.75</v>
      </c>
      <c r="J1054" s="50">
        <v>327</v>
      </c>
      <c r="K1054" t="s">
        <v>1618</v>
      </c>
      <c r="M1054" t="s">
        <v>1629</v>
      </c>
      <c r="N1054">
        <v>43.15</v>
      </c>
      <c r="O1054" s="49">
        <v>45619</v>
      </c>
      <c r="P1054" s="50">
        <v>147.15</v>
      </c>
    </row>
    <row r="1055" spans="4:16" x14ac:dyDescent="0.2">
      <c r="D1055">
        <v>100000652</v>
      </c>
      <c r="E1055" s="49">
        <v>45655</v>
      </c>
      <c r="F1055" t="s">
        <v>2543</v>
      </c>
      <c r="G1055" t="s">
        <v>1782</v>
      </c>
      <c r="H1055">
        <v>5</v>
      </c>
      <c r="I1055">
        <v>58.36</v>
      </c>
      <c r="J1055" s="50">
        <v>291.8</v>
      </c>
      <c r="K1055" t="s">
        <v>1618</v>
      </c>
      <c r="M1055" t="s">
        <v>1621</v>
      </c>
      <c r="N1055">
        <v>30.8</v>
      </c>
      <c r="O1055" s="49">
        <v>45659</v>
      </c>
      <c r="P1055" s="50">
        <v>131.31</v>
      </c>
    </row>
    <row r="1056" spans="4:16" x14ac:dyDescent="0.2">
      <c r="D1056">
        <v>100000653</v>
      </c>
      <c r="E1056" s="49">
        <v>44285</v>
      </c>
      <c r="F1056" t="s">
        <v>2544</v>
      </c>
      <c r="G1056" t="s">
        <v>2323</v>
      </c>
      <c r="H1056">
        <v>7</v>
      </c>
      <c r="I1056">
        <v>79.55</v>
      </c>
      <c r="J1056" s="50">
        <v>556.85</v>
      </c>
      <c r="K1056" t="s">
        <v>1632</v>
      </c>
      <c r="M1056" t="s">
        <v>1621</v>
      </c>
      <c r="N1056">
        <v>41.98</v>
      </c>
      <c r="O1056" s="49">
        <v>44290</v>
      </c>
      <c r="P1056" s="50">
        <v>250.58250000000001</v>
      </c>
    </row>
    <row r="1057" spans="4:16" x14ac:dyDescent="0.2">
      <c r="D1057">
        <v>100000654</v>
      </c>
      <c r="E1057" s="49">
        <v>44879</v>
      </c>
      <c r="F1057" t="s">
        <v>2545</v>
      </c>
      <c r="G1057" t="s">
        <v>2079</v>
      </c>
      <c r="H1057">
        <v>1</v>
      </c>
      <c r="I1057">
        <v>69.7</v>
      </c>
      <c r="J1057" s="50">
        <v>69.7</v>
      </c>
      <c r="K1057" t="s">
        <v>1632</v>
      </c>
      <c r="L1057" t="s">
        <v>2546</v>
      </c>
      <c r="M1057" t="s">
        <v>1627</v>
      </c>
      <c r="N1057">
        <v>36.79</v>
      </c>
      <c r="O1057" s="49">
        <v>44883</v>
      </c>
      <c r="P1057" s="50">
        <v>31.365000000000002</v>
      </c>
    </row>
    <row r="1058" spans="4:16" x14ac:dyDescent="0.2">
      <c r="D1058">
        <v>100000654</v>
      </c>
      <c r="E1058" s="49">
        <v>44375</v>
      </c>
      <c r="F1058" t="s">
        <v>2545</v>
      </c>
      <c r="G1058" t="s">
        <v>2232</v>
      </c>
      <c r="H1058">
        <v>8</v>
      </c>
      <c r="I1058">
        <v>119.36</v>
      </c>
      <c r="J1058" s="50">
        <v>954.88</v>
      </c>
      <c r="K1058" t="s">
        <v>1632</v>
      </c>
      <c r="L1058" t="s">
        <v>2546</v>
      </c>
      <c r="M1058" t="s">
        <v>1629</v>
      </c>
      <c r="N1058">
        <v>63</v>
      </c>
      <c r="O1058" s="49">
        <v>44380</v>
      </c>
      <c r="P1058" s="50">
        <v>429.69600000000003</v>
      </c>
    </row>
    <row r="1059" spans="4:16" x14ac:dyDescent="0.2">
      <c r="D1059">
        <v>100000654</v>
      </c>
      <c r="E1059" s="49">
        <v>44616</v>
      </c>
      <c r="F1059" t="s">
        <v>2545</v>
      </c>
      <c r="G1059" t="s">
        <v>1823</v>
      </c>
      <c r="H1059">
        <v>5</v>
      </c>
      <c r="I1059">
        <v>48.3</v>
      </c>
      <c r="J1059" s="50">
        <v>241.5</v>
      </c>
      <c r="K1059" t="s">
        <v>1632</v>
      </c>
      <c r="L1059" t="s">
        <v>2546</v>
      </c>
      <c r="M1059" t="s">
        <v>1621</v>
      </c>
      <c r="N1059">
        <v>25.49</v>
      </c>
      <c r="O1059" s="49">
        <v>44617</v>
      </c>
      <c r="P1059" s="50">
        <v>108.675</v>
      </c>
    </row>
    <row r="1060" spans="4:16" x14ac:dyDescent="0.2">
      <c r="D1060">
        <v>100000654</v>
      </c>
      <c r="E1060" s="49">
        <v>44860</v>
      </c>
      <c r="F1060" t="s">
        <v>2545</v>
      </c>
      <c r="G1060" t="s">
        <v>1690</v>
      </c>
      <c r="H1060">
        <v>7</v>
      </c>
      <c r="I1060">
        <v>90.21</v>
      </c>
      <c r="J1060" s="50">
        <v>631.46999999999991</v>
      </c>
      <c r="K1060" t="s">
        <v>1632</v>
      </c>
      <c r="L1060" t="s">
        <v>2546</v>
      </c>
      <c r="M1060" t="s">
        <v>1627</v>
      </c>
      <c r="N1060">
        <v>47.61</v>
      </c>
      <c r="O1060" s="49">
        <v>44864</v>
      </c>
      <c r="P1060" s="50">
        <v>284.16149999999999</v>
      </c>
    </row>
    <row r="1061" spans="4:16" x14ac:dyDescent="0.2">
      <c r="D1061">
        <v>100000654</v>
      </c>
      <c r="E1061" s="49">
        <v>45579</v>
      </c>
      <c r="F1061" t="s">
        <v>2545</v>
      </c>
      <c r="G1061" t="s">
        <v>1975</v>
      </c>
      <c r="H1061">
        <v>5</v>
      </c>
      <c r="I1061">
        <v>92.42</v>
      </c>
      <c r="J1061" s="50">
        <v>462.1</v>
      </c>
      <c r="K1061" t="s">
        <v>1632</v>
      </c>
      <c r="L1061" t="s">
        <v>2546</v>
      </c>
      <c r="M1061" t="s">
        <v>1629</v>
      </c>
      <c r="N1061">
        <v>48.78</v>
      </c>
      <c r="O1061" s="49">
        <v>45584</v>
      </c>
      <c r="P1061" s="50">
        <v>207.94500000000002</v>
      </c>
    </row>
    <row r="1062" spans="4:16" x14ac:dyDescent="0.2">
      <c r="D1062">
        <v>100000654</v>
      </c>
      <c r="E1062" s="49">
        <v>44517</v>
      </c>
      <c r="F1062" t="s">
        <v>2545</v>
      </c>
      <c r="G1062" t="s">
        <v>1922</v>
      </c>
      <c r="H1062">
        <v>8</v>
      </c>
      <c r="I1062">
        <v>118.14</v>
      </c>
      <c r="J1062" s="50">
        <v>945.12</v>
      </c>
      <c r="K1062" t="s">
        <v>1632</v>
      </c>
      <c r="L1062" t="s">
        <v>2546</v>
      </c>
      <c r="M1062" t="s">
        <v>1619</v>
      </c>
      <c r="N1062">
        <v>62.35</v>
      </c>
      <c r="O1062" s="49">
        <v>44520</v>
      </c>
      <c r="P1062" s="50">
        <v>425.30400000000003</v>
      </c>
    </row>
    <row r="1063" spans="4:16" x14ac:dyDescent="0.2">
      <c r="D1063">
        <v>100000654</v>
      </c>
      <c r="E1063" s="49">
        <v>44345</v>
      </c>
      <c r="F1063" t="s">
        <v>2545</v>
      </c>
      <c r="G1063" t="s">
        <v>1752</v>
      </c>
      <c r="H1063">
        <v>5</v>
      </c>
      <c r="I1063">
        <v>65.23</v>
      </c>
      <c r="J1063" s="50">
        <v>326.14999999999998</v>
      </c>
      <c r="K1063" t="s">
        <v>1632</v>
      </c>
      <c r="L1063" t="s">
        <v>2546</v>
      </c>
      <c r="M1063" t="s">
        <v>1629</v>
      </c>
      <c r="N1063">
        <v>34.43</v>
      </c>
      <c r="O1063" s="49">
        <v>44347</v>
      </c>
      <c r="P1063" s="50">
        <v>146.76749999999998</v>
      </c>
    </row>
    <row r="1064" spans="4:16" x14ac:dyDescent="0.2">
      <c r="D1064">
        <v>100000654</v>
      </c>
      <c r="E1064" s="49">
        <v>45391</v>
      </c>
      <c r="F1064" t="s">
        <v>2545</v>
      </c>
      <c r="G1064" t="s">
        <v>1699</v>
      </c>
      <c r="H1064">
        <v>10</v>
      </c>
      <c r="I1064">
        <v>42.06</v>
      </c>
      <c r="J1064" s="50">
        <v>420.6</v>
      </c>
      <c r="K1064" t="s">
        <v>1632</v>
      </c>
      <c r="L1064" t="s">
        <v>2546</v>
      </c>
      <c r="M1064" t="s">
        <v>1629</v>
      </c>
      <c r="N1064">
        <v>22.2</v>
      </c>
      <c r="O1064" s="49">
        <v>45393</v>
      </c>
      <c r="P1064" s="50">
        <v>189.27</v>
      </c>
    </row>
    <row r="1065" spans="4:16" x14ac:dyDescent="0.2">
      <c r="D1065">
        <v>100000654</v>
      </c>
      <c r="E1065" s="49">
        <v>44752</v>
      </c>
      <c r="F1065" t="s">
        <v>2545</v>
      </c>
      <c r="G1065" t="s">
        <v>2261</v>
      </c>
      <c r="H1065">
        <v>8</v>
      </c>
      <c r="I1065">
        <v>27.28</v>
      </c>
      <c r="J1065" s="50">
        <v>218.24</v>
      </c>
      <c r="K1065" t="s">
        <v>1632</v>
      </c>
      <c r="L1065" t="s">
        <v>2546</v>
      </c>
      <c r="M1065" t="s">
        <v>1629</v>
      </c>
      <c r="N1065">
        <v>14.4</v>
      </c>
      <c r="O1065" s="49">
        <v>44754</v>
      </c>
      <c r="P1065" s="50">
        <v>98.208000000000013</v>
      </c>
    </row>
    <row r="1066" spans="4:16" x14ac:dyDescent="0.2">
      <c r="D1066">
        <v>100000654</v>
      </c>
      <c r="E1066" s="49">
        <v>44389</v>
      </c>
      <c r="F1066" t="s">
        <v>2545</v>
      </c>
      <c r="G1066" t="s">
        <v>1648</v>
      </c>
      <c r="H1066">
        <v>2</v>
      </c>
      <c r="I1066">
        <v>22.5</v>
      </c>
      <c r="J1066" s="50">
        <v>45</v>
      </c>
      <c r="K1066" t="s">
        <v>1632</v>
      </c>
      <c r="L1066" t="s">
        <v>2546</v>
      </c>
      <c r="M1066" t="s">
        <v>1624</v>
      </c>
      <c r="N1066">
        <v>11.87</v>
      </c>
      <c r="O1066" s="49">
        <v>44393</v>
      </c>
      <c r="P1066" s="50">
        <v>20.25</v>
      </c>
    </row>
    <row r="1067" spans="4:16" x14ac:dyDescent="0.2">
      <c r="D1067">
        <v>100000654</v>
      </c>
      <c r="E1067" s="49">
        <v>44534</v>
      </c>
      <c r="F1067" t="s">
        <v>2545</v>
      </c>
      <c r="G1067" t="s">
        <v>1676</v>
      </c>
      <c r="H1067">
        <v>2</v>
      </c>
      <c r="I1067">
        <v>34.68</v>
      </c>
      <c r="J1067" s="50">
        <v>69.36</v>
      </c>
      <c r="K1067" t="s">
        <v>1632</v>
      </c>
      <c r="L1067" t="s">
        <v>2546</v>
      </c>
      <c r="M1067" t="s">
        <v>1624</v>
      </c>
      <c r="N1067">
        <v>18.3</v>
      </c>
      <c r="O1067" s="49">
        <v>44535</v>
      </c>
      <c r="P1067" s="50">
        <v>31.212</v>
      </c>
    </row>
    <row r="1068" spans="4:16" x14ac:dyDescent="0.2">
      <c r="D1068">
        <v>100000655</v>
      </c>
      <c r="E1068" s="49">
        <v>44598</v>
      </c>
      <c r="F1068" t="s">
        <v>2547</v>
      </c>
      <c r="G1068" t="s">
        <v>1950</v>
      </c>
      <c r="H1068">
        <v>1</v>
      </c>
      <c r="I1068">
        <v>48.54</v>
      </c>
      <c r="J1068" s="50">
        <v>48.54</v>
      </c>
      <c r="K1068" t="s">
        <v>1618</v>
      </c>
      <c r="M1068" t="s">
        <v>1624</v>
      </c>
      <c r="N1068">
        <v>25.62</v>
      </c>
      <c r="O1068" s="49">
        <v>44600</v>
      </c>
      <c r="P1068" s="50">
        <v>21.843</v>
      </c>
    </row>
    <row r="1069" spans="4:16" x14ac:dyDescent="0.2">
      <c r="D1069">
        <v>100000655</v>
      </c>
      <c r="E1069" s="49">
        <v>44624</v>
      </c>
      <c r="F1069" t="s">
        <v>2547</v>
      </c>
      <c r="G1069" t="s">
        <v>1777</v>
      </c>
      <c r="H1069">
        <v>6</v>
      </c>
      <c r="I1069">
        <v>68.09</v>
      </c>
      <c r="J1069" s="50">
        <v>408.54</v>
      </c>
      <c r="K1069" t="s">
        <v>1618</v>
      </c>
      <c r="M1069" t="s">
        <v>1624</v>
      </c>
      <c r="N1069">
        <v>35.94</v>
      </c>
      <c r="O1069" s="49">
        <v>44627</v>
      </c>
      <c r="P1069" s="50">
        <v>183.84300000000002</v>
      </c>
    </row>
    <row r="1070" spans="4:16" x14ac:dyDescent="0.2">
      <c r="D1070">
        <v>100000656</v>
      </c>
      <c r="E1070" s="49">
        <v>44678</v>
      </c>
      <c r="F1070" t="s">
        <v>2548</v>
      </c>
      <c r="G1070" t="s">
        <v>1943</v>
      </c>
      <c r="H1070">
        <v>6</v>
      </c>
      <c r="I1070">
        <v>66.02</v>
      </c>
      <c r="J1070" s="50">
        <v>396.12</v>
      </c>
      <c r="K1070" t="s">
        <v>1632</v>
      </c>
      <c r="M1070" t="s">
        <v>1627</v>
      </c>
      <c r="N1070">
        <v>34.840000000000003</v>
      </c>
      <c r="O1070" s="49">
        <v>44682</v>
      </c>
      <c r="P1070" s="50">
        <v>178.25400000000002</v>
      </c>
    </row>
    <row r="1071" spans="4:16" x14ac:dyDescent="0.2">
      <c r="D1071">
        <v>100000656</v>
      </c>
      <c r="E1071" s="49">
        <v>44421</v>
      </c>
      <c r="F1071" t="s">
        <v>2548</v>
      </c>
      <c r="G1071" t="s">
        <v>2182</v>
      </c>
      <c r="H1071">
        <v>9</v>
      </c>
      <c r="I1071">
        <v>50.37</v>
      </c>
      <c r="J1071" s="50">
        <v>453.33</v>
      </c>
      <c r="K1071" t="s">
        <v>1632</v>
      </c>
      <c r="M1071" t="s">
        <v>1627</v>
      </c>
      <c r="N1071">
        <v>26.58</v>
      </c>
      <c r="O1071" s="49">
        <v>44424</v>
      </c>
      <c r="P1071" s="50">
        <v>203.99850000000001</v>
      </c>
    </row>
    <row r="1072" spans="4:16" x14ac:dyDescent="0.2">
      <c r="D1072">
        <v>100000658</v>
      </c>
      <c r="E1072" s="49">
        <v>45623</v>
      </c>
      <c r="F1072" t="s">
        <v>2549</v>
      </c>
      <c r="G1072" t="s">
        <v>2550</v>
      </c>
      <c r="H1072">
        <v>7</v>
      </c>
      <c r="I1072">
        <v>106.93</v>
      </c>
      <c r="J1072" s="50">
        <v>748.51</v>
      </c>
      <c r="K1072" t="s">
        <v>1618</v>
      </c>
      <c r="M1072" t="s">
        <v>1619</v>
      </c>
      <c r="N1072">
        <v>56.43</v>
      </c>
      <c r="O1072" s="49">
        <v>45628</v>
      </c>
      <c r="P1072" s="50">
        <v>336.8295</v>
      </c>
    </row>
    <row r="1073" spans="4:16" x14ac:dyDescent="0.2">
      <c r="D1073">
        <v>100000658</v>
      </c>
      <c r="E1073" s="49">
        <v>45152</v>
      </c>
      <c r="F1073" t="s">
        <v>2549</v>
      </c>
      <c r="G1073" t="s">
        <v>1697</v>
      </c>
      <c r="H1073">
        <v>9</v>
      </c>
      <c r="I1073">
        <v>80.430000000000007</v>
      </c>
      <c r="J1073" s="50">
        <v>723.87000000000012</v>
      </c>
      <c r="K1073" t="s">
        <v>1618</v>
      </c>
      <c r="M1073" t="s">
        <v>1621</v>
      </c>
      <c r="N1073">
        <v>42.45</v>
      </c>
      <c r="O1073" s="49">
        <v>45153</v>
      </c>
      <c r="P1073" s="50">
        <v>325.74150000000009</v>
      </c>
    </row>
    <row r="1074" spans="4:16" x14ac:dyDescent="0.2">
      <c r="D1074">
        <v>100000658</v>
      </c>
      <c r="E1074" s="49">
        <v>44903</v>
      </c>
      <c r="F1074" t="s">
        <v>2549</v>
      </c>
      <c r="G1074" t="s">
        <v>2242</v>
      </c>
      <c r="H1074">
        <v>1</v>
      </c>
      <c r="I1074">
        <v>104.6</v>
      </c>
      <c r="J1074" s="50">
        <v>104.6</v>
      </c>
      <c r="K1074" t="s">
        <v>1618</v>
      </c>
      <c r="M1074" t="s">
        <v>1621</v>
      </c>
      <c r="N1074">
        <v>55.21</v>
      </c>
      <c r="O1074" s="49">
        <v>44906</v>
      </c>
      <c r="P1074" s="50">
        <v>47.07</v>
      </c>
    </row>
    <row r="1075" spans="4:16" x14ac:dyDescent="0.2">
      <c r="D1075">
        <v>100000659</v>
      </c>
      <c r="E1075" s="49">
        <v>44766</v>
      </c>
      <c r="F1075" t="s">
        <v>2551</v>
      </c>
      <c r="G1075" t="s">
        <v>2134</v>
      </c>
      <c r="H1075">
        <v>6</v>
      </c>
      <c r="I1075">
        <v>68.38</v>
      </c>
      <c r="J1075" s="50">
        <v>410.28</v>
      </c>
      <c r="K1075" t="s">
        <v>1618</v>
      </c>
      <c r="M1075" t="s">
        <v>1619</v>
      </c>
      <c r="N1075">
        <v>36.090000000000003</v>
      </c>
      <c r="O1075" s="49">
        <v>44769</v>
      </c>
      <c r="P1075" s="50">
        <v>184.626</v>
      </c>
    </row>
    <row r="1076" spans="4:16" x14ac:dyDescent="0.2">
      <c r="D1076">
        <v>100000659</v>
      </c>
      <c r="E1076" s="49">
        <v>45191</v>
      </c>
      <c r="F1076" t="s">
        <v>2551</v>
      </c>
      <c r="G1076" t="s">
        <v>2028</v>
      </c>
      <c r="H1076">
        <v>7</v>
      </c>
      <c r="I1076">
        <v>44.41</v>
      </c>
      <c r="J1076" s="50">
        <v>310.87</v>
      </c>
      <c r="K1076" t="s">
        <v>1618</v>
      </c>
      <c r="M1076" t="s">
        <v>1629</v>
      </c>
      <c r="N1076">
        <v>23.44</v>
      </c>
      <c r="O1076" s="49">
        <v>45195</v>
      </c>
      <c r="P1076" s="50">
        <v>139.89150000000001</v>
      </c>
    </row>
    <row r="1077" spans="4:16" x14ac:dyDescent="0.2">
      <c r="D1077">
        <v>100000661</v>
      </c>
      <c r="E1077" s="49">
        <v>44693</v>
      </c>
      <c r="F1077" t="s">
        <v>2552</v>
      </c>
      <c r="G1077" t="s">
        <v>2553</v>
      </c>
      <c r="H1077">
        <v>2</v>
      </c>
      <c r="I1077">
        <v>13.22</v>
      </c>
      <c r="J1077" s="50">
        <v>26.44</v>
      </c>
      <c r="K1077" t="s">
        <v>1632</v>
      </c>
      <c r="M1077" t="s">
        <v>1619</v>
      </c>
      <c r="N1077">
        <v>6.98</v>
      </c>
      <c r="O1077" s="49">
        <v>44698</v>
      </c>
      <c r="P1077" s="50">
        <v>11.898000000000001</v>
      </c>
    </row>
    <row r="1078" spans="4:16" x14ac:dyDescent="0.2">
      <c r="D1078">
        <v>100000661</v>
      </c>
      <c r="E1078" s="49">
        <v>44814</v>
      </c>
      <c r="F1078" t="s">
        <v>2552</v>
      </c>
      <c r="G1078" t="s">
        <v>1647</v>
      </c>
      <c r="H1078">
        <v>5</v>
      </c>
      <c r="I1078">
        <v>57.12</v>
      </c>
      <c r="J1078" s="50">
        <v>285.60000000000002</v>
      </c>
      <c r="K1078" t="s">
        <v>1632</v>
      </c>
      <c r="M1078" t="s">
        <v>1621</v>
      </c>
      <c r="N1078">
        <v>30.15</v>
      </c>
      <c r="O1078" s="49">
        <v>44817</v>
      </c>
      <c r="P1078" s="50">
        <v>128.52000000000001</v>
      </c>
    </row>
    <row r="1079" spans="4:16" x14ac:dyDescent="0.2">
      <c r="D1079">
        <v>100000661</v>
      </c>
      <c r="E1079" s="49">
        <v>44231</v>
      </c>
      <c r="F1079" t="s">
        <v>2552</v>
      </c>
      <c r="G1079" t="s">
        <v>1765</v>
      </c>
      <c r="H1079">
        <v>9</v>
      </c>
      <c r="I1079">
        <v>30.55</v>
      </c>
      <c r="J1079" s="50">
        <v>274.95</v>
      </c>
      <c r="K1079" t="s">
        <v>1632</v>
      </c>
      <c r="M1079" t="s">
        <v>1619</v>
      </c>
      <c r="N1079">
        <v>16.12</v>
      </c>
      <c r="O1079" s="49">
        <v>44236</v>
      </c>
      <c r="P1079" s="50">
        <v>123.72749999999999</v>
      </c>
    </row>
    <row r="1080" spans="4:16" x14ac:dyDescent="0.2">
      <c r="D1080">
        <v>100000662</v>
      </c>
      <c r="E1080" s="49">
        <v>44528</v>
      </c>
      <c r="F1080" t="s">
        <v>2554</v>
      </c>
      <c r="G1080" t="s">
        <v>1838</v>
      </c>
      <c r="H1080">
        <v>2</v>
      </c>
      <c r="I1080">
        <v>91.24</v>
      </c>
      <c r="J1080" s="50">
        <v>182.48</v>
      </c>
      <c r="K1080" t="s">
        <v>1618</v>
      </c>
      <c r="L1080" t="s">
        <v>2555</v>
      </c>
      <c r="M1080" t="s">
        <v>1629</v>
      </c>
      <c r="N1080">
        <v>48.15</v>
      </c>
      <c r="O1080" s="49">
        <v>44531</v>
      </c>
      <c r="P1080" s="50">
        <v>82.116</v>
      </c>
    </row>
    <row r="1081" spans="4:16" x14ac:dyDescent="0.2">
      <c r="D1081">
        <v>100000663</v>
      </c>
      <c r="E1081" s="49">
        <v>44944</v>
      </c>
      <c r="F1081" t="s">
        <v>2556</v>
      </c>
      <c r="G1081" t="s">
        <v>1652</v>
      </c>
      <c r="H1081">
        <v>4</v>
      </c>
      <c r="I1081">
        <v>62.38</v>
      </c>
      <c r="J1081" s="50">
        <v>249.52</v>
      </c>
      <c r="K1081" t="s">
        <v>1618</v>
      </c>
      <c r="M1081" t="s">
        <v>1619</v>
      </c>
      <c r="N1081">
        <v>32.92</v>
      </c>
      <c r="O1081" s="49">
        <v>44948</v>
      </c>
      <c r="P1081" s="50">
        <v>112.28400000000001</v>
      </c>
    </row>
    <row r="1082" spans="4:16" x14ac:dyDescent="0.2">
      <c r="D1082">
        <v>100000664</v>
      </c>
      <c r="E1082" s="49">
        <v>45371</v>
      </c>
      <c r="F1082" t="s">
        <v>2557</v>
      </c>
      <c r="G1082" t="s">
        <v>2278</v>
      </c>
      <c r="H1082">
        <v>2</v>
      </c>
      <c r="I1082">
        <v>49.64</v>
      </c>
      <c r="J1082" s="50">
        <v>99.28</v>
      </c>
      <c r="K1082" t="s">
        <v>1632</v>
      </c>
      <c r="M1082" t="s">
        <v>1624</v>
      </c>
      <c r="N1082">
        <v>26.2</v>
      </c>
      <c r="O1082" s="49">
        <v>45372</v>
      </c>
      <c r="P1082" s="50">
        <v>44.676000000000002</v>
      </c>
    </row>
    <row r="1083" spans="4:16" x14ac:dyDescent="0.2">
      <c r="D1083">
        <v>100000664</v>
      </c>
      <c r="E1083" s="49">
        <v>44227</v>
      </c>
      <c r="F1083" t="s">
        <v>2557</v>
      </c>
      <c r="G1083" t="s">
        <v>1785</v>
      </c>
      <c r="H1083">
        <v>7</v>
      </c>
      <c r="I1083">
        <v>32.14</v>
      </c>
      <c r="J1083" s="50">
        <v>224.98</v>
      </c>
      <c r="K1083" t="s">
        <v>1632</v>
      </c>
      <c r="M1083" t="s">
        <v>1629</v>
      </c>
      <c r="N1083">
        <v>16.96</v>
      </c>
      <c r="O1083" s="49">
        <v>44232</v>
      </c>
      <c r="P1083" s="50">
        <v>101.241</v>
      </c>
    </row>
    <row r="1084" spans="4:16" x14ac:dyDescent="0.2">
      <c r="D1084">
        <v>100000664</v>
      </c>
      <c r="E1084" s="49">
        <v>44821</v>
      </c>
      <c r="F1084" t="s">
        <v>2557</v>
      </c>
      <c r="G1084" t="s">
        <v>2305</v>
      </c>
      <c r="H1084">
        <v>4</v>
      </c>
      <c r="I1084">
        <v>42.13</v>
      </c>
      <c r="J1084" s="50">
        <v>168.52</v>
      </c>
      <c r="K1084" t="s">
        <v>1632</v>
      </c>
      <c r="M1084" t="s">
        <v>1619</v>
      </c>
      <c r="N1084">
        <v>22.24</v>
      </c>
      <c r="O1084" s="49">
        <v>44822</v>
      </c>
      <c r="P1084" s="50">
        <v>75.834000000000003</v>
      </c>
    </row>
    <row r="1085" spans="4:16" x14ac:dyDescent="0.2">
      <c r="D1085">
        <v>100000665</v>
      </c>
      <c r="E1085" s="49">
        <v>44689</v>
      </c>
      <c r="F1085" t="s">
        <v>2558</v>
      </c>
      <c r="G1085" t="s">
        <v>1976</v>
      </c>
      <c r="H1085">
        <v>8</v>
      </c>
      <c r="I1085">
        <v>65.41</v>
      </c>
      <c r="J1085" s="50">
        <v>523.28</v>
      </c>
      <c r="K1085" t="s">
        <v>1618</v>
      </c>
      <c r="L1085" t="s">
        <v>2559</v>
      </c>
      <c r="M1085" t="s">
        <v>1627</v>
      </c>
      <c r="N1085">
        <v>34.520000000000003</v>
      </c>
      <c r="O1085" s="49">
        <v>44691</v>
      </c>
      <c r="P1085" s="50">
        <v>235.476</v>
      </c>
    </row>
    <row r="1086" spans="4:16" x14ac:dyDescent="0.2">
      <c r="D1086">
        <v>100000665</v>
      </c>
      <c r="E1086" s="49">
        <v>44376</v>
      </c>
      <c r="F1086" t="s">
        <v>2558</v>
      </c>
      <c r="G1086" t="s">
        <v>2112</v>
      </c>
      <c r="H1086">
        <v>7</v>
      </c>
      <c r="I1086">
        <v>40.659999999999997</v>
      </c>
      <c r="J1086" s="50">
        <v>284.62</v>
      </c>
      <c r="K1086" t="s">
        <v>1618</v>
      </c>
      <c r="L1086" t="s">
        <v>2559</v>
      </c>
      <c r="M1086" t="s">
        <v>1629</v>
      </c>
      <c r="N1086">
        <v>21.46</v>
      </c>
      <c r="O1086" s="49">
        <v>44377</v>
      </c>
      <c r="P1086" s="50">
        <v>128.07900000000001</v>
      </c>
    </row>
    <row r="1087" spans="4:16" x14ac:dyDescent="0.2">
      <c r="D1087">
        <v>100000665</v>
      </c>
      <c r="E1087" s="49">
        <v>44957</v>
      </c>
      <c r="F1087" t="s">
        <v>2558</v>
      </c>
      <c r="G1087" t="s">
        <v>1736</v>
      </c>
      <c r="H1087">
        <v>3</v>
      </c>
      <c r="I1087">
        <v>63.36</v>
      </c>
      <c r="J1087" s="50">
        <v>190.08</v>
      </c>
      <c r="K1087" t="s">
        <v>1618</v>
      </c>
      <c r="L1087" t="s">
        <v>2559</v>
      </c>
      <c r="M1087" t="s">
        <v>1621</v>
      </c>
      <c r="N1087">
        <v>33.44</v>
      </c>
      <c r="O1087" s="49">
        <v>44958</v>
      </c>
      <c r="P1087" s="50">
        <v>85.536000000000001</v>
      </c>
    </row>
    <row r="1088" spans="4:16" x14ac:dyDescent="0.2">
      <c r="D1088">
        <v>100000665</v>
      </c>
      <c r="E1088" s="49">
        <v>44275</v>
      </c>
      <c r="F1088" t="s">
        <v>2558</v>
      </c>
      <c r="G1088" t="s">
        <v>1834</v>
      </c>
      <c r="H1088">
        <v>2</v>
      </c>
      <c r="I1088">
        <v>87.19</v>
      </c>
      <c r="J1088" s="50">
        <v>174.38</v>
      </c>
      <c r="K1088" t="s">
        <v>1618</v>
      </c>
      <c r="L1088" t="s">
        <v>2559</v>
      </c>
      <c r="M1088" t="s">
        <v>1629</v>
      </c>
      <c r="N1088">
        <v>46.02</v>
      </c>
      <c r="O1088" s="49">
        <v>44278</v>
      </c>
      <c r="P1088" s="50">
        <v>78.471000000000004</v>
      </c>
    </row>
    <row r="1089" spans="4:16" x14ac:dyDescent="0.2">
      <c r="D1089">
        <v>100000666</v>
      </c>
      <c r="E1089" s="49">
        <v>45536</v>
      </c>
      <c r="F1089" t="s">
        <v>2560</v>
      </c>
      <c r="G1089" t="s">
        <v>2263</v>
      </c>
      <c r="H1089">
        <v>8</v>
      </c>
      <c r="I1089">
        <v>103.29</v>
      </c>
      <c r="J1089" s="50">
        <v>826.32</v>
      </c>
      <c r="K1089" t="s">
        <v>1618</v>
      </c>
      <c r="M1089" t="s">
        <v>1627</v>
      </c>
      <c r="N1089">
        <v>54.51</v>
      </c>
      <c r="O1089" s="49">
        <v>45541</v>
      </c>
      <c r="P1089" s="50">
        <v>371.84400000000005</v>
      </c>
    </row>
    <row r="1090" spans="4:16" x14ac:dyDescent="0.2">
      <c r="D1090">
        <v>100000666</v>
      </c>
      <c r="E1090" s="49">
        <v>45220</v>
      </c>
      <c r="F1090" t="s">
        <v>2560</v>
      </c>
      <c r="G1090" t="s">
        <v>1646</v>
      </c>
      <c r="H1090">
        <v>7</v>
      </c>
      <c r="I1090">
        <v>48.7</v>
      </c>
      <c r="J1090" s="50">
        <v>340.9</v>
      </c>
      <c r="K1090" t="s">
        <v>1618</v>
      </c>
      <c r="M1090" t="s">
        <v>1621</v>
      </c>
      <c r="N1090">
        <v>25.7</v>
      </c>
      <c r="O1090" s="49">
        <v>45225</v>
      </c>
      <c r="P1090" s="50">
        <v>153.405</v>
      </c>
    </row>
    <row r="1091" spans="4:16" x14ac:dyDescent="0.2">
      <c r="D1091">
        <v>100000667</v>
      </c>
      <c r="E1091" s="49">
        <v>44804</v>
      </c>
      <c r="F1091" t="s">
        <v>2561</v>
      </c>
      <c r="G1091" t="s">
        <v>1765</v>
      </c>
      <c r="H1091">
        <v>10</v>
      </c>
      <c r="I1091">
        <v>27.23</v>
      </c>
      <c r="J1091" s="50">
        <v>272.3</v>
      </c>
      <c r="K1091" t="s">
        <v>1632</v>
      </c>
      <c r="M1091" t="s">
        <v>1629</v>
      </c>
      <c r="N1091">
        <v>14.37</v>
      </c>
      <c r="O1091" s="49">
        <v>44808</v>
      </c>
      <c r="P1091" s="50">
        <v>122.53500000000001</v>
      </c>
    </row>
    <row r="1092" spans="4:16" x14ac:dyDescent="0.2">
      <c r="D1092">
        <v>100000667</v>
      </c>
      <c r="E1092" s="49">
        <v>44440</v>
      </c>
      <c r="F1092" t="s">
        <v>2561</v>
      </c>
      <c r="G1092" t="s">
        <v>2084</v>
      </c>
      <c r="H1092">
        <v>8</v>
      </c>
      <c r="I1092">
        <v>93.77</v>
      </c>
      <c r="J1092" s="50">
        <v>750.16</v>
      </c>
      <c r="K1092" t="s">
        <v>1632</v>
      </c>
      <c r="M1092" t="s">
        <v>1619</v>
      </c>
      <c r="N1092">
        <v>49.49</v>
      </c>
      <c r="O1092" s="49">
        <v>44444</v>
      </c>
      <c r="P1092" s="50">
        <v>337.572</v>
      </c>
    </row>
    <row r="1093" spans="4:16" x14ac:dyDescent="0.2">
      <c r="D1093">
        <v>100000667</v>
      </c>
      <c r="E1093" s="49">
        <v>45103</v>
      </c>
      <c r="F1093" t="s">
        <v>2561</v>
      </c>
      <c r="G1093" t="s">
        <v>1848</v>
      </c>
      <c r="H1093">
        <v>6</v>
      </c>
      <c r="I1093">
        <v>63.41</v>
      </c>
      <c r="J1093" s="50">
        <v>380.46</v>
      </c>
      <c r="K1093" t="s">
        <v>1632</v>
      </c>
      <c r="M1093" t="s">
        <v>1619</v>
      </c>
      <c r="N1093">
        <v>33.47</v>
      </c>
      <c r="O1093" s="49">
        <v>45106</v>
      </c>
      <c r="P1093" s="50">
        <v>171.20699999999999</v>
      </c>
    </row>
    <row r="1094" spans="4:16" x14ac:dyDescent="0.2">
      <c r="D1094">
        <v>100000667</v>
      </c>
      <c r="E1094" s="49">
        <v>44881</v>
      </c>
      <c r="F1094" t="s">
        <v>2561</v>
      </c>
      <c r="G1094" t="s">
        <v>2017</v>
      </c>
      <c r="H1094">
        <v>7</v>
      </c>
      <c r="I1094">
        <v>32.71</v>
      </c>
      <c r="J1094" s="50">
        <v>228.97</v>
      </c>
      <c r="K1094" t="s">
        <v>1632</v>
      </c>
      <c r="M1094" t="s">
        <v>1624</v>
      </c>
      <c r="N1094">
        <v>17.260000000000002</v>
      </c>
      <c r="O1094" s="49">
        <v>44885</v>
      </c>
      <c r="P1094" s="50">
        <v>103.0365</v>
      </c>
    </row>
    <row r="1095" spans="4:16" x14ac:dyDescent="0.2">
      <c r="D1095">
        <v>100000667</v>
      </c>
      <c r="E1095" s="49">
        <v>45176</v>
      </c>
      <c r="F1095" t="s">
        <v>2561</v>
      </c>
      <c r="G1095" t="s">
        <v>1737</v>
      </c>
      <c r="H1095">
        <v>1</v>
      </c>
      <c r="I1095">
        <v>15.89</v>
      </c>
      <c r="J1095" s="50">
        <v>15.89</v>
      </c>
      <c r="K1095" t="s">
        <v>1632</v>
      </c>
      <c r="M1095" t="s">
        <v>1624</v>
      </c>
      <c r="N1095">
        <v>8.39</v>
      </c>
      <c r="O1095" s="49">
        <v>45180</v>
      </c>
      <c r="P1095" s="50">
        <v>7.1505000000000001</v>
      </c>
    </row>
    <row r="1096" spans="4:16" x14ac:dyDescent="0.2">
      <c r="D1096">
        <v>100000667</v>
      </c>
      <c r="E1096" s="49">
        <v>45090</v>
      </c>
      <c r="F1096" t="s">
        <v>2561</v>
      </c>
      <c r="G1096" t="s">
        <v>2373</v>
      </c>
      <c r="H1096">
        <v>10</v>
      </c>
      <c r="I1096">
        <v>106.95</v>
      </c>
      <c r="J1096" s="50">
        <v>1069.5</v>
      </c>
      <c r="K1096" t="s">
        <v>1632</v>
      </c>
      <c r="M1096" t="s">
        <v>1619</v>
      </c>
      <c r="N1096">
        <v>56.45</v>
      </c>
      <c r="O1096" s="49">
        <v>45094</v>
      </c>
      <c r="P1096" s="50">
        <v>481.27500000000003</v>
      </c>
    </row>
    <row r="1097" spans="4:16" x14ac:dyDescent="0.2">
      <c r="D1097">
        <v>100000668</v>
      </c>
      <c r="E1097" s="49">
        <v>45542</v>
      </c>
      <c r="F1097" t="s">
        <v>2562</v>
      </c>
      <c r="G1097" t="s">
        <v>1941</v>
      </c>
      <c r="H1097">
        <v>3</v>
      </c>
      <c r="I1097">
        <v>50.73</v>
      </c>
      <c r="J1097" s="50">
        <v>152.19</v>
      </c>
      <c r="K1097" t="s">
        <v>1618</v>
      </c>
      <c r="M1097" t="s">
        <v>1627</v>
      </c>
      <c r="N1097">
        <v>26.77</v>
      </c>
      <c r="O1097" s="49">
        <v>45545</v>
      </c>
      <c r="P1097" s="50">
        <v>68.485500000000002</v>
      </c>
    </row>
    <row r="1098" spans="4:16" x14ac:dyDescent="0.2">
      <c r="D1098">
        <v>100000669</v>
      </c>
      <c r="E1098" s="49">
        <v>44699</v>
      </c>
      <c r="F1098" t="s">
        <v>2563</v>
      </c>
      <c r="G1098" t="s">
        <v>1963</v>
      </c>
      <c r="H1098">
        <v>4</v>
      </c>
      <c r="I1098">
        <v>40.36</v>
      </c>
      <c r="J1098" s="50">
        <v>161.44</v>
      </c>
      <c r="K1098" t="s">
        <v>1632</v>
      </c>
      <c r="L1098" t="s">
        <v>2564</v>
      </c>
      <c r="M1098" t="s">
        <v>1629</v>
      </c>
      <c r="N1098">
        <v>21.3</v>
      </c>
      <c r="O1098" s="49">
        <v>44701</v>
      </c>
      <c r="P1098" s="50">
        <v>72.647999999999996</v>
      </c>
    </row>
    <row r="1099" spans="4:16" x14ac:dyDescent="0.2">
      <c r="D1099">
        <v>100000669</v>
      </c>
      <c r="E1099" s="49">
        <v>45235</v>
      </c>
      <c r="F1099" t="s">
        <v>2563</v>
      </c>
      <c r="G1099" t="s">
        <v>2076</v>
      </c>
      <c r="H1099">
        <v>9</v>
      </c>
      <c r="I1099">
        <v>17.68</v>
      </c>
      <c r="J1099" s="50">
        <v>159.12</v>
      </c>
      <c r="K1099" t="s">
        <v>1632</v>
      </c>
      <c r="L1099" t="s">
        <v>2564</v>
      </c>
      <c r="M1099" t="s">
        <v>1621</v>
      </c>
      <c r="N1099">
        <v>9.33</v>
      </c>
      <c r="O1099" s="49">
        <v>45236</v>
      </c>
      <c r="P1099" s="50">
        <v>71.603999999999999</v>
      </c>
    </row>
    <row r="1100" spans="4:16" x14ac:dyDescent="0.2">
      <c r="D1100">
        <v>100000669</v>
      </c>
      <c r="E1100" s="49">
        <v>44554</v>
      </c>
      <c r="F1100" t="s">
        <v>2563</v>
      </c>
      <c r="G1100" t="s">
        <v>1690</v>
      </c>
      <c r="H1100">
        <v>2</v>
      </c>
      <c r="I1100">
        <v>22.35</v>
      </c>
      <c r="J1100" s="50">
        <v>44.7</v>
      </c>
      <c r="K1100" t="s">
        <v>1632</v>
      </c>
      <c r="L1100" t="s">
        <v>2564</v>
      </c>
      <c r="M1100" t="s">
        <v>1629</v>
      </c>
      <c r="N1100">
        <v>11.8</v>
      </c>
      <c r="O1100" s="49">
        <v>44556</v>
      </c>
      <c r="P1100" s="50">
        <v>20.115000000000002</v>
      </c>
    </row>
    <row r="1101" spans="4:16" x14ac:dyDescent="0.2">
      <c r="D1101">
        <v>100000669</v>
      </c>
      <c r="E1101" s="49">
        <v>44587</v>
      </c>
      <c r="F1101" t="s">
        <v>2563</v>
      </c>
      <c r="G1101" t="s">
        <v>1736</v>
      </c>
      <c r="H1101">
        <v>8</v>
      </c>
      <c r="I1101">
        <v>22.78</v>
      </c>
      <c r="J1101" s="50">
        <v>182.24</v>
      </c>
      <c r="K1101" t="s">
        <v>1632</v>
      </c>
      <c r="L1101" t="s">
        <v>2564</v>
      </c>
      <c r="M1101" t="s">
        <v>1624</v>
      </c>
      <c r="N1101">
        <v>12.02</v>
      </c>
      <c r="O1101" s="49">
        <v>44589</v>
      </c>
      <c r="P1101" s="50">
        <v>82.00800000000001</v>
      </c>
    </row>
    <row r="1102" spans="4:16" x14ac:dyDescent="0.2">
      <c r="D1102">
        <v>100000669</v>
      </c>
      <c r="E1102" s="49">
        <v>45519</v>
      </c>
      <c r="F1102" t="s">
        <v>2563</v>
      </c>
      <c r="G1102" t="s">
        <v>2346</v>
      </c>
      <c r="H1102">
        <v>3</v>
      </c>
      <c r="I1102">
        <v>26.23</v>
      </c>
      <c r="J1102" s="50">
        <v>78.69</v>
      </c>
      <c r="K1102" t="s">
        <v>1632</v>
      </c>
      <c r="L1102" t="s">
        <v>2564</v>
      </c>
      <c r="M1102" t="s">
        <v>1624</v>
      </c>
      <c r="N1102">
        <v>13.84</v>
      </c>
      <c r="O1102" s="49">
        <v>45524</v>
      </c>
      <c r="P1102" s="50">
        <v>35.410499999999999</v>
      </c>
    </row>
    <row r="1103" spans="4:16" x14ac:dyDescent="0.2">
      <c r="D1103">
        <v>100000670</v>
      </c>
      <c r="E1103" s="49">
        <v>45271</v>
      </c>
      <c r="F1103" t="s">
        <v>2565</v>
      </c>
      <c r="G1103" t="s">
        <v>1980</v>
      </c>
      <c r="H1103">
        <v>1</v>
      </c>
      <c r="I1103">
        <v>93.37</v>
      </c>
      <c r="J1103" s="50">
        <v>93.37</v>
      </c>
      <c r="K1103" t="s">
        <v>1618</v>
      </c>
      <c r="M1103" t="s">
        <v>1629</v>
      </c>
      <c r="N1103">
        <v>49.28</v>
      </c>
      <c r="O1103" s="49">
        <v>45272</v>
      </c>
      <c r="P1103" s="50">
        <v>42.016500000000001</v>
      </c>
    </row>
    <row r="1104" spans="4:16" x14ac:dyDescent="0.2">
      <c r="D1104">
        <v>100000671</v>
      </c>
      <c r="E1104" s="49">
        <v>44708</v>
      </c>
      <c r="F1104" t="s">
        <v>2566</v>
      </c>
      <c r="G1104" t="s">
        <v>1801</v>
      </c>
      <c r="H1104">
        <v>4</v>
      </c>
      <c r="I1104">
        <v>76.63</v>
      </c>
      <c r="J1104" s="50">
        <v>306.52</v>
      </c>
      <c r="K1104" t="s">
        <v>1632</v>
      </c>
      <c r="M1104" t="s">
        <v>1621</v>
      </c>
      <c r="N1104">
        <v>40.44</v>
      </c>
      <c r="O1104" s="49">
        <v>44711</v>
      </c>
      <c r="P1104" s="50">
        <v>137.934</v>
      </c>
    </row>
    <row r="1105" spans="4:16" x14ac:dyDescent="0.2">
      <c r="D1105">
        <v>100000673</v>
      </c>
      <c r="E1105" s="49">
        <v>45164</v>
      </c>
      <c r="F1105" t="s">
        <v>2567</v>
      </c>
      <c r="G1105" t="s">
        <v>1770</v>
      </c>
      <c r="H1105">
        <v>4</v>
      </c>
      <c r="I1105">
        <v>45.57</v>
      </c>
      <c r="J1105" s="50">
        <v>182.28</v>
      </c>
      <c r="K1105" t="s">
        <v>1618</v>
      </c>
      <c r="L1105" t="s">
        <v>2568</v>
      </c>
      <c r="M1105" t="s">
        <v>1627</v>
      </c>
      <c r="N1105">
        <v>24.05</v>
      </c>
      <c r="O1105" s="49">
        <v>45169</v>
      </c>
      <c r="P1105" s="50">
        <v>82.025999999999996</v>
      </c>
    </row>
    <row r="1106" spans="4:16" x14ac:dyDescent="0.2">
      <c r="D1106">
        <v>100000673</v>
      </c>
      <c r="E1106" s="49">
        <v>45310</v>
      </c>
      <c r="F1106" t="s">
        <v>2567</v>
      </c>
      <c r="G1106" t="s">
        <v>1675</v>
      </c>
      <c r="H1106">
        <v>7</v>
      </c>
      <c r="I1106">
        <v>66.75</v>
      </c>
      <c r="J1106" s="50">
        <v>467.25</v>
      </c>
      <c r="K1106" t="s">
        <v>1618</v>
      </c>
      <c r="L1106" t="s">
        <v>2568</v>
      </c>
      <c r="M1106" t="s">
        <v>1629</v>
      </c>
      <c r="N1106">
        <v>35.229999999999997</v>
      </c>
      <c r="O1106" s="49">
        <v>45313</v>
      </c>
      <c r="P1106" s="50">
        <v>210.26250000000002</v>
      </c>
    </row>
    <row r="1107" spans="4:16" x14ac:dyDescent="0.2">
      <c r="D1107">
        <v>100000674</v>
      </c>
      <c r="E1107" s="49">
        <v>45066</v>
      </c>
      <c r="F1107" t="s">
        <v>2569</v>
      </c>
      <c r="G1107" t="s">
        <v>2331</v>
      </c>
      <c r="H1107">
        <v>10</v>
      </c>
      <c r="I1107">
        <v>64.790000000000006</v>
      </c>
      <c r="J1107" s="50">
        <v>647.90000000000009</v>
      </c>
      <c r="K1107" t="s">
        <v>1618</v>
      </c>
      <c r="M1107" t="s">
        <v>1627</v>
      </c>
      <c r="N1107">
        <v>34.19</v>
      </c>
      <c r="O1107" s="49">
        <v>45069</v>
      </c>
      <c r="P1107" s="50">
        <v>291.55500000000006</v>
      </c>
    </row>
    <row r="1108" spans="4:16" x14ac:dyDescent="0.2">
      <c r="D1108">
        <v>100000675</v>
      </c>
      <c r="E1108" s="49">
        <v>44461</v>
      </c>
      <c r="F1108" t="s">
        <v>2570</v>
      </c>
      <c r="G1108" t="s">
        <v>2571</v>
      </c>
      <c r="H1108">
        <v>7</v>
      </c>
      <c r="I1108">
        <v>19.48</v>
      </c>
      <c r="J1108" s="50">
        <v>136.36000000000001</v>
      </c>
      <c r="K1108" t="s">
        <v>1618</v>
      </c>
      <c r="L1108" t="s">
        <v>2572</v>
      </c>
      <c r="M1108" t="s">
        <v>1624</v>
      </c>
      <c r="N1108">
        <v>10.28</v>
      </c>
      <c r="O1108" s="49">
        <v>44466</v>
      </c>
      <c r="P1108" s="50">
        <v>61.362000000000009</v>
      </c>
    </row>
    <row r="1109" spans="4:16" x14ac:dyDescent="0.2">
      <c r="D1109">
        <v>100000678</v>
      </c>
      <c r="E1109" s="49">
        <v>45498</v>
      </c>
      <c r="F1109" t="s">
        <v>2573</v>
      </c>
      <c r="G1109" t="s">
        <v>2574</v>
      </c>
      <c r="H1109">
        <v>2</v>
      </c>
      <c r="I1109">
        <v>92.69</v>
      </c>
      <c r="J1109" s="50">
        <v>185.38</v>
      </c>
      <c r="K1109" t="s">
        <v>1618</v>
      </c>
      <c r="M1109" t="s">
        <v>1627</v>
      </c>
      <c r="N1109">
        <v>48.92</v>
      </c>
      <c r="O1109" s="49">
        <v>45499</v>
      </c>
      <c r="P1109" s="50">
        <v>83.421000000000006</v>
      </c>
    </row>
    <row r="1110" spans="4:16" x14ac:dyDescent="0.2">
      <c r="D1110">
        <v>100000678</v>
      </c>
      <c r="E1110" s="49">
        <v>44797</v>
      </c>
      <c r="F1110" t="s">
        <v>2573</v>
      </c>
      <c r="G1110" t="s">
        <v>1789</v>
      </c>
      <c r="H1110">
        <v>6</v>
      </c>
      <c r="I1110">
        <v>17.13</v>
      </c>
      <c r="J1110" s="50">
        <v>102.78</v>
      </c>
      <c r="K1110" t="s">
        <v>1618</v>
      </c>
      <c r="M1110" t="s">
        <v>1624</v>
      </c>
      <c r="N1110">
        <v>9.0399999999999991</v>
      </c>
      <c r="O1110" s="49">
        <v>44800</v>
      </c>
      <c r="P1110" s="50">
        <v>46.251000000000005</v>
      </c>
    </row>
    <row r="1111" spans="4:16" x14ac:dyDescent="0.2">
      <c r="D1111">
        <v>100000678</v>
      </c>
      <c r="E1111" s="49">
        <v>44583</v>
      </c>
      <c r="F1111" t="s">
        <v>2573</v>
      </c>
      <c r="G1111" t="s">
        <v>2393</v>
      </c>
      <c r="H1111">
        <v>5</v>
      </c>
      <c r="I1111">
        <v>31.11</v>
      </c>
      <c r="J1111" s="50">
        <v>155.55000000000001</v>
      </c>
      <c r="K1111" t="s">
        <v>1618</v>
      </c>
      <c r="M1111" t="s">
        <v>1627</v>
      </c>
      <c r="N1111">
        <v>16.420000000000002</v>
      </c>
      <c r="O1111" s="49">
        <v>44584</v>
      </c>
      <c r="P1111" s="50">
        <v>69.997500000000002</v>
      </c>
    </row>
    <row r="1112" spans="4:16" x14ac:dyDescent="0.2">
      <c r="D1112">
        <v>100000678</v>
      </c>
      <c r="E1112" s="49">
        <v>45055</v>
      </c>
      <c r="F1112" t="s">
        <v>2573</v>
      </c>
      <c r="G1112" t="s">
        <v>2485</v>
      </c>
      <c r="H1112">
        <v>10</v>
      </c>
      <c r="I1112">
        <v>99.45</v>
      </c>
      <c r="J1112" s="50">
        <v>994.5</v>
      </c>
      <c r="K1112" t="s">
        <v>1618</v>
      </c>
      <c r="M1112" t="s">
        <v>1624</v>
      </c>
      <c r="N1112">
        <v>52.49</v>
      </c>
      <c r="O1112" s="49">
        <v>45058</v>
      </c>
      <c r="P1112" s="50">
        <v>447.52500000000003</v>
      </c>
    </row>
    <row r="1113" spans="4:16" x14ac:dyDescent="0.2">
      <c r="D1113">
        <v>100000680</v>
      </c>
      <c r="E1113" s="49">
        <v>45148</v>
      </c>
      <c r="F1113" t="s">
        <v>2575</v>
      </c>
      <c r="G1113" t="s">
        <v>1872</v>
      </c>
      <c r="H1113">
        <v>3</v>
      </c>
      <c r="I1113">
        <v>101.59</v>
      </c>
      <c r="J1113" s="50">
        <v>304.77</v>
      </c>
      <c r="K1113" t="s">
        <v>1632</v>
      </c>
      <c r="L1113" t="s">
        <v>2576</v>
      </c>
      <c r="M1113" t="s">
        <v>1627</v>
      </c>
      <c r="N1113">
        <v>53.62</v>
      </c>
      <c r="O1113" s="49">
        <v>45151</v>
      </c>
      <c r="P1113" s="50">
        <v>137.1465</v>
      </c>
    </row>
    <row r="1114" spans="4:16" x14ac:dyDescent="0.2">
      <c r="D1114">
        <v>100000681</v>
      </c>
      <c r="E1114" s="49">
        <v>45231</v>
      </c>
      <c r="F1114" t="s">
        <v>2577</v>
      </c>
      <c r="G1114" t="s">
        <v>2163</v>
      </c>
      <c r="H1114">
        <v>1</v>
      </c>
      <c r="I1114">
        <v>115.48</v>
      </c>
      <c r="J1114" s="50">
        <v>115.48</v>
      </c>
      <c r="K1114" t="s">
        <v>1632</v>
      </c>
      <c r="M1114" t="s">
        <v>1619</v>
      </c>
      <c r="N1114">
        <v>60.95</v>
      </c>
      <c r="O1114" s="49">
        <v>45234</v>
      </c>
      <c r="P1114" s="50">
        <v>51.966000000000001</v>
      </c>
    </row>
    <row r="1115" spans="4:16" x14ac:dyDescent="0.2">
      <c r="D1115">
        <v>100000681</v>
      </c>
      <c r="E1115" s="49">
        <v>45298</v>
      </c>
      <c r="F1115" t="s">
        <v>2577</v>
      </c>
      <c r="G1115" t="s">
        <v>1808</v>
      </c>
      <c r="H1115">
        <v>3</v>
      </c>
      <c r="I1115">
        <v>113.11</v>
      </c>
      <c r="J1115" s="50">
        <v>339.33</v>
      </c>
      <c r="K1115" t="s">
        <v>1632</v>
      </c>
      <c r="M1115" t="s">
        <v>1621</v>
      </c>
      <c r="N1115">
        <v>59.7</v>
      </c>
      <c r="O1115" s="49">
        <v>45299</v>
      </c>
      <c r="P1115" s="50">
        <v>152.6985</v>
      </c>
    </row>
    <row r="1116" spans="4:16" x14ac:dyDescent="0.2">
      <c r="D1116">
        <v>100000683</v>
      </c>
      <c r="E1116" s="49">
        <v>45033</v>
      </c>
      <c r="F1116" t="s">
        <v>2578</v>
      </c>
      <c r="G1116" t="s">
        <v>1623</v>
      </c>
      <c r="H1116">
        <v>10</v>
      </c>
      <c r="I1116">
        <v>27.24</v>
      </c>
      <c r="J1116" s="50">
        <v>272.39999999999998</v>
      </c>
      <c r="K1116" t="s">
        <v>1618</v>
      </c>
      <c r="M1116" t="s">
        <v>1627</v>
      </c>
      <c r="N1116">
        <v>14.38</v>
      </c>
      <c r="O1116" s="49">
        <v>45035</v>
      </c>
      <c r="P1116" s="50">
        <v>122.58</v>
      </c>
    </row>
    <row r="1117" spans="4:16" x14ac:dyDescent="0.2">
      <c r="D1117">
        <v>100000683</v>
      </c>
      <c r="E1117" s="49">
        <v>45228</v>
      </c>
      <c r="F1117" t="s">
        <v>2578</v>
      </c>
      <c r="G1117" t="s">
        <v>2230</v>
      </c>
      <c r="H1117">
        <v>1</v>
      </c>
      <c r="I1117">
        <v>61.07</v>
      </c>
      <c r="J1117" s="50">
        <v>61.07</v>
      </c>
      <c r="K1117" t="s">
        <v>1618</v>
      </c>
      <c r="M1117" t="s">
        <v>1629</v>
      </c>
      <c r="N1117">
        <v>32.229999999999997</v>
      </c>
      <c r="O1117" s="49">
        <v>45231</v>
      </c>
      <c r="P1117" s="50">
        <v>27.4815</v>
      </c>
    </row>
    <row r="1118" spans="4:16" x14ac:dyDescent="0.2">
      <c r="D1118">
        <v>100000684</v>
      </c>
      <c r="E1118" s="49">
        <v>45627</v>
      </c>
      <c r="F1118" t="s">
        <v>2579</v>
      </c>
      <c r="G1118" t="s">
        <v>1924</v>
      </c>
      <c r="H1118">
        <v>7</v>
      </c>
      <c r="I1118">
        <v>69.84</v>
      </c>
      <c r="J1118" s="50">
        <v>488.88</v>
      </c>
      <c r="K1118" t="s">
        <v>1618</v>
      </c>
      <c r="M1118" t="s">
        <v>1627</v>
      </c>
      <c r="N1118">
        <v>36.86</v>
      </c>
      <c r="O1118" s="49">
        <v>45630</v>
      </c>
      <c r="P1118" s="50">
        <v>219.99600000000001</v>
      </c>
    </row>
    <row r="1119" spans="4:16" x14ac:dyDescent="0.2">
      <c r="D1119">
        <v>100000685</v>
      </c>
      <c r="E1119" s="49">
        <v>45408</v>
      </c>
      <c r="F1119" t="s">
        <v>2580</v>
      </c>
      <c r="G1119" t="s">
        <v>2581</v>
      </c>
      <c r="H1119">
        <v>1</v>
      </c>
      <c r="I1119">
        <v>108.13</v>
      </c>
      <c r="J1119" s="50">
        <v>108.13</v>
      </c>
      <c r="K1119" t="s">
        <v>1618</v>
      </c>
      <c r="M1119" t="s">
        <v>1629</v>
      </c>
      <c r="N1119">
        <v>57.07</v>
      </c>
      <c r="O1119" s="49">
        <v>45410</v>
      </c>
      <c r="P1119" s="50">
        <v>48.658499999999997</v>
      </c>
    </row>
    <row r="1120" spans="4:16" x14ac:dyDescent="0.2">
      <c r="D1120">
        <v>100000686</v>
      </c>
      <c r="E1120" s="49">
        <v>44438</v>
      </c>
      <c r="F1120" t="s">
        <v>2582</v>
      </c>
      <c r="G1120" t="s">
        <v>2198</v>
      </c>
      <c r="H1120">
        <v>6</v>
      </c>
      <c r="I1120">
        <v>24.86</v>
      </c>
      <c r="J1120" s="50">
        <v>149.16</v>
      </c>
      <c r="K1120" t="s">
        <v>1632</v>
      </c>
      <c r="M1120" t="s">
        <v>1629</v>
      </c>
      <c r="N1120">
        <v>13.12</v>
      </c>
      <c r="O1120" s="49">
        <v>44439</v>
      </c>
      <c r="P1120" s="50">
        <v>67.122</v>
      </c>
    </row>
    <row r="1121" spans="4:16" x14ac:dyDescent="0.2">
      <c r="D1121">
        <v>100000686</v>
      </c>
      <c r="E1121" s="49">
        <v>44694</v>
      </c>
      <c r="F1121" t="s">
        <v>2582</v>
      </c>
      <c r="G1121" t="s">
        <v>1855</v>
      </c>
      <c r="H1121">
        <v>2</v>
      </c>
      <c r="I1121">
        <v>65.459999999999994</v>
      </c>
      <c r="J1121" s="50">
        <v>130.91999999999999</v>
      </c>
      <c r="K1121" t="s">
        <v>1632</v>
      </c>
      <c r="M1121" t="s">
        <v>1624</v>
      </c>
      <c r="N1121">
        <v>34.549999999999997</v>
      </c>
      <c r="O1121" s="49">
        <v>44698</v>
      </c>
      <c r="P1121" s="50">
        <v>58.913999999999994</v>
      </c>
    </row>
    <row r="1122" spans="4:16" x14ac:dyDescent="0.2">
      <c r="D1122">
        <v>100000686</v>
      </c>
      <c r="E1122" s="49">
        <v>45017</v>
      </c>
      <c r="F1122" t="s">
        <v>2582</v>
      </c>
      <c r="G1122" t="s">
        <v>1691</v>
      </c>
      <c r="H1122">
        <v>2</v>
      </c>
      <c r="I1122">
        <v>37.729999999999997</v>
      </c>
      <c r="J1122" s="50">
        <v>75.459999999999994</v>
      </c>
      <c r="K1122" t="s">
        <v>1632</v>
      </c>
      <c r="M1122" t="s">
        <v>1621</v>
      </c>
      <c r="N1122">
        <v>19.91</v>
      </c>
      <c r="O1122" s="49">
        <v>45021</v>
      </c>
      <c r="P1122" s="50">
        <v>33.957000000000001</v>
      </c>
    </row>
    <row r="1123" spans="4:16" x14ac:dyDescent="0.2">
      <c r="D1123">
        <v>100000686</v>
      </c>
      <c r="E1123" s="49">
        <v>44243</v>
      </c>
      <c r="F1123" t="s">
        <v>2582</v>
      </c>
      <c r="G1123" t="s">
        <v>1963</v>
      </c>
      <c r="H1123">
        <v>3</v>
      </c>
      <c r="I1123">
        <v>66.349999999999994</v>
      </c>
      <c r="J1123" s="50">
        <v>199.05</v>
      </c>
      <c r="K1123" t="s">
        <v>1632</v>
      </c>
      <c r="M1123" t="s">
        <v>1619</v>
      </c>
      <c r="N1123">
        <v>35.020000000000003</v>
      </c>
      <c r="O1123" s="49">
        <v>44245</v>
      </c>
      <c r="P1123" s="50">
        <v>89.572500000000005</v>
      </c>
    </row>
    <row r="1124" spans="4:16" x14ac:dyDescent="0.2">
      <c r="D1124">
        <v>100000686</v>
      </c>
      <c r="E1124" s="49">
        <v>45586</v>
      </c>
      <c r="F1124" t="s">
        <v>2582</v>
      </c>
      <c r="G1124" t="s">
        <v>2041</v>
      </c>
      <c r="H1124">
        <v>2</v>
      </c>
      <c r="I1124">
        <v>63.9</v>
      </c>
      <c r="J1124" s="50">
        <v>127.8</v>
      </c>
      <c r="K1124" t="s">
        <v>1632</v>
      </c>
      <c r="M1124" t="s">
        <v>1627</v>
      </c>
      <c r="N1124">
        <v>33.72</v>
      </c>
      <c r="O1124" s="49">
        <v>45588</v>
      </c>
      <c r="P1124" s="50">
        <v>57.51</v>
      </c>
    </row>
    <row r="1125" spans="4:16" x14ac:dyDescent="0.2">
      <c r="D1125">
        <v>100000687</v>
      </c>
      <c r="E1125" s="49">
        <v>45387</v>
      </c>
      <c r="F1125" t="s">
        <v>2583</v>
      </c>
      <c r="G1125" t="s">
        <v>2116</v>
      </c>
      <c r="H1125">
        <v>10</v>
      </c>
      <c r="I1125">
        <v>41.47</v>
      </c>
      <c r="J1125" s="50">
        <v>414.7</v>
      </c>
      <c r="K1125" t="s">
        <v>1632</v>
      </c>
      <c r="L1125" t="s">
        <v>2584</v>
      </c>
      <c r="M1125" t="s">
        <v>1619</v>
      </c>
      <c r="N1125">
        <v>21.89</v>
      </c>
      <c r="O1125" s="49">
        <v>45389</v>
      </c>
      <c r="P1125" s="50">
        <v>186.61500000000001</v>
      </c>
    </row>
    <row r="1126" spans="4:16" x14ac:dyDescent="0.2">
      <c r="D1126">
        <v>100000687</v>
      </c>
      <c r="E1126" s="49">
        <v>45482</v>
      </c>
      <c r="F1126" t="s">
        <v>2583</v>
      </c>
      <c r="G1126" t="s">
        <v>2585</v>
      </c>
      <c r="H1126">
        <v>1</v>
      </c>
      <c r="I1126">
        <v>82.65</v>
      </c>
      <c r="J1126" s="50">
        <v>82.65</v>
      </c>
      <c r="K1126" t="s">
        <v>1632</v>
      </c>
      <c r="L1126" t="s">
        <v>2584</v>
      </c>
      <c r="M1126" t="s">
        <v>1619</v>
      </c>
      <c r="N1126">
        <v>43.62</v>
      </c>
      <c r="O1126" s="49">
        <v>45485</v>
      </c>
      <c r="P1126" s="50">
        <v>37.192500000000003</v>
      </c>
    </row>
    <row r="1127" spans="4:16" x14ac:dyDescent="0.2">
      <c r="D1127">
        <v>100000690</v>
      </c>
      <c r="E1127" s="49">
        <v>44294</v>
      </c>
      <c r="F1127" t="s">
        <v>2586</v>
      </c>
      <c r="G1127" t="s">
        <v>2174</v>
      </c>
      <c r="H1127">
        <v>7</v>
      </c>
      <c r="I1127">
        <v>76.97</v>
      </c>
      <c r="J1127" s="50">
        <v>538.79</v>
      </c>
      <c r="K1127" t="s">
        <v>1632</v>
      </c>
      <c r="M1127" t="s">
        <v>1629</v>
      </c>
      <c r="N1127">
        <v>40.619999999999997</v>
      </c>
      <c r="O1127" s="49">
        <v>44298</v>
      </c>
      <c r="P1127" s="50">
        <v>242.4555</v>
      </c>
    </row>
    <row r="1128" spans="4:16" x14ac:dyDescent="0.2">
      <c r="D1128">
        <v>100000691</v>
      </c>
      <c r="E1128" s="49">
        <v>45194</v>
      </c>
      <c r="F1128" t="s">
        <v>2587</v>
      </c>
      <c r="G1128" t="s">
        <v>1775</v>
      </c>
      <c r="H1128">
        <v>10</v>
      </c>
      <c r="I1128">
        <v>119.15</v>
      </c>
      <c r="J1128" s="50">
        <v>1191.5</v>
      </c>
      <c r="K1128" t="s">
        <v>1632</v>
      </c>
      <c r="M1128" t="s">
        <v>1627</v>
      </c>
      <c r="N1128">
        <v>62.88</v>
      </c>
      <c r="O1128" s="49">
        <v>45195</v>
      </c>
      <c r="P1128" s="50">
        <v>536.17500000000007</v>
      </c>
    </row>
    <row r="1129" spans="4:16" x14ac:dyDescent="0.2">
      <c r="D1129">
        <v>100000692</v>
      </c>
      <c r="E1129" s="49">
        <v>44720</v>
      </c>
      <c r="F1129" t="s">
        <v>2588</v>
      </c>
      <c r="G1129" t="s">
        <v>2420</v>
      </c>
      <c r="H1129">
        <v>9</v>
      </c>
      <c r="I1129">
        <v>34.51</v>
      </c>
      <c r="J1129" s="50">
        <v>310.58999999999997</v>
      </c>
      <c r="K1129" t="s">
        <v>1618</v>
      </c>
      <c r="M1129" t="s">
        <v>1621</v>
      </c>
      <c r="N1129">
        <v>18.21</v>
      </c>
      <c r="O1129" s="49">
        <v>44724</v>
      </c>
      <c r="P1129" s="50">
        <v>139.7655</v>
      </c>
    </row>
    <row r="1130" spans="4:16" x14ac:dyDescent="0.2">
      <c r="D1130">
        <v>100000693</v>
      </c>
      <c r="E1130" s="49">
        <v>45633</v>
      </c>
      <c r="F1130" t="s">
        <v>2589</v>
      </c>
      <c r="G1130" t="s">
        <v>2331</v>
      </c>
      <c r="H1130">
        <v>3</v>
      </c>
      <c r="I1130">
        <v>38.99</v>
      </c>
      <c r="J1130" s="50">
        <v>116.97</v>
      </c>
      <c r="K1130" t="s">
        <v>1618</v>
      </c>
      <c r="M1130" t="s">
        <v>1629</v>
      </c>
      <c r="N1130">
        <v>20.58</v>
      </c>
      <c r="O1130" s="49">
        <v>45637</v>
      </c>
      <c r="P1130" s="50">
        <v>52.636499999999998</v>
      </c>
    </row>
    <row r="1131" spans="4:16" x14ac:dyDescent="0.2">
      <c r="D1131">
        <v>100000694</v>
      </c>
      <c r="E1131" s="49">
        <v>45338</v>
      </c>
      <c r="F1131" t="s">
        <v>2590</v>
      </c>
      <c r="G1131" t="s">
        <v>1831</v>
      </c>
      <c r="H1131">
        <v>9</v>
      </c>
      <c r="I1131">
        <v>33.93</v>
      </c>
      <c r="J1131" s="50">
        <v>305.37</v>
      </c>
      <c r="K1131" t="s">
        <v>1632</v>
      </c>
      <c r="M1131" t="s">
        <v>1621</v>
      </c>
      <c r="N1131">
        <v>17.91</v>
      </c>
      <c r="O1131" s="49">
        <v>45339</v>
      </c>
      <c r="P1131" s="50">
        <v>137.41650000000001</v>
      </c>
    </row>
    <row r="1132" spans="4:16" x14ac:dyDescent="0.2">
      <c r="D1132">
        <v>100000695</v>
      </c>
      <c r="E1132" s="49">
        <v>44650</v>
      </c>
      <c r="F1132" t="s">
        <v>2591</v>
      </c>
      <c r="G1132" t="s">
        <v>1676</v>
      </c>
      <c r="H1132">
        <v>2</v>
      </c>
      <c r="I1132">
        <v>71.23</v>
      </c>
      <c r="J1132" s="50">
        <v>142.46</v>
      </c>
      <c r="K1132" t="s">
        <v>1632</v>
      </c>
      <c r="M1132" t="s">
        <v>1619</v>
      </c>
      <c r="N1132">
        <v>37.590000000000003</v>
      </c>
      <c r="O1132" s="49">
        <v>44654</v>
      </c>
      <c r="P1132" s="50">
        <v>64.106999999999999</v>
      </c>
    </row>
    <row r="1133" spans="4:16" x14ac:dyDescent="0.2">
      <c r="D1133">
        <v>100000696</v>
      </c>
      <c r="E1133" s="49">
        <v>45066</v>
      </c>
      <c r="F1133" t="s">
        <v>2592</v>
      </c>
      <c r="G1133" t="s">
        <v>1950</v>
      </c>
      <c r="H1133">
        <v>7</v>
      </c>
      <c r="I1133">
        <v>104.7</v>
      </c>
      <c r="J1133" s="50">
        <v>732.9</v>
      </c>
      <c r="K1133" t="s">
        <v>1632</v>
      </c>
      <c r="L1133" t="s">
        <v>2593</v>
      </c>
      <c r="M1133" t="s">
        <v>1619</v>
      </c>
      <c r="N1133">
        <v>55.26</v>
      </c>
      <c r="O1133" s="49">
        <v>45069</v>
      </c>
      <c r="P1133" s="50">
        <v>329.80500000000001</v>
      </c>
    </row>
    <row r="1134" spans="4:16" x14ac:dyDescent="0.2">
      <c r="D1134">
        <v>100000696</v>
      </c>
      <c r="E1134" s="49">
        <v>44908</v>
      </c>
      <c r="F1134" t="s">
        <v>2592</v>
      </c>
      <c r="G1134" t="s">
        <v>1712</v>
      </c>
      <c r="H1134">
        <v>4</v>
      </c>
      <c r="I1134">
        <v>112.94</v>
      </c>
      <c r="J1134" s="50">
        <v>451.76</v>
      </c>
      <c r="K1134" t="s">
        <v>1632</v>
      </c>
      <c r="L1134" t="s">
        <v>2593</v>
      </c>
      <c r="M1134" t="s">
        <v>1621</v>
      </c>
      <c r="N1134">
        <v>59.61</v>
      </c>
      <c r="O1134" s="49">
        <v>44912</v>
      </c>
      <c r="P1134" s="50">
        <v>203.292</v>
      </c>
    </row>
    <row r="1135" spans="4:16" x14ac:dyDescent="0.2">
      <c r="D1135">
        <v>100000697</v>
      </c>
      <c r="E1135" s="49">
        <v>45525</v>
      </c>
      <c r="F1135" t="s">
        <v>2594</v>
      </c>
      <c r="G1135" t="s">
        <v>2130</v>
      </c>
      <c r="H1135">
        <v>4</v>
      </c>
      <c r="I1135">
        <v>54.35</v>
      </c>
      <c r="J1135" s="50">
        <v>217.4</v>
      </c>
      <c r="K1135" t="s">
        <v>1632</v>
      </c>
      <c r="M1135" t="s">
        <v>1627</v>
      </c>
      <c r="N1135">
        <v>28.68</v>
      </c>
      <c r="O1135" s="49">
        <v>45528</v>
      </c>
      <c r="P1135" s="50">
        <v>97.83</v>
      </c>
    </row>
    <row r="1136" spans="4:16" x14ac:dyDescent="0.2">
      <c r="D1136">
        <v>100000698</v>
      </c>
      <c r="E1136" s="49">
        <v>44760</v>
      </c>
      <c r="F1136" t="s">
        <v>2595</v>
      </c>
      <c r="G1136" t="s">
        <v>2198</v>
      </c>
      <c r="H1136">
        <v>10</v>
      </c>
      <c r="I1136">
        <v>74.5</v>
      </c>
      <c r="J1136" s="50">
        <v>745</v>
      </c>
      <c r="K1136" t="s">
        <v>1618</v>
      </c>
      <c r="M1136" t="s">
        <v>1629</v>
      </c>
      <c r="N1136">
        <v>39.32</v>
      </c>
      <c r="O1136" s="49">
        <v>44763</v>
      </c>
      <c r="P1136" s="50">
        <v>335.25</v>
      </c>
    </row>
    <row r="1137" spans="4:16" x14ac:dyDescent="0.2">
      <c r="D1137">
        <v>100000698</v>
      </c>
      <c r="E1137" s="49">
        <v>45512</v>
      </c>
      <c r="F1137" t="s">
        <v>2595</v>
      </c>
      <c r="G1137" t="s">
        <v>1902</v>
      </c>
      <c r="H1137">
        <v>4</v>
      </c>
      <c r="I1137">
        <v>98.57</v>
      </c>
      <c r="J1137" s="50">
        <v>394.28</v>
      </c>
      <c r="K1137" t="s">
        <v>1618</v>
      </c>
      <c r="M1137" t="s">
        <v>1624</v>
      </c>
      <c r="N1137">
        <v>52.02</v>
      </c>
      <c r="O1137" s="49">
        <v>45516</v>
      </c>
      <c r="P1137" s="50">
        <v>177.42599999999999</v>
      </c>
    </row>
    <row r="1138" spans="4:16" x14ac:dyDescent="0.2">
      <c r="D1138">
        <v>100000699</v>
      </c>
      <c r="E1138" s="49">
        <v>44490</v>
      </c>
      <c r="F1138" t="s">
        <v>2596</v>
      </c>
      <c r="G1138" t="s">
        <v>2071</v>
      </c>
      <c r="H1138">
        <v>6</v>
      </c>
      <c r="I1138">
        <v>48.33</v>
      </c>
      <c r="J1138" s="50">
        <v>289.98</v>
      </c>
      <c r="K1138" t="s">
        <v>1632</v>
      </c>
      <c r="M1138" t="s">
        <v>1624</v>
      </c>
      <c r="N1138">
        <v>25.51</v>
      </c>
      <c r="O1138" s="49">
        <v>44491</v>
      </c>
      <c r="P1138" s="50">
        <v>130.49100000000001</v>
      </c>
    </row>
    <row r="1139" spans="4:16" x14ac:dyDescent="0.2">
      <c r="D1139">
        <v>100000699</v>
      </c>
      <c r="E1139" s="49">
        <v>45286</v>
      </c>
      <c r="F1139" t="s">
        <v>2596</v>
      </c>
      <c r="G1139" t="s">
        <v>1720</v>
      </c>
      <c r="H1139">
        <v>7</v>
      </c>
      <c r="I1139">
        <v>40.22</v>
      </c>
      <c r="J1139" s="50">
        <v>281.54000000000002</v>
      </c>
      <c r="K1139" t="s">
        <v>1632</v>
      </c>
      <c r="M1139" t="s">
        <v>1619</v>
      </c>
      <c r="N1139">
        <v>21.23</v>
      </c>
      <c r="O1139" s="49">
        <v>45290</v>
      </c>
      <c r="P1139" s="50">
        <v>126.69300000000001</v>
      </c>
    </row>
    <row r="1140" spans="4:16" x14ac:dyDescent="0.2">
      <c r="D1140">
        <v>100000701</v>
      </c>
      <c r="E1140" s="49">
        <v>44769</v>
      </c>
      <c r="F1140" t="s">
        <v>2597</v>
      </c>
      <c r="G1140" t="s">
        <v>2431</v>
      </c>
      <c r="H1140">
        <v>7</v>
      </c>
      <c r="I1140">
        <v>22.81</v>
      </c>
      <c r="J1140" s="50">
        <v>159.66999999999999</v>
      </c>
      <c r="K1140" t="s">
        <v>1618</v>
      </c>
      <c r="M1140" t="s">
        <v>1627</v>
      </c>
      <c r="N1140">
        <v>12.04</v>
      </c>
      <c r="O1140" s="49">
        <v>44770</v>
      </c>
      <c r="P1140" s="50">
        <v>71.851500000000001</v>
      </c>
    </row>
    <row r="1141" spans="4:16" x14ac:dyDescent="0.2">
      <c r="D1141">
        <v>100000702</v>
      </c>
      <c r="E1141" s="49">
        <v>45444</v>
      </c>
      <c r="F1141" t="s">
        <v>2598</v>
      </c>
      <c r="G1141" t="s">
        <v>2047</v>
      </c>
      <c r="H1141">
        <v>10</v>
      </c>
      <c r="I1141">
        <v>83.5</v>
      </c>
      <c r="J1141" s="50">
        <v>835</v>
      </c>
      <c r="K1141" t="s">
        <v>1618</v>
      </c>
      <c r="M1141" t="s">
        <v>1629</v>
      </c>
      <c r="N1141">
        <v>44.07</v>
      </c>
      <c r="O1141" s="49">
        <v>45445</v>
      </c>
      <c r="P1141" s="50">
        <v>375.75</v>
      </c>
    </row>
    <row r="1142" spans="4:16" x14ac:dyDescent="0.2">
      <c r="D1142">
        <v>100000702</v>
      </c>
      <c r="E1142" s="49">
        <v>44382</v>
      </c>
      <c r="F1142" t="s">
        <v>2598</v>
      </c>
      <c r="G1142" t="s">
        <v>1760</v>
      </c>
      <c r="H1142">
        <v>5</v>
      </c>
      <c r="I1142">
        <v>39.130000000000003</v>
      </c>
      <c r="J1142" s="50">
        <v>195.65</v>
      </c>
      <c r="K1142" t="s">
        <v>1618</v>
      </c>
      <c r="M1142" t="s">
        <v>1627</v>
      </c>
      <c r="N1142">
        <v>20.65</v>
      </c>
      <c r="O1142" s="49">
        <v>44384</v>
      </c>
      <c r="P1142" s="50">
        <v>88.042500000000004</v>
      </c>
    </row>
    <row r="1143" spans="4:16" x14ac:dyDescent="0.2">
      <c r="D1143">
        <v>100000703</v>
      </c>
      <c r="E1143" s="49">
        <v>44683</v>
      </c>
      <c r="F1143" t="s">
        <v>2599</v>
      </c>
      <c r="G1143" t="s">
        <v>1955</v>
      </c>
      <c r="H1143">
        <v>5</v>
      </c>
      <c r="I1143">
        <v>95.3</v>
      </c>
      <c r="J1143" s="50">
        <v>476.5</v>
      </c>
      <c r="K1143" t="s">
        <v>1618</v>
      </c>
      <c r="M1143" t="s">
        <v>1624</v>
      </c>
      <c r="N1143">
        <v>50.3</v>
      </c>
      <c r="O1143" s="49">
        <v>44687</v>
      </c>
      <c r="P1143" s="50">
        <v>214.42500000000001</v>
      </c>
    </row>
    <row r="1144" spans="4:16" x14ac:dyDescent="0.2">
      <c r="D1144">
        <v>100000703</v>
      </c>
      <c r="E1144" s="49">
        <v>44412</v>
      </c>
      <c r="F1144" t="s">
        <v>2599</v>
      </c>
      <c r="G1144" t="s">
        <v>1726</v>
      </c>
      <c r="H1144">
        <v>2</v>
      </c>
      <c r="I1144">
        <v>100.65</v>
      </c>
      <c r="J1144" s="50">
        <v>201.3</v>
      </c>
      <c r="K1144" t="s">
        <v>1618</v>
      </c>
      <c r="M1144" t="s">
        <v>1629</v>
      </c>
      <c r="N1144">
        <v>53.12</v>
      </c>
      <c r="O1144" s="49">
        <v>44416</v>
      </c>
      <c r="P1144" s="50">
        <v>90.585000000000008</v>
      </c>
    </row>
    <row r="1145" spans="4:16" x14ac:dyDescent="0.2">
      <c r="D1145">
        <v>100000703</v>
      </c>
      <c r="E1145" s="49">
        <v>45280</v>
      </c>
      <c r="F1145" t="s">
        <v>2599</v>
      </c>
      <c r="G1145" t="s">
        <v>1999</v>
      </c>
      <c r="H1145">
        <v>3</v>
      </c>
      <c r="I1145">
        <v>25.5</v>
      </c>
      <c r="J1145" s="50">
        <v>76.5</v>
      </c>
      <c r="K1145" t="s">
        <v>1618</v>
      </c>
      <c r="M1145" t="s">
        <v>1619</v>
      </c>
      <c r="N1145">
        <v>13.46</v>
      </c>
      <c r="O1145" s="49">
        <v>45281</v>
      </c>
      <c r="P1145" s="50">
        <v>34.425000000000004</v>
      </c>
    </row>
    <row r="1146" spans="4:16" x14ac:dyDescent="0.2">
      <c r="D1146">
        <v>100000703</v>
      </c>
      <c r="E1146" s="49">
        <v>45220</v>
      </c>
      <c r="F1146" t="s">
        <v>2599</v>
      </c>
      <c r="G1146" t="s">
        <v>1973</v>
      </c>
      <c r="H1146">
        <v>10</v>
      </c>
      <c r="I1146">
        <v>21</v>
      </c>
      <c r="J1146" s="50">
        <v>210</v>
      </c>
      <c r="K1146" t="s">
        <v>1618</v>
      </c>
      <c r="M1146" t="s">
        <v>1619</v>
      </c>
      <c r="N1146">
        <v>11.08</v>
      </c>
      <c r="O1146" s="49">
        <v>45223</v>
      </c>
      <c r="P1146" s="50">
        <v>94.5</v>
      </c>
    </row>
    <row r="1147" spans="4:16" x14ac:dyDescent="0.2">
      <c r="D1147">
        <v>100000703</v>
      </c>
      <c r="E1147" s="49">
        <v>44455</v>
      </c>
      <c r="F1147" t="s">
        <v>2599</v>
      </c>
      <c r="G1147" t="s">
        <v>1929</v>
      </c>
      <c r="H1147">
        <v>2</v>
      </c>
      <c r="I1147">
        <v>103.21</v>
      </c>
      <c r="J1147" s="50">
        <v>206.42</v>
      </c>
      <c r="K1147" t="s">
        <v>1618</v>
      </c>
      <c r="M1147" t="s">
        <v>1619</v>
      </c>
      <c r="N1147">
        <v>54.47</v>
      </c>
      <c r="O1147" s="49">
        <v>44458</v>
      </c>
      <c r="P1147" s="50">
        <v>92.888999999999996</v>
      </c>
    </row>
    <row r="1148" spans="4:16" x14ac:dyDescent="0.2">
      <c r="D1148">
        <v>100000703</v>
      </c>
      <c r="E1148" s="49">
        <v>45637</v>
      </c>
      <c r="F1148" t="s">
        <v>2599</v>
      </c>
      <c r="G1148" t="s">
        <v>2343</v>
      </c>
      <c r="H1148">
        <v>10</v>
      </c>
      <c r="I1148">
        <v>80.63</v>
      </c>
      <c r="J1148" s="50">
        <v>806.3</v>
      </c>
      <c r="K1148" t="s">
        <v>1618</v>
      </c>
      <c r="M1148" t="s">
        <v>1624</v>
      </c>
      <c r="N1148">
        <v>42.55</v>
      </c>
      <c r="O1148" s="49">
        <v>45642</v>
      </c>
      <c r="P1148" s="50">
        <v>362.83499999999998</v>
      </c>
    </row>
    <row r="1149" spans="4:16" x14ac:dyDescent="0.2">
      <c r="D1149">
        <v>100000704</v>
      </c>
      <c r="E1149" s="49">
        <v>45317</v>
      </c>
      <c r="F1149" t="s">
        <v>2600</v>
      </c>
      <c r="G1149" t="s">
        <v>2255</v>
      </c>
      <c r="H1149">
        <v>6</v>
      </c>
      <c r="I1149">
        <v>10.54</v>
      </c>
      <c r="J1149" s="50">
        <v>63.239999999999988</v>
      </c>
      <c r="K1149" t="s">
        <v>1618</v>
      </c>
      <c r="M1149" t="s">
        <v>1629</v>
      </c>
      <c r="N1149">
        <v>5.56</v>
      </c>
      <c r="O1149" s="49">
        <v>45319</v>
      </c>
      <c r="P1149" s="50">
        <v>28.457999999999995</v>
      </c>
    </row>
    <row r="1150" spans="4:16" x14ac:dyDescent="0.2">
      <c r="D1150">
        <v>100000705</v>
      </c>
      <c r="E1150" s="49">
        <v>44719</v>
      </c>
      <c r="F1150" t="s">
        <v>2601</v>
      </c>
      <c r="G1150" t="s">
        <v>2147</v>
      </c>
      <c r="H1150">
        <v>2</v>
      </c>
      <c r="I1150">
        <v>39.76</v>
      </c>
      <c r="J1150" s="50">
        <v>79.52</v>
      </c>
      <c r="K1150" t="s">
        <v>1632</v>
      </c>
      <c r="L1150" t="s">
        <v>2602</v>
      </c>
      <c r="M1150" t="s">
        <v>1627</v>
      </c>
      <c r="N1150">
        <v>20.98</v>
      </c>
      <c r="O1150" s="49">
        <v>44723</v>
      </c>
      <c r="P1150" s="50">
        <v>35.783999999999999</v>
      </c>
    </row>
    <row r="1151" spans="4:16" x14ac:dyDescent="0.2">
      <c r="D1151">
        <v>100000705</v>
      </c>
      <c r="E1151" s="49">
        <v>45426</v>
      </c>
      <c r="F1151" t="s">
        <v>2601</v>
      </c>
      <c r="G1151" t="s">
        <v>1929</v>
      </c>
      <c r="H1151">
        <v>8</v>
      </c>
      <c r="I1151">
        <v>14.12</v>
      </c>
      <c r="J1151" s="50">
        <v>112.96</v>
      </c>
      <c r="K1151" t="s">
        <v>1632</v>
      </c>
      <c r="L1151" t="s">
        <v>2602</v>
      </c>
      <c r="M1151" t="s">
        <v>1624</v>
      </c>
      <c r="N1151">
        <v>7.45</v>
      </c>
      <c r="O1151" s="49">
        <v>45428</v>
      </c>
      <c r="P1151" s="50">
        <v>50.832000000000001</v>
      </c>
    </row>
    <row r="1152" spans="4:16" x14ac:dyDescent="0.2">
      <c r="D1152">
        <v>100000705</v>
      </c>
      <c r="E1152" s="49">
        <v>44777</v>
      </c>
      <c r="F1152" t="s">
        <v>2601</v>
      </c>
      <c r="G1152" t="s">
        <v>1945</v>
      </c>
      <c r="H1152">
        <v>1</v>
      </c>
      <c r="I1152">
        <v>15.43</v>
      </c>
      <c r="J1152" s="50">
        <v>15.43</v>
      </c>
      <c r="K1152" t="s">
        <v>1632</v>
      </c>
      <c r="L1152" t="s">
        <v>2602</v>
      </c>
      <c r="M1152" t="s">
        <v>1627</v>
      </c>
      <c r="N1152">
        <v>8.14</v>
      </c>
      <c r="O1152" s="49">
        <v>44781</v>
      </c>
      <c r="P1152" s="50">
        <v>6.9435000000000002</v>
      </c>
    </row>
    <row r="1153" spans="4:16" x14ac:dyDescent="0.2">
      <c r="D1153">
        <v>100000705</v>
      </c>
      <c r="E1153" s="49">
        <v>44309</v>
      </c>
      <c r="F1153" t="s">
        <v>2601</v>
      </c>
      <c r="G1153" t="s">
        <v>1663</v>
      </c>
      <c r="H1153">
        <v>7</v>
      </c>
      <c r="I1153">
        <v>18.63</v>
      </c>
      <c r="J1153" s="50">
        <v>130.41</v>
      </c>
      <c r="K1153" t="s">
        <v>1632</v>
      </c>
      <c r="L1153" t="s">
        <v>2602</v>
      </c>
      <c r="M1153" t="s">
        <v>1627</v>
      </c>
      <c r="N1153">
        <v>9.83</v>
      </c>
      <c r="O1153" s="49">
        <v>44310</v>
      </c>
      <c r="P1153" s="50">
        <v>58.6845</v>
      </c>
    </row>
    <row r="1154" spans="4:16" x14ac:dyDescent="0.2">
      <c r="D1154">
        <v>100000705</v>
      </c>
      <c r="E1154" s="49">
        <v>45466</v>
      </c>
      <c r="F1154" t="s">
        <v>2601</v>
      </c>
      <c r="G1154" t="s">
        <v>1754</v>
      </c>
      <c r="H1154">
        <v>10</v>
      </c>
      <c r="I1154">
        <v>70.53</v>
      </c>
      <c r="J1154" s="50">
        <v>705.3</v>
      </c>
      <c r="K1154" t="s">
        <v>1632</v>
      </c>
      <c r="L1154" t="s">
        <v>2602</v>
      </c>
      <c r="M1154" t="s">
        <v>1619</v>
      </c>
      <c r="N1154">
        <v>37.22</v>
      </c>
      <c r="O1154" s="49">
        <v>45469</v>
      </c>
      <c r="P1154" s="50">
        <v>317.38499999999999</v>
      </c>
    </row>
    <row r="1155" spans="4:16" x14ac:dyDescent="0.2">
      <c r="D1155">
        <v>100000705</v>
      </c>
      <c r="E1155" s="49">
        <v>45109</v>
      </c>
      <c r="F1155" t="s">
        <v>2601</v>
      </c>
      <c r="G1155" t="s">
        <v>1830</v>
      </c>
      <c r="H1155">
        <v>2</v>
      </c>
      <c r="I1155">
        <v>48.39</v>
      </c>
      <c r="J1155" s="50">
        <v>96.78</v>
      </c>
      <c r="K1155" t="s">
        <v>1632</v>
      </c>
      <c r="L1155" t="s">
        <v>2602</v>
      </c>
      <c r="M1155" t="s">
        <v>1629</v>
      </c>
      <c r="N1155">
        <v>25.54</v>
      </c>
      <c r="O1155" s="49">
        <v>45112</v>
      </c>
      <c r="P1155" s="50">
        <v>43.551000000000002</v>
      </c>
    </row>
    <row r="1156" spans="4:16" x14ac:dyDescent="0.2">
      <c r="D1156">
        <v>100000705</v>
      </c>
      <c r="E1156" s="49">
        <v>44383</v>
      </c>
      <c r="F1156" t="s">
        <v>2601</v>
      </c>
      <c r="G1156" t="s">
        <v>2603</v>
      </c>
      <c r="H1156">
        <v>1</v>
      </c>
      <c r="I1156">
        <v>114.05</v>
      </c>
      <c r="J1156" s="50">
        <v>114.05</v>
      </c>
      <c r="K1156" t="s">
        <v>1632</v>
      </c>
      <c r="L1156" t="s">
        <v>2602</v>
      </c>
      <c r="M1156" t="s">
        <v>1624</v>
      </c>
      <c r="N1156">
        <v>60.19</v>
      </c>
      <c r="O1156" s="49">
        <v>44388</v>
      </c>
      <c r="P1156" s="50">
        <v>51.322499999999998</v>
      </c>
    </row>
    <row r="1157" spans="4:16" x14ac:dyDescent="0.2">
      <c r="D1157">
        <v>100000706</v>
      </c>
      <c r="E1157" s="49">
        <v>44978</v>
      </c>
      <c r="F1157" t="s">
        <v>2604</v>
      </c>
      <c r="G1157" t="s">
        <v>2301</v>
      </c>
      <c r="H1157">
        <v>4</v>
      </c>
      <c r="I1157">
        <v>95.04</v>
      </c>
      <c r="J1157" s="50">
        <v>380.16</v>
      </c>
      <c r="K1157" t="s">
        <v>1632</v>
      </c>
      <c r="M1157" t="s">
        <v>1624</v>
      </c>
      <c r="N1157">
        <v>50.16</v>
      </c>
      <c r="O1157" s="49">
        <v>44981</v>
      </c>
      <c r="P1157" s="50">
        <v>171.072</v>
      </c>
    </row>
    <row r="1158" spans="4:16" x14ac:dyDescent="0.2">
      <c r="D1158">
        <v>100000706</v>
      </c>
      <c r="E1158" s="49">
        <v>44256</v>
      </c>
      <c r="F1158" t="s">
        <v>2604</v>
      </c>
      <c r="G1158" t="s">
        <v>2343</v>
      </c>
      <c r="H1158">
        <v>2</v>
      </c>
      <c r="I1158">
        <v>99.28</v>
      </c>
      <c r="J1158" s="50">
        <v>198.56</v>
      </c>
      <c r="K1158" t="s">
        <v>1632</v>
      </c>
      <c r="M1158" t="s">
        <v>1629</v>
      </c>
      <c r="N1158">
        <v>52.4</v>
      </c>
      <c r="O1158" s="49">
        <v>44259</v>
      </c>
      <c r="P1158" s="50">
        <v>89.352000000000004</v>
      </c>
    </row>
    <row r="1159" spans="4:16" x14ac:dyDescent="0.2">
      <c r="D1159">
        <v>100000706</v>
      </c>
      <c r="E1159" s="49">
        <v>44426</v>
      </c>
      <c r="F1159" t="s">
        <v>2604</v>
      </c>
      <c r="G1159" t="s">
        <v>1900</v>
      </c>
      <c r="H1159">
        <v>2</v>
      </c>
      <c r="I1159">
        <v>110.12</v>
      </c>
      <c r="J1159" s="50">
        <v>220.24</v>
      </c>
      <c r="K1159" t="s">
        <v>1632</v>
      </c>
      <c r="M1159" t="s">
        <v>1621</v>
      </c>
      <c r="N1159">
        <v>58.12</v>
      </c>
      <c r="O1159" s="49">
        <v>44428</v>
      </c>
      <c r="P1159" s="50">
        <v>99.108000000000004</v>
      </c>
    </row>
    <row r="1160" spans="4:16" x14ac:dyDescent="0.2">
      <c r="D1160">
        <v>100000706</v>
      </c>
      <c r="E1160" s="49">
        <v>45315</v>
      </c>
      <c r="F1160" t="s">
        <v>2604</v>
      </c>
      <c r="G1160" t="s">
        <v>2151</v>
      </c>
      <c r="H1160">
        <v>2</v>
      </c>
      <c r="I1160">
        <v>69.37</v>
      </c>
      <c r="J1160" s="50">
        <v>138.74</v>
      </c>
      <c r="K1160" t="s">
        <v>1632</v>
      </c>
      <c r="M1160" t="s">
        <v>1629</v>
      </c>
      <c r="N1160">
        <v>36.61</v>
      </c>
      <c r="O1160" s="49">
        <v>45320</v>
      </c>
      <c r="P1160" s="50">
        <v>62.433000000000007</v>
      </c>
    </row>
    <row r="1161" spans="4:16" x14ac:dyDescent="0.2">
      <c r="D1161">
        <v>100000707</v>
      </c>
      <c r="E1161" s="49">
        <v>44663</v>
      </c>
      <c r="F1161" t="s">
        <v>2605</v>
      </c>
      <c r="G1161" t="s">
        <v>1715</v>
      </c>
      <c r="H1161">
        <v>10</v>
      </c>
      <c r="I1161">
        <v>77.13</v>
      </c>
      <c r="J1161" s="50">
        <v>771.3</v>
      </c>
      <c r="K1161" t="s">
        <v>1618</v>
      </c>
      <c r="M1161" t="s">
        <v>1619</v>
      </c>
      <c r="N1161">
        <v>40.71</v>
      </c>
      <c r="O1161" s="49">
        <v>44665</v>
      </c>
      <c r="P1161" s="50">
        <v>347.08499999999998</v>
      </c>
    </row>
    <row r="1162" spans="4:16" x14ac:dyDescent="0.2">
      <c r="D1162">
        <v>100000707</v>
      </c>
      <c r="E1162" s="49">
        <v>44359</v>
      </c>
      <c r="F1162" t="s">
        <v>2605</v>
      </c>
      <c r="G1162" t="s">
        <v>1721</v>
      </c>
      <c r="H1162">
        <v>9</v>
      </c>
      <c r="I1162">
        <v>70.61</v>
      </c>
      <c r="J1162" s="50">
        <v>635.49</v>
      </c>
      <c r="K1162" t="s">
        <v>1618</v>
      </c>
      <c r="M1162" t="s">
        <v>1629</v>
      </c>
      <c r="N1162">
        <v>37.270000000000003</v>
      </c>
      <c r="O1162" s="49">
        <v>44364</v>
      </c>
      <c r="P1162" s="50">
        <v>285.97050000000002</v>
      </c>
    </row>
    <row r="1163" spans="4:16" x14ac:dyDescent="0.2">
      <c r="D1163">
        <v>100000707</v>
      </c>
      <c r="E1163" s="49">
        <v>45225</v>
      </c>
      <c r="F1163" t="s">
        <v>2605</v>
      </c>
      <c r="G1163" t="s">
        <v>1928</v>
      </c>
      <c r="H1163">
        <v>10</v>
      </c>
      <c r="I1163">
        <v>119.98</v>
      </c>
      <c r="J1163" s="50">
        <v>1199.8</v>
      </c>
      <c r="K1163" t="s">
        <v>1618</v>
      </c>
      <c r="M1163" t="s">
        <v>1621</v>
      </c>
      <c r="N1163">
        <v>63.32</v>
      </c>
      <c r="O1163" s="49">
        <v>45230</v>
      </c>
      <c r="P1163" s="50">
        <v>539.91</v>
      </c>
    </row>
    <row r="1164" spans="4:16" x14ac:dyDescent="0.2">
      <c r="D1164">
        <v>100000707</v>
      </c>
      <c r="E1164" s="49">
        <v>45091</v>
      </c>
      <c r="F1164" t="s">
        <v>2605</v>
      </c>
      <c r="G1164" t="s">
        <v>1730</v>
      </c>
      <c r="H1164">
        <v>9</v>
      </c>
      <c r="I1164">
        <v>52.22</v>
      </c>
      <c r="J1164" s="50">
        <v>469.98</v>
      </c>
      <c r="K1164" t="s">
        <v>1618</v>
      </c>
      <c r="M1164" t="s">
        <v>1629</v>
      </c>
      <c r="N1164">
        <v>27.56</v>
      </c>
      <c r="O1164" s="49">
        <v>45095</v>
      </c>
      <c r="P1164" s="50">
        <v>211.49100000000001</v>
      </c>
    </row>
    <row r="1165" spans="4:16" x14ac:dyDescent="0.2">
      <c r="D1165">
        <v>100000707</v>
      </c>
      <c r="E1165" s="49">
        <v>45256</v>
      </c>
      <c r="F1165" t="s">
        <v>2605</v>
      </c>
      <c r="G1165" t="s">
        <v>2390</v>
      </c>
      <c r="H1165">
        <v>5</v>
      </c>
      <c r="I1165">
        <v>34.79</v>
      </c>
      <c r="J1165" s="50">
        <v>173.95</v>
      </c>
      <c r="K1165" t="s">
        <v>1618</v>
      </c>
      <c r="M1165" t="s">
        <v>1619</v>
      </c>
      <c r="N1165">
        <v>18.36</v>
      </c>
      <c r="O1165" s="49">
        <v>45259</v>
      </c>
      <c r="P1165" s="50">
        <v>78.277500000000003</v>
      </c>
    </row>
    <row r="1166" spans="4:16" x14ac:dyDescent="0.2">
      <c r="D1166">
        <v>100000707</v>
      </c>
      <c r="E1166" s="49">
        <v>44705</v>
      </c>
      <c r="F1166" t="s">
        <v>2605</v>
      </c>
      <c r="G1166" t="s">
        <v>1727</v>
      </c>
      <c r="H1166">
        <v>2</v>
      </c>
      <c r="I1166">
        <v>82.54</v>
      </c>
      <c r="J1166" s="50">
        <v>165.08</v>
      </c>
      <c r="K1166" t="s">
        <v>1618</v>
      </c>
      <c r="M1166" t="s">
        <v>1621</v>
      </c>
      <c r="N1166">
        <v>43.56</v>
      </c>
      <c r="O1166" s="49">
        <v>44706</v>
      </c>
      <c r="P1166" s="50">
        <v>74.286000000000001</v>
      </c>
    </row>
    <row r="1167" spans="4:16" x14ac:dyDescent="0.2">
      <c r="D1167">
        <v>100000712</v>
      </c>
      <c r="E1167" s="49">
        <v>44324</v>
      </c>
      <c r="F1167" t="s">
        <v>2606</v>
      </c>
      <c r="G1167" t="s">
        <v>1944</v>
      </c>
      <c r="H1167">
        <v>6</v>
      </c>
      <c r="I1167">
        <v>14.31</v>
      </c>
      <c r="J1167" s="50">
        <v>85.86</v>
      </c>
      <c r="K1167" t="s">
        <v>1618</v>
      </c>
      <c r="M1167" t="s">
        <v>1629</v>
      </c>
      <c r="N1167">
        <v>7.55</v>
      </c>
      <c r="O1167" s="49">
        <v>44328</v>
      </c>
      <c r="P1167" s="50">
        <v>38.637</v>
      </c>
    </row>
    <row r="1168" spans="4:16" x14ac:dyDescent="0.2">
      <c r="D1168">
        <v>100000713</v>
      </c>
      <c r="E1168" s="49">
        <v>44609</v>
      </c>
      <c r="F1168" t="s">
        <v>2607</v>
      </c>
      <c r="G1168" t="s">
        <v>1740</v>
      </c>
      <c r="H1168">
        <v>7</v>
      </c>
      <c r="I1168">
        <v>76.92</v>
      </c>
      <c r="J1168" s="50">
        <v>538.44000000000005</v>
      </c>
      <c r="K1168" t="s">
        <v>1618</v>
      </c>
      <c r="M1168" t="s">
        <v>1621</v>
      </c>
      <c r="N1168">
        <v>40.6</v>
      </c>
      <c r="O1168" s="49">
        <v>44611</v>
      </c>
      <c r="P1168" s="50">
        <v>242.29800000000003</v>
      </c>
    </row>
    <row r="1169" spans="4:16" x14ac:dyDescent="0.2">
      <c r="D1169">
        <v>100000714</v>
      </c>
      <c r="E1169" s="49">
        <v>44354</v>
      </c>
      <c r="F1169" t="s">
        <v>2608</v>
      </c>
      <c r="G1169" t="s">
        <v>2147</v>
      </c>
      <c r="H1169">
        <v>2</v>
      </c>
      <c r="I1169">
        <v>17.649999999999999</v>
      </c>
      <c r="J1169" s="50">
        <v>35.299999999999997</v>
      </c>
      <c r="K1169" t="s">
        <v>1618</v>
      </c>
      <c r="L1169" t="s">
        <v>2609</v>
      </c>
      <c r="M1169" t="s">
        <v>1619</v>
      </c>
      <c r="N1169">
        <v>9.32</v>
      </c>
      <c r="O1169" s="49">
        <v>44357</v>
      </c>
      <c r="P1169" s="50">
        <v>15.885</v>
      </c>
    </row>
    <row r="1170" spans="4:16" x14ac:dyDescent="0.2">
      <c r="D1170">
        <v>100000714</v>
      </c>
      <c r="E1170" s="49">
        <v>44752</v>
      </c>
      <c r="F1170" t="s">
        <v>2608</v>
      </c>
      <c r="G1170" t="s">
        <v>1648</v>
      </c>
      <c r="H1170">
        <v>8</v>
      </c>
      <c r="I1170">
        <v>88.2</v>
      </c>
      <c r="J1170" s="50">
        <v>705.6</v>
      </c>
      <c r="K1170" t="s">
        <v>1618</v>
      </c>
      <c r="L1170" t="s">
        <v>2609</v>
      </c>
      <c r="M1170" t="s">
        <v>1627</v>
      </c>
      <c r="N1170">
        <v>46.55</v>
      </c>
      <c r="O1170" s="49">
        <v>44757</v>
      </c>
      <c r="P1170" s="50">
        <v>317.52000000000004</v>
      </c>
    </row>
    <row r="1171" spans="4:16" x14ac:dyDescent="0.2">
      <c r="D1171">
        <v>100000715</v>
      </c>
      <c r="E1171" s="49">
        <v>45374</v>
      </c>
      <c r="F1171" t="s">
        <v>2610</v>
      </c>
      <c r="G1171" t="s">
        <v>2192</v>
      </c>
      <c r="H1171">
        <v>4</v>
      </c>
      <c r="I1171">
        <v>62.58</v>
      </c>
      <c r="J1171" s="50">
        <v>250.32</v>
      </c>
      <c r="K1171" t="s">
        <v>1618</v>
      </c>
      <c r="M1171" t="s">
        <v>1619</v>
      </c>
      <c r="N1171">
        <v>33.03</v>
      </c>
      <c r="O1171" s="49">
        <v>45377</v>
      </c>
      <c r="P1171" s="50">
        <v>112.64400000000001</v>
      </c>
    </row>
    <row r="1172" spans="4:16" x14ac:dyDescent="0.2">
      <c r="D1172">
        <v>100000715</v>
      </c>
      <c r="E1172" s="49">
        <v>44637</v>
      </c>
      <c r="F1172" t="s">
        <v>2610</v>
      </c>
      <c r="G1172" t="s">
        <v>1987</v>
      </c>
      <c r="H1172">
        <v>7</v>
      </c>
      <c r="I1172">
        <v>17.100000000000001</v>
      </c>
      <c r="J1172" s="50">
        <v>119.7</v>
      </c>
      <c r="K1172" t="s">
        <v>1618</v>
      </c>
      <c r="M1172" t="s">
        <v>1619</v>
      </c>
      <c r="N1172">
        <v>9.02</v>
      </c>
      <c r="O1172" s="49">
        <v>44642</v>
      </c>
      <c r="P1172" s="50">
        <v>53.865000000000002</v>
      </c>
    </row>
    <row r="1173" spans="4:16" x14ac:dyDescent="0.2">
      <c r="D1173">
        <v>100000715</v>
      </c>
      <c r="E1173" s="49">
        <v>45366</v>
      </c>
      <c r="F1173" t="s">
        <v>2610</v>
      </c>
      <c r="G1173" t="s">
        <v>1956</v>
      </c>
      <c r="H1173">
        <v>8</v>
      </c>
      <c r="I1173">
        <v>11</v>
      </c>
      <c r="J1173" s="50">
        <v>88</v>
      </c>
      <c r="K1173" t="s">
        <v>1618</v>
      </c>
      <c r="M1173" t="s">
        <v>1621</v>
      </c>
      <c r="N1173">
        <v>5.81</v>
      </c>
      <c r="O1173" s="49">
        <v>45370</v>
      </c>
      <c r="P1173" s="50">
        <v>39.6</v>
      </c>
    </row>
    <row r="1174" spans="4:16" x14ac:dyDescent="0.2">
      <c r="D1174">
        <v>100000715</v>
      </c>
      <c r="E1174" s="49">
        <v>44269</v>
      </c>
      <c r="F1174" t="s">
        <v>2610</v>
      </c>
      <c r="G1174" t="s">
        <v>2416</v>
      </c>
      <c r="H1174">
        <v>2</v>
      </c>
      <c r="I1174">
        <v>117.58</v>
      </c>
      <c r="J1174" s="50">
        <v>235.16</v>
      </c>
      <c r="K1174" t="s">
        <v>1618</v>
      </c>
      <c r="M1174" t="s">
        <v>1627</v>
      </c>
      <c r="N1174">
        <v>62.06</v>
      </c>
      <c r="O1174" s="49">
        <v>44272</v>
      </c>
      <c r="P1174" s="50">
        <v>105.822</v>
      </c>
    </row>
    <row r="1175" spans="4:16" x14ac:dyDescent="0.2">
      <c r="D1175">
        <v>100000715</v>
      </c>
      <c r="E1175" s="49">
        <v>45382</v>
      </c>
      <c r="F1175" t="s">
        <v>2610</v>
      </c>
      <c r="G1175" t="s">
        <v>1900</v>
      </c>
      <c r="H1175">
        <v>7</v>
      </c>
      <c r="I1175">
        <v>56.14</v>
      </c>
      <c r="J1175" s="50">
        <v>392.98</v>
      </c>
      <c r="K1175" t="s">
        <v>1618</v>
      </c>
      <c r="M1175" t="s">
        <v>1619</v>
      </c>
      <c r="N1175">
        <v>29.63</v>
      </c>
      <c r="O1175" s="49">
        <v>45383</v>
      </c>
      <c r="P1175" s="50">
        <v>176.84100000000001</v>
      </c>
    </row>
    <row r="1176" spans="4:16" x14ac:dyDescent="0.2">
      <c r="D1176">
        <v>100000715</v>
      </c>
      <c r="E1176" s="49">
        <v>44971</v>
      </c>
      <c r="F1176" t="s">
        <v>2610</v>
      </c>
      <c r="G1176" t="s">
        <v>1617</v>
      </c>
      <c r="H1176">
        <v>4</v>
      </c>
      <c r="I1176">
        <v>83.17</v>
      </c>
      <c r="J1176" s="50">
        <v>332.68</v>
      </c>
      <c r="K1176" t="s">
        <v>1618</v>
      </c>
      <c r="M1176" t="s">
        <v>1619</v>
      </c>
      <c r="N1176">
        <v>43.89</v>
      </c>
      <c r="O1176" s="49">
        <v>44974</v>
      </c>
      <c r="P1176" s="50">
        <v>149.70600000000002</v>
      </c>
    </row>
    <row r="1177" spans="4:16" x14ac:dyDescent="0.2">
      <c r="D1177">
        <v>100000715</v>
      </c>
      <c r="E1177" s="49">
        <v>45332</v>
      </c>
      <c r="F1177" t="s">
        <v>2610</v>
      </c>
      <c r="G1177" t="s">
        <v>1729</v>
      </c>
      <c r="H1177">
        <v>7</v>
      </c>
      <c r="I1177">
        <v>42.03</v>
      </c>
      <c r="J1177" s="50">
        <v>294.20999999999998</v>
      </c>
      <c r="K1177" t="s">
        <v>1618</v>
      </c>
      <c r="M1177" t="s">
        <v>1629</v>
      </c>
      <c r="N1177">
        <v>22.18</v>
      </c>
      <c r="O1177" s="49">
        <v>45333</v>
      </c>
      <c r="P1177" s="50">
        <v>132.39449999999999</v>
      </c>
    </row>
    <row r="1178" spans="4:16" x14ac:dyDescent="0.2">
      <c r="D1178">
        <v>100000717</v>
      </c>
      <c r="E1178" s="49">
        <v>44859</v>
      </c>
      <c r="F1178" t="s">
        <v>2611</v>
      </c>
      <c r="G1178" t="s">
        <v>1868</v>
      </c>
      <c r="H1178">
        <v>5</v>
      </c>
      <c r="I1178">
        <v>32.159999999999997</v>
      </c>
      <c r="J1178" s="50">
        <v>160.80000000000001</v>
      </c>
      <c r="K1178" t="s">
        <v>1618</v>
      </c>
      <c r="M1178" t="s">
        <v>1621</v>
      </c>
      <c r="N1178">
        <v>16.97</v>
      </c>
      <c r="O1178" s="49">
        <v>44860</v>
      </c>
      <c r="P1178" s="50">
        <v>72.360000000000014</v>
      </c>
    </row>
    <row r="1179" spans="4:16" x14ac:dyDescent="0.2">
      <c r="D1179">
        <v>100000717</v>
      </c>
      <c r="E1179" s="49">
        <v>44570</v>
      </c>
      <c r="F1179" t="s">
        <v>2611</v>
      </c>
      <c r="G1179" t="s">
        <v>2465</v>
      </c>
      <c r="H1179">
        <v>4</v>
      </c>
      <c r="I1179">
        <v>102.23</v>
      </c>
      <c r="J1179" s="50">
        <v>408.92</v>
      </c>
      <c r="K1179" t="s">
        <v>1618</v>
      </c>
      <c r="M1179" t="s">
        <v>1624</v>
      </c>
      <c r="N1179">
        <v>53.95</v>
      </c>
      <c r="O1179" s="49">
        <v>44571</v>
      </c>
      <c r="P1179" s="50">
        <v>184.01400000000001</v>
      </c>
    </row>
    <row r="1180" spans="4:16" x14ac:dyDescent="0.2">
      <c r="D1180">
        <v>100000718</v>
      </c>
      <c r="E1180" s="49">
        <v>45002</v>
      </c>
      <c r="F1180" t="s">
        <v>2612</v>
      </c>
      <c r="G1180" t="s">
        <v>2613</v>
      </c>
      <c r="H1180">
        <v>8</v>
      </c>
      <c r="I1180">
        <v>26.3</v>
      </c>
      <c r="J1180" s="50">
        <v>210.4</v>
      </c>
      <c r="K1180" t="s">
        <v>1632</v>
      </c>
      <c r="L1180" t="s">
        <v>2614</v>
      </c>
      <c r="M1180" t="s">
        <v>1627</v>
      </c>
      <c r="N1180">
        <v>13.88</v>
      </c>
      <c r="O1180" s="49">
        <v>45006</v>
      </c>
      <c r="P1180" s="50">
        <v>94.68</v>
      </c>
    </row>
    <row r="1181" spans="4:16" x14ac:dyDescent="0.2">
      <c r="D1181">
        <v>100000718</v>
      </c>
      <c r="E1181" s="49">
        <v>44879</v>
      </c>
      <c r="F1181" t="s">
        <v>2612</v>
      </c>
      <c r="G1181" t="s">
        <v>2132</v>
      </c>
      <c r="H1181">
        <v>8</v>
      </c>
      <c r="I1181">
        <v>59.44</v>
      </c>
      <c r="J1181" s="50">
        <v>475.52</v>
      </c>
      <c r="K1181" t="s">
        <v>1632</v>
      </c>
      <c r="L1181" t="s">
        <v>2614</v>
      </c>
      <c r="M1181" t="s">
        <v>1627</v>
      </c>
      <c r="N1181">
        <v>31.37</v>
      </c>
      <c r="O1181" s="49">
        <v>44880</v>
      </c>
      <c r="P1181" s="50">
        <v>213.98400000000001</v>
      </c>
    </row>
    <row r="1182" spans="4:16" x14ac:dyDescent="0.2">
      <c r="D1182">
        <v>100000719</v>
      </c>
      <c r="E1182" s="49">
        <v>44883</v>
      </c>
      <c r="F1182" t="s">
        <v>2615</v>
      </c>
      <c r="G1182" t="s">
        <v>2074</v>
      </c>
      <c r="H1182">
        <v>7</v>
      </c>
      <c r="I1182">
        <v>41.05</v>
      </c>
      <c r="J1182" s="50">
        <v>287.35000000000002</v>
      </c>
      <c r="K1182" t="s">
        <v>1618</v>
      </c>
      <c r="M1182" t="s">
        <v>1629</v>
      </c>
      <c r="N1182">
        <v>21.67</v>
      </c>
      <c r="O1182" s="49">
        <v>44888</v>
      </c>
      <c r="P1182" s="50">
        <v>129.3075</v>
      </c>
    </row>
    <row r="1183" spans="4:16" x14ac:dyDescent="0.2">
      <c r="D1183">
        <v>100000719</v>
      </c>
      <c r="E1183" s="49">
        <v>45656</v>
      </c>
      <c r="F1183" t="s">
        <v>2615</v>
      </c>
      <c r="G1183" t="s">
        <v>2514</v>
      </c>
      <c r="H1183">
        <v>4</v>
      </c>
      <c r="I1183">
        <v>86.14</v>
      </c>
      <c r="J1183" s="50">
        <v>344.56</v>
      </c>
      <c r="K1183" t="s">
        <v>1618</v>
      </c>
      <c r="M1183" t="s">
        <v>1619</v>
      </c>
      <c r="N1183">
        <v>45.46</v>
      </c>
      <c r="O1183" s="49">
        <v>45661</v>
      </c>
      <c r="P1183" s="50">
        <v>155.05199999999999</v>
      </c>
    </row>
    <row r="1184" spans="4:16" x14ac:dyDescent="0.2">
      <c r="D1184">
        <v>100000720</v>
      </c>
      <c r="E1184" s="49">
        <v>44752</v>
      </c>
      <c r="F1184" t="s">
        <v>2616</v>
      </c>
      <c r="G1184" t="s">
        <v>1765</v>
      </c>
      <c r="H1184">
        <v>2</v>
      </c>
      <c r="I1184">
        <v>32.6</v>
      </c>
      <c r="J1184" s="50">
        <v>65.2</v>
      </c>
      <c r="K1184" t="s">
        <v>1618</v>
      </c>
      <c r="M1184" t="s">
        <v>1619</v>
      </c>
      <c r="N1184">
        <v>17.21</v>
      </c>
      <c r="O1184" s="49">
        <v>44757</v>
      </c>
      <c r="P1184" s="50">
        <v>29.340000000000003</v>
      </c>
    </row>
    <row r="1185" spans="4:16" x14ac:dyDescent="0.2">
      <c r="D1185">
        <v>100000722</v>
      </c>
      <c r="E1185" s="49">
        <v>45184</v>
      </c>
      <c r="F1185" t="s">
        <v>2617</v>
      </c>
      <c r="G1185" t="s">
        <v>1902</v>
      </c>
      <c r="H1185">
        <v>9</v>
      </c>
      <c r="I1185">
        <v>89.01</v>
      </c>
      <c r="J1185" s="50">
        <v>801.09</v>
      </c>
      <c r="K1185" t="s">
        <v>1618</v>
      </c>
      <c r="L1185" t="s">
        <v>2618</v>
      </c>
      <c r="M1185" t="s">
        <v>1629</v>
      </c>
      <c r="N1185">
        <v>46.98</v>
      </c>
      <c r="O1185" s="49">
        <v>45187</v>
      </c>
      <c r="P1185" s="50">
        <v>360.4905</v>
      </c>
    </row>
    <row r="1186" spans="4:16" x14ac:dyDescent="0.2">
      <c r="D1186">
        <v>100000722</v>
      </c>
      <c r="E1186" s="49">
        <v>45371</v>
      </c>
      <c r="F1186" t="s">
        <v>2617</v>
      </c>
      <c r="G1186" t="s">
        <v>1767</v>
      </c>
      <c r="H1186">
        <v>10</v>
      </c>
      <c r="I1186">
        <v>88.59</v>
      </c>
      <c r="J1186" s="50">
        <v>885.90000000000009</v>
      </c>
      <c r="K1186" t="s">
        <v>1618</v>
      </c>
      <c r="L1186" t="s">
        <v>2618</v>
      </c>
      <c r="M1186" t="s">
        <v>1624</v>
      </c>
      <c r="N1186">
        <v>46.76</v>
      </c>
      <c r="O1186" s="49">
        <v>45375</v>
      </c>
      <c r="P1186" s="50">
        <v>398.65500000000003</v>
      </c>
    </row>
    <row r="1187" spans="4:16" x14ac:dyDescent="0.2">
      <c r="D1187">
        <v>100000722</v>
      </c>
      <c r="E1187" s="49">
        <v>44225</v>
      </c>
      <c r="F1187" t="s">
        <v>2617</v>
      </c>
      <c r="G1187" t="s">
        <v>2230</v>
      </c>
      <c r="H1187">
        <v>7</v>
      </c>
      <c r="I1187">
        <v>17.12</v>
      </c>
      <c r="J1187" s="50">
        <v>119.84</v>
      </c>
      <c r="K1187" t="s">
        <v>1618</v>
      </c>
      <c r="L1187" t="s">
        <v>2618</v>
      </c>
      <c r="M1187" t="s">
        <v>1627</v>
      </c>
      <c r="N1187">
        <v>9.0399999999999991</v>
      </c>
      <c r="O1187" s="49">
        <v>44228</v>
      </c>
      <c r="P1187" s="50">
        <v>53.928000000000004</v>
      </c>
    </row>
    <row r="1188" spans="4:16" x14ac:dyDescent="0.2">
      <c r="D1188">
        <v>100000722</v>
      </c>
      <c r="E1188" s="49">
        <v>45202</v>
      </c>
      <c r="F1188" t="s">
        <v>2617</v>
      </c>
      <c r="G1188" t="s">
        <v>1785</v>
      </c>
      <c r="H1188">
        <v>5</v>
      </c>
      <c r="I1188">
        <v>79.44</v>
      </c>
      <c r="J1188" s="50">
        <v>397.2</v>
      </c>
      <c r="K1188" t="s">
        <v>1618</v>
      </c>
      <c r="L1188" t="s">
        <v>2618</v>
      </c>
      <c r="M1188" t="s">
        <v>1619</v>
      </c>
      <c r="N1188">
        <v>41.93</v>
      </c>
      <c r="O1188" s="49">
        <v>45207</v>
      </c>
      <c r="P1188" s="50">
        <v>178.74</v>
      </c>
    </row>
    <row r="1189" spans="4:16" x14ac:dyDescent="0.2">
      <c r="D1189">
        <v>100000723</v>
      </c>
      <c r="E1189" s="49">
        <v>44765</v>
      </c>
      <c r="F1189" t="s">
        <v>2619</v>
      </c>
      <c r="G1189" t="s">
        <v>2003</v>
      </c>
      <c r="H1189">
        <v>4</v>
      </c>
      <c r="I1189">
        <v>98.15</v>
      </c>
      <c r="J1189" s="50">
        <v>392.6</v>
      </c>
      <c r="K1189" t="s">
        <v>1618</v>
      </c>
      <c r="L1189" t="s">
        <v>2620</v>
      </c>
      <c r="M1189" t="s">
        <v>1621</v>
      </c>
      <c r="N1189">
        <v>51.8</v>
      </c>
      <c r="O1189" s="49">
        <v>44768</v>
      </c>
      <c r="P1189" s="50">
        <v>176.67000000000002</v>
      </c>
    </row>
    <row r="1190" spans="4:16" x14ac:dyDescent="0.2">
      <c r="D1190">
        <v>100000723</v>
      </c>
      <c r="E1190" s="49">
        <v>44604</v>
      </c>
      <c r="F1190" t="s">
        <v>2619</v>
      </c>
      <c r="G1190" t="s">
        <v>1765</v>
      </c>
      <c r="H1190">
        <v>4</v>
      </c>
      <c r="I1190">
        <v>18.25</v>
      </c>
      <c r="J1190" s="50">
        <v>73</v>
      </c>
      <c r="K1190" t="s">
        <v>1618</v>
      </c>
      <c r="L1190" t="s">
        <v>2620</v>
      </c>
      <c r="M1190" t="s">
        <v>1619</v>
      </c>
      <c r="N1190">
        <v>9.6300000000000008</v>
      </c>
      <c r="O1190" s="49">
        <v>44607</v>
      </c>
      <c r="P1190" s="50">
        <v>32.85</v>
      </c>
    </row>
    <row r="1191" spans="4:16" x14ac:dyDescent="0.2">
      <c r="D1191">
        <v>100000725</v>
      </c>
      <c r="E1191" s="49">
        <v>45400</v>
      </c>
      <c r="F1191" t="s">
        <v>2621</v>
      </c>
      <c r="G1191" t="s">
        <v>2431</v>
      </c>
      <c r="H1191">
        <v>9</v>
      </c>
      <c r="I1191">
        <v>56.07</v>
      </c>
      <c r="J1191" s="50">
        <v>504.63</v>
      </c>
      <c r="K1191" t="s">
        <v>1618</v>
      </c>
      <c r="M1191" t="s">
        <v>1619</v>
      </c>
      <c r="N1191">
        <v>29.59</v>
      </c>
      <c r="O1191" s="49">
        <v>45403</v>
      </c>
      <c r="P1191" s="50">
        <v>227.08350000000002</v>
      </c>
    </row>
    <row r="1192" spans="4:16" x14ac:dyDescent="0.2">
      <c r="D1192">
        <v>100000725</v>
      </c>
      <c r="E1192" s="49">
        <v>45038</v>
      </c>
      <c r="F1192" t="s">
        <v>2621</v>
      </c>
      <c r="G1192" t="s">
        <v>2328</v>
      </c>
      <c r="H1192">
        <v>5</v>
      </c>
      <c r="I1192">
        <v>106.29</v>
      </c>
      <c r="J1192" s="50">
        <v>531.45000000000005</v>
      </c>
      <c r="K1192" t="s">
        <v>1618</v>
      </c>
      <c r="M1192" t="s">
        <v>1619</v>
      </c>
      <c r="N1192">
        <v>56.1</v>
      </c>
      <c r="O1192" s="49">
        <v>45040</v>
      </c>
      <c r="P1192" s="50">
        <v>239.15250000000003</v>
      </c>
    </row>
    <row r="1193" spans="4:16" x14ac:dyDescent="0.2">
      <c r="D1193">
        <v>100000725</v>
      </c>
      <c r="E1193" s="49">
        <v>45220</v>
      </c>
      <c r="F1193" t="s">
        <v>2621</v>
      </c>
      <c r="G1193" t="s">
        <v>2207</v>
      </c>
      <c r="H1193">
        <v>7</v>
      </c>
      <c r="I1193">
        <v>60.18</v>
      </c>
      <c r="J1193" s="50">
        <v>421.26</v>
      </c>
      <c r="K1193" t="s">
        <v>1618</v>
      </c>
      <c r="M1193" t="s">
        <v>1627</v>
      </c>
      <c r="N1193">
        <v>31.76</v>
      </c>
      <c r="O1193" s="49">
        <v>45222</v>
      </c>
      <c r="P1193" s="50">
        <v>189.56700000000001</v>
      </c>
    </row>
    <row r="1194" spans="4:16" x14ac:dyDescent="0.2">
      <c r="D1194">
        <v>100000726</v>
      </c>
      <c r="E1194" s="49">
        <v>45299</v>
      </c>
      <c r="F1194" t="s">
        <v>2622</v>
      </c>
      <c r="G1194" t="s">
        <v>1955</v>
      </c>
      <c r="H1194">
        <v>6</v>
      </c>
      <c r="I1194">
        <v>61.59</v>
      </c>
      <c r="J1194" s="50">
        <v>369.54</v>
      </c>
      <c r="K1194" t="s">
        <v>1618</v>
      </c>
      <c r="L1194" t="s">
        <v>2623</v>
      </c>
      <c r="M1194" t="s">
        <v>1619</v>
      </c>
      <c r="N1194">
        <v>32.51</v>
      </c>
      <c r="O1194" s="49">
        <v>45301</v>
      </c>
      <c r="P1194" s="50">
        <v>166.29300000000001</v>
      </c>
    </row>
    <row r="1195" spans="4:16" x14ac:dyDescent="0.2">
      <c r="D1195">
        <v>100000726</v>
      </c>
      <c r="E1195" s="49">
        <v>44281</v>
      </c>
      <c r="F1195" t="s">
        <v>2622</v>
      </c>
      <c r="G1195" t="s">
        <v>1710</v>
      </c>
      <c r="H1195">
        <v>10</v>
      </c>
      <c r="I1195">
        <v>39.47</v>
      </c>
      <c r="J1195" s="50">
        <v>394.7</v>
      </c>
      <c r="K1195" t="s">
        <v>1618</v>
      </c>
      <c r="L1195" t="s">
        <v>2623</v>
      </c>
      <c r="M1195" t="s">
        <v>1621</v>
      </c>
      <c r="N1195">
        <v>20.83</v>
      </c>
      <c r="O1195" s="49">
        <v>44283</v>
      </c>
      <c r="P1195" s="50">
        <v>177.61500000000001</v>
      </c>
    </row>
    <row r="1196" spans="4:16" x14ac:dyDescent="0.2">
      <c r="D1196">
        <v>100000729</v>
      </c>
      <c r="E1196" s="49">
        <v>45456</v>
      </c>
      <c r="F1196" t="s">
        <v>2624</v>
      </c>
      <c r="G1196" t="s">
        <v>1623</v>
      </c>
      <c r="H1196">
        <v>5</v>
      </c>
      <c r="I1196">
        <v>52.25</v>
      </c>
      <c r="J1196" s="50">
        <v>261.25</v>
      </c>
      <c r="K1196" t="s">
        <v>1632</v>
      </c>
      <c r="M1196" t="s">
        <v>1629</v>
      </c>
      <c r="N1196">
        <v>27.58</v>
      </c>
      <c r="O1196" s="49">
        <v>45461</v>
      </c>
      <c r="P1196" s="50">
        <v>117.5625</v>
      </c>
    </row>
    <row r="1197" spans="4:16" x14ac:dyDescent="0.2">
      <c r="D1197">
        <v>100000730</v>
      </c>
      <c r="E1197" s="49">
        <v>45125</v>
      </c>
      <c r="F1197" t="s">
        <v>2625</v>
      </c>
      <c r="G1197" t="s">
        <v>2269</v>
      </c>
      <c r="H1197">
        <v>4</v>
      </c>
      <c r="I1197">
        <v>22.98</v>
      </c>
      <c r="J1197" s="50">
        <v>91.92</v>
      </c>
      <c r="K1197" t="s">
        <v>1632</v>
      </c>
      <c r="L1197" t="s">
        <v>2626</v>
      </c>
      <c r="M1197" t="s">
        <v>1624</v>
      </c>
      <c r="N1197">
        <v>12.13</v>
      </c>
      <c r="O1197" s="49">
        <v>45126</v>
      </c>
      <c r="P1197" s="50">
        <v>41.364000000000004</v>
      </c>
    </row>
    <row r="1198" spans="4:16" x14ac:dyDescent="0.2">
      <c r="D1198">
        <v>100000730</v>
      </c>
      <c r="E1198" s="49">
        <v>44445</v>
      </c>
      <c r="F1198" t="s">
        <v>2625</v>
      </c>
      <c r="G1198" t="s">
        <v>2357</v>
      </c>
      <c r="H1198">
        <v>5</v>
      </c>
      <c r="I1198">
        <v>89.92</v>
      </c>
      <c r="J1198" s="50">
        <v>449.6</v>
      </c>
      <c r="K1198" t="s">
        <v>1632</v>
      </c>
      <c r="L1198" t="s">
        <v>2626</v>
      </c>
      <c r="M1198" t="s">
        <v>1629</v>
      </c>
      <c r="N1198">
        <v>47.46</v>
      </c>
      <c r="O1198" s="49">
        <v>44447</v>
      </c>
      <c r="P1198" s="50">
        <v>202.32000000000002</v>
      </c>
    </row>
    <row r="1199" spans="4:16" x14ac:dyDescent="0.2">
      <c r="D1199">
        <v>100000730</v>
      </c>
      <c r="E1199" s="49">
        <v>44691</v>
      </c>
      <c r="F1199" t="s">
        <v>2625</v>
      </c>
      <c r="G1199" t="s">
        <v>2346</v>
      </c>
      <c r="H1199">
        <v>1</v>
      </c>
      <c r="I1199">
        <v>50.45</v>
      </c>
      <c r="J1199" s="50">
        <v>50.45</v>
      </c>
      <c r="K1199" t="s">
        <v>1632</v>
      </c>
      <c r="L1199" t="s">
        <v>2626</v>
      </c>
      <c r="M1199" t="s">
        <v>1621</v>
      </c>
      <c r="N1199">
        <v>26.63</v>
      </c>
      <c r="O1199" s="49">
        <v>44692</v>
      </c>
      <c r="P1199" s="50">
        <v>22.702500000000001</v>
      </c>
    </row>
    <row r="1200" spans="4:16" x14ac:dyDescent="0.2">
      <c r="D1200">
        <v>100000730</v>
      </c>
      <c r="E1200" s="49">
        <v>44748</v>
      </c>
      <c r="F1200" t="s">
        <v>2625</v>
      </c>
      <c r="G1200" t="s">
        <v>2147</v>
      </c>
      <c r="H1200">
        <v>2</v>
      </c>
      <c r="I1200">
        <v>97.58</v>
      </c>
      <c r="J1200" s="50">
        <v>195.16</v>
      </c>
      <c r="K1200" t="s">
        <v>1632</v>
      </c>
      <c r="L1200" t="s">
        <v>2626</v>
      </c>
      <c r="M1200" t="s">
        <v>1624</v>
      </c>
      <c r="N1200">
        <v>51.5</v>
      </c>
      <c r="O1200" s="49">
        <v>44752</v>
      </c>
      <c r="P1200" s="50">
        <v>87.822000000000003</v>
      </c>
    </row>
    <row r="1201" spans="4:16" x14ac:dyDescent="0.2">
      <c r="D1201">
        <v>100000731</v>
      </c>
      <c r="E1201" s="49">
        <v>45519</v>
      </c>
      <c r="F1201" t="s">
        <v>2627</v>
      </c>
      <c r="G1201" t="s">
        <v>2628</v>
      </c>
      <c r="H1201">
        <v>4</v>
      </c>
      <c r="I1201">
        <v>58.14</v>
      </c>
      <c r="J1201" s="50">
        <v>232.56</v>
      </c>
      <c r="K1201" t="s">
        <v>1632</v>
      </c>
      <c r="L1201" t="s">
        <v>2629</v>
      </c>
      <c r="M1201" t="s">
        <v>1629</v>
      </c>
      <c r="N1201">
        <v>30.68</v>
      </c>
      <c r="O1201" s="49">
        <v>45522</v>
      </c>
      <c r="P1201" s="50">
        <v>104.652</v>
      </c>
    </row>
    <row r="1202" spans="4:16" x14ac:dyDescent="0.2">
      <c r="D1202">
        <v>100000732</v>
      </c>
      <c r="E1202" s="49">
        <v>45639</v>
      </c>
      <c r="F1202" t="s">
        <v>2630</v>
      </c>
      <c r="G1202" t="s">
        <v>1999</v>
      </c>
      <c r="H1202">
        <v>7</v>
      </c>
      <c r="I1202">
        <v>38.869999999999997</v>
      </c>
      <c r="J1202" s="50">
        <v>272.08999999999997</v>
      </c>
      <c r="K1202" t="s">
        <v>1632</v>
      </c>
      <c r="M1202" t="s">
        <v>1624</v>
      </c>
      <c r="N1202">
        <v>20.51</v>
      </c>
      <c r="O1202" s="49">
        <v>45644</v>
      </c>
      <c r="P1202" s="50">
        <v>122.44049999999999</v>
      </c>
    </row>
    <row r="1203" spans="4:16" x14ac:dyDescent="0.2">
      <c r="D1203">
        <v>100000732</v>
      </c>
      <c r="E1203" s="49">
        <v>45478</v>
      </c>
      <c r="F1203" t="s">
        <v>2630</v>
      </c>
      <c r="G1203" t="s">
        <v>1717</v>
      </c>
      <c r="H1203">
        <v>10</v>
      </c>
      <c r="I1203">
        <v>46.38</v>
      </c>
      <c r="J1203" s="50">
        <v>463.8</v>
      </c>
      <c r="K1203" t="s">
        <v>1632</v>
      </c>
      <c r="M1203" t="s">
        <v>1624</v>
      </c>
      <c r="N1203">
        <v>24.48</v>
      </c>
      <c r="O1203" s="49">
        <v>45479</v>
      </c>
      <c r="P1203" s="50">
        <v>208.71</v>
      </c>
    </row>
    <row r="1204" spans="4:16" x14ac:dyDescent="0.2">
      <c r="D1204">
        <v>100000732</v>
      </c>
      <c r="E1204" s="49">
        <v>44609</v>
      </c>
      <c r="F1204" t="s">
        <v>2630</v>
      </c>
      <c r="G1204" t="s">
        <v>1785</v>
      </c>
      <c r="H1204">
        <v>3</v>
      </c>
      <c r="I1204">
        <v>14.37</v>
      </c>
      <c r="J1204" s="50">
        <v>43.11</v>
      </c>
      <c r="K1204" t="s">
        <v>1632</v>
      </c>
      <c r="M1204" t="s">
        <v>1619</v>
      </c>
      <c r="N1204">
        <v>7.58</v>
      </c>
      <c r="O1204" s="49">
        <v>44614</v>
      </c>
      <c r="P1204" s="50">
        <v>19.3995</v>
      </c>
    </row>
    <row r="1205" spans="4:16" x14ac:dyDescent="0.2">
      <c r="D1205">
        <v>100000732</v>
      </c>
      <c r="E1205" s="49">
        <v>45563</v>
      </c>
      <c r="F1205" t="s">
        <v>2630</v>
      </c>
      <c r="G1205" t="s">
        <v>1691</v>
      </c>
      <c r="H1205">
        <v>4</v>
      </c>
      <c r="I1205">
        <v>31.89</v>
      </c>
      <c r="J1205" s="50">
        <v>127.56</v>
      </c>
      <c r="K1205" t="s">
        <v>1632</v>
      </c>
      <c r="M1205" t="s">
        <v>1624</v>
      </c>
      <c r="N1205">
        <v>16.829999999999998</v>
      </c>
      <c r="O1205" s="49">
        <v>45567</v>
      </c>
      <c r="P1205" s="50">
        <v>57.402000000000001</v>
      </c>
    </row>
    <row r="1206" spans="4:16" x14ac:dyDescent="0.2">
      <c r="D1206">
        <v>100000732</v>
      </c>
      <c r="E1206" s="49">
        <v>44509</v>
      </c>
      <c r="F1206" t="s">
        <v>2630</v>
      </c>
      <c r="G1206" t="s">
        <v>1828</v>
      </c>
      <c r="H1206">
        <v>2</v>
      </c>
      <c r="I1206">
        <v>33.36</v>
      </c>
      <c r="J1206" s="50">
        <v>66.72</v>
      </c>
      <c r="K1206" t="s">
        <v>1632</v>
      </c>
      <c r="M1206" t="s">
        <v>1624</v>
      </c>
      <c r="N1206">
        <v>17.61</v>
      </c>
      <c r="O1206" s="49">
        <v>44510</v>
      </c>
      <c r="P1206" s="50">
        <v>30.024000000000001</v>
      </c>
    </row>
    <row r="1207" spans="4:16" x14ac:dyDescent="0.2">
      <c r="D1207">
        <v>100000733</v>
      </c>
      <c r="E1207" s="49">
        <v>45108</v>
      </c>
      <c r="F1207" t="s">
        <v>2631</v>
      </c>
      <c r="G1207" t="s">
        <v>2130</v>
      </c>
      <c r="H1207">
        <v>2</v>
      </c>
      <c r="I1207">
        <v>74.31</v>
      </c>
      <c r="J1207" s="50">
        <v>148.62</v>
      </c>
      <c r="K1207" t="s">
        <v>1632</v>
      </c>
      <c r="L1207" t="s">
        <v>2632</v>
      </c>
      <c r="M1207" t="s">
        <v>1629</v>
      </c>
      <c r="N1207">
        <v>39.22</v>
      </c>
      <c r="O1207" s="49">
        <v>45112</v>
      </c>
      <c r="P1207" s="50">
        <v>66.879000000000005</v>
      </c>
    </row>
    <row r="1208" spans="4:16" x14ac:dyDescent="0.2">
      <c r="D1208">
        <v>100000733</v>
      </c>
      <c r="E1208" s="49">
        <v>44662</v>
      </c>
      <c r="F1208" t="s">
        <v>2631</v>
      </c>
      <c r="G1208" t="s">
        <v>2633</v>
      </c>
      <c r="H1208">
        <v>5</v>
      </c>
      <c r="I1208">
        <v>87.35</v>
      </c>
      <c r="J1208" s="50">
        <v>436.75</v>
      </c>
      <c r="K1208" t="s">
        <v>1632</v>
      </c>
      <c r="L1208" t="s">
        <v>2632</v>
      </c>
      <c r="M1208" t="s">
        <v>1621</v>
      </c>
      <c r="N1208">
        <v>46.1</v>
      </c>
      <c r="O1208" s="49">
        <v>44664</v>
      </c>
      <c r="P1208" s="50">
        <v>196.53749999999999</v>
      </c>
    </row>
    <row r="1209" spans="4:16" x14ac:dyDescent="0.2">
      <c r="D1209">
        <v>100000733</v>
      </c>
      <c r="E1209" s="49">
        <v>45377</v>
      </c>
      <c r="F1209" t="s">
        <v>2631</v>
      </c>
      <c r="G1209" t="s">
        <v>1617</v>
      </c>
      <c r="H1209">
        <v>10</v>
      </c>
      <c r="I1209">
        <v>33.65</v>
      </c>
      <c r="J1209" s="50">
        <v>336.5</v>
      </c>
      <c r="K1209" t="s">
        <v>1632</v>
      </c>
      <c r="L1209" t="s">
        <v>2632</v>
      </c>
      <c r="M1209" t="s">
        <v>1619</v>
      </c>
      <c r="N1209">
        <v>17.760000000000002</v>
      </c>
      <c r="O1209" s="49">
        <v>45381</v>
      </c>
      <c r="P1209" s="50">
        <v>151.42500000000001</v>
      </c>
    </row>
    <row r="1210" spans="4:16" x14ac:dyDescent="0.2">
      <c r="D1210">
        <v>100000734</v>
      </c>
      <c r="E1210" s="49">
        <v>44473</v>
      </c>
      <c r="F1210" t="s">
        <v>2634</v>
      </c>
      <c r="G1210" t="s">
        <v>1679</v>
      </c>
      <c r="H1210">
        <v>10</v>
      </c>
      <c r="I1210">
        <v>70.86</v>
      </c>
      <c r="J1210" s="50">
        <v>708.6</v>
      </c>
      <c r="K1210" t="s">
        <v>1618</v>
      </c>
      <c r="L1210" t="s">
        <v>2635</v>
      </c>
      <c r="M1210" t="s">
        <v>1619</v>
      </c>
      <c r="N1210">
        <v>37.4</v>
      </c>
      <c r="O1210" s="49">
        <v>44474</v>
      </c>
      <c r="P1210" s="50">
        <v>318.87</v>
      </c>
    </row>
    <row r="1211" spans="4:16" x14ac:dyDescent="0.2">
      <c r="D1211">
        <v>100000735</v>
      </c>
      <c r="E1211" s="49">
        <v>44591</v>
      </c>
      <c r="F1211" t="s">
        <v>2636</v>
      </c>
      <c r="G1211" t="s">
        <v>2142</v>
      </c>
      <c r="H1211">
        <v>2</v>
      </c>
      <c r="I1211">
        <v>52.75</v>
      </c>
      <c r="J1211" s="50">
        <v>105.5</v>
      </c>
      <c r="K1211" t="s">
        <v>1632</v>
      </c>
      <c r="M1211" t="s">
        <v>1629</v>
      </c>
      <c r="N1211">
        <v>27.84</v>
      </c>
      <c r="O1211" s="49">
        <v>44596</v>
      </c>
      <c r="P1211" s="50">
        <v>47.475000000000001</v>
      </c>
    </row>
    <row r="1212" spans="4:16" x14ac:dyDescent="0.2">
      <c r="D1212">
        <v>100000736</v>
      </c>
      <c r="E1212" s="49">
        <v>45640</v>
      </c>
      <c r="F1212" t="s">
        <v>2637</v>
      </c>
      <c r="G1212" t="s">
        <v>1765</v>
      </c>
      <c r="H1212">
        <v>3</v>
      </c>
      <c r="I1212">
        <v>46.99</v>
      </c>
      <c r="J1212" s="50">
        <v>140.97</v>
      </c>
      <c r="K1212" t="s">
        <v>1618</v>
      </c>
      <c r="M1212" t="s">
        <v>1619</v>
      </c>
      <c r="N1212">
        <v>24.8</v>
      </c>
      <c r="O1212" s="49">
        <v>45643</v>
      </c>
      <c r="P1212" s="50">
        <v>63.436500000000002</v>
      </c>
    </row>
    <row r="1213" spans="4:16" x14ac:dyDescent="0.2">
      <c r="D1213">
        <v>100000736</v>
      </c>
      <c r="E1213" s="49">
        <v>45110</v>
      </c>
      <c r="F1213" t="s">
        <v>2637</v>
      </c>
      <c r="G1213" t="s">
        <v>1987</v>
      </c>
      <c r="H1213">
        <v>9</v>
      </c>
      <c r="I1213">
        <v>47.31</v>
      </c>
      <c r="J1213" s="50">
        <v>425.79</v>
      </c>
      <c r="K1213" t="s">
        <v>1618</v>
      </c>
      <c r="M1213" t="s">
        <v>1624</v>
      </c>
      <c r="N1213">
        <v>24.97</v>
      </c>
      <c r="O1213" s="49">
        <v>45113</v>
      </c>
      <c r="P1213" s="50">
        <v>191.60550000000001</v>
      </c>
    </row>
    <row r="1214" spans="4:16" x14ac:dyDescent="0.2">
      <c r="D1214">
        <v>100000736</v>
      </c>
      <c r="E1214" s="49">
        <v>44580</v>
      </c>
      <c r="F1214" t="s">
        <v>2637</v>
      </c>
      <c r="G1214" t="s">
        <v>2047</v>
      </c>
      <c r="H1214">
        <v>8</v>
      </c>
      <c r="I1214">
        <v>111.33</v>
      </c>
      <c r="J1214" s="50">
        <v>890.64</v>
      </c>
      <c r="K1214" t="s">
        <v>1618</v>
      </c>
      <c r="M1214" t="s">
        <v>1624</v>
      </c>
      <c r="N1214">
        <v>58.76</v>
      </c>
      <c r="O1214" s="49">
        <v>44585</v>
      </c>
      <c r="P1214" s="50">
        <v>400.78800000000001</v>
      </c>
    </row>
    <row r="1215" spans="4:16" x14ac:dyDescent="0.2">
      <c r="D1215">
        <v>100000737</v>
      </c>
      <c r="E1215" s="49">
        <v>44632</v>
      </c>
      <c r="F1215" t="s">
        <v>2638</v>
      </c>
      <c r="G1215" t="s">
        <v>2242</v>
      </c>
      <c r="H1215">
        <v>4</v>
      </c>
      <c r="I1215">
        <v>31.48</v>
      </c>
      <c r="J1215" s="50">
        <v>125.92</v>
      </c>
      <c r="K1215" t="s">
        <v>1618</v>
      </c>
      <c r="M1215" t="s">
        <v>1619</v>
      </c>
      <c r="N1215">
        <v>16.61</v>
      </c>
      <c r="O1215" s="49">
        <v>44636</v>
      </c>
      <c r="P1215" s="50">
        <v>56.664000000000001</v>
      </c>
    </row>
    <row r="1216" spans="4:16" x14ac:dyDescent="0.2">
      <c r="D1216">
        <v>100000738</v>
      </c>
      <c r="E1216" s="49">
        <v>44585</v>
      </c>
      <c r="F1216" t="s">
        <v>2639</v>
      </c>
      <c r="G1216" t="s">
        <v>2103</v>
      </c>
      <c r="H1216">
        <v>10</v>
      </c>
      <c r="I1216">
        <v>12.21</v>
      </c>
      <c r="J1216" s="50">
        <v>122.1</v>
      </c>
      <c r="K1216" t="s">
        <v>1618</v>
      </c>
      <c r="M1216" t="s">
        <v>1619</v>
      </c>
      <c r="N1216">
        <v>6.44</v>
      </c>
      <c r="O1216" s="49">
        <v>44590</v>
      </c>
      <c r="P1216" s="50">
        <v>54.945</v>
      </c>
    </row>
    <row r="1217" spans="4:16" x14ac:dyDescent="0.2">
      <c r="D1217">
        <v>100000738</v>
      </c>
      <c r="E1217" s="49">
        <v>44641</v>
      </c>
      <c r="F1217" t="s">
        <v>2639</v>
      </c>
      <c r="G1217" t="s">
        <v>2431</v>
      </c>
      <c r="H1217">
        <v>2</v>
      </c>
      <c r="I1217">
        <v>119.36</v>
      </c>
      <c r="J1217" s="50">
        <v>238.72</v>
      </c>
      <c r="K1217" t="s">
        <v>1618</v>
      </c>
      <c r="M1217" t="s">
        <v>1627</v>
      </c>
      <c r="N1217">
        <v>63</v>
      </c>
      <c r="O1217" s="49">
        <v>44645</v>
      </c>
      <c r="P1217" s="50">
        <v>107.42400000000001</v>
      </c>
    </row>
    <row r="1218" spans="4:16" x14ac:dyDescent="0.2">
      <c r="D1218">
        <v>100000738</v>
      </c>
      <c r="E1218" s="49">
        <v>45207</v>
      </c>
      <c r="F1218" t="s">
        <v>2639</v>
      </c>
      <c r="G1218" t="s">
        <v>1781</v>
      </c>
      <c r="H1218">
        <v>7</v>
      </c>
      <c r="I1218">
        <v>54.85</v>
      </c>
      <c r="J1218" s="50">
        <v>383.95</v>
      </c>
      <c r="K1218" t="s">
        <v>1618</v>
      </c>
      <c r="M1218" t="s">
        <v>1627</v>
      </c>
      <c r="N1218">
        <v>28.95</v>
      </c>
      <c r="O1218" s="49">
        <v>45211</v>
      </c>
      <c r="P1218" s="50">
        <v>172.7775</v>
      </c>
    </row>
    <row r="1219" spans="4:16" x14ac:dyDescent="0.2">
      <c r="D1219">
        <v>100000738</v>
      </c>
      <c r="E1219" s="49">
        <v>44678</v>
      </c>
      <c r="F1219" t="s">
        <v>2639</v>
      </c>
      <c r="G1219" t="s">
        <v>1885</v>
      </c>
      <c r="H1219">
        <v>3</v>
      </c>
      <c r="I1219">
        <v>67.47</v>
      </c>
      <c r="J1219" s="50">
        <v>202.41</v>
      </c>
      <c r="K1219" t="s">
        <v>1618</v>
      </c>
      <c r="M1219" t="s">
        <v>1621</v>
      </c>
      <c r="N1219">
        <v>35.61</v>
      </c>
      <c r="O1219" s="49">
        <v>44680</v>
      </c>
      <c r="P1219" s="50">
        <v>91.084500000000006</v>
      </c>
    </row>
    <row r="1220" spans="4:16" x14ac:dyDescent="0.2">
      <c r="D1220">
        <v>100000739</v>
      </c>
      <c r="E1220" s="49">
        <v>45159</v>
      </c>
      <c r="F1220" t="s">
        <v>2640</v>
      </c>
      <c r="G1220" t="s">
        <v>1724</v>
      </c>
      <c r="H1220">
        <v>2</v>
      </c>
      <c r="I1220">
        <v>34.840000000000003</v>
      </c>
      <c r="J1220" s="50">
        <v>69.680000000000007</v>
      </c>
      <c r="K1220" t="s">
        <v>1618</v>
      </c>
      <c r="M1220" t="s">
        <v>1624</v>
      </c>
      <c r="N1220">
        <v>18.39</v>
      </c>
      <c r="O1220" s="49">
        <v>45160</v>
      </c>
      <c r="P1220" s="50">
        <v>31.356000000000005</v>
      </c>
    </row>
    <row r="1221" spans="4:16" x14ac:dyDescent="0.2">
      <c r="D1221">
        <v>100000741</v>
      </c>
      <c r="E1221" s="49">
        <v>45220</v>
      </c>
      <c r="F1221" t="s">
        <v>2641</v>
      </c>
      <c r="G1221" t="s">
        <v>1833</v>
      </c>
      <c r="H1221">
        <v>10</v>
      </c>
      <c r="I1221">
        <v>101.78</v>
      </c>
      <c r="J1221" s="50">
        <v>1017.8</v>
      </c>
      <c r="K1221" t="s">
        <v>1618</v>
      </c>
      <c r="M1221" t="s">
        <v>1621</v>
      </c>
      <c r="N1221">
        <v>53.72</v>
      </c>
      <c r="O1221" s="49">
        <v>45221</v>
      </c>
      <c r="P1221" s="50">
        <v>458.01</v>
      </c>
    </row>
    <row r="1222" spans="4:16" x14ac:dyDescent="0.2">
      <c r="D1222">
        <v>100000742</v>
      </c>
      <c r="E1222" s="49">
        <v>45647</v>
      </c>
      <c r="F1222" t="s">
        <v>2642</v>
      </c>
      <c r="G1222" t="s">
        <v>2416</v>
      </c>
      <c r="H1222">
        <v>3</v>
      </c>
      <c r="I1222">
        <v>96.21</v>
      </c>
      <c r="J1222" s="50">
        <v>288.63</v>
      </c>
      <c r="K1222" t="s">
        <v>1632</v>
      </c>
      <c r="M1222" t="s">
        <v>1624</v>
      </c>
      <c r="N1222">
        <v>50.78</v>
      </c>
      <c r="O1222" s="49">
        <v>45651</v>
      </c>
      <c r="P1222" s="50">
        <v>129.8835</v>
      </c>
    </row>
    <row r="1223" spans="4:16" x14ac:dyDescent="0.2">
      <c r="D1223">
        <v>100000743</v>
      </c>
      <c r="E1223" s="49">
        <v>44533</v>
      </c>
      <c r="F1223" t="s">
        <v>2643</v>
      </c>
      <c r="G1223" t="s">
        <v>1950</v>
      </c>
      <c r="H1223">
        <v>3</v>
      </c>
      <c r="I1223">
        <v>35.200000000000003</v>
      </c>
      <c r="J1223" s="50">
        <v>105.6</v>
      </c>
      <c r="K1223" t="s">
        <v>1632</v>
      </c>
      <c r="M1223" t="s">
        <v>1627</v>
      </c>
      <c r="N1223">
        <v>18.579999999999998</v>
      </c>
      <c r="O1223" s="49">
        <v>44536</v>
      </c>
      <c r="P1223" s="50">
        <v>47.519999999999996</v>
      </c>
    </row>
    <row r="1224" spans="4:16" x14ac:dyDescent="0.2">
      <c r="D1224">
        <v>100000743</v>
      </c>
      <c r="E1224" s="49">
        <v>45285</v>
      </c>
      <c r="F1224" t="s">
        <v>2643</v>
      </c>
      <c r="G1224" t="s">
        <v>2331</v>
      </c>
      <c r="H1224">
        <v>7</v>
      </c>
      <c r="I1224">
        <v>106.09</v>
      </c>
      <c r="J1224" s="50">
        <v>742.63</v>
      </c>
      <c r="K1224" t="s">
        <v>1632</v>
      </c>
      <c r="M1224" t="s">
        <v>1621</v>
      </c>
      <c r="N1224">
        <v>55.99</v>
      </c>
      <c r="O1224" s="49">
        <v>45286</v>
      </c>
      <c r="P1224" s="50">
        <v>334.18349999999998</v>
      </c>
    </row>
    <row r="1225" spans="4:16" x14ac:dyDescent="0.2">
      <c r="D1225">
        <v>100000744</v>
      </c>
      <c r="E1225" s="49">
        <v>44232</v>
      </c>
      <c r="F1225" t="s">
        <v>2644</v>
      </c>
      <c r="G1225" t="s">
        <v>2420</v>
      </c>
      <c r="H1225">
        <v>6</v>
      </c>
      <c r="I1225">
        <v>55.24</v>
      </c>
      <c r="J1225" s="50">
        <v>331.44</v>
      </c>
      <c r="K1225" t="s">
        <v>1632</v>
      </c>
      <c r="L1225" t="s">
        <v>2645</v>
      </c>
      <c r="M1225" t="s">
        <v>1619</v>
      </c>
      <c r="N1225">
        <v>29.15</v>
      </c>
      <c r="O1225" s="49">
        <v>44236</v>
      </c>
      <c r="P1225" s="50">
        <v>149.148</v>
      </c>
    </row>
    <row r="1226" spans="4:16" x14ac:dyDescent="0.2">
      <c r="D1226">
        <v>100000744</v>
      </c>
      <c r="E1226" s="49">
        <v>45259</v>
      </c>
      <c r="F1226" t="s">
        <v>2644</v>
      </c>
      <c r="G1226" t="s">
        <v>1851</v>
      </c>
      <c r="H1226">
        <v>6</v>
      </c>
      <c r="I1226">
        <v>89.74</v>
      </c>
      <c r="J1226" s="50">
        <v>538.43999999999994</v>
      </c>
      <c r="K1226" t="s">
        <v>1632</v>
      </c>
      <c r="L1226" t="s">
        <v>2645</v>
      </c>
      <c r="M1226" t="s">
        <v>1624</v>
      </c>
      <c r="N1226">
        <v>47.36</v>
      </c>
      <c r="O1226" s="49">
        <v>45263</v>
      </c>
      <c r="P1226" s="50">
        <v>242.29799999999997</v>
      </c>
    </row>
    <row r="1227" spans="4:16" x14ac:dyDescent="0.2">
      <c r="D1227">
        <v>100000745</v>
      </c>
      <c r="E1227" s="49">
        <v>44521</v>
      </c>
      <c r="F1227" t="s">
        <v>2646</v>
      </c>
      <c r="G1227" t="s">
        <v>2416</v>
      </c>
      <c r="H1227">
        <v>7</v>
      </c>
      <c r="I1227">
        <v>87.68</v>
      </c>
      <c r="J1227" s="50">
        <v>613.76</v>
      </c>
      <c r="K1227" t="s">
        <v>1618</v>
      </c>
      <c r="M1227" t="s">
        <v>1627</v>
      </c>
      <c r="N1227">
        <v>46.28</v>
      </c>
      <c r="O1227" s="49">
        <v>44525</v>
      </c>
      <c r="P1227" s="50">
        <v>276.19200000000001</v>
      </c>
    </row>
    <row r="1228" spans="4:16" x14ac:dyDescent="0.2">
      <c r="D1228">
        <v>100000747</v>
      </c>
      <c r="E1228" s="49">
        <v>45316</v>
      </c>
      <c r="F1228" t="s">
        <v>2647</v>
      </c>
      <c r="G1228" t="s">
        <v>1663</v>
      </c>
      <c r="H1228">
        <v>6</v>
      </c>
      <c r="I1228">
        <v>18.84</v>
      </c>
      <c r="J1228" s="50">
        <v>113.04</v>
      </c>
      <c r="K1228" t="s">
        <v>1618</v>
      </c>
      <c r="M1228" t="s">
        <v>1619</v>
      </c>
      <c r="N1228">
        <v>9.94</v>
      </c>
      <c r="O1228" s="49">
        <v>45321</v>
      </c>
      <c r="P1228" s="50">
        <v>50.868000000000002</v>
      </c>
    </row>
    <row r="1229" spans="4:16" x14ac:dyDescent="0.2">
      <c r="D1229">
        <v>100000748</v>
      </c>
      <c r="E1229" s="49">
        <v>44524</v>
      </c>
      <c r="F1229" t="s">
        <v>2648</v>
      </c>
      <c r="G1229" t="s">
        <v>1846</v>
      </c>
      <c r="H1229">
        <v>4</v>
      </c>
      <c r="I1229">
        <v>85.1</v>
      </c>
      <c r="J1229" s="50">
        <v>340.4</v>
      </c>
      <c r="K1229" t="s">
        <v>1618</v>
      </c>
      <c r="M1229" t="s">
        <v>1629</v>
      </c>
      <c r="N1229">
        <v>44.91</v>
      </c>
      <c r="O1229" s="49">
        <v>44529</v>
      </c>
      <c r="P1229" s="50">
        <v>153.18</v>
      </c>
    </row>
    <row r="1230" spans="4:16" x14ac:dyDescent="0.2">
      <c r="D1230">
        <v>100000749</v>
      </c>
      <c r="E1230" s="49">
        <v>45426</v>
      </c>
      <c r="F1230" t="s">
        <v>2649</v>
      </c>
      <c r="G1230" t="s">
        <v>2017</v>
      </c>
      <c r="H1230">
        <v>9</v>
      </c>
      <c r="I1230">
        <v>101.12</v>
      </c>
      <c r="J1230" s="50">
        <v>910.08</v>
      </c>
      <c r="K1230" t="s">
        <v>1618</v>
      </c>
      <c r="M1230" t="s">
        <v>1619</v>
      </c>
      <c r="N1230">
        <v>53.37</v>
      </c>
      <c r="O1230" s="49">
        <v>45427</v>
      </c>
      <c r="P1230" s="50">
        <v>409.536</v>
      </c>
    </row>
    <row r="1231" spans="4:16" x14ac:dyDescent="0.2">
      <c r="D1231">
        <v>100000749</v>
      </c>
      <c r="E1231" s="49">
        <v>44674</v>
      </c>
      <c r="F1231" t="s">
        <v>2649</v>
      </c>
      <c r="G1231" t="s">
        <v>1929</v>
      </c>
      <c r="H1231">
        <v>10</v>
      </c>
      <c r="I1231">
        <v>98.31</v>
      </c>
      <c r="J1231" s="50">
        <v>983.1</v>
      </c>
      <c r="K1231" t="s">
        <v>1618</v>
      </c>
      <c r="M1231" t="s">
        <v>1619</v>
      </c>
      <c r="N1231">
        <v>51.89</v>
      </c>
      <c r="O1231" s="49">
        <v>44677</v>
      </c>
      <c r="P1231" s="50">
        <v>442.39500000000004</v>
      </c>
    </row>
    <row r="1232" spans="4:16" x14ac:dyDescent="0.2">
      <c r="D1232">
        <v>100000750</v>
      </c>
      <c r="E1232" s="49">
        <v>44475</v>
      </c>
      <c r="F1232" t="s">
        <v>2650</v>
      </c>
      <c r="G1232" t="s">
        <v>1714</v>
      </c>
      <c r="H1232">
        <v>8</v>
      </c>
      <c r="I1232">
        <v>80.95</v>
      </c>
      <c r="J1232" s="50">
        <v>647.6</v>
      </c>
      <c r="K1232" t="s">
        <v>1618</v>
      </c>
      <c r="M1232" t="s">
        <v>1629</v>
      </c>
      <c r="N1232">
        <v>42.72</v>
      </c>
      <c r="O1232" s="49">
        <v>44477</v>
      </c>
      <c r="P1232" s="50">
        <v>291.42</v>
      </c>
    </row>
    <row r="1233" spans="4:16" x14ac:dyDescent="0.2">
      <c r="D1233">
        <v>100000750</v>
      </c>
      <c r="E1233" s="49">
        <v>44244</v>
      </c>
      <c r="F1233" t="s">
        <v>2650</v>
      </c>
      <c r="G1233" t="s">
        <v>1655</v>
      </c>
      <c r="H1233">
        <v>6</v>
      </c>
      <c r="I1233">
        <v>71.010000000000005</v>
      </c>
      <c r="J1233" s="50">
        <v>426.06000000000012</v>
      </c>
      <c r="K1233" t="s">
        <v>1618</v>
      </c>
      <c r="M1233" t="s">
        <v>1624</v>
      </c>
      <c r="N1233">
        <v>37.479999999999997</v>
      </c>
      <c r="O1233" s="49">
        <v>44249</v>
      </c>
      <c r="P1233" s="50">
        <v>191.72700000000006</v>
      </c>
    </row>
    <row r="1234" spans="4:16" x14ac:dyDescent="0.2">
      <c r="D1234">
        <v>100000750</v>
      </c>
      <c r="E1234" s="49">
        <v>44657</v>
      </c>
      <c r="F1234" t="s">
        <v>2650</v>
      </c>
      <c r="G1234" t="s">
        <v>2016</v>
      </c>
      <c r="H1234">
        <v>8</v>
      </c>
      <c r="I1234">
        <v>101.52</v>
      </c>
      <c r="J1234" s="50">
        <v>812.16</v>
      </c>
      <c r="K1234" t="s">
        <v>1618</v>
      </c>
      <c r="M1234" t="s">
        <v>1627</v>
      </c>
      <c r="N1234">
        <v>53.58</v>
      </c>
      <c r="O1234" s="49">
        <v>44658</v>
      </c>
      <c r="P1234" s="50">
        <v>365.47199999999998</v>
      </c>
    </row>
    <row r="1235" spans="4:16" x14ac:dyDescent="0.2">
      <c r="D1235">
        <v>100000750</v>
      </c>
      <c r="E1235" s="49">
        <v>44652</v>
      </c>
      <c r="F1235" t="s">
        <v>2650</v>
      </c>
      <c r="G1235" t="s">
        <v>2151</v>
      </c>
      <c r="H1235">
        <v>7</v>
      </c>
      <c r="I1235">
        <v>70.069999999999993</v>
      </c>
      <c r="J1235" s="50">
        <v>490.49</v>
      </c>
      <c r="K1235" t="s">
        <v>1618</v>
      </c>
      <c r="M1235" t="s">
        <v>1621</v>
      </c>
      <c r="N1235">
        <v>36.979999999999997</v>
      </c>
      <c r="O1235" s="49">
        <v>44653</v>
      </c>
      <c r="P1235" s="50">
        <v>220.72050000000002</v>
      </c>
    </row>
    <row r="1236" spans="4:16" x14ac:dyDescent="0.2">
      <c r="D1236">
        <v>100000750</v>
      </c>
      <c r="E1236" s="49">
        <v>45436</v>
      </c>
      <c r="F1236" t="s">
        <v>2650</v>
      </c>
      <c r="G1236" t="s">
        <v>2291</v>
      </c>
      <c r="H1236">
        <v>1</v>
      </c>
      <c r="I1236">
        <v>62.98</v>
      </c>
      <c r="J1236" s="50">
        <v>62.98</v>
      </c>
      <c r="K1236" t="s">
        <v>1618</v>
      </c>
      <c r="M1236" t="s">
        <v>1629</v>
      </c>
      <c r="N1236">
        <v>33.24</v>
      </c>
      <c r="O1236" s="49">
        <v>45439</v>
      </c>
      <c r="P1236" s="50">
        <v>28.340999999999998</v>
      </c>
    </row>
    <row r="1237" spans="4:16" x14ac:dyDescent="0.2">
      <c r="D1237">
        <v>100000751</v>
      </c>
      <c r="E1237" s="49">
        <v>44462</v>
      </c>
      <c r="F1237" t="s">
        <v>2651</v>
      </c>
      <c r="G1237" t="s">
        <v>1664</v>
      </c>
      <c r="H1237">
        <v>8</v>
      </c>
      <c r="I1237">
        <v>88.32</v>
      </c>
      <c r="J1237" s="50">
        <v>706.56</v>
      </c>
      <c r="K1237" t="s">
        <v>1632</v>
      </c>
      <c r="M1237" t="s">
        <v>1629</v>
      </c>
      <c r="N1237">
        <v>46.61</v>
      </c>
      <c r="O1237" s="49">
        <v>44467</v>
      </c>
      <c r="P1237" s="50">
        <v>317.952</v>
      </c>
    </row>
    <row r="1238" spans="4:16" x14ac:dyDescent="0.2">
      <c r="D1238">
        <v>100000751</v>
      </c>
      <c r="E1238" s="49">
        <v>44396</v>
      </c>
      <c r="F1238" t="s">
        <v>2651</v>
      </c>
      <c r="G1238" t="s">
        <v>2194</v>
      </c>
      <c r="H1238">
        <v>7</v>
      </c>
      <c r="I1238">
        <v>39.340000000000003</v>
      </c>
      <c r="J1238" s="50">
        <v>275.38</v>
      </c>
      <c r="K1238" t="s">
        <v>1632</v>
      </c>
      <c r="M1238" t="s">
        <v>1619</v>
      </c>
      <c r="N1238">
        <v>20.76</v>
      </c>
      <c r="O1238" s="49">
        <v>44401</v>
      </c>
      <c r="P1238" s="50">
        <v>123.92100000000001</v>
      </c>
    </row>
    <row r="1239" spans="4:16" x14ac:dyDescent="0.2">
      <c r="D1239">
        <v>100000751</v>
      </c>
      <c r="E1239" s="49">
        <v>44981</v>
      </c>
      <c r="F1239" t="s">
        <v>2651</v>
      </c>
      <c r="G1239" t="s">
        <v>1922</v>
      </c>
      <c r="H1239">
        <v>3</v>
      </c>
      <c r="I1239">
        <v>55.12</v>
      </c>
      <c r="J1239" s="50">
        <v>165.36</v>
      </c>
      <c r="K1239" t="s">
        <v>1632</v>
      </c>
      <c r="M1239" t="s">
        <v>1619</v>
      </c>
      <c r="N1239">
        <v>29.09</v>
      </c>
      <c r="O1239" s="49">
        <v>44985</v>
      </c>
      <c r="P1239" s="50">
        <v>74.412000000000006</v>
      </c>
    </row>
    <row r="1240" spans="4:16" x14ac:dyDescent="0.2">
      <c r="D1240">
        <v>100000752</v>
      </c>
      <c r="E1240" s="49">
        <v>45014</v>
      </c>
      <c r="F1240" t="s">
        <v>2652</v>
      </c>
      <c r="G1240" t="s">
        <v>2420</v>
      </c>
      <c r="H1240">
        <v>1</v>
      </c>
      <c r="I1240">
        <v>87.79</v>
      </c>
      <c r="J1240" s="50">
        <v>87.79</v>
      </c>
      <c r="K1240" t="s">
        <v>1618</v>
      </c>
      <c r="L1240" t="s">
        <v>2653</v>
      </c>
      <c r="M1240" t="s">
        <v>1621</v>
      </c>
      <c r="N1240">
        <v>46.33</v>
      </c>
      <c r="O1240" s="49">
        <v>45017</v>
      </c>
      <c r="P1240" s="50">
        <v>39.505500000000005</v>
      </c>
    </row>
    <row r="1241" spans="4:16" x14ac:dyDescent="0.2">
      <c r="D1241">
        <v>100000753</v>
      </c>
      <c r="E1241" s="49">
        <v>44916</v>
      </c>
      <c r="F1241" t="s">
        <v>2654</v>
      </c>
      <c r="G1241" t="s">
        <v>1664</v>
      </c>
      <c r="H1241">
        <v>8</v>
      </c>
      <c r="I1241">
        <v>76.59</v>
      </c>
      <c r="J1241" s="50">
        <v>612.72</v>
      </c>
      <c r="K1241" t="s">
        <v>1632</v>
      </c>
      <c r="L1241" t="s">
        <v>2655</v>
      </c>
      <c r="M1241" t="s">
        <v>1619</v>
      </c>
      <c r="N1241">
        <v>40.42</v>
      </c>
      <c r="O1241" s="49">
        <v>44919</v>
      </c>
      <c r="P1241" s="50">
        <v>275.72400000000005</v>
      </c>
    </row>
    <row r="1242" spans="4:16" x14ac:dyDescent="0.2">
      <c r="D1242">
        <v>100000754</v>
      </c>
      <c r="E1242" s="49">
        <v>44714</v>
      </c>
      <c r="F1242" t="s">
        <v>2656</v>
      </c>
      <c r="G1242" t="s">
        <v>2042</v>
      </c>
      <c r="H1242">
        <v>10</v>
      </c>
      <c r="I1242">
        <v>90.73</v>
      </c>
      <c r="J1242" s="50">
        <v>907.30000000000007</v>
      </c>
      <c r="K1242" t="s">
        <v>1618</v>
      </c>
      <c r="M1242" t="s">
        <v>1627</v>
      </c>
      <c r="N1242">
        <v>47.88</v>
      </c>
      <c r="O1242" s="49">
        <v>44715</v>
      </c>
      <c r="P1242" s="50">
        <v>408.28500000000003</v>
      </c>
    </row>
    <row r="1243" spans="4:16" x14ac:dyDescent="0.2">
      <c r="D1243">
        <v>100000754</v>
      </c>
      <c r="E1243" s="49">
        <v>44477</v>
      </c>
      <c r="F1243" t="s">
        <v>2656</v>
      </c>
      <c r="G1243" t="s">
        <v>1901</v>
      </c>
      <c r="H1243">
        <v>10</v>
      </c>
      <c r="I1243">
        <v>47.67</v>
      </c>
      <c r="J1243" s="50">
        <v>476.7</v>
      </c>
      <c r="K1243" t="s">
        <v>1618</v>
      </c>
      <c r="M1243" t="s">
        <v>1619</v>
      </c>
      <c r="N1243">
        <v>25.16</v>
      </c>
      <c r="O1243" s="49">
        <v>44478</v>
      </c>
      <c r="P1243" s="50">
        <v>214.51499999999999</v>
      </c>
    </row>
    <row r="1244" spans="4:16" x14ac:dyDescent="0.2">
      <c r="D1244">
        <v>100000754</v>
      </c>
      <c r="E1244" s="49">
        <v>44419</v>
      </c>
      <c r="F1244" t="s">
        <v>2656</v>
      </c>
      <c r="G1244" t="s">
        <v>2125</v>
      </c>
      <c r="H1244">
        <v>5</v>
      </c>
      <c r="I1244">
        <v>34.549999999999997</v>
      </c>
      <c r="J1244" s="50">
        <v>172.75</v>
      </c>
      <c r="K1244" t="s">
        <v>1618</v>
      </c>
      <c r="M1244" t="s">
        <v>1621</v>
      </c>
      <c r="N1244">
        <v>18.23</v>
      </c>
      <c r="O1244" s="49">
        <v>44420</v>
      </c>
      <c r="P1244" s="50">
        <v>77.737499999999997</v>
      </c>
    </row>
    <row r="1245" spans="4:16" x14ac:dyDescent="0.2">
      <c r="D1245">
        <v>100000755</v>
      </c>
      <c r="E1245" s="49">
        <v>45576</v>
      </c>
      <c r="F1245" t="s">
        <v>2657</v>
      </c>
      <c r="G1245" t="s">
        <v>2658</v>
      </c>
      <c r="H1245">
        <v>2</v>
      </c>
      <c r="I1245">
        <v>47.45</v>
      </c>
      <c r="J1245" s="50">
        <v>94.9</v>
      </c>
      <c r="K1245" t="s">
        <v>1618</v>
      </c>
      <c r="M1245" t="s">
        <v>1627</v>
      </c>
      <c r="N1245">
        <v>25.04</v>
      </c>
      <c r="O1245" s="49">
        <v>45577</v>
      </c>
      <c r="P1245" s="50">
        <v>42.705000000000005</v>
      </c>
    </row>
    <row r="1246" spans="4:16" x14ac:dyDescent="0.2">
      <c r="D1246">
        <v>100000755</v>
      </c>
      <c r="E1246" s="49">
        <v>44301</v>
      </c>
      <c r="F1246" t="s">
        <v>2657</v>
      </c>
      <c r="G1246" t="s">
        <v>1844</v>
      </c>
      <c r="H1246">
        <v>9</v>
      </c>
      <c r="I1246">
        <v>89.14</v>
      </c>
      <c r="J1246" s="50">
        <v>802.26</v>
      </c>
      <c r="K1246" t="s">
        <v>1618</v>
      </c>
      <c r="M1246" t="s">
        <v>1629</v>
      </c>
      <c r="N1246">
        <v>47.05</v>
      </c>
      <c r="O1246" s="49">
        <v>44302</v>
      </c>
      <c r="P1246" s="50">
        <v>361.017</v>
      </c>
    </row>
    <row r="1247" spans="4:16" x14ac:dyDescent="0.2">
      <c r="D1247">
        <v>100000755</v>
      </c>
      <c r="E1247" s="49">
        <v>44279</v>
      </c>
      <c r="F1247" t="s">
        <v>2657</v>
      </c>
      <c r="G1247" t="s">
        <v>1844</v>
      </c>
      <c r="H1247">
        <v>5</v>
      </c>
      <c r="I1247">
        <v>116.97</v>
      </c>
      <c r="J1247" s="50">
        <v>584.85</v>
      </c>
      <c r="K1247" t="s">
        <v>1618</v>
      </c>
      <c r="M1247" t="s">
        <v>1621</v>
      </c>
      <c r="N1247">
        <v>61.73</v>
      </c>
      <c r="O1247" s="49">
        <v>44284</v>
      </c>
      <c r="P1247" s="50">
        <v>263.1825</v>
      </c>
    </row>
    <row r="1248" spans="4:16" x14ac:dyDescent="0.2">
      <c r="D1248">
        <v>100000756</v>
      </c>
      <c r="E1248" s="49">
        <v>44892</v>
      </c>
      <c r="F1248" t="s">
        <v>2659</v>
      </c>
      <c r="G1248" t="s">
        <v>1714</v>
      </c>
      <c r="H1248">
        <v>4</v>
      </c>
      <c r="I1248">
        <v>94.4</v>
      </c>
      <c r="J1248" s="50">
        <v>377.6</v>
      </c>
      <c r="K1248" t="s">
        <v>1618</v>
      </c>
      <c r="M1248" t="s">
        <v>1627</v>
      </c>
      <c r="N1248">
        <v>49.82</v>
      </c>
      <c r="O1248" s="49">
        <v>44893</v>
      </c>
      <c r="P1248" s="50">
        <v>169.92000000000002</v>
      </c>
    </row>
    <row r="1249" spans="4:16" x14ac:dyDescent="0.2">
      <c r="D1249">
        <v>100000756</v>
      </c>
      <c r="E1249" s="49">
        <v>45296</v>
      </c>
      <c r="F1249" t="s">
        <v>2659</v>
      </c>
      <c r="G1249" t="s">
        <v>2387</v>
      </c>
      <c r="H1249">
        <v>10</v>
      </c>
      <c r="I1249">
        <v>114.02</v>
      </c>
      <c r="J1249" s="50">
        <v>1140.2</v>
      </c>
      <c r="K1249" t="s">
        <v>1618</v>
      </c>
      <c r="M1249" t="s">
        <v>1619</v>
      </c>
      <c r="N1249">
        <v>60.18</v>
      </c>
      <c r="O1249" s="49">
        <v>45297</v>
      </c>
      <c r="P1249" s="50">
        <v>513.09</v>
      </c>
    </row>
    <row r="1250" spans="4:16" x14ac:dyDescent="0.2">
      <c r="D1250">
        <v>100000757</v>
      </c>
      <c r="E1250" s="49">
        <v>45174</v>
      </c>
      <c r="F1250" t="s">
        <v>2660</v>
      </c>
      <c r="G1250" t="s">
        <v>1953</v>
      </c>
      <c r="H1250">
        <v>7</v>
      </c>
      <c r="I1250">
        <v>97.62</v>
      </c>
      <c r="J1250" s="50">
        <v>683.34</v>
      </c>
      <c r="K1250" t="s">
        <v>1632</v>
      </c>
      <c r="L1250" t="s">
        <v>2661</v>
      </c>
      <c r="M1250" t="s">
        <v>1621</v>
      </c>
      <c r="N1250">
        <v>51.52</v>
      </c>
      <c r="O1250" s="49">
        <v>45177</v>
      </c>
      <c r="P1250" s="50">
        <v>307.50300000000004</v>
      </c>
    </row>
    <row r="1251" spans="4:16" x14ac:dyDescent="0.2">
      <c r="D1251">
        <v>100000761</v>
      </c>
      <c r="E1251" s="49">
        <v>44471</v>
      </c>
      <c r="F1251" t="s">
        <v>2662</v>
      </c>
      <c r="G1251" t="s">
        <v>1749</v>
      </c>
      <c r="H1251">
        <v>8</v>
      </c>
      <c r="I1251">
        <v>112.76</v>
      </c>
      <c r="J1251" s="50">
        <v>902.08</v>
      </c>
      <c r="K1251" t="s">
        <v>1632</v>
      </c>
      <c r="M1251" t="s">
        <v>1627</v>
      </c>
      <c r="N1251">
        <v>59.51</v>
      </c>
      <c r="O1251" s="49">
        <v>44475</v>
      </c>
      <c r="P1251" s="50">
        <v>405.93600000000004</v>
      </c>
    </row>
    <row r="1252" spans="4:16" x14ac:dyDescent="0.2">
      <c r="D1252">
        <v>100000761</v>
      </c>
      <c r="E1252" s="49">
        <v>44579</v>
      </c>
      <c r="F1252" t="s">
        <v>2662</v>
      </c>
      <c r="G1252" t="s">
        <v>1895</v>
      </c>
      <c r="H1252">
        <v>6</v>
      </c>
      <c r="I1252">
        <v>115.86</v>
      </c>
      <c r="J1252" s="50">
        <v>695.16</v>
      </c>
      <c r="K1252" t="s">
        <v>1632</v>
      </c>
      <c r="M1252" t="s">
        <v>1619</v>
      </c>
      <c r="N1252">
        <v>61.15</v>
      </c>
      <c r="O1252" s="49">
        <v>44583</v>
      </c>
      <c r="P1252" s="50">
        <v>312.822</v>
      </c>
    </row>
    <row r="1253" spans="4:16" x14ac:dyDescent="0.2">
      <c r="D1253">
        <v>100000761</v>
      </c>
      <c r="E1253" s="49">
        <v>44966</v>
      </c>
      <c r="F1253" t="s">
        <v>2662</v>
      </c>
      <c r="G1253" t="s">
        <v>1729</v>
      </c>
      <c r="H1253">
        <v>2</v>
      </c>
      <c r="I1253">
        <v>115.85</v>
      </c>
      <c r="J1253" s="50">
        <v>231.7</v>
      </c>
      <c r="K1253" t="s">
        <v>1632</v>
      </c>
      <c r="M1253" t="s">
        <v>1621</v>
      </c>
      <c r="N1253">
        <v>61.14</v>
      </c>
      <c r="O1253" s="49">
        <v>44969</v>
      </c>
      <c r="P1253" s="50">
        <v>104.265</v>
      </c>
    </row>
    <row r="1254" spans="4:16" x14ac:dyDescent="0.2">
      <c r="D1254">
        <v>100000761</v>
      </c>
      <c r="E1254" s="49">
        <v>45309</v>
      </c>
      <c r="F1254" t="s">
        <v>2662</v>
      </c>
      <c r="G1254" t="s">
        <v>1828</v>
      </c>
      <c r="H1254">
        <v>2</v>
      </c>
      <c r="I1254">
        <v>36.19</v>
      </c>
      <c r="J1254" s="50">
        <v>72.38</v>
      </c>
      <c r="K1254" t="s">
        <v>1632</v>
      </c>
      <c r="M1254" t="s">
        <v>1627</v>
      </c>
      <c r="N1254">
        <v>19.100000000000001</v>
      </c>
      <c r="O1254" s="49">
        <v>45310</v>
      </c>
      <c r="P1254" s="50">
        <v>32.570999999999998</v>
      </c>
    </row>
    <row r="1255" spans="4:16" x14ac:dyDescent="0.2">
      <c r="D1255">
        <v>100000763</v>
      </c>
      <c r="E1255" s="49">
        <v>44515</v>
      </c>
      <c r="F1255" t="s">
        <v>2663</v>
      </c>
      <c r="G1255" t="s">
        <v>1699</v>
      </c>
      <c r="H1255">
        <v>8</v>
      </c>
      <c r="I1255">
        <v>51.18</v>
      </c>
      <c r="J1255" s="50">
        <v>409.44</v>
      </c>
      <c r="K1255" t="s">
        <v>1618</v>
      </c>
      <c r="M1255" t="s">
        <v>1621</v>
      </c>
      <c r="N1255">
        <v>27.01</v>
      </c>
      <c r="O1255" s="49">
        <v>44516</v>
      </c>
      <c r="P1255" s="50">
        <v>184.24799999999999</v>
      </c>
    </row>
    <row r="1256" spans="4:16" x14ac:dyDescent="0.2">
      <c r="D1256">
        <v>100000763</v>
      </c>
      <c r="E1256" s="49">
        <v>44987</v>
      </c>
      <c r="F1256" t="s">
        <v>2663</v>
      </c>
      <c r="G1256" t="s">
        <v>2101</v>
      </c>
      <c r="H1256">
        <v>5</v>
      </c>
      <c r="I1256">
        <v>88.11</v>
      </c>
      <c r="J1256" s="50">
        <v>440.55</v>
      </c>
      <c r="K1256" t="s">
        <v>1618</v>
      </c>
      <c r="M1256" t="s">
        <v>1621</v>
      </c>
      <c r="N1256">
        <v>46.5</v>
      </c>
      <c r="O1256" s="49">
        <v>44988</v>
      </c>
      <c r="P1256" s="50">
        <v>198.2475</v>
      </c>
    </row>
    <row r="1257" spans="4:16" x14ac:dyDescent="0.2">
      <c r="D1257">
        <v>100000763</v>
      </c>
      <c r="E1257" s="49">
        <v>45405</v>
      </c>
      <c r="F1257" t="s">
        <v>2663</v>
      </c>
      <c r="G1257" t="s">
        <v>1823</v>
      </c>
      <c r="H1257">
        <v>5</v>
      </c>
      <c r="I1257">
        <v>66.540000000000006</v>
      </c>
      <c r="J1257" s="50">
        <v>332.7</v>
      </c>
      <c r="K1257" t="s">
        <v>1618</v>
      </c>
      <c r="M1257" t="s">
        <v>1621</v>
      </c>
      <c r="N1257">
        <v>35.119999999999997</v>
      </c>
      <c r="O1257" s="49">
        <v>45406</v>
      </c>
      <c r="P1257" s="50">
        <v>149.715</v>
      </c>
    </row>
    <row r="1258" spans="4:16" x14ac:dyDescent="0.2">
      <c r="D1258">
        <v>100000763</v>
      </c>
      <c r="E1258" s="49">
        <v>45367</v>
      </c>
      <c r="F1258" t="s">
        <v>2663</v>
      </c>
      <c r="G1258" t="s">
        <v>2198</v>
      </c>
      <c r="H1258">
        <v>9</v>
      </c>
      <c r="I1258">
        <v>110.71</v>
      </c>
      <c r="J1258" s="50">
        <v>996.39</v>
      </c>
      <c r="K1258" t="s">
        <v>1618</v>
      </c>
      <c r="M1258" t="s">
        <v>1624</v>
      </c>
      <c r="N1258">
        <v>58.43</v>
      </c>
      <c r="O1258" s="49">
        <v>45371</v>
      </c>
      <c r="P1258" s="50">
        <v>448.37549999999999</v>
      </c>
    </row>
    <row r="1259" spans="4:16" x14ac:dyDescent="0.2">
      <c r="D1259">
        <v>100000763</v>
      </c>
      <c r="E1259" s="49">
        <v>44781</v>
      </c>
      <c r="F1259" t="s">
        <v>2663</v>
      </c>
      <c r="G1259" t="s">
        <v>1987</v>
      </c>
      <c r="H1259">
        <v>8</v>
      </c>
      <c r="I1259">
        <v>104.96</v>
      </c>
      <c r="J1259" s="50">
        <v>839.68</v>
      </c>
      <c r="K1259" t="s">
        <v>1618</v>
      </c>
      <c r="M1259" t="s">
        <v>1621</v>
      </c>
      <c r="N1259">
        <v>55.4</v>
      </c>
      <c r="O1259" s="49">
        <v>44786</v>
      </c>
      <c r="P1259" s="50">
        <v>377.85599999999999</v>
      </c>
    </row>
    <row r="1260" spans="4:16" x14ac:dyDescent="0.2">
      <c r="D1260">
        <v>100000764</v>
      </c>
      <c r="E1260" s="49">
        <v>44807</v>
      </c>
      <c r="F1260" t="s">
        <v>2664</v>
      </c>
      <c r="G1260" t="s">
        <v>1658</v>
      </c>
      <c r="H1260">
        <v>4</v>
      </c>
      <c r="I1260">
        <v>98.99</v>
      </c>
      <c r="J1260" s="50">
        <v>395.96</v>
      </c>
      <c r="K1260" t="s">
        <v>1618</v>
      </c>
      <c r="L1260" t="s">
        <v>2665</v>
      </c>
      <c r="M1260" t="s">
        <v>1627</v>
      </c>
      <c r="N1260">
        <v>52.24</v>
      </c>
      <c r="O1260" s="49">
        <v>44809</v>
      </c>
      <c r="P1260" s="50">
        <v>178.18199999999999</v>
      </c>
    </row>
    <row r="1261" spans="4:16" x14ac:dyDescent="0.2">
      <c r="D1261">
        <v>100000764</v>
      </c>
      <c r="E1261" s="49">
        <v>45203</v>
      </c>
      <c r="F1261" t="s">
        <v>2664</v>
      </c>
      <c r="G1261" t="s">
        <v>1844</v>
      </c>
      <c r="H1261">
        <v>2</v>
      </c>
      <c r="I1261">
        <v>62.22</v>
      </c>
      <c r="J1261" s="50">
        <v>124.44</v>
      </c>
      <c r="K1261" t="s">
        <v>1618</v>
      </c>
      <c r="L1261" t="s">
        <v>2665</v>
      </c>
      <c r="M1261" t="s">
        <v>1624</v>
      </c>
      <c r="N1261">
        <v>32.840000000000003</v>
      </c>
      <c r="O1261" s="49">
        <v>45208</v>
      </c>
      <c r="P1261" s="50">
        <v>55.997999999999998</v>
      </c>
    </row>
    <row r="1262" spans="4:16" x14ac:dyDescent="0.2">
      <c r="D1262">
        <v>100000764</v>
      </c>
      <c r="E1262" s="49">
        <v>45602</v>
      </c>
      <c r="F1262" t="s">
        <v>2664</v>
      </c>
      <c r="G1262" t="s">
        <v>2155</v>
      </c>
      <c r="H1262">
        <v>10</v>
      </c>
      <c r="I1262">
        <v>43.5</v>
      </c>
      <c r="J1262" s="50">
        <v>435</v>
      </c>
      <c r="K1262" t="s">
        <v>1618</v>
      </c>
      <c r="L1262" t="s">
        <v>2665</v>
      </c>
      <c r="M1262" t="s">
        <v>1621</v>
      </c>
      <c r="N1262">
        <v>22.96</v>
      </c>
      <c r="O1262" s="49">
        <v>45607</v>
      </c>
      <c r="P1262" s="50">
        <v>195.75</v>
      </c>
    </row>
    <row r="1263" spans="4:16" x14ac:dyDescent="0.2">
      <c r="D1263">
        <v>100000766</v>
      </c>
      <c r="E1263" s="49">
        <v>44633</v>
      </c>
      <c r="F1263" t="s">
        <v>2666</v>
      </c>
      <c r="G1263" t="s">
        <v>1775</v>
      </c>
      <c r="H1263">
        <v>2</v>
      </c>
      <c r="I1263">
        <v>68.209999999999994</v>
      </c>
      <c r="J1263" s="50">
        <v>136.41999999999999</v>
      </c>
      <c r="K1263" t="s">
        <v>1618</v>
      </c>
      <c r="M1263" t="s">
        <v>1619</v>
      </c>
      <c r="N1263">
        <v>36</v>
      </c>
      <c r="O1263" s="49">
        <v>44634</v>
      </c>
      <c r="P1263" s="50">
        <v>61.388999999999996</v>
      </c>
    </row>
    <row r="1264" spans="4:16" x14ac:dyDescent="0.2">
      <c r="D1264">
        <v>100000769</v>
      </c>
      <c r="E1264" s="49">
        <v>44423</v>
      </c>
      <c r="F1264" t="s">
        <v>2667</v>
      </c>
      <c r="G1264" t="s">
        <v>1868</v>
      </c>
      <c r="H1264">
        <v>2</v>
      </c>
      <c r="I1264">
        <v>82.14</v>
      </c>
      <c r="J1264" s="50">
        <v>164.28</v>
      </c>
      <c r="K1264" t="s">
        <v>1618</v>
      </c>
      <c r="L1264" t="s">
        <v>2632</v>
      </c>
      <c r="M1264" t="s">
        <v>1624</v>
      </c>
      <c r="N1264">
        <v>43.35</v>
      </c>
      <c r="O1264" s="49">
        <v>44425</v>
      </c>
      <c r="P1264" s="50">
        <v>73.926000000000002</v>
      </c>
    </row>
    <row r="1265" spans="4:16" x14ac:dyDescent="0.2">
      <c r="D1265">
        <v>100000772</v>
      </c>
      <c r="E1265" s="49">
        <v>44232</v>
      </c>
      <c r="F1265" t="s">
        <v>2668</v>
      </c>
      <c r="G1265" t="s">
        <v>1760</v>
      </c>
      <c r="H1265">
        <v>1</v>
      </c>
      <c r="I1265">
        <v>109.15</v>
      </c>
      <c r="J1265" s="50">
        <v>109.15</v>
      </c>
      <c r="K1265" t="s">
        <v>1618</v>
      </c>
      <c r="M1265" t="s">
        <v>1619</v>
      </c>
      <c r="N1265">
        <v>57.61</v>
      </c>
      <c r="O1265" s="49">
        <v>44234</v>
      </c>
      <c r="P1265" s="50">
        <v>49.117500000000007</v>
      </c>
    </row>
    <row r="1266" spans="4:16" x14ac:dyDescent="0.2">
      <c r="D1266">
        <v>100000772</v>
      </c>
      <c r="E1266" s="49">
        <v>45090</v>
      </c>
      <c r="F1266" t="s">
        <v>2668</v>
      </c>
      <c r="G1266" t="s">
        <v>1812</v>
      </c>
      <c r="H1266">
        <v>1</v>
      </c>
      <c r="I1266">
        <v>110.84</v>
      </c>
      <c r="J1266" s="50">
        <v>110.84</v>
      </c>
      <c r="K1266" t="s">
        <v>1618</v>
      </c>
      <c r="M1266" t="s">
        <v>1624</v>
      </c>
      <c r="N1266">
        <v>58.5</v>
      </c>
      <c r="O1266" s="49">
        <v>45091</v>
      </c>
      <c r="P1266" s="50">
        <v>49.878</v>
      </c>
    </row>
    <row r="1267" spans="4:16" x14ac:dyDescent="0.2">
      <c r="D1267">
        <v>100000772</v>
      </c>
      <c r="E1267" s="49">
        <v>45314</v>
      </c>
      <c r="F1267" t="s">
        <v>2668</v>
      </c>
      <c r="G1267" t="s">
        <v>2460</v>
      </c>
      <c r="H1267">
        <v>3</v>
      </c>
      <c r="I1267">
        <v>31.1</v>
      </c>
      <c r="J1267" s="50">
        <v>93.300000000000011</v>
      </c>
      <c r="K1267" t="s">
        <v>1618</v>
      </c>
      <c r="M1267" t="s">
        <v>1629</v>
      </c>
      <c r="N1267">
        <v>16.41</v>
      </c>
      <c r="O1267" s="49">
        <v>45316</v>
      </c>
      <c r="P1267" s="50">
        <v>41.985000000000007</v>
      </c>
    </row>
    <row r="1268" spans="4:16" x14ac:dyDescent="0.2">
      <c r="D1268">
        <v>100000772</v>
      </c>
      <c r="E1268" s="49">
        <v>44933</v>
      </c>
      <c r="F1268" t="s">
        <v>2668</v>
      </c>
      <c r="G1268" t="s">
        <v>2191</v>
      </c>
      <c r="H1268">
        <v>4</v>
      </c>
      <c r="I1268">
        <v>88.16</v>
      </c>
      <c r="J1268" s="50">
        <v>352.64</v>
      </c>
      <c r="K1268" t="s">
        <v>1618</v>
      </c>
      <c r="M1268" t="s">
        <v>1621</v>
      </c>
      <c r="N1268">
        <v>46.53</v>
      </c>
      <c r="O1268" s="49">
        <v>44938</v>
      </c>
      <c r="P1268" s="50">
        <v>158.68799999999999</v>
      </c>
    </row>
    <row r="1269" spans="4:16" x14ac:dyDescent="0.2">
      <c r="D1269">
        <v>100000773</v>
      </c>
      <c r="E1269" s="49">
        <v>45242</v>
      </c>
      <c r="F1269" t="s">
        <v>2669</v>
      </c>
      <c r="G1269" t="s">
        <v>1715</v>
      </c>
      <c r="H1269">
        <v>1</v>
      </c>
      <c r="I1269">
        <v>67.47</v>
      </c>
      <c r="J1269" s="50">
        <v>67.47</v>
      </c>
      <c r="K1269" t="s">
        <v>1632</v>
      </c>
      <c r="M1269" t="s">
        <v>1629</v>
      </c>
      <c r="N1269">
        <v>35.61</v>
      </c>
      <c r="O1269" s="49">
        <v>45245</v>
      </c>
      <c r="P1269" s="50">
        <v>30.361499999999999</v>
      </c>
    </row>
    <row r="1270" spans="4:16" x14ac:dyDescent="0.2">
      <c r="D1270">
        <v>100000773</v>
      </c>
      <c r="E1270" s="49">
        <v>45294</v>
      </c>
      <c r="F1270" t="s">
        <v>2669</v>
      </c>
      <c r="G1270" t="s">
        <v>1943</v>
      </c>
      <c r="H1270">
        <v>1</v>
      </c>
      <c r="I1270">
        <v>34.049999999999997</v>
      </c>
      <c r="J1270" s="50">
        <v>34.049999999999997</v>
      </c>
      <c r="K1270" t="s">
        <v>1632</v>
      </c>
      <c r="M1270" t="s">
        <v>1621</v>
      </c>
      <c r="N1270">
        <v>17.97</v>
      </c>
      <c r="O1270" s="49">
        <v>45299</v>
      </c>
      <c r="P1270" s="50">
        <v>15.3225</v>
      </c>
    </row>
    <row r="1271" spans="4:16" x14ac:dyDescent="0.2">
      <c r="D1271">
        <v>100000774</v>
      </c>
      <c r="E1271" s="49">
        <v>44808</v>
      </c>
      <c r="F1271" t="s">
        <v>2670</v>
      </c>
      <c r="G1271" t="s">
        <v>2121</v>
      </c>
      <c r="H1271">
        <v>5</v>
      </c>
      <c r="I1271">
        <v>53.58</v>
      </c>
      <c r="J1271" s="50">
        <v>267.89999999999998</v>
      </c>
      <c r="K1271" t="s">
        <v>1632</v>
      </c>
      <c r="L1271" t="s">
        <v>2671</v>
      </c>
      <c r="M1271" t="s">
        <v>1621</v>
      </c>
      <c r="N1271">
        <v>28.28</v>
      </c>
      <c r="O1271" s="49">
        <v>44813</v>
      </c>
      <c r="P1271" s="50">
        <v>120.55499999999999</v>
      </c>
    </row>
    <row r="1272" spans="4:16" x14ac:dyDescent="0.2">
      <c r="D1272">
        <v>100000774</v>
      </c>
      <c r="E1272" s="49">
        <v>45078</v>
      </c>
      <c r="F1272" t="s">
        <v>2670</v>
      </c>
      <c r="G1272" t="s">
        <v>1645</v>
      </c>
      <c r="H1272">
        <v>5</v>
      </c>
      <c r="I1272">
        <v>77.87</v>
      </c>
      <c r="J1272" s="50">
        <v>389.35</v>
      </c>
      <c r="K1272" t="s">
        <v>1632</v>
      </c>
      <c r="L1272" t="s">
        <v>2671</v>
      </c>
      <c r="M1272" t="s">
        <v>1621</v>
      </c>
      <c r="N1272">
        <v>41.1</v>
      </c>
      <c r="O1272" s="49">
        <v>45083</v>
      </c>
      <c r="P1272" s="50">
        <v>175.20750000000001</v>
      </c>
    </row>
    <row r="1273" spans="4:16" x14ac:dyDescent="0.2">
      <c r="D1273">
        <v>100000777</v>
      </c>
      <c r="E1273" s="49">
        <v>44623</v>
      </c>
      <c r="F1273" t="s">
        <v>2672</v>
      </c>
      <c r="G1273" t="s">
        <v>1864</v>
      </c>
      <c r="H1273">
        <v>1</v>
      </c>
      <c r="I1273">
        <v>24.11</v>
      </c>
      <c r="J1273" s="50">
        <v>24.11</v>
      </c>
      <c r="K1273" t="s">
        <v>1618</v>
      </c>
      <c r="M1273" t="s">
        <v>1619</v>
      </c>
      <c r="N1273">
        <v>12.72</v>
      </c>
      <c r="O1273" s="49">
        <v>44628</v>
      </c>
      <c r="P1273" s="50">
        <v>10.849500000000001</v>
      </c>
    </row>
    <row r="1274" spans="4:16" x14ac:dyDescent="0.2">
      <c r="D1274">
        <v>100000778</v>
      </c>
      <c r="E1274" s="49">
        <v>45235</v>
      </c>
      <c r="F1274" t="s">
        <v>2673</v>
      </c>
      <c r="G1274" t="s">
        <v>2343</v>
      </c>
      <c r="H1274">
        <v>10</v>
      </c>
      <c r="I1274">
        <v>92.97</v>
      </c>
      <c r="J1274" s="50">
        <v>929.7</v>
      </c>
      <c r="K1274" t="s">
        <v>1618</v>
      </c>
      <c r="L1274" t="s">
        <v>2674</v>
      </c>
      <c r="M1274" t="s">
        <v>1627</v>
      </c>
      <c r="N1274">
        <v>49.07</v>
      </c>
      <c r="O1274" s="49">
        <v>45237</v>
      </c>
      <c r="P1274" s="50">
        <v>418.36500000000001</v>
      </c>
    </row>
    <row r="1275" spans="4:16" x14ac:dyDescent="0.2">
      <c r="D1275">
        <v>100000779</v>
      </c>
      <c r="E1275" s="49">
        <v>45430</v>
      </c>
      <c r="F1275" t="s">
        <v>2675</v>
      </c>
      <c r="G1275" t="s">
        <v>2016</v>
      </c>
      <c r="H1275">
        <v>2</v>
      </c>
      <c r="I1275">
        <v>64.92</v>
      </c>
      <c r="J1275" s="50">
        <v>129.84</v>
      </c>
      <c r="K1275" t="s">
        <v>1632</v>
      </c>
      <c r="M1275" t="s">
        <v>1624</v>
      </c>
      <c r="N1275">
        <v>34.26</v>
      </c>
      <c r="O1275" s="49">
        <v>45433</v>
      </c>
      <c r="P1275" s="50">
        <v>58.428000000000004</v>
      </c>
    </row>
    <row r="1276" spans="4:16" x14ac:dyDescent="0.2">
      <c r="D1276">
        <v>100000779</v>
      </c>
      <c r="E1276" s="49">
        <v>45497</v>
      </c>
      <c r="F1276" t="s">
        <v>2675</v>
      </c>
      <c r="G1276" t="s">
        <v>1651</v>
      </c>
      <c r="H1276">
        <v>10</v>
      </c>
      <c r="I1276">
        <v>93.8</v>
      </c>
      <c r="J1276" s="50">
        <v>938</v>
      </c>
      <c r="K1276" t="s">
        <v>1632</v>
      </c>
      <c r="M1276" t="s">
        <v>1629</v>
      </c>
      <c r="N1276">
        <v>49.51</v>
      </c>
      <c r="O1276" s="49">
        <v>45500</v>
      </c>
      <c r="P1276" s="50">
        <v>422.1</v>
      </c>
    </row>
    <row r="1277" spans="4:16" x14ac:dyDescent="0.2">
      <c r="D1277">
        <v>100000779</v>
      </c>
      <c r="E1277" s="49">
        <v>45020</v>
      </c>
      <c r="F1277" t="s">
        <v>2675</v>
      </c>
      <c r="G1277" t="s">
        <v>1721</v>
      </c>
      <c r="H1277">
        <v>6</v>
      </c>
      <c r="I1277">
        <v>28.78</v>
      </c>
      <c r="J1277" s="50">
        <v>172.68</v>
      </c>
      <c r="K1277" t="s">
        <v>1632</v>
      </c>
      <c r="M1277" t="s">
        <v>1624</v>
      </c>
      <c r="N1277">
        <v>15.19</v>
      </c>
      <c r="O1277" s="49">
        <v>45023</v>
      </c>
      <c r="P1277" s="50">
        <v>77.706000000000003</v>
      </c>
    </row>
    <row r="1278" spans="4:16" x14ac:dyDescent="0.2">
      <c r="D1278">
        <v>100000780</v>
      </c>
      <c r="E1278" s="49">
        <v>44224</v>
      </c>
      <c r="F1278" t="s">
        <v>2676</v>
      </c>
      <c r="G1278" t="s">
        <v>1712</v>
      </c>
      <c r="H1278">
        <v>1</v>
      </c>
      <c r="I1278">
        <v>90.7</v>
      </c>
      <c r="J1278" s="50">
        <v>90.7</v>
      </c>
      <c r="K1278" t="s">
        <v>1618</v>
      </c>
      <c r="M1278" t="s">
        <v>1621</v>
      </c>
      <c r="N1278">
        <v>47.87</v>
      </c>
      <c r="O1278" s="49">
        <v>44227</v>
      </c>
      <c r="P1278" s="50">
        <v>40.815000000000005</v>
      </c>
    </row>
    <row r="1279" spans="4:16" x14ac:dyDescent="0.2">
      <c r="D1279">
        <v>100000780</v>
      </c>
      <c r="E1279" s="49">
        <v>45476</v>
      </c>
      <c r="F1279" t="s">
        <v>2676</v>
      </c>
      <c r="G1279" t="s">
        <v>1872</v>
      </c>
      <c r="H1279">
        <v>5</v>
      </c>
      <c r="I1279">
        <v>10.62</v>
      </c>
      <c r="J1279" s="50">
        <v>53.099999999999987</v>
      </c>
      <c r="K1279" t="s">
        <v>1618</v>
      </c>
      <c r="M1279" t="s">
        <v>1619</v>
      </c>
      <c r="N1279">
        <v>5.6</v>
      </c>
      <c r="O1279" s="49">
        <v>45479</v>
      </c>
      <c r="P1279" s="50">
        <v>23.894999999999996</v>
      </c>
    </row>
    <row r="1280" spans="4:16" x14ac:dyDescent="0.2">
      <c r="D1280">
        <v>100000780</v>
      </c>
      <c r="E1280" s="49">
        <v>45342</v>
      </c>
      <c r="F1280" t="s">
        <v>2676</v>
      </c>
      <c r="G1280" t="s">
        <v>1693</v>
      </c>
      <c r="H1280">
        <v>10</v>
      </c>
      <c r="I1280">
        <v>49.01</v>
      </c>
      <c r="J1280" s="50">
        <v>490.1</v>
      </c>
      <c r="K1280" t="s">
        <v>1618</v>
      </c>
      <c r="M1280" t="s">
        <v>1629</v>
      </c>
      <c r="N1280">
        <v>25.87</v>
      </c>
      <c r="O1280" s="49">
        <v>45343</v>
      </c>
      <c r="P1280" s="50">
        <v>220.54500000000002</v>
      </c>
    </row>
    <row r="1281" spans="4:16" x14ac:dyDescent="0.2">
      <c r="D1281">
        <v>100000780</v>
      </c>
      <c r="E1281" s="49">
        <v>45592</v>
      </c>
      <c r="F1281" t="s">
        <v>2676</v>
      </c>
      <c r="G1281" t="s">
        <v>2207</v>
      </c>
      <c r="H1281">
        <v>6</v>
      </c>
      <c r="I1281">
        <v>94.02</v>
      </c>
      <c r="J1281" s="50">
        <v>564.12</v>
      </c>
      <c r="K1281" t="s">
        <v>1618</v>
      </c>
      <c r="M1281" t="s">
        <v>1629</v>
      </c>
      <c r="N1281">
        <v>49.62</v>
      </c>
      <c r="O1281" s="49">
        <v>45594</v>
      </c>
      <c r="P1281" s="50">
        <v>253.85400000000001</v>
      </c>
    </row>
    <row r="1282" spans="4:16" x14ac:dyDescent="0.2">
      <c r="D1282">
        <v>100000780</v>
      </c>
      <c r="E1282" s="49">
        <v>44473</v>
      </c>
      <c r="F1282" t="s">
        <v>2676</v>
      </c>
      <c r="G1282" t="s">
        <v>2019</v>
      </c>
      <c r="H1282">
        <v>10</v>
      </c>
      <c r="I1282">
        <v>103.36</v>
      </c>
      <c r="J1282" s="50">
        <v>1033.5999999999999</v>
      </c>
      <c r="K1282" t="s">
        <v>1618</v>
      </c>
      <c r="M1282" t="s">
        <v>1627</v>
      </c>
      <c r="N1282">
        <v>54.55</v>
      </c>
      <c r="O1282" s="49">
        <v>44475</v>
      </c>
      <c r="P1282" s="50">
        <v>465.11999999999995</v>
      </c>
    </row>
    <row r="1283" spans="4:16" x14ac:dyDescent="0.2">
      <c r="D1283">
        <v>100000780</v>
      </c>
      <c r="E1283" s="49">
        <v>44205</v>
      </c>
      <c r="F1283" t="s">
        <v>2676</v>
      </c>
      <c r="G1283" t="s">
        <v>1644</v>
      </c>
      <c r="H1283">
        <v>3</v>
      </c>
      <c r="I1283">
        <v>116.57</v>
      </c>
      <c r="J1283" s="50">
        <v>349.71</v>
      </c>
      <c r="K1283" t="s">
        <v>1618</v>
      </c>
      <c r="M1283" t="s">
        <v>1629</v>
      </c>
      <c r="N1283">
        <v>61.52</v>
      </c>
      <c r="O1283" s="49">
        <v>44210</v>
      </c>
      <c r="P1283" s="50">
        <v>157.36949999999999</v>
      </c>
    </row>
    <row r="1284" spans="4:16" x14ac:dyDescent="0.2">
      <c r="D1284">
        <v>100000780</v>
      </c>
      <c r="E1284" s="49">
        <v>45270</v>
      </c>
      <c r="F1284" t="s">
        <v>2676</v>
      </c>
      <c r="G1284" t="s">
        <v>1738</v>
      </c>
      <c r="H1284">
        <v>5</v>
      </c>
      <c r="I1284">
        <v>106.62</v>
      </c>
      <c r="J1284" s="50">
        <v>533.1</v>
      </c>
      <c r="K1284" t="s">
        <v>1618</v>
      </c>
      <c r="M1284" t="s">
        <v>1624</v>
      </c>
      <c r="N1284">
        <v>56.27</v>
      </c>
      <c r="O1284" s="49">
        <v>45274</v>
      </c>
      <c r="P1284" s="50">
        <v>239.89500000000001</v>
      </c>
    </row>
    <row r="1285" spans="4:16" x14ac:dyDescent="0.2">
      <c r="D1285">
        <v>100000780</v>
      </c>
      <c r="E1285" s="49">
        <v>44680</v>
      </c>
      <c r="F1285" t="s">
        <v>2676</v>
      </c>
      <c r="G1285" t="s">
        <v>2337</v>
      </c>
      <c r="H1285">
        <v>4</v>
      </c>
      <c r="I1285">
        <v>87.82</v>
      </c>
      <c r="J1285" s="50">
        <v>351.28</v>
      </c>
      <c r="K1285" t="s">
        <v>1618</v>
      </c>
      <c r="M1285" t="s">
        <v>1621</v>
      </c>
      <c r="N1285">
        <v>46.35</v>
      </c>
      <c r="O1285" s="49">
        <v>44682</v>
      </c>
      <c r="P1285" s="50">
        <v>158.07599999999999</v>
      </c>
    </row>
    <row r="1286" spans="4:16" x14ac:dyDescent="0.2">
      <c r="D1286">
        <v>100000780</v>
      </c>
      <c r="E1286" s="49">
        <v>45653</v>
      </c>
      <c r="F1286" t="s">
        <v>2676</v>
      </c>
      <c r="G1286" t="s">
        <v>2098</v>
      </c>
      <c r="H1286">
        <v>6</v>
      </c>
      <c r="I1286">
        <v>14.55</v>
      </c>
      <c r="J1286" s="50">
        <v>87.300000000000011</v>
      </c>
      <c r="K1286" t="s">
        <v>1618</v>
      </c>
      <c r="M1286" t="s">
        <v>1619</v>
      </c>
      <c r="N1286">
        <v>7.68</v>
      </c>
      <c r="O1286" s="49">
        <v>45657</v>
      </c>
      <c r="P1286" s="50">
        <v>39.285000000000004</v>
      </c>
    </row>
    <row r="1287" spans="4:16" x14ac:dyDescent="0.2">
      <c r="D1287">
        <v>100000781</v>
      </c>
      <c r="E1287" s="49">
        <v>44667</v>
      </c>
      <c r="F1287" t="s">
        <v>2677</v>
      </c>
      <c r="G1287" t="s">
        <v>1827</v>
      </c>
      <c r="H1287">
        <v>7</v>
      </c>
      <c r="I1287">
        <v>105.93</v>
      </c>
      <c r="J1287" s="50">
        <v>741.51</v>
      </c>
      <c r="K1287" t="s">
        <v>1618</v>
      </c>
      <c r="M1287" t="s">
        <v>1619</v>
      </c>
      <c r="N1287">
        <v>55.91</v>
      </c>
      <c r="O1287" s="49">
        <v>44671</v>
      </c>
      <c r="P1287" s="50">
        <v>333.67950000000002</v>
      </c>
    </row>
    <row r="1288" spans="4:16" x14ac:dyDescent="0.2">
      <c r="D1288">
        <v>100000783</v>
      </c>
      <c r="E1288" s="49">
        <v>44351</v>
      </c>
      <c r="F1288" t="s">
        <v>2678</v>
      </c>
      <c r="G1288" t="s">
        <v>2484</v>
      </c>
      <c r="H1288">
        <v>9</v>
      </c>
      <c r="I1288">
        <v>77.97</v>
      </c>
      <c r="J1288" s="50">
        <v>701.73</v>
      </c>
      <c r="K1288" t="s">
        <v>1632</v>
      </c>
      <c r="M1288" t="s">
        <v>1621</v>
      </c>
      <c r="N1288">
        <v>41.15</v>
      </c>
      <c r="O1288" s="49">
        <v>44356</v>
      </c>
      <c r="P1288" s="50">
        <v>315.77850000000001</v>
      </c>
    </row>
    <row r="1289" spans="4:16" x14ac:dyDescent="0.2">
      <c r="D1289">
        <v>100000783</v>
      </c>
      <c r="E1289" s="49">
        <v>45633</v>
      </c>
      <c r="F1289" t="s">
        <v>2678</v>
      </c>
      <c r="G1289" t="s">
        <v>2420</v>
      </c>
      <c r="H1289">
        <v>7</v>
      </c>
      <c r="I1289">
        <v>109.84</v>
      </c>
      <c r="J1289" s="50">
        <v>768.88</v>
      </c>
      <c r="K1289" t="s">
        <v>1632</v>
      </c>
      <c r="M1289" t="s">
        <v>1627</v>
      </c>
      <c r="N1289">
        <v>57.97</v>
      </c>
      <c r="O1289" s="49">
        <v>45638</v>
      </c>
      <c r="P1289" s="50">
        <v>345.99599999999998</v>
      </c>
    </row>
    <row r="1290" spans="4:16" x14ac:dyDescent="0.2">
      <c r="D1290">
        <v>100000784</v>
      </c>
      <c r="E1290" s="49">
        <v>44427</v>
      </c>
      <c r="F1290" t="s">
        <v>2679</v>
      </c>
      <c r="G1290" t="s">
        <v>2305</v>
      </c>
      <c r="H1290">
        <v>9</v>
      </c>
      <c r="I1290">
        <v>44.97</v>
      </c>
      <c r="J1290" s="50">
        <v>404.73</v>
      </c>
      <c r="K1290" t="s">
        <v>1618</v>
      </c>
      <c r="L1290" t="s">
        <v>2680</v>
      </c>
      <c r="M1290" t="s">
        <v>1621</v>
      </c>
      <c r="N1290">
        <v>23.73</v>
      </c>
      <c r="O1290" s="49">
        <v>44428</v>
      </c>
      <c r="P1290" s="50">
        <v>182.1285</v>
      </c>
    </row>
    <row r="1291" spans="4:16" x14ac:dyDescent="0.2">
      <c r="D1291">
        <v>100000784</v>
      </c>
      <c r="E1291" s="49">
        <v>44394</v>
      </c>
      <c r="F1291" t="s">
        <v>2679</v>
      </c>
      <c r="G1291" t="s">
        <v>1900</v>
      </c>
      <c r="H1291">
        <v>1</v>
      </c>
      <c r="I1291">
        <v>34.43</v>
      </c>
      <c r="J1291" s="50">
        <v>34.43</v>
      </c>
      <c r="K1291" t="s">
        <v>1618</v>
      </c>
      <c r="L1291" t="s">
        <v>2680</v>
      </c>
      <c r="M1291" t="s">
        <v>1624</v>
      </c>
      <c r="N1291">
        <v>18.170000000000002</v>
      </c>
      <c r="O1291" s="49">
        <v>44399</v>
      </c>
      <c r="P1291" s="50">
        <v>15.493500000000001</v>
      </c>
    </row>
    <row r="1292" spans="4:16" x14ac:dyDescent="0.2">
      <c r="D1292">
        <v>100000784</v>
      </c>
      <c r="E1292" s="49">
        <v>44460</v>
      </c>
      <c r="F1292" t="s">
        <v>2679</v>
      </c>
      <c r="G1292" t="s">
        <v>1714</v>
      </c>
      <c r="H1292">
        <v>8</v>
      </c>
      <c r="I1292">
        <v>12.62</v>
      </c>
      <c r="J1292" s="50">
        <v>100.96</v>
      </c>
      <c r="K1292" t="s">
        <v>1618</v>
      </c>
      <c r="L1292" t="s">
        <v>2680</v>
      </c>
      <c r="M1292" t="s">
        <v>1619</v>
      </c>
      <c r="N1292">
        <v>6.66</v>
      </c>
      <c r="O1292" s="49">
        <v>44465</v>
      </c>
      <c r="P1292" s="50">
        <v>45.431999999999995</v>
      </c>
    </row>
    <row r="1293" spans="4:16" x14ac:dyDescent="0.2">
      <c r="D1293">
        <v>100000784</v>
      </c>
      <c r="E1293" s="49">
        <v>45419</v>
      </c>
      <c r="F1293" t="s">
        <v>2679</v>
      </c>
      <c r="G1293" t="s">
        <v>1636</v>
      </c>
      <c r="H1293">
        <v>5</v>
      </c>
      <c r="I1293">
        <v>66.36</v>
      </c>
      <c r="J1293" s="50">
        <v>331.8</v>
      </c>
      <c r="K1293" t="s">
        <v>1618</v>
      </c>
      <c r="L1293" t="s">
        <v>2680</v>
      </c>
      <c r="M1293" t="s">
        <v>1624</v>
      </c>
      <c r="N1293">
        <v>35.020000000000003</v>
      </c>
      <c r="O1293" s="49">
        <v>45421</v>
      </c>
      <c r="P1293" s="50">
        <v>149.31</v>
      </c>
    </row>
    <row r="1294" spans="4:16" x14ac:dyDescent="0.2">
      <c r="D1294">
        <v>100000785</v>
      </c>
      <c r="E1294" s="49">
        <v>45358</v>
      </c>
      <c r="F1294" t="s">
        <v>2681</v>
      </c>
      <c r="G1294" t="s">
        <v>2121</v>
      </c>
      <c r="H1294">
        <v>9</v>
      </c>
      <c r="I1294">
        <v>94.31</v>
      </c>
      <c r="J1294" s="50">
        <v>848.79</v>
      </c>
      <c r="K1294" t="s">
        <v>1618</v>
      </c>
      <c r="M1294" t="s">
        <v>1629</v>
      </c>
      <c r="N1294">
        <v>49.77</v>
      </c>
      <c r="O1294" s="49">
        <v>45362</v>
      </c>
      <c r="P1294" s="50">
        <v>381.95549999999997</v>
      </c>
    </row>
    <row r="1295" spans="4:16" x14ac:dyDescent="0.2">
      <c r="D1295">
        <v>100000785</v>
      </c>
      <c r="E1295" s="49">
        <v>45223</v>
      </c>
      <c r="F1295" t="s">
        <v>2681</v>
      </c>
      <c r="G1295" t="s">
        <v>2090</v>
      </c>
      <c r="H1295">
        <v>2</v>
      </c>
      <c r="I1295">
        <v>106.82</v>
      </c>
      <c r="J1295" s="50">
        <v>213.64</v>
      </c>
      <c r="K1295" t="s">
        <v>1618</v>
      </c>
      <c r="M1295" t="s">
        <v>1627</v>
      </c>
      <c r="N1295">
        <v>56.38</v>
      </c>
      <c r="O1295" s="49">
        <v>45227</v>
      </c>
      <c r="P1295" s="50">
        <v>96.137999999999991</v>
      </c>
    </row>
    <row r="1296" spans="4:16" x14ac:dyDescent="0.2">
      <c r="D1296">
        <v>100000785</v>
      </c>
      <c r="E1296" s="49">
        <v>45481</v>
      </c>
      <c r="F1296" t="s">
        <v>2681</v>
      </c>
      <c r="G1296" t="s">
        <v>1645</v>
      </c>
      <c r="H1296">
        <v>4</v>
      </c>
      <c r="I1296">
        <v>18.53</v>
      </c>
      <c r="J1296" s="50">
        <v>74.12</v>
      </c>
      <c r="K1296" t="s">
        <v>1618</v>
      </c>
      <c r="M1296" t="s">
        <v>1629</v>
      </c>
      <c r="N1296">
        <v>9.7799999999999994</v>
      </c>
      <c r="O1296" s="49">
        <v>45484</v>
      </c>
      <c r="P1296" s="50">
        <v>33.354000000000006</v>
      </c>
    </row>
    <row r="1297" spans="4:16" x14ac:dyDescent="0.2">
      <c r="D1297">
        <v>100000786</v>
      </c>
      <c r="E1297" s="49">
        <v>44377</v>
      </c>
      <c r="F1297" t="s">
        <v>2682</v>
      </c>
      <c r="G1297" t="s">
        <v>2004</v>
      </c>
      <c r="H1297">
        <v>2</v>
      </c>
      <c r="I1297">
        <v>51.03</v>
      </c>
      <c r="J1297" s="50">
        <v>102.06</v>
      </c>
      <c r="K1297" t="s">
        <v>1618</v>
      </c>
      <c r="M1297" t="s">
        <v>1629</v>
      </c>
      <c r="N1297">
        <v>26.93</v>
      </c>
      <c r="O1297" s="49">
        <v>44380</v>
      </c>
      <c r="P1297" s="50">
        <v>45.927</v>
      </c>
    </row>
    <row r="1298" spans="4:16" x14ac:dyDescent="0.2">
      <c r="D1298">
        <v>100000788</v>
      </c>
      <c r="E1298" s="49">
        <v>45636</v>
      </c>
      <c r="F1298" t="s">
        <v>2683</v>
      </c>
      <c r="G1298" t="s">
        <v>2005</v>
      </c>
      <c r="H1298">
        <v>5</v>
      </c>
      <c r="I1298">
        <v>39.6</v>
      </c>
      <c r="J1298" s="50">
        <v>198</v>
      </c>
      <c r="K1298" t="s">
        <v>1618</v>
      </c>
      <c r="L1298" t="s">
        <v>2684</v>
      </c>
      <c r="M1298" t="s">
        <v>1627</v>
      </c>
      <c r="N1298">
        <v>20.9</v>
      </c>
      <c r="O1298" s="49">
        <v>45637</v>
      </c>
      <c r="P1298" s="50">
        <v>89.100000000000009</v>
      </c>
    </row>
    <row r="1299" spans="4:16" x14ac:dyDescent="0.2">
      <c r="D1299">
        <v>100000788</v>
      </c>
      <c r="E1299" s="49">
        <v>45544</v>
      </c>
      <c r="F1299" t="s">
        <v>2683</v>
      </c>
      <c r="G1299" t="s">
        <v>2174</v>
      </c>
      <c r="H1299">
        <v>8</v>
      </c>
      <c r="I1299">
        <v>86.65</v>
      </c>
      <c r="J1299" s="50">
        <v>693.2</v>
      </c>
      <c r="K1299" t="s">
        <v>1618</v>
      </c>
      <c r="L1299" t="s">
        <v>2684</v>
      </c>
      <c r="M1299" t="s">
        <v>1619</v>
      </c>
      <c r="N1299">
        <v>45.73</v>
      </c>
      <c r="O1299" s="49">
        <v>45546</v>
      </c>
      <c r="P1299" s="50">
        <v>311.94000000000005</v>
      </c>
    </row>
    <row r="1300" spans="4:16" x14ac:dyDescent="0.2">
      <c r="D1300">
        <v>100000789</v>
      </c>
      <c r="E1300" s="49">
        <v>44420</v>
      </c>
      <c r="F1300" t="s">
        <v>2685</v>
      </c>
      <c r="G1300" t="s">
        <v>1709</v>
      </c>
      <c r="H1300">
        <v>5</v>
      </c>
      <c r="I1300">
        <v>87.57</v>
      </c>
      <c r="J1300" s="50">
        <v>437.85</v>
      </c>
      <c r="K1300" t="s">
        <v>1618</v>
      </c>
      <c r="M1300" t="s">
        <v>1627</v>
      </c>
      <c r="N1300">
        <v>46.22</v>
      </c>
      <c r="O1300" s="49">
        <v>44424</v>
      </c>
      <c r="P1300" s="50">
        <v>197.03250000000003</v>
      </c>
    </row>
    <row r="1301" spans="4:16" x14ac:dyDescent="0.2">
      <c r="D1301">
        <v>100000790</v>
      </c>
      <c r="E1301" s="49">
        <v>45385</v>
      </c>
      <c r="F1301" t="s">
        <v>2686</v>
      </c>
      <c r="G1301" t="s">
        <v>1922</v>
      </c>
      <c r="H1301">
        <v>1</v>
      </c>
      <c r="I1301">
        <v>57.21</v>
      </c>
      <c r="J1301" s="50">
        <v>57.21</v>
      </c>
      <c r="K1301" t="s">
        <v>1632</v>
      </c>
      <c r="M1301" t="s">
        <v>1629</v>
      </c>
      <c r="N1301">
        <v>30.19</v>
      </c>
      <c r="O1301" s="49">
        <v>45387</v>
      </c>
      <c r="P1301" s="50">
        <v>25.744500000000002</v>
      </c>
    </row>
    <row r="1302" spans="4:16" x14ac:dyDescent="0.2">
      <c r="D1302">
        <v>100000791</v>
      </c>
      <c r="E1302" s="49">
        <v>44534</v>
      </c>
      <c r="F1302" t="s">
        <v>2687</v>
      </c>
      <c r="G1302" t="s">
        <v>1918</v>
      </c>
      <c r="H1302">
        <v>9</v>
      </c>
      <c r="I1302">
        <v>87.31</v>
      </c>
      <c r="J1302" s="50">
        <v>785.79</v>
      </c>
      <c r="K1302" t="s">
        <v>1618</v>
      </c>
      <c r="L1302" t="s">
        <v>2688</v>
      </c>
      <c r="M1302" t="s">
        <v>1619</v>
      </c>
      <c r="N1302">
        <v>46.08</v>
      </c>
      <c r="O1302" s="49">
        <v>44536</v>
      </c>
      <c r="P1302" s="50">
        <v>353.60550000000001</v>
      </c>
    </row>
    <row r="1303" spans="4:16" x14ac:dyDescent="0.2">
      <c r="D1303">
        <v>100000791</v>
      </c>
      <c r="E1303" s="49">
        <v>45513</v>
      </c>
      <c r="F1303" t="s">
        <v>2687</v>
      </c>
      <c r="G1303" t="s">
        <v>1929</v>
      </c>
      <c r="H1303">
        <v>2</v>
      </c>
      <c r="I1303">
        <v>44.71</v>
      </c>
      <c r="J1303" s="50">
        <v>89.42</v>
      </c>
      <c r="K1303" t="s">
        <v>1618</v>
      </c>
      <c r="L1303" t="s">
        <v>2688</v>
      </c>
      <c r="M1303" t="s">
        <v>1621</v>
      </c>
      <c r="N1303">
        <v>23.6</v>
      </c>
      <c r="O1303" s="49">
        <v>45518</v>
      </c>
      <c r="P1303" s="50">
        <v>40.239000000000004</v>
      </c>
    </row>
    <row r="1304" spans="4:16" x14ac:dyDescent="0.2">
      <c r="D1304">
        <v>100000791</v>
      </c>
      <c r="E1304" s="49">
        <v>45493</v>
      </c>
      <c r="F1304" t="s">
        <v>2687</v>
      </c>
      <c r="G1304" t="s">
        <v>1932</v>
      </c>
      <c r="H1304">
        <v>6</v>
      </c>
      <c r="I1304">
        <v>62.48</v>
      </c>
      <c r="J1304" s="50">
        <v>374.88</v>
      </c>
      <c r="K1304" t="s">
        <v>1618</v>
      </c>
      <c r="L1304" t="s">
        <v>2688</v>
      </c>
      <c r="M1304" t="s">
        <v>1629</v>
      </c>
      <c r="N1304">
        <v>32.979999999999997</v>
      </c>
      <c r="O1304" s="49">
        <v>45498</v>
      </c>
      <c r="P1304" s="50">
        <v>168.696</v>
      </c>
    </row>
    <row r="1305" spans="4:16" x14ac:dyDescent="0.2">
      <c r="D1305">
        <v>100000791</v>
      </c>
      <c r="E1305" s="49">
        <v>45121</v>
      </c>
      <c r="F1305" t="s">
        <v>2687</v>
      </c>
      <c r="G1305" t="s">
        <v>1789</v>
      </c>
      <c r="H1305">
        <v>2</v>
      </c>
      <c r="I1305">
        <v>111.19</v>
      </c>
      <c r="J1305" s="50">
        <v>222.38</v>
      </c>
      <c r="K1305" t="s">
        <v>1618</v>
      </c>
      <c r="L1305" t="s">
        <v>2688</v>
      </c>
      <c r="M1305" t="s">
        <v>1619</v>
      </c>
      <c r="N1305">
        <v>58.68</v>
      </c>
      <c r="O1305" s="49">
        <v>45124</v>
      </c>
      <c r="P1305" s="50">
        <v>100.071</v>
      </c>
    </row>
    <row r="1306" spans="4:16" x14ac:dyDescent="0.2">
      <c r="D1306">
        <v>100000793</v>
      </c>
      <c r="E1306" s="49">
        <v>44232</v>
      </c>
      <c r="F1306" t="s">
        <v>2689</v>
      </c>
      <c r="G1306" t="s">
        <v>1834</v>
      </c>
      <c r="H1306">
        <v>9</v>
      </c>
      <c r="I1306">
        <v>69.97</v>
      </c>
      <c r="J1306" s="50">
        <v>629.73</v>
      </c>
      <c r="K1306" t="s">
        <v>1618</v>
      </c>
      <c r="M1306" t="s">
        <v>1629</v>
      </c>
      <c r="N1306">
        <v>36.93</v>
      </c>
      <c r="O1306" s="49">
        <v>44235</v>
      </c>
      <c r="P1306" s="50">
        <v>283.37850000000003</v>
      </c>
    </row>
    <row r="1307" spans="4:16" x14ac:dyDescent="0.2">
      <c r="D1307">
        <v>100000793</v>
      </c>
      <c r="E1307" s="49">
        <v>44936</v>
      </c>
      <c r="F1307" t="s">
        <v>2689</v>
      </c>
      <c r="G1307" t="s">
        <v>2060</v>
      </c>
      <c r="H1307">
        <v>1</v>
      </c>
      <c r="I1307">
        <v>85.91</v>
      </c>
      <c r="J1307" s="50">
        <v>85.91</v>
      </c>
      <c r="K1307" t="s">
        <v>1618</v>
      </c>
      <c r="M1307" t="s">
        <v>1627</v>
      </c>
      <c r="N1307">
        <v>45.34</v>
      </c>
      <c r="O1307" s="49">
        <v>44937</v>
      </c>
      <c r="P1307" s="50">
        <v>38.659500000000001</v>
      </c>
    </row>
    <row r="1308" spans="4:16" x14ac:dyDescent="0.2">
      <c r="D1308">
        <v>100000795</v>
      </c>
      <c r="E1308" s="49">
        <v>44312</v>
      </c>
      <c r="F1308" t="s">
        <v>2690</v>
      </c>
      <c r="G1308" t="s">
        <v>2028</v>
      </c>
      <c r="H1308">
        <v>4</v>
      </c>
      <c r="I1308">
        <v>20.22</v>
      </c>
      <c r="J1308" s="50">
        <v>80.88</v>
      </c>
      <c r="K1308" t="s">
        <v>1632</v>
      </c>
      <c r="L1308" t="s">
        <v>2494</v>
      </c>
      <c r="M1308" t="s">
        <v>1619</v>
      </c>
      <c r="N1308">
        <v>10.67</v>
      </c>
      <c r="O1308" s="49">
        <v>44313</v>
      </c>
      <c r="P1308" s="50">
        <v>36.396000000000001</v>
      </c>
    </row>
    <row r="1309" spans="4:16" x14ac:dyDescent="0.2">
      <c r="D1309">
        <v>100000796</v>
      </c>
      <c r="E1309" s="49">
        <v>44374</v>
      </c>
      <c r="F1309" t="s">
        <v>2691</v>
      </c>
      <c r="G1309" t="s">
        <v>2692</v>
      </c>
      <c r="H1309">
        <v>7</v>
      </c>
      <c r="I1309">
        <v>99.45</v>
      </c>
      <c r="J1309" s="50">
        <v>696.15</v>
      </c>
      <c r="K1309" t="s">
        <v>1618</v>
      </c>
      <c r="L1309" t="s">
        <v>2081</v>
      </c>
      <c r="M1309" t="s">
        <v>1627</v>
      </c>
      <c r="N1309">
        <v>52.49</v>
      </c>
      <c r="O1309" s="49">
        <v>44376</v>
      </c>
      <c r="P1309" s="50">
        <v>313.26749999999998</v>
      </c>
    </row>
    <row r="1310" spans="4:16" x14ac:dyDescent="0.2">
      <c r="D1310">
        <v>100000796</v>
      </c>
      <c r="E1310" s="49">
        <v>45214</v>
      </c>
      <c r="F1310" t="s">
        <v>2691</v>
      </c>
      <c r="G1310" t="s">
        <v>1724</v>
      </c>
      <c r="H1310">
        <v>2</v>
      </c>
      <c r="I1310">
        <v>86.19</v>
      </c>
      <c r="J1310" s="50">
        <v>172.38</v>
      </c>
      <c r="K1310" t="s">
        <v>1618</v>
      </c>
      <c r="L1310" t="s">
        <v>2081</v>
      </c>
      <c r="M1310" t="s">
        <v>1624</v>
      </c>
      <c r="N1310">
        <v>45.49</v>
      </c>
      <c r="O1310" s="49">
        <v>45217</v>
      </c>
      <c r="P1310" s="50">
        <v>77.570999999999998</v>
      </c>
    </row>
    <row r="1311" spans="4:16" x14ac:dyDescent="0.2">
      <c r="D1311">
        <v>100000796</v>
      </c>
      <c r="E1311" s="49">
        <v>45197</v>
      </c>
      <c r="F1311" t="s">
        <v>2691</v>
      </c>
      <c r="G1311" t="s">
        <v>1653</v>
      </c>
      <c r="H1311">
        <v>4</v>
      </c>
      <c r="I1311">
        <v>53.42</v>
      </c>
      <c r="J1311" s="50">
        <v>213.68</v>
      </c>
      <c r="K1311" t="s">
        <v>1618</v>
      </c>
      <c r="L1311" t="s">
        <v>2081</v>
      </c>
      <c r="M1311" t="s">
        <v>1627</v>
      </c>
      <c r="N1311">
        <v>28.19</v>
      </c>
      <c r="O1311" s="49">
        <v>45199</v>
      </c>
      <c r="P1311" s="50">
        <v>96.156000000000006</v>
      </c>
    </row>
    <row r="1312" spans="4:16" x14ac:dyDescent="0.2">
      <c r="D1312">
        <v>100000796</v>
      </c>
      <c r="E1312" s="49">
        <v>45057</v>
      </c>
      <c r="F1312" t="s">
        <v>2691</v>
      </c>
      <c r="G1312" t="s">
        <v>2330</v>
      </c>
      <c r="H1312">
        <v>10</v>
      </c>
      <c r="I1312">
        <v>87.12</v>
      </c>
      <c r="J1312" s="50">
        <v>871.2</v>
      </c>
      <c r="K1312" t="s">
        <v>1618</v>
      </c>
      <c r="L1312" t="s">
        <v>2081</v>
      </c>
      <c r="M1312" t="s">
        <v>1624</v>
      </c>
      <c r="N1312">
        <v>45.98</v>
      </c>
      <c r="O1312" s="49">
        <v>45060</v>
      </c>
      <c r="P1312" s="50">
        <v>392.04</v>
      </c>
    </row>
    <row r="1313" spans="4:16" x14ac:dyDescent="0.2">
      <c r="D1313">
        <v>100000797</v>
      </c>
      <c r="E1313" s="49">
        <v>44860</v>
      </c>
      <c r="F1313" t="s">
        <v>2693</v>
      </c>
      <c r="G1313" t="s">
        <v>2024</v>
      </c>
      <c r="H1313">
        <v>2</v>
      </c>
      <c r="I1313">
        <v>72.45</v>
      </c>
      <c r="J1313" s="50">
        <v>144.9</v>
      </c>
      <c r="K1313" t="s">
        <v>1618</v>
      </c>
      <c r="M1313" t="s">
        <v>1629</v>
      </c>
      <c r="N1313">
        <v>38.24</v>
      </c>
      <c r="O1313" s="49">
        <v>44865</v>
      </c>
      <c r="P1313" s="50">
        <v>65.204999999999998</v>
      </c>
    </row>
    <row r="1314" spans="4:16" x14ac:dyDescent="0.2">
      <c r="D1314">
        <v>100000797</v>
      </c>
      <c r="E1314" s="49">
        <v>45034</v>
      </c>
      <c r="F1314" t="s">
        <v>2693</v>
      </c>
      <c r="G1314" t="s">
        <v>1937</v>
      </c>
      <c r="H1314">
        <v>7</v>
      </c>
      <c r="I1314">
        <v>114.41</v>
      </c>
      <c r="J1314" s="50">
        <v>800.87</v>
      </c>
      <c r="K1314" t="s">
        <v>1618</v>
      </c>
      <c r="M1314" t="s">
        <v>1629</v>
      </c>
      <c r="N1314">
        <v>60.38</v>
      </c>
      <c r="O1314" s="49">
        <v>45036</v>
      </c>
      <c r="P1314" s="50">
        <v>360.39150000000001</v>
      </c>
    </row>
    <row r="1315" spans="4:16" x14ac:dyDescent="0.2">
      <c r="D1315">
        <v>100000797</v>
      </c>
      <c r="E1315" s="49">
        <v>45573</v>
      </c>
      <c r="F1315" t="s">
        <v>2693</v>
      </c>
      <c r="G1315" t="s">
        <v>2378</v>
      </c>
      <c r="H1315">
        <v>2</v>
      </c>
      <c r="I1315">
        <v>100.1</v>
      </c>
      <c r="J1315" s="50">
        <v>200.2</v>
      </c>
      <c r="K1315" t="s">
        <v>1618</v>
      </c>
      <c r="M1315" t="s">
        <v>1629</v>
      </c>
      <c r="N1315">
        <v>52.83</v>
      </c>
      <c r="O1315" s="49">
        <v>45575</v>
      </c>
      <c r="P1315" s="50">
        <v>90.09</v>
      </c>
    </row>
    <row r="1316" spans="4:16" x14ac:dyDescent="0.2">
      <c r="D1316">
        <v>100000798</v>
      </c>
      <c r="E1316" s="49">
        <v>44779</v>
      </c>
      <c r="F1316" t="s">
        <v>2694</v>
      </c>
      <c r="G1316" t="s">
        <v>1830</v>
      </c>
      <c r="H1316">
        <v>2</v>
      </c>
      <c r="I1316">
        <v>56.73</v>
      </c>
      <c r="J1316" s="50">
        <v>113.46</v>
      </c>
      <c r="K1316" t="s">
        <v>1632</v>
      </c>
      <c r="L1316" t="s">
        <v>2695</v>
      </c>
      <c r="M1316" t="s">
        <v>1624</v>
      </c>
      <c r="N1316">
        <v>29.94</v>
      </c>
      <c r="O1316" s="49">
        <v>44780</v>
      </c>
      <c r="P1316" s="50">
        <v>51.056999999999995</v>
      </c>
    </row>
    <row r="1317" spans="4:16" x14ac:dyDescent="0.2">
      <c r="D1317">
        <v>100000798</v>
      </c>
      <c r="E1317" s="49">
        <v>44301</v>
      </c>
      <c r="F1317" t="s">
        <v>2694</v>
      </c>
      <c r="G1317" t="s">
        <v>2145</v>
      </c>
      <c r="H1317">
        <v>9</v>
      </c>
      <c r="I1317">
        <v>55.29</v>
      </c>
      <c r="J1317" s="50">
        <v>497.61</v>
      </c>
      <c r="K1317" t="s">
        <v>1632</v>
      </c>
      <c r="L1317" t="s">
        <v>2695</v>
      </c>
      <c r="M1317" t="s">
        <v>1621</v>
      </c>
      <c r="N1317">
        <v>29.18</v>
      </c>
      <c r="O1317" s="49">
        <v>44304</v>
      </c>
      <c r="P1317" s="50">
        <v>223.92450000000002</v>
      </c>
    </row>
    <row r="1318" spans="4:16" x14ac:dyDescent="0.2">
      <c r="D1318">
        <v>100000801</v>
      </c>
      <c r="E1318" s="49">
        <v>45318</v>
      </c>
      <c r="F1318" t="s">
        <v>2696</v>
      </c>
      <c r="G1318" t="s">
        <v>1733</v>
      </c>
      <c r="H1318">
        <v>5</v>
      </c>
      <c r="I1318">
        <v>69.02</v>
      </c>
      <c r="J1318" s="50">
        <v>345.1</v>
      </c>
      <c r="K1318" t="s">
        <v>1632</v>
      </c>
      <c r="M1318" t="s">
        <v>1624</v>
      </c>
      <c r="N1318">
        <v>36.43</v>
      </c>
      <c r="O1318" s="49">
        <v>45323</v>
      </c>
      <c r="P1318" s="50">
        <v>155.29500000000002</v>
      </c>
    </row>
    <row r="1319" spans="4:16" x14ac:dyDescent="0.2">
      <c r="D1319">
        <v>100000801</v>
      </c>
      <c r="E1319" s="49">
        <v>45279</v>
      </c>
      <c r="F1319" t="s">
        <v>2696</v>
      </c>
      <c r="G1319" t="s">
        <v>1916</v>
      </c>
      <c r="H1319">
        <v>3</v>
      </c>
      <c r="I1319">
        <v>18.95</v>
      </c>
      <c r="J1319" s="50">
        <v>56.849999999999987</v>
      </c>
      <c r="K1319" t="s">
        <v>1632</v>
      </c>
      <c r="M1319" t="s">
        <v>1619</v>
      </c>
      <c r="N1319">
        <v>10</v>
      </c>
      <c r="O1319" s="49">
        <v>45284</v>
      </c>
      <c r="P1319" s="50">
        <v>25.582499999999996</v>
      </c>
    </row>
    <row r="1320" spans="4:16" x14ac:dyDescent="0.2">
      <c r="D1320">
        <v>100000802</v>
      </c>
      <c r="E1320" s="49">
        <v>45100</v>
      </c>
      <c r="F1320" t="s">
        <v>2697</v>
      </c>
      <c r="G1320" t="s">
        <v>2698</v>
      </c>
      <c r="H1320">
        <v>10</v>
      </c>
      <c r="I1320">
        <v>37.25</v>
      </c>
      <c r="J1320" s="50">
        <v>372.5</v>
      </c>
      <c r="K1320" t="s">
        <v>1618</v>
      </c>
      <c r="L1320" t="s">
        <v>2699</v>
      </c>
      <c r="M1320" t="s">
        <v>1629</v>
      </c>
      <c r="N1320">
        <v>19.66</v>
      </c>
      <c r="O1320" s="49">
        <v>45105</v>
      </c>
      <c r="P1320" s="50">
        <v>167.625</v>
      </c>
    </row>
    <row r="1321" spans="4:16" x14ac:dyDescent="0.2">
      <c r="D1321">
        <v>100000802</v>
      </c>
      <c r="E1321" s="49">
        <v>44940</v>
      </c>
      <c r="F1321" t="s">
        <v>2697</v>
      </c>
      <c r="G1321" t="s">
        <v>1918</v>
      </c>
      <c r="H1321">
        <v>4</v>
      </c>
      <c r="I1321">
        <v>70.540000000000006</v>
      </c>
      <c r="J1321" s="50">
        <v>282.16000000000003</v>
      </c>
      <c r="K1321" t="s">
        <v>1618</v>
      </c>
      <c r="L1321" t="s">
        <v>2699</v>
      </c>
      <c r="M1321" t="s">
        <v>1627</v>
      </c>
      <c r="N1321">
        <v>37.229999999999997</v>
      </c>
      <c r="O1321" s="49">
        <v>44944</v>
      </c>
      <c r="P1321" s="50">
        <v>126.97200000000001</v>
      </c>
    </row>
    <row r="1322" spans="4:16" x14ac:dyDescent="0.2">
      <c r="D1322">
        <v>100000802</v>
      </c>
      <c r="E1322" s="49">
        <v>44272</v>
      </c>
      <c r="F1322" t="s">
        <v>2697</v>
      </c>
      <c r="G1322" t="s">
        <v>1937</v>
      </c>
      <c r="H1322">
        <v>3</v>
      </c>
      <c r="I1322">
        <v>96.57</v>
      </c>
      <c r="J1322" s="50">
        <v>289.70999999999998</v>
      </c>
      <c r="K1322" t="s">
        <v>1618</v>
      </c>
      <c r="L1322" t="s">
        <v>2699</v>
      </c>
      <c r="M1322" t="s">
        <v>1621</v>
      </c>
      <c r="N1322">
        <v>50.97</v>
      </c>
      <c r="O1322" s="49">
        <v>44273</v>
      </c>
      <c r="P1322" s="50">
        <v>130.36949999999999</v>
      </c>
    </row>
    <row r="1323" spans="4:16" x14ac:dyDescent="0.2">
      <c r="D1323">
        <v>100000802</v>
      </c>
      <c r="E1323" s="49">
        <v>44980</v>
      </c>
      <c r="F1323" t="s">
        <v>2697</v>
      </c>
      <c r="G1323" t="s">
        <v>1834</v>
      </c>
      <c r="H1323">
        <v>1</v>
      </c>
      <c r="I1323">
        <v>109.77</v>
      </c>
      <c r="J1323" s="50">
        <v>109.77</v>
      </c>
      <c r="K1323" t="s">
        <v>1618</v>
      </c>
      <c r="L1323" t="s">
        <v>2699</v>
      </c>
      <c r="M1323" t="s">
        <v>1621</v>
      </c>
      <c r="N1323">
        <v>57.93</v>
      </c>
      <c r="O1323" s="49">
        <v>44981</v>
      </c>
      <c r="P1323" s="50">
        <v>49.396499999999996</v>
      </c>
    </row>
    <row r="1324" spans="4:16" x14ac:dyDescent="0.2">
      <c r="D1324">
        <v>100000802</v>
      </c>
      <c r="E1324" s="49">
        <v>45445</v>
      </c>
      <c r="F1324" t="s">
        <v>2697</v>
      </c>
      <c r="G1324" t="s">
        <v>2024</v>
      </c>
      <c r="H1324">
        <v>4</v>
      </c>
      <c r="I1324">
        <v>36.03</v>
      </c>
      <c r="J1324" s="50">
        <v>144.12</v>
      </c>
      <c r="K1324" t="s">
        <v>1618</v>
      </c>
      <c r="L1324" t="s">
        <v>2699</v>
      </c>
      <c r="M1324" t="s">
        <v>1619</v>
      </c>
      <c r="N1324">
        <v>19.02</v>
      </c>
      <c r="O1324" s="49">
        <v>45446</v>
      </c>
      <c r="P1324" s="50">
        <v>64.853999999999999</v>
      </c>
    </row>
    <row r="1325" spans="4:16" x14ac:dyDescent="0.2">
      <c r="D1325">
        <v>100000802</v>
      </c>
      <c r="E1325" s="49">
        <v>45585</v>
      </c>
      <c r="F1325" t="s">
        <v>2697</v>
      </c>
      <c r="G1325" t="s">
        <v>2230</v>
      </c>
      <c r="H1325">
        <v>8</v>
      </c>
      <c r="I1325">
        <v>26.87</v>
      </c>
      <c r="J1325" s="50">
        <v>214.96</v>
      </c>
      <c r="K1325" t="s">
        <v>1618</v>
      </c>
      <c r="L1325" t="s">
        <v>2699</v>
      </c>
      <c r="M1325" t="s">
        <v>1619</v>
      </c>
      <c r="N1325">
        <v>14.18</v>
      </c>
      <c r="O1325" s="49">
        <v>45590</v>
      </c>
      <c r="P1325" s="50">
        <v>96.731999999999999</v>
      </c>
    </row>
    <row r="1326" spans="4:16" x14ac:dyDescent="0.2">
      <c r="D1326">
        <v>100000802</v>
      </c>
      <c r="E1326" s="49">
        <v>45266</v>
      </c>
      <c r="F1326" t="s">
        <v>2697</v>
      </c>
      <c r="G1326" t="s">
        <v>1848</v>
      </c>
      <c r="H1326">
        <v>8</v>
      </c>
      <c r="I1326">
        <v>69.959999999999994</v>
      </c>
      <c r="J1326" s="50">
        <v>559.67999999999995</v>
      </c>
      <c r="K1326" t="s">
        <v>1618</v>
      </c>
      <c r="L1326" t="s">
        <v>2699</v>
      </c>
      <c r="M1326" t="s">
        <v>1619</v>
      </c>
      <c r="N1326">
        <v>36.92</v>
      </c>
      <c r="O1326" s="49">
        <v>45271</v>
      </c>
      <c r="P1326" s="50">
        <v>251.85599999999999</v>
      </c>
    </row>
    <row r="1327" spans="4:16" x14ac:dyDescent="0.2">
      <c r="D1327">
        <v>100000803</v>
      </c>
      <c r="E1327" s="49">
        <v>44659</v>
      </c>
      <c r="F1327" t="s">
        <v>2700</v>
      </c>
      <c r="G1327" t="s">
        <v>2096</v>
      </c>
      <c r="H1327">
        <v>8</v>
      </c>
      <c r="I1327">
        <v>67.92</v>
      </c>
      <c r="J1327" s="50">
        <v>543.36</v>
      </c>
      <c r="K1327" t="s">
        <v>1618</v>
      </c>
      <c r="M1327" t="s">
        <v>1627</v>
      </c>
      <c r="N1327">
        <v>35.85</v>
      </c>
      <c r="O1327" s="49">
        <v>44664</v>
      </c>
      <c r="P1327" s="50">
        <v>244.512</v>
      </c>
    </row>
    <row r="1328" spans="4:16" x14ac:dyDescent="0.2">
      <c r="D1328">
        <v>100000803</v>
      </c>
      <c r="E1328" s="49">
        <v>45325</v>
      </c>
      <c r="F1328" t="s">
        <v>2700</v>
      </c>
      <c r="G1328" t="s">
        <v>1976</v>
      </c>
      <c r="H1328">
        <v>2</v>
      </c>
      <c r="I1328">
        <v>93.41</v>
      </c>
      <c r="J1328" s="50">
        <v>186.82</v>
      </c>
      <c r="K1328" t="s">
        <v>1618</v>
      </c>
      <c r="M1328" t="s">
        <v>1627</v>
      </c>
      <c r="N1328">
        <v>49.3</v>
      </c>
      <c r="O1328" s="49">
        <v>45330</v>
      </c>
      <c r="P1328" s="50">
        <v>84.069000000000003</v>
      </c>
    </row>
    <row r="1329" spans="4:16" x14ac:dyDescent="0.2">
      <c r="D1329">
        <v>100000804</v>
      </c>
      <c r="E1329" s="49">
        <v>44220</v>
      </c>
      <c r="F1329" t="s">
        <v>2701</v>
      </c>
      <c r="G1329" t="s">
        <v>1910</v>
      </c>
      <c r="H1329">
        <v>4</v>
      </c>
      <c r="I1329">
        <v>97.35</v>
      </c>
      <c r="J1329" s="50">
        <v>389.4</v>
      </c>
      <c r="K1329" t="s">
        <v>1618</v>
      </c>
      <c r="M1329" t="s">
        <v>1624</v>
      </c>
      <c r="N1329">
        <v>51.38</v>
      </c>
      <c r="O1329" s="49">
        <v>44221</v>
      </c>
      <c r="P1329" s="50">
        <v>175.23</v>
      </c>
    </row>
    <row r="1330" spans="4:16" x14ac:dyDescent="0.2">
      <c r="D1330">
        <v>100000804</v>
      </c>
      <c r="E1330" s="49">
        <v>44585</v>
      </c>
      <c r="F1330" t="s">
        <v>2701</v>
      </c>
      <c r="G1330" t="s">
        <v>2465</v>
      </c>
      <c r="H1330">
        <v>4</v>
      </c>
      <c r="I1330">
        <v>99.89</v>
      </c>
      <c r="J1330" s="50">
        <v>399.56</v>
      </c>
      <c r="K1330" t="s">
        <v>1618</v>
      </c>
      <c r="M1330" t="s">
        <v>1621</v>
      </c>
      <c r="N1330">
        <v>52.72</v>
      </c>
      <c r="O1330" s="49">
        <v>44590</v>
      </c>
      <c r="P1330" s="50">
        <v>179.80199999999999</v>
      </c>
    </row>
    <row r="1331" spans="4:16" x14ac:dyDescent="0.2">
      <c r="D1331">
        <v>100000804</v>
      </c>
      <c r="E1331" s="49">
        <v>44366</v>
      </c>
      <c r="F1331" t="s">
        <v>2701</v>
      </c>
      <c r="G1331" t="s">
        <v>1846</v>
      </c>
      <c r="H1331">
        <v>2</v>
      </c>
      <c r="I1331">
        <v>15.97</v>
      </c>
      <c r="J1331" s="50">
        <v>31.94</v>
      </c>
      <c r="K1331" t="s">
        <v>1618</v>
      </c>
      <c r="M1331" t="s">
        <v>1629</v>
      </c>
      <c r="N1331">
        <v>8.43</v>
      </c>
      <c r="O1331" s="49">
        <v>44370</v>
      </c>
      <c r="P1331" s="50">
        <v>14.373000000000001</v>
      </c>
    </row>
    <row r="1332" spans="4:16" x14ac:dyDescent="0.2">
      <c r="D1332">
        <v>100000804</v>
      </c>
      <c r="E1332" s="49">
        <v>45286</v>
      </c>
      <c r="F1332" t="s">
        <v>2701</v>
      </c>
      <c r="G1332" t="s">
        <v>2121</v>
      </c>
      <c r="H1332">
        <v>3</v>
      </c>
      <c r="I1332">
        <v>101.9</v>
      </c>
      <c r="J1332" s="50">
        <v>305.7</v>
      </c>
      <c r="K1332" t="s">
        <v>1618</v>
      </c>
      <c r="M1332" t="s">
        <v>1627</v>
      </c>
      <c r="N1332">
        <v>53.78</v>
      </c>
      <c r="O1332" s="49">
        <v>45291</v>
      </c>
      <c r="P1332" s="50">
        <v>137.565</v>
      </c>
    </row>
    <row r="1333" spans="4:16" x14ac:dyDescent="0.2">
      <c r="D1333">
        <v>100000805</v>
      </c>
      <c r="E1333" s="49">
        <v>45550</v>
      </c>
      <c r="F1333" t="s">
        <v>2702</v>
      </c>
      <c r="G1333" t="s">
        <v>2574</v>
      </c>
      <c r="H1333">
        <v>5</v>
      </c>
      <c r="I1333">
        <v>36.99</v>
      </c>
      <c r="J1333" s="50">
        <v>184.95</v>
      </c>
      <c r="K1333" t="s">
        <v>1618</v>
      </c>
      <c r="M1333" t="s">
        <v>1627</v>
      </c>
      <c r="N1333">
        <v>19.52</v>
      </c>
      <c r="O1333" s="49">
        <v>45555</v>
      </c>
      <c r="P1333" s="50">
        <v>83.227499999999992</v>
      </c>
    </row>
    <row r="1334" spans="4:16" x14ac:dyDescent="0.2">
      <c r="D1334">
        <v>100000805</v>
      </c>
      <c r="E1334" s="49">
        <v>45444</v>
      </c>
      <c r="F1334" t="s">
        <v>2702</v>
      </c>
      <c r="G1334" t="s">
        <v>1953</v>
      </c>
      <c r="H1334">
        <v>9</v>
      </c>
      <c r="I1334">
        <v>17.13</v>
      </c>
      <c r="J1334" s="50">
        <v>154.16999999999999</v>
      </c>
      <c r="K1334" t="s">
        <v>1618</v>
      </c>
      <c r="M1334" t="s">
        <v>1627</v>
      </c>
      <c r="N1334">
        <v>9.0399999999999991</v>
      </c>
      <c r="O1334" s="49">
        <v>45449</v>
      </c>
      <c r="P1334" s="50">
        <v>69.376499999999993</v>
      </c>
    </row>
    <row r="1335" spans="4:16" x14ac:dyDescent="0.2">
      <c r="D1335">
        <v>100000805</v>
      </c>
      <c r="E1335" s="49">
        <v>45337</v>
      </c>
      <c r="F1335" t="s">
        <v>2702</v>
      </c>
      <c r="G1335" t="s">
        <v>1815</v>
      </c>
      <c r="H1335">
        <v>1</v>
      </c>
      <c r="I1335">
        <v>114.03</v>
      </c>
      <c r="J1335" s="50">
        <v>114.03</v>
      </c>
      <c r="K1335" t="s">
        <v>1618</v>
      </c>
      <c r="M1335" t="s">
        <v>1621</v>
      </c>
      <c r="N1335">
        <v>60.18</v>
      </c>
      <c r="O1335" s="49">
        <v>45339</v>
      </c>
      <c r="P1335" s="50">
        <v>51.313500000000005</v>
      </c>
    </row>
    <row r="1336" spans="4:16" x14ac:dyDescent="0.2">
      <c r="D1336">
        <v>100000805</v>
      </c>
      <c r="E1336" s="49">
        <v>45425</v>
      </c>
      <c r="F1336" t="s">
        <v>2702</v>
      </c>
      <c r="G1336" t="s">
        <v>2204</v>
      </c>
      <c r="H1336">
        <v>10</v>
      </c>
      <c r="I1336">
        <v>73.56</v>
      </c>
      <c r="J1336" s="50">
        <v>735.6</v>
      </c>
      <c r="K1336" t="s">
        <v>1618</v>
      </c>
      <c r="M1336" t="s">
        <v>1619</v>
      </c>
      <c r="N1336">
        <v>38.82</v>
      </c>
      <c r="O1336" s="49">
        <v>45427</v>
      </c>
      <c r="P1336" s="50">
        <v>331.02000000000004</v>
      </c>
    </row>
    <row r="1337" spans="4:16" x14ac:dyDescent="0.2">
      <c r="D1337">
        <v>100000805</v>
      </c>
      <c r="E1337" s="49">
        <v>45163</v>
      </c>
      <c r="F1337" t="s">
        <v>2702</v>
      </c>
      <c r="G1337" t="s">
        <v>2387</v>
      </c>
      <c r="H1337">
        <v>1</v>
      </c>
      <c r="I1337">
        <v>10.75</v>
      </c>
      <c r="J1337" s="50">
        <v>10.75</v>
      </c>
      <c r="K1337" t="s">
        <v>1618</v>
      </c>
      <c r="M1337" t="s">
        <v>1627</v>
      </c>
      <c r="N1337">
        <v>5.67</v>
      </c>
      <c r="O1337" s="49">
        <v>45167</v>
      </c>
      <c r="P1337" s="50">
        <v>4.8375000000000004</v>
      </c>
    </row>
    <row r="1338" spans="4:16" x14ac:dyDescent="0.2">
      <c r="D1338">
        <v>100000805</v>
      </c>
      <c r="E1338" s="49">
        <v>44799</v>
      </c>
      <c r="F1338" t="s">
        <v>2702</v>
      </c>
      <c r="G1338" t="s">
        <v>2390</v>
      </c>
      <c r="H1338">
        <v>3</v>
      </c>
      <c r="I1338">
        <v>26.51</v>
      </c>
      <c r="J1338" s="50">
        <v>79.53</v>
      </c>
      <c r="K1338" t="s">
        <v>1618</v>
      </c>
      <c r="M1338" t="s">
        <v>1627</v>
      </c>
      <c r="N1338">
        <v>13.99</v>
      </c>
      <c r="O1338" s="49">
        <v>44803</v>
      </c>
      <c r="P1338" s="50">
        <v>35.788499999999999</v>
      </c>
    </row>
    <row r="1339" spans="4:16" x14ac:dyDescent="0.2">
      <c r="D1339">
        <v>100000805</v>
      </c>
      <c r="E1339" s="49">
        <v>45523</v>
      </c>
      <c r="F1339" t="s">
        <v>2702</v>
      </c>
      <c r="G1339" t="s">
        <v>1696</v>
      </c>
      <c r="H1339">
        <v>7</v>
      </c>
      <c r="I1339">
        <v>15.91</v>
      </c>
      <c r="J1339" s="50">
        <v>111.37</v>
      </c>
      <c r="K1339" t="s">
        <v>1618</v>
      </c>
      <c r="M1339" t="s">
        <v>1619</v>
      </c>
      <c r="N1339">
        <v>8.4</v>
      </c>
      <c r="O1339" s="49">
        <v>45527</v>
      </c>
      <c r="P1339" s="50">
        <v>50.116500000000002</v>
      </c>
    </row>
    <row r="1340" spans="4:16" x14ac:dyDescent="0.2">
      <c r="D1340">
        <v>100000806</v>
      </c>
      <c r="E1340" s="49">
        <v>45285</v>
      </c>
      <c r="F1340" t="s">
        <v>2703</v>
      </c>
      <c r="G1340" t="s">
        <v>2161</v>
      </c>
      <c r="H1340">
        <v>1</v>
      </c>
      <c r="I1340">
        <v>14.64</v>
      </c>
      <c r="J1340" s="50">
        <v>14.64</v>
      </c>
      <c r="K1340" t="s">
        <v>1618</v>
      </c>
      <c r="M1340" t="s">
        <v>1619</v>
      </c>
      <c r="N1340">
        <v>7.73</v>
      </c>
      <c r="O1340" s="49">
        <v>45286</v>
      </c>
      <c r="P1340" s="50">
        <v>6.5880000000000001</v>
      </c>
    </row>
    <row r="1341" spans="4:16" x14ac:dyDescent="0.2">
      <c r="D1341">
        <v>100000807</v>
      </c>
      <c r="E1341" s="49">
        <v>44980</v>
      </c>
      <c r="F1341" t="s">
        <v>2704</v>
      </c>
      <c r="G1341" t="s">
        <v>2088</v>
      </c>
      <c r="H1341">
        <v>10</v>
      </c>
      <c r="I1341">
        <v>33.01</v>
      </c>
      <c r="J1341" s="50">
        <v>330.1</v>
      </c>
      <c r="K1341" t="s">
        <v>1618</v>
      </c>
      <c r="M1341" t="s">
        <v>1621</v>
      </c>
      <c r="N1341">
        <v>17.420000000000002</v>
      </c>
      <c r="O1341" s="49">
        <v>44982</v>
      </c>
      <c r="P1341" s="50">
        <v>148.54500000000002</v>
      </c>
    </row>
    <row r="1342" spans="4:16" x14ac:dyDescent="0.2">
      <c r="D1342">
        <v>100000808</v>
      </c>
      <c r="E1342" s="49">
        <v>44515</v>
      </c>
      <c r="F1342" t="s">
        <v>2705</v>
      </c>
      <c r="G1342" t="s">
        <v>2706</v>
      </c>
      <c r="H1342">
        <v>8</v>
      </c>
      <c r="I1342">
        <v>81.64</v>
      </c>
      <c r="J1342" s="50">
        <v>653.12</v>
      </c>
      <c r="K1342" t="s">
        <v>1618</v>
      </c>
      <c r="M1342" t="s">
        <v>1629</v>
      </c>
      <c r="N1342">
        <v>43.09</v>
      </c>
      <c r="O1342" s="49">
        <v>44520</v>
      </c>
      <c r="P1342" s="50">
        <v>293.904</v>
      </c>
    </row>
    <row r="1343" spans="4:16" x14ac:dyDescent="0.2">
      <c r="D1343">
        <v>100000808</v>
      </c>
      <c r="E1343" s="49">
        <v>45578</v>
      </c>
      <c r="F1343" t="s">
        <v>2705</v>
      </c>
      <c r="G1343" t="s">
        <v>2202</v>
      </c>
      <c r="H1343">
        <v>6</v>
      </c>
      <c r="I1343">
        <v>112.44</v>
      </c>
      <c r="J1343" s="50">
        <v>674.64</v>
      </c>
      <c r="K1343" t="s">
        <v>1618</v>
      </c>
      <c r="M1343" t="s">
        <v>1624</v>
      </c>
      <c r="N1343">
        <v>59.34</v>
      </c>
      <c r="O1343" s="49">
        <v>45579</v>
      </c>
      <c r="P1343" s="50">
        <v>303.58800000000002</v>
      </c>
    </row>
    <row r="1344" spans="4:16" x14ac:dyDescent="0.2">
      <c r="D1344">
        <v>100000808</v>
      </c>
      <c r="E1344" s="49">
        <v>45263</v>
      </c>
      <c r="F1344" t="s">
        <v>2705</v>
      </c>
      <c r="G1344" t="s">
        <v>2707</v>
      </c>
      <c r="H1344">
        <v>2</v>
      </c>
      <c r="I1344">
        <v>108.08</v>
      </c>
      <c r="J1344" s="50">
        <v>216.16</v>
      </c>
      <c r="K1344" t="s">
        <v>1618</v>
      </c>
      <c r="M1344" t="s">
        <v>1624</v>
      </c>
      <c r="N1344">
        <v>57.04</v>
      </c>
      <c r="O1344" s="49">
        <v>45267</v>
      </c>
      <c r="P1344" s="50">
        <v>97.272000000000006</v>
      </c>
    </row>
    <row r="1345" spans="4:16" x14ac:dyDescent="0.2">
      <c r="D1345">
        <v>100000808</v>
      </c>
      <c r="E1345" s="49">
        <v>44877</v>
      </c>
      <c r="F1345" t="s">
        <v>2705</v>
      </c>
      <c r="G1345" t="s">
        <v>1715</v>
      </c>
      <c r="H1345">
        <v>6</v>
      </c>
      <c r="I1345">
        <v>105.06</v>
      </c>
      <c r="J1345" s="50">
        <v>630.36</v>
      </c>
      <c r="K1345" t="s">
        <v>1618</v>
      </c>
      <c r="M1345" t="s">
        <v>1629</v>
      </c>
      <c r="N1345">
        <v>55.45</v>
      </c>
      <c r="O1345" s="49">
        <v>44882</v>
      </c>
      <c r="P1345" s="50">
        <v>283.66200000000003</v>
      </c>
    </row>
    <row r="1346" spans="4:16" x14ac:dyDescent="0.2">
      <c r="D1346">
        <v>100000809</v>
      </c>
      <c r="E1346" s="49">
        <v>44974</v>
      </c>
      <c r="F1346" t="s">
        <v>2708</v>
      </c>
      <c r="G1346" t="s">
        <v>2418</v>
      </c>
      <c r="H1346">
        <v>8</v>
      </c>
      <c r="I1346">
        <v>14.78</v>
      </c>
      <c r="J1346" s="50">
        <v>118.24</v>
      </c>
      <c r="K1346" t="s">
        <v>1618</v>
      </c>
      <c r="L1346" t="s">
        <v>2709</v>
      </c>
      <c r="M1346" t="s">
        <v>1619</v>
      </c>
      <c r="N1346">
        <v>7.8</v>
      </c>
      <c r="O1346" s="49">
        <v>44976</v>
      </c>
      <c r="P1346" s="50">
        <v>53.207999999999998</v>
      </c>
    </row>
    <row r="1347" spans="4:16" x14ac:dyDescent="0.2">
      <c r="D1347">
        <v>100000810</v>
      </c>
      <c r="E1347" s="49">
        <v>44972</v>
      </c>
      <c r="F1347" t="s">
        <v>2710</v>
      </c>
      <c r="G1347" t="s">
        <v>1714</v>
      </c>
      <c r="H1347">
        <v>2</v>
      </c>
      <c r="I1347">
        <v>87.69</v>
      </c>
      <c r="J1347" s="50">
        <v>175.38</v>
      </c>
      <c r="K1347" t="s">
        <v>1632</v>
      </c>
      <c r="L1347" t="s">
        <v>2711</v>
      </c>
      <c r="M1347" t="s">
        <v>1627</v>
      </c>
      <c r="N1347">
        <v>46.28</v>
      </c>
      <c r="O1347" s="49">
        <v>44974</v>
      </c>
      <c r="P1347" s="50">
        <v>78.921000000000006</v>
      </c>
    </row>
    <row r="1348" spans="4:16" x14ac:dyDescent="0.2">
      <c r="D1348">
        <v>100000811</v>
      </c>
      <c r="E1348" s="49">
        <v>44928</v>
      </c>
      <c r="F1348" t="s">
        <v>2712</v>
      </c>
      <c r="G1348" t="s">
        <v>2207</v>
      </c>
      <c r="H1348">
        <v>4</v>
      </c>
      <c r="I1348">
        <v>15.97</v>
      </c>
      <c r="J1348" s="50">
        <v>63.88</v>
      </c>
      <c r="K1348" t="s">
        <v>1618</v>
      </c>
      <c r="M1348" t="s">
        <v>1619</v>
      </c>
      <c r="N1348">
        <v>8.43</v>
      </c>
      <c r="O1348" s="49">
        <v>44929</v>
      </c>
      <c r="P1348" s="50">
        <v>28.746000000000002</v>
      </c>
    </row>
    <row r="1349" spans="4:16" x14ac:dyDescent="0.2">
      <c r="D1349">
        <v>100000811</v>
      </c>
      <c r="E1349" s="49">
        <v>44775</v>
      </c>
      <c r="F1349" t="s">
        <v>2712</v>
      </c>
      <c r="G1349" t="s">
        <v>1827</v>
      </c>
      <c r="H1349">
        <v>2</v>
      </c>
      <c r="I1349">
        <v>97.43</v>
      </c>
      <c r="J1349" s="50">
        <v>194.86</v>
      </c>
      <c r="K1349" t="s">
        <v>1618</v>
      </c>
      <c r="M1349" t="s">
        <v>1621</v>
      </c>
      <c r="N1349">
        <v>51.42</v>
      </c>
      <c r="O1349" s="49">
        <v>44777</v>
      </c>
      <c r="P1349" s="50">
        <v>87.687000000000012</v>
      </c>
    </row>
    <row r="1350" spans="4:16" x14ac:dyDescent="0.2">
      <c r="D1350">
        <v>100000811</v>
      </c>
      <c r="E1350" s="49">
        <v>44669</v>
      </c>
      <c r="F1350" t="s">
        <v>2712</v>
      </c>
      <c r="G1350" t="s">
        <v>1617</v>
      </c>
      <c r="H1350">
        <v>8</v>
      </c>
      <c r="I1350">
        <v>87.98</v>
      </c>
      <c r="J1350" s="50">
        <v>703.84</v>
      </c>
      <c r="K1350" t="s">
        <v>1618</v>
      </c>
      <c r="M1350" t="s">
        <v>1621</v>
      </c>
      <c r="N1350">
        <v>46.43</v>
      </c>
      <c r="O1350" s="49">
        <v>44671</v>
      </c>
      <c r="P1350" s="50">
        <v>316.72800000000001</v>
      </c>
    </row>
    <row r="1351" spans="4:16" x14ac:dyDescent="0.2">
      <c r="D1351">
        <v>100000812</v>
      </c>
      <c r="E1351" s="49">
        <v>44858</v>
      </c>
      <c r="F1351" t="s">
        <v>2713</v>
      </c>
      <c r="G1351" t="s">
        <v>2574</v>
      </c>
      <c r="H1351">
        <v>1</v>
      </c>
      <c r="I1351">
        <v>71.17</v>
      </c>
      <c r="J1351" s="50">
        <v>71.17</v>
      </c>
      <c r="K1351" t="s">
        <v>1632</v>
      </c>
      <c r="L1351" t="s">
        <v>2714</v>
      </c>
      <c r="M1351" t="s">
        <v>1627</v>
      </c>
      <c r="N1351">
        <v>37.56</v>
      </c>
      <c r="O1351" s="49">
        <v>44861</v>
      </c>
      <c r="P1351" s="50">
        <v>32.026499999999999</v>
      </c>
    </row>
    <row r="1352" spans="4:16" x14ac:dyDescent="0.2">
      <c r="D1352">
        <v>100000813</v>
      </c>
      <c r="E1352" s="49">
        <v>45093</v>
      </c>
      <c r="F1352" t="s">
        <v>2715</v>
      </c>
      <c r="G1352" t="s">
        <v>1856</v>
      </c>
      <c r="H1352">
        <v>1</v>
      </c>
      <c r="I1352">
        <v>119.14</v>
      </c>
      <c r="J1352" s="50">
        <v>119.14</v>
      </c>
      <c r="K1352" t="s">
        <v>1618</v>
      </c>
      <c r="L1352" t="s">
        <v>2716</v>
      </c>
      <c r="M1352" t="s">
        <v>1627</v>
      </c>
      <c r="N1352">
        <v>62.88</v>
      </c>
      <c r="O1352" s="49">
        <v>45098</v>
      </c>
      <c r="P1352" s="50">
        <v>53.613</v>
      </c>
    </row>
    <row r="1353" spans="4:16" x14ac:dyDescent="0.2">
      <c r="D1353">
        <v>100000813</v>
      </c>
      <c r="E1353" s="49">
        <v>44222</v>
      </c>
      <c r="F1353" t="s">
        <v>2715</v>
      </c>
      <c r="G1353" t="s">
        <v>2098</v>
      </c>
      <c r="H1353">
        <v>5</v>
      </c>
      <c r="I1353">
        <v>79.95</v>
      </c>
      <c r="J1353" s="50">
        <v>399.75</v>
      </c>
      <c r="K1353" t="s">
        <v>1618</v>
      </c>
      <c r="L1353" t="s">
        <v>2716</v>
      </c>
      <c r="M1353" t="s">
        <v>1619</v>
      </c>
      <c r="N1353">
        <v>42.2</v>
      </c>
      <c r="O1353" s="49">
        <v>44226</v>
      </c>
      <c r="P1353" s="50">
        <v>179.88750000000002</v>
      </c>
    </row>
    <row r="1354" spans="4:16" x14ac:dyDescent="0.2">
      <c r="D1354">
        <v>100000814</v>
      </c>
      <c r="E1354" s="49">
        <v>45457</v>
      </c>
      <c r="F1354" t="s">
        <v>2717</v>
      </c>
      <c r="G1354" t="s">
        <v>2202</v>
      </c>
      <c r="H1354">
        <v>9</v>
      </c>
      <c r="I1354">
        <v>110.21</v>
      </c>
      <c r="J1354" s="50">
        <v>991.89</v>
      </c>
      <c r="K1354" t="s">
        <v>1618</v>
      </c>
      <c r="M1354" t="s">
        <v>1619</v>
      </c>
      <c r="N1354">
        <v>58.17</v>
      </c>
      <c r="O1354" s="49">
        <v>45462</v>
      </c>
      <c r="P1354" s="50">
        <v>446.35050000000001</v>
      </c>
    </row>
    <row r="1355" spans="4:16" x14ac:dyDescent="0.2">
      <c r="D1355">
        <v>100000816</v>
      </c>
      <c r="E1355" s="49">
        <v>44689</v>
      </c>
      <c r="F1355" t="s">
        <v>2718</v>
      </c>
      <c r="G1355" t="s">
        <v>1890</v>
      </c>
      <c r="H1355">
        <v>4</v>
      </c>
      <c r="I1355">
        <v>25.37</v>
      </c>
      <c r="J1355" s="50">
        <v>101.48</v>
      </c>
      <c r="K1355" t="s">
        <v>1632</v>
      </c>
      <c r="M1355" t="s">
        <v>1627</v>
      </c>
      <c r="N1355">
        <v>13.39</v>
      </c>
      <c r="O1355" s="49">
        <v>44691</v>
      </c>
      <c r="P1355" s="50">
        <v>45.666000000000004</v>
      </c>
    </row>
    <row r="1356" spans="4:16" x14ac:dyDescent="0.2">
      <c r="D1356">
        <v>100000816</v>
      </c>
      <c r="E1356" s="49">
        <v>44962</v>
      </c>
      <c r="F1356" t="s">
        <v>2718</v>
      </c>
      <c r="G1356" t="s">
        <v>1808</v>
      </c>
      <c r="H1356">
        <v>9</v>
      </c>
      <c r="I1356">
        <v>29.44</v>
      </c>
      <c r="J1356" s="50">
        <v>264.95999999999998</v>
      </c>
      <c r="K1356" t="s">
        <v>1632</v>
      </c>
      <c r="M1356" t="s">
        <v>1629</v>
      </c>
      <c r="N1356">
        <v>15.54</v>
      </c>
      <c r="O1356" s="49">
        <v>44966</v>
      </c>
      <c r="P1356" s="50">
        <v>119.232</v>
      </c>
    </row>
    <row r="1357" spans="4:16" x14ac:dyDescent="0.2">
      <c r="D1357">
        <v>100000819</v>
      </c>
      <c r="E1357" s="49">
        <v>45097</v>
      </c>
      <c r="F1357" t="s">
        <v>2719</v>
      </c>
      <c r="G1357" t="s">
        <v>2550</v>
      </c>
      <c r="H1357">
        <v>6</v>
      </c>
      <c r="I1357">
        <v>49.38</v>
      </c>
      <c r="J1357" s="50">
        <v>296.27999999999997</v>
      </c>
      <c r="K1357" t="s">
        <v>1632</v>
      </c>
      <c r="M1357" t="s">
        <v>1629</v>
      </c>
      <c r="N1357">
        <v>26.06</v>
      </c>
      <c r="O1357" s="49">
        <v>45099</v>
      </c>
      <c r="P1357" s="50">
        <v>133.32599999999999</v>
      </c>
    </row>
    <row r="1358" spans="4:16" x14ac:dyDescent="0.2">
      <c r="D1358">
        <v>100000819</v>
      </c>
      <c r="E1358" s="49">
        <v>45146</v>
      </c>
      <c r="F1358" t="s">
        <v>2719</v>
      </c>
      <c r="G1358" t="s">
        <v>2633</v>
      </c>
      <c r="H1358">
        <v>7</v>
      </c>
      <c r="I1358">
        <v>105.02</v>
      </c>
      <c r="J1358" s="50">
        <v>735.14</v>
      </c>
      <c r="K1358" t="s">
        <v>1632</v>
      </c>
      <c r="M1358" t="s">
        <v>1629</v>
      </c>
      <c r="N1358">
        <v>55.43</v>
      </c>
      <c r="O1358" s="49">
        <v>45149</v>
      </c>
      <c r="P1358" s="50">
        <v>330.81299999999999</v>
      </c>
    </row>
    <row r="1359" spans="4:16" x14ac:dyDescent="0.2">
      <c r="D1359">
        <v>100000820</v>
      </c>
      <c r="E1359" s="49">
        <v>44537</v>
      </c>
      <c r="F1359" t="s">
        <v>2720</v>
      </c>
      <c r="G1359" t="s">
        <v>1987</v>
      </c>
      <c r="H1359">
        <v>9</v>
      </c>
      <c r="I1359">
        <v>71.239999999999995</v>
      </c>
      <c r="J1359" s="50">
        <v>641.16</v>
      </c>
      <c r="K1359" t="s">
        <v>1618</v>
      </c>
      <c r="M1359" t="s">
        <v>1629</v>
      </c>
      <c r="N1359">
        <v>37.6</v>
      </c>
      <c r="O1359" s="49">
        <v>44539</v>
      </c>
      <c r="P1359" s="50">
        <v>288.52199999999999</v>
      </c>
    </row>
    <row r="1360" spans="4:16" x14ac:dyDescent="0.2">
      <c r="D1360">
        <v>100000821</v>
      </c>
      <c r="E1360" s="49">
        <v>44988</v>
      </c>
      <c r="F1360" t="s">
        <v>2721</v>
      </c>
      <c r="G1360" t="s">
        <v>1639</v>
      </c>
      <c r="H1360">
        <v>10</v>
      </c>
      <c r="I1360">
        <v>49.54</v>
      </c>
      <c r="J1360" s="50">
        <v>495.4</v>
      </c>
      <c r="K1360" t="s">
        <v>1632</v>
      </c>
      <c r="M1360" t="s">
        <v>1627</v>
      </c>
      <c r="N1360">
        <v>26.15</v>
      </c>
      <c r="O1360" s="49">
        <v>44990</v>
      </c>
      <c r="P1360" s="50">
        <v>222.93</v>
      </c>
    </row>
    <row r="1361" spans="4:16" x14ac:dyDescent="0.2">
      <c r="D1361">
        <v>100000821</v>
      </c>
      <c r="E1361" s="49">
        <v>44688</v>
      </c>
      <c r="F1361" t="s">
        <v>2721</v>
      </c>
      <c r="G1361" t="s">
        <v>2380</v>
      </c>
      <c r="H1361">
        <v>6</v>
      </c>
      <c r="I1361">
        <v>61.05</v>
      </c>
      <c r="J1361" s="50">
        <v>366.3</v>
      </c>
      <c r="K1361" t="s">
        <v>1632</v>
      </c>
      <c r="M1361" t="s">
        <v>1619</v>
      </c>
      <c r="N1361">
        <v>32.22</v>
      </c>
      <c r="O1361" s="49">
        <v>44689</v>
      </c>
      <c r="P1361" s="50">
        <v>164.83500000000001</v>
      </c>
    </row>
    <row r="1362" spans="4:16" x14ac:dyDescent="0.2">
      <c r="D1362">
        <v>100000823</v>
      </c>
      <c r="E1362" s="49">
        <v>45007</v>
      </c>
      <c r="F1362" t="s">
        <v>2722</v>
      </c>
      <c r="G1362" t="s">
        <v>1740</v>
      </c>
      <c r="H1362">
        <v>9</v>
      </c>
      <c r="I1362">
        <v>85.96</v>
      </c>
      <c r="J1362" s="50">
        <v>773.64</v>
      </c>
      <c r="K1362" t="s">
        <v>1618</v>
      </c>
      <c r="L1362" t="s">
        <v>2723</v>
      </c>
      <c r="M1362" t="s">
        <v>1621</v>
      </c>
      <c r="N1362">
        <v>45.37</v>
      </c>
      <c r="O1362" s="49">
        <v>45008</v>
      </c>
      <c r="P1362" s="50">
        <v>348.13799999999998</v>
      </c>
    </row>
    <row r="1363" spans="4:16" x14ac:dyDescent="0.2">
      <c r="D1363">
        <v>100000824</v>
      </c>
      <c r="E1363" s="49">
        <v>44217</v>
      </c>
      <c r="F1363" t="s">
        <v>2724</v>
      </c>
      <c r="G1363" t="s">
        <v>1681</v>
      </c>
      <c r="H1363">
        <v>5</v>
      </c>
      <c r="I1363">
        <v>76.12</v>
      </c>
      <c r="J1363" s="50">
        <v>380.6</v>
      </c>
      <c r="K1363" t="s">
        <v>1632</v>
      </c>
      <c r="M1363" t="s">
        <v>1619</v>
      </c>
      <c r="N1363">
        <v>40.17</v>
      </c>
      <c r="O1363" s="49">
        <v>44218</v>
      </c>
      <c r="P1363" s="50">
        <v>171.27</v>
      </c>
    </row>
    <row r="1364" spans="4:16" x14ac:dyDescent="0.2">
      <c r="D1364">
        <v>100000824</v>
      </c>
      <c r="E1364" s="49">
        <v>44663</v>
      </c>
      <c r="F1364" t="s">
        <v>2724</v>
      </c>
      <c r="G1364" t="s">
        <v>1681</v>
      </c>
      <c r="H1364">
        <v>5</v>
      </c>
      <c r="I1364">
        <v>13.73</v>
      </c>
      <c r="J1364" s="50">
        <v>68.650000000000006</v>
      </c>
      <c r="K1364" t="s">
        <v>1632</v>
      </c>
      <c r="M1364" t="s">
        <v>1621</v>
      </c>
      <c r="N1364">
        <v>7.25</v>
      </c>
      <c r="O1364" s="49">
        <v>44664</v>
      </c>
      <c r="P1364" s="50">
        <v>30.892500000000002</v>
      </c>
    </row>
    <row r="1365" spans="4:16" x14ac:dyDescent="0.2">
      <c r="D1365">
        <v>100000824</v>
      </c>
      <c r="E1365" s="49">
        <v>44654</v>
      </c>
      <c r="F1365" t="s">
        <v>2724</v>
      </c>
      <c r="G1365" t="s">
        <v>1874</v>
      </c>
      <c r="H1365">
        <v>3</v>
      </c>
      <c r="I1365">
        <v>20.22</v>
      </c>
      <c r="J1365" s="50">
        <v>60.66</v>
      </c>
      <c r="K1365" t="s">
        <v>1632</v>
      </c>
      <c r="M1365" t="s">
        <v>1629</v>
      </c>
      <c r="N1365">
        <v>10.67</v>
      </c>
      <c r="O1365" s="49">
        <v>44659</v>
      </c>
      <c r="P1365" s="50">
        <v>27.297000000000001</v>
      </c>
    </row>
    <row r="1366" spans="4:16" x14ac:dyDescent="0.2">
      <c r="D1366">
        <v>100000825</v>
      </c>
      <c r="E1366" s="49">
        <v>45274</v>
      </c>
      <c r="F1366" t="s">
        <v>2725</v>
      </c>
      <c r="G1366" t="s">
        <v>2465</v>
      </c>
      <c r="H1366">
        <v>2</v>
      </c>
      <c r="I1366">
        <v>111.05</v>
      </c>
      <c r="J1366" s="50">
        <v>222.1</v>
      </c>
      <c r="K1366" t="s">
        <v>1618</v>
      </c>
      <c r="M1366" t="s">
        <v>1619</v>
      </c>
      <c r="N1366">
        <v>58.61</v>
      </c>
      <c r="O1366" s="49">
        <v>45277</v>
      </c>
      <c r="P1366" s="50">
        <v>99.944999999999993</v>
      </c>
    </row>
    <row r="1367" spans="4:16" x14ac:dyDescent="0.2">
      <c r="D1367">
        <v>100000825</v>
      </c>
      <c r="E1367" s="49">
        <v>44257</v>
      </c>
      <c r="F1367" t="s">
        <v>2725</v>
      </c>
      <c r="G1367" t="s">
        <v>2057</v>
      </c>
      <c r="H1367">
        <v>9</v>
      </c>
      <c r="I1367">
        <v>24.73</v>
      </c>
      <c r="J1367" s="50">
        <v>222.57</v>
      </c>
      <c r="K1367" t="s">
        <v>1618</v>
      </c>
      <c r="M1367" t="s">
        <v>1621</v>
      </c>
      <c r="N1367">
        <v>13.05</v>
      </c>
      <c r="O1367" s="49">
        <v>44262</v>
      </c>
      <c r="P1367" s="50">
        <v>100.15649999999999</v>
      </c>
    </row>
    <row r="1368" spans="4:16" x14ac:dyDescent="0.2">
      <c r="D1368">
        <v>100000826</v>
      </c>
      <c r="E1368" s="49">
        <v>44511</v>
      </c>
      <c r="F1368" t="s">
        <v>2726</v>
      </c>
      <c r="G1368" t="s">
        <v>1944</v>
      </c>
      <c r="H1368">
        <v>6</v>
      </c>
      <c r="I1368">
        <v>11.87</v>
      </c>
      <c r="J1368" s="50">
        <v>71.22</v>
      </c>
      <c r="K1368" t="s">
        <v>1618</v>
      </c>
      <c r="M1368" t="s">
        <v>1619</v>
      </c>
      <c r="N1368">
        <v>6.26</v>
      </c>
      <c r="O1368" s="49">
        <v>44513</v>
      </c>
      <c r="P1368" s="50">
        <v>32.048999999999999</v>
      </c>
    </row>
    <row r="1369" spans="4:16" x14ac:dyDescent="0.2">
      <c r="D1369">
        <v>100000826</v>
      </c>
      <c r="E1369" s="49">
        <v>45266</v>
      </c>
      <c r="F1369" t="s">
        <v>2726</v>
      </c>
      <c r="G1369" t="s">
        <v>2090</v>
      </c>
      <c r="H1369">
        <v>6</v>
      </c>
      <c r="I1369">
        <v>43.48</v>
      </c>
      <c r="J1369" s="50">
        <v>260.88</v>
      </c>
      <c r="K1369" t="s">
        <v>1618</v>
      </c>
      <c r="M1369" t="s">
        <v>1621</v>
      </c>
      <c r="N1369">
        <v>22.95</v>
      </c>
      <c r="O1369" s="49">
        <v>45271</v>
      </c>
      <c r="P1369" s="50">
        <v>117.396</v>
      </c>
    </row>
    <row r="1370" spans="4:16" x14ac:dyDescent="0.2">
      <c r="D1370">
        <v>100000826</v>
      </c>
      <c r="E1370" s="49">
        <v>45448</v>
      </c>
      <c r="F1370" t="s">
        <v>2726</v>
      </c>
      <c r="G1370" t="s">
        <v>1724</v>
      </c>
      <c r="H1370">
        <v>10</v>
      </c>
      <c r="I1370">
        <v>47.29</v>
      </c>
      <c r="J1370" s="50">
        <v>472.9</v>
      </c>
      <c r="K1370" t="s">
        <v>1618</v>
      </c>
      <c r="M1370" t="s">
        <v>1629</v>
      </c>
      <c r="N1370">
        <v>24.96</v>
      </c>
      <c r="O1370" s="49">
        <v>45451</v>
      </c>
      <c r="P1370" s="50">
        <v>212.80500000000001</v>
      </c>
    </row>
    <row r="1371" spans="4:16" x14ac:dyDescent="0.2">
      <c r="D1371">
        <v>100000826</v>
      </c>
      <c r="E1371" s="49">
        <v>45273</v>
      </c>
      <c r="F1371" t="s">
        <v>2726</v>
      </c>
      <c r="G1371" t="s">
        <v>1634</v>
      </c>
      <c r="H1371">
        <v>7</v>
      </c>
      <c r="I1371">
        <v>10.53</v>
      </c>
      <c r="J1371" s="50">
        <v>73.709999999999994</v>
      </c>
      <c r="K1371" t="s">
        <v>1618</v>
      </c>
      <c r="M1371" t="s">
        <v>1621</v>
      </c>
      <c r="N1371">
        <v>5.56</v>
      </c>
      <c r="O1371" s="49">
        <v>45274</v>
      </c>
      <c r="P1371" s="50">
        <v>33.169499999999999</v>
      </c>
    </row>
    <row r="1372" spans="4:16" x14ac:dyDescent="0.2">
      <c r="D1372">
        <v>100000826</v>
      </c>
      <c r="E1372" s="49">
        <v>45538</v>
      </c>
      <c r="F1372" t="s">
        <v>2726</v>
      </c>
      <c r="G1372" t="s">
        <v>2180</v>
      </c>
      <c r="H1372">
        <v>2</v>
      </c>
      <c r="I1372">
        <v>107.49</v>
      </c>
      <c r="J1372" s="50">
        <v>214.98</v>
      </c>
      <c r="K1372" t="s">
        <v>1618</v>
      </c>
      <c r="M1372" t="s">
        <v>1624</v>
      </c>
      <c r="N1372">
        <v>56.73</v>
      </c>
      <c r="O1372" s="49">
        <v>45540</v>
      </c>
      <c r="P1372" s="50">
        <v>96.741</v>
      </c>
    </row>
    <row r="1373" spans="4:16" x14ac:dyDescent="0.2">
      <c r="D1373">
        <v>100000826</v>
      </c>
      <c r="E1373" s="49">
        <v>44335</v>
      </c>
      <c r="F1373" t="s">
        <v>2726</v>
      </c>
      <c r="G1373" t="s">
        <v>1928</v>
      </c>
      <c r="H1373">
        <v>2</v>
      </c>
      <c r="I1373">
        <v>91.92</v>
      </c>
      <c r="J1373" s="50">
        <v>183.84</v>
      </c>
      <c r="K1373" t="s">
        <v>1618</v>
      </c>
      <c r="M1373" t="s">
        <v>1627</v>
      </c>
      <c r="N1373">
        <v>48.51</v>
      </c>
      <c r="O1373" s="49">
        <v>44336</v>
      </c>
      <c r="P1373" s="50">
        <v>82.728000000000009</v>
      </c>
    </row>
    <row r="1374" spans="4:16" x14ac:dyDescent="0.2">
      <c r="D1374">
        <v>100000826</v>
      </c>
      <c r="E1374" s="49">
        <v>44686</v>
      </c>
      <c r="F1374" t="s">
        <v>2726</v>
      </c>
      <c r="G1374" t="s">
        <v>2431</v>
      </c>
      <c r="H1374">
        <v>10</v>
      </c>
      <c r="I1374">
        <v>93.52</v>
      </c>
      <c r="J1374" s="50">
        <v>935.19999999999993</v>
      </c>
      <c r="K1374" t="s">
        <v>1618</v>
      </c>
      <c r="M1374" t="s">
        <v>1621</v>
      </c>
      <c r="N1374">
        <v>49.36</v>
      </c>
      <c r="O1374" s="49">
        <v>44689</v>
      </c>
      <c r="P1374" s="50">
        <v>420.84</v>
      </c>
    </row>
    <row r="1375" spans="4:16" x14ac:dyDescent="0.2">
      <c r="D1375">
        <v>100000827</v>
      </c>
      <c r="E1375" s="49">
        <v>45023</v>
      </c>
      <c r="F1375" t="s">
        <v>2727</v>
      </c>
      <c r="G1375" t="s">
        <v>1695</v>
      </c>
      <c r="H1375">
        <v>6</v>
      </c>
      <c r="I1375">
        <v>33.119999999999997</v>
      </c>
      <c r="J1375" s="50">
        <v>198.72</v>
      </c>
      <c r="K1375" t="s">
        <v>1618</v>
      </c>
      <c r="M1375" t="s">
        <v>1619</v>
      </c>
      <c r="N1375">
        <v>17.48</v>
      </c>
      <c r="O1375" s="49">
        <v>45028</v>
      </c>
      <c r="P1375" s="50">
        <v>89.424000000000007</v>
      </c>
    </row>
    <row r="1376" spans="4:16" x14ac:dyDescent="0.2">
      <c r="D1376">
        <v>100000827</v>
      </c>
      <c r="E1376" s="49">
        <v>44402</v>
      </c>
      <c r="F1376" t="s">
        <v>2727</v>
      </c>
      <c r="G1376" t="s">
        <v>1864</v>
      </c>
      <c r="H1376">
        <v>1</v>
      </c>
      <c r="I1376">
        <v>25.51</v>
      </c>
      <c r="J1376" s="50">
        <v>25.51</v>
      </c>
      <c r="K1376" t="s">
        <v>1618</v>
      </c>
      <c r="M1376" t="s">
        <v>1619</v>
      </c>
      <c r="N1376">
        <v>13.46</v>
      </c>
      <c r="O1376" s="49">
        <v>44404</v>
      </c>
      <c r="P1376" s="50">
        <v>11.479500000000002</v>
      </c>
    </row>
    <row r="1377" spans="4:16" x14ac:dyDescent="0.2">
      <c r="D1377">
        <v>100000827</v>
      </c>
      <c r="E1377" s="49">
        <v>45416</v>
      </c>
      <c r="F1377" t="s">
        <v>2727</v>
      </c>
      <c r="G1377" t="s">
        <v>1743</v>
      </c>
      <c r="H1377">
        <v>2</v>
      </c>
      <c r="I1377">
        <v>64.09</v>
      </c>
      <c r="J1377" s="50">
        <v>128.18</v>
      </c>
      <c r="K1377" t="s">
        <v>1618</v>
      </c>
      <c r="M1377" t="s">
        <v>1629</v>
      </c>
      <c r="N1377">
        <v>33.83</v>
      </c>
      <c r="O1377" s="49">
        <v>45417</v>
      </c>
      <c r="P1377" s="50">
        <v>57.681000000000004</v>
      </c>
    </row>
    <row r="1378" spans="4:16" x14ac:dyDescent="0.2">
      <c r="D1378">
        <v>100000829</v>
      </c>
      <c r="E1378" s="49">
        <v>45371</v>
      </c>
      <c r="F1378" t="s">
        <v>2728</v>
      </c>
      <c r="G1378" t="s">
        <v>1982</v>
      </c>
      <c r="H1378">
        <v>9</v>
      </c>
      <c r="I1378">
        <v>31.8</v>
      </c>
      <c r="J1378" s="50">
        <v>286.2</v>
      </c>
      <c r="K1378" t="s">
        <v>1618</v>
      </c>
      <c r="M1378" t="s">
        <v>1629</v>
      </c>
      <c r="N1378">
        <v>16.78</v>
      </c>
      <c r="O1378" s="49">
        <v>45372</v>
      </c>
      <c r="P1378" s="50">
        <v>128.79</v>
      </c>
    </row>
    <row r="1379" spans="4:16" x14ac:dyDescent="0.2">
      <c r="D1379">
        <v>100000831</v>
      </c>
      <c r="E1379" s="49">
        <v>44826</v>
      </c>
      <c r="F1379" t="s">
        <v>2729</v>
      </c>
      <c r="G1379" t="s">
        <v>1851</v>
      </c>
      <c r="H1379">
        <v>2</v>
      </c>
      <c r="I1379">
        <v>18.39</v>
      </c>
      <c r="J1379" s="50">
        <v>36.78</v>
      </c>
      <c r="K1379" t="s">
        <v>1618</v>
      </c>
      <c r="M1379" t="s">
        <v>1629</v>
      </c>
      <c r="N1379">
        <v>9.7100000000000009</v>
      </c>
      <c r="O1379" s="49">
        <v>44827</v>
      </c>
      <c r="P1379" s="50">
        <v>16.551000000000002</v>
      </c>
    </row>
    <row r="1380" spans="4:16" x14ac:dyDescent="0.2">
      <c r="D1380">
        <v>100000833</v>
      </c>
      <c r="E1380" s="49">
        <v>45548</v>
      </c>
      <c r="F1380" t="s">
        <v>2730</v>
      </c>
      <c r="G1380" t="s">
        <v>2465</v>
      </c>
      <c r="H1380">
        <v>7</v>
      </c>
      <c r="I1380">
        <v>95.18</v>
      </c>
      <c r="J1380" s="50">
        <v>666.26</v>
      </c>
      <c r="K1380" t="s">
        <v>1632</v>
      </c>
      <c r="M1380" t="s">
        <v>1629</v>
      </c>
      <c r="N1380">
        <v>50.23</v>
      </c>
      <c r="O1380" s="49">
        <v>45550</v>
      </c>
      <c r="P1380" s="50">
        <v>299.81700000000001</v>
      </c>
    </row>
    <row r="1381" spans="4:16" x14ac:dyDescent="0.2">
      <c r="D1381">
        <v>100000834</v>
      </c>
      <c r="E1381" s="49">
        <v>44661</v>
      </c>
      <c r="F1381" t="s">
        <v>2731</v>
      </c>
      <c r="G1381" t="s">
        <v>1817</v>
      </c>
      <c r="H1381">
        <v>3</v>
      </c>
      <c r="I1381">
        <v>77.680000000000007</v>
      </c>
      <c r="J1381" s="50">
        <v>233.04</v>
      </c>
      <c r="K1381" t="s">
        <v>1632</v>
      </c>
      <c r="M1381" t="s">
        <v>1619</v>
      </c>
      <c r="N1381">
        <v>41</v>
      </c>
      <c r="O1381" s="49">
        <v>44665</v>
      </c>
      <c r="P1381" s="50">
        <v>104.86799999999999</v>
      </c>
    </row>
    <row r="1382" spans="4:16" x14ac:dyDescent="0.2">
      <c r="D1382">
        <v>100000834</v>
      </c>
      <c r="E1382" s="49">
        <v>45455</v>
      </c>
      <c r="F1382" t="s">
        <v>2731</v>
      </c>
      <c r="G1382" t="s">
        <v>2147</v>
      </c>
      <c r="H1382">
        <v>10</v>
      </c>
      <c r="I1382">
        <v>92.65</v>
      </c>
      <c r="J1382" s="50">
        <v>926.5</v>
      </c>
      <c r="K1382" t="s">
        <v>1632</v>
      </c>
      <c r="M1382" t="s">
        <v>1621</v>
      </c>
      <c r="N1382">
        <v>48.9</v>
      </c>
      <c r="O1382" s="49">
        <v>45457</v>
      </c>
      <c r="P1382" s="50">
        <v>416.92500000000001</v>
      </c>
    </row>
    <row r="1383" spans="4:16" x14ac:dyDescent="0.2">
      <c r="D1383">
        <v>100000834</v>
      </c>
      <c r="E1383" s="49">
        <v>45465</v>
      </c>
      <c r="F1383" t="s">
        <v>2731</v>
      </c>
      <c r="G1383" t="s">
        <v>1658</v>
      </c>
      <c r="H1383">
        <v>6</v>
      </c>
      <c r="I1383">
        <v>89.38</v>
      </c>
      <c r="J1383" s="50">
        <v>536.28</v>
      </c>
      <c r="K1383" t="s">
        <v>1632</v>
      </c>
      <c r="M1383" t="s">
        <v>1619</v>
      </c>
      <c r="N1383">
        <v>47.17</v>
      </c>
      <c r="O1383" s="49">
        <v>45468</v>
      </c>
      <c r="P1383" s="50">
        <v>241.32599999999999</v>
      </c>
    </row>
    <row r="1384" spans="4:16" x14ac:dyDescent="0.2">
      <c r="D1384">
        <v>100000834</v>
      </c>
      <c r="E1384" s="49">
        <v>45427</v>
      </c>
      <c r="F1384" t="s">
        <v>2731</v>
      </c>
      <c r="G1384" t="s">
        <v>1737</v>
      </c>
      <c r="H1384">
        <v>1</v>
      </c>
      <c r="I1384">
        <v>13.45</v>
      </c>
      <c r="J1384" s="50">
        <v>13.45</v>
      </c>
      <c r="K1384" t="s">
        <v>1632</v>
      </c>
      <c r="M1384" t="s">
        <v>1627</v>
      </c>
      <c r="N1384">
        <v>7.1</v>
      </c>
      <c r="O1384" s="49">
        <v>45431</v>
      </c>
      <c r="P1384" s="50">
        <v>6.0525000000000002</v>
      </c>
    </row>
    <row r="1385" spans="4:16" x14ac:dyDescent="0.2">
      <c r="D1385">
        <v>100000834</v>
      </c>
      <c r="E1385" s="49">
        <v>44859</v>
      </c>
      <c r="F1385" t="s">
        <v>2731</v>
      </c>
      <c r="G1385" t="s">
        <v>2581</v>
      </c>
      <c r="H1385">
        <v>1</v>
      </c>
      <c r="I1385">
        <v>115.9</v>
      </c>
      <c r="J1385" s="50">
        <v>115.9</v>
      </c>
      <c r="K1385" t="s">
        <v>1632</v>
      </c>
      <c r="M1385" t="s">
        <v>1621</v>
      </c>
      <c r="N1385">
        <v>61.17</v>
      </c>
      <c r="O1385" s="49">
        <v>44863</v>
      </c>
      <c r="P1385" s="50">
        <v>52.155000000000001</v>
      </c>
    </row>
    <row r="1386" spans="4:16" x14ac:dyDescent="0.2">
      <c r="D1386">
        <v>100000835</v>
      </c>
      <c r="E1386" s="49">
        <v>44563</v>
      </c>
      <c r="F1386" t="s">
        <v>2732</v>
      </c>
      <c r="G1386" t="s">
        <v>2733</v>
      </c>
      <c r="H1386">
        <v>4</v>
      </c>
      <c r="I1386">
        <v>63.58</v>
      </c>
      <c r="J1386" s="50">
        <v>254.32</v>
      </c>
      <c r="K1386" t="s">
        <v>1618</v>
      </c>
      <c r="L1386" t="s">
        <v>2734</v>
      </c>
      <c r="M1386" t="s">
        <v>1624</v>
      </c>
      <c r="N1386">
        <v>33.56</v>
      </c>
      <c r="O1386" s="49">
        <v>44564</v>
      </c>
      <c r="P1386" s="50">
        <v>114.444</v>
      </c>
    </row>
    <row r="1387" spans="4:16" x14ac:dyDescent="0.2">
      <c r="D1387">
        <v>100000837</v>
      </c>
      <c r="E1387" s="49">
        <v>44908</v>
      </c>
      <c r="F1387" t="s">
        <v>2735</v>
      </c>
      <c r="G1387" t="s">
        <v>1637</v>
      </c>
      <c r="H1387">
        <v>7</v>
      </c>
      <c r="I1387">
        <v>55.24</v>
      </c>
      <c r="J1387" s="50">
        <v>386.68</v>
      </c>
      <c r="K1387" t="s">
        <v>1618</v>
      </c>
      <c r="M1387" t="s">
        <v>1629</v>
      </c>
      <c r="N1387">
        <v>29.15</v>
      </c>
      <c r="O1387" s="49">
        <v>44912</v>
      </c>
      <c r="P1387" s="50">
        <v>174.006</v>
      </c>
    </row>
    <row r="1388" spans="4:16" x14ac:dyDescent="0.2">
      <c r="D1388">
        <v>100000837</v>
      </c>
      <c r="E1388" s="49">
        <v>44847</v>
      </c>
      <c r="F1388" t="s">
        <v>2735</v>
      </c>
      <c r="G1388" t="s">
        <v>1718</v>
      </c>
      <c r="H1388">
        <v>1</v>
      </c>
      <c r="I1388">
        <v>105.67</v>
      </c>
      <c r="J1388" s="50">
        <v>105.67</v>
      </c>
      <c r="K1388" t="s">
        <v>1618</v>
      </c>
      <c r="M1388" t="s">
        <v>1621</v>
      </c>
      <c r="N1388">
        <v>55.77</v>
      </c>
      <c r="O1388" s="49">
        <v>44851</v>
      </c>
      <c r="P1388" s="50">
        <v>47.551500000000004</v>
      </c>
    </row>
    <row r="1389" spans="4:16" x14ac:dyDescent="0.2">
      <c r="D1389">
        <v>100000837</v>
      </c>
      <c r="E1389" s="49">
        <v>44674</v>
      </c>
      <c r="F1389" t="s">
        <v>2735</v>
      </c>
      <c r="G1389" t="s">
        <v>1728</v>
      </c>
      <c r="H1389">
        <v>1</v>
      </c>
      <c r="I1389">
        <v>47.46</v>
      </c>
      <c r="J1389" s="50">
        <v>47.46</v>
      </c>
      <c r="K1389" t="s">
        <v>1618</v>
      </c>
      <c r="M1389" t="s">
        <v>1621</v>
      </c>
      <c r="N1389">
        <v>25.05</v>
      </c>
      <c r="O1389" s="49">
        <v>44678</v>
      </c>
      <c r="P1389" s="50">
        <v>21.356999999999999</v>
      </c>
    </row>
    <row r="1390" spans="4:16" x14ac:dyDescent="0.2">
      <c r="D1390">
        <v>100000838</v>
      </c>
      <c r="E1390" s="49">
        <v>44504</v>
      </c>
      <c r="F1390" t="s">
        <v>2736</v>
      </c>
      <c r="G1390" t="s">
        <v>2431</v>
      </c>
      <c r="H1390">
        <v>8</v>
      </c>
      <c r="I1390">
        <v>110.09</v>
      </c>
      <c r="J1390" s="50">
        <v>880.72</v>
      </c>
      <c r="K1390" t="s">
        <v>1618</v>
      </c>
      <c r="M1390" t="s">
        <v>1624</v>
      </c>
      <c r="N1390">
        <v>58.1</v>
      </c>
      <c r="O1390" s="49">
        <v>44508</v>
      </c>
      <c r="P1390" s="50">
        <v>396.32400000000001</v>
      </c>
    </row>
    <row r="1391" spans="4:16" x14ac:dyDescent="0.2">
      <c r="D1391">
        <v>100000839</v>
      </c>
      <c r="E1391" s="49">
        <v>45637</v>
      </c>
      <c r="F1391" t="s">
        <v>2737</v>
      </c>
      <c r="G1391" t="s">
        <v>1890</v>
      </c>
      <c r="H1391">
        <v>6</v>
      </c>
      <c r="I1391">
        <v>78.91</v>
      </c>
      <c r="J1391" s="50">
        <v>473.46</v>
      </c>
      <c r="K1391" t="s">
        <v>1618</v>
      </c>
      <c r="M1391" t="s">
        <v>1621</v>
      </c>
      <c r="N1391">
        <v>41.65</v>
      </c>
      <c r="O1391" s="49">
        <v>45642</v>
      </c>
      <c r="P1391" s="50">
        <v>213.05699999999999</v>
      </c>
    </row>
    <row r="1392" spans="4:16" x14ac:dyDescent="0.2">
      <c r="D1392">
        <v>100000840</v>
      </c>
      <c r="E1392" s="49">
        <v>44450</v>
      </c>
      <c r="F1392" t="s">
        <v>2738</v>
      </c>
      <c r="G1392" t="s">
        <v>1767</v>
      </c>
      <c r="H1392">
        <v>10</v>
      </c>
      <c r="I1392">
        <v>42</v>
      </c>
      <c r="J1392" s="50">
        <v>420</v>
      </c>
      <c r="K1392" t="s">
        <v>1618</v>
      </c>
      <c r="M1392" t="s">
        <v>1627</v>
      </c>
      <c r="N1392">
        <v>22.17</v>
      </c>
      <c r="O1392" s="49">
        <v>44451</v>
      </c>
      <c r="P1392" s="50">
        <v>189</v>
      </c>
    </row>
    <row r="1393" spans="4:16" x14ac:dyDescent="0.2">
      <c r="D1393">
        <v>100000841</v>
      </c>
      <c r="E1393" s="49">
        <v>45321</v>
      </c>
      <c r="F1393" t="s">
        <v>2739</v>
      </c>
      <c r="G1393" t="s">
        <v>2168</v>
      </c>
      <c r="H1393">
        <v>5</v>
      </c>
      <c r="I1393">
        <v>83.97</v>
      </c>
      <c r="J1393" s="50">
        <v>419.85</v>
      </c>
      <c r="K1393" t="s">
        <v>1618</v>
      </c>
      <c r="M1393" t="s">
        <v>1621</v>
      </c>
      <c r="N1393">
        <v>44.32</v>
      </c>
      <c r="O1393" s="49">
        <v>45322</v>
      </c>
      <c r="P1393" s="50">
        <v>188.9325</v>
      </c>
    </row>
    <row r="1394" spans="4:16" x14ac:dyDescent="0.2">
      <c r="D1394">
        <v>100000841</v>
      </c>
      <c r="E1394" s="49">
        <v>44576</v>
      </c>
      <c r="F1394" t="s">
        <v>2739</v>
      </c>
      <c r="G1394" t="s">
        <v>1885</v>
      </c>
      <c r="H1394">
        <v>7</v>
      </c>
      <c r="I1394">
        <v>113.83</v>
      </c>
      <c r="J1394" s="50">
        <v>796.81</v>
      </c>
      <c r="K1394" t="s">
        <v>1618</v>
      </c>
      <c r="M1394" t="s">
        <v>1619</v>
      </c>
      <c r="N1394">
        <v>60.08</v>
      </c>
      <c r="O1394" s="49">
        <v>44579</v>
      </c>
      <c r="P1394" s="50">
        <v>358.56450000000001</v>
      </c>
    </row>
    <row r="1395" spans="4:16" x14ac:dyDescent="0.2">
      <c r="D1395">
        <v>100000842</v>
      </c>
      <c r="E1395" s="49">
        <v>44859</v>
      </c>
      <c r="F1395" t="s">
        <v>2740</v>
      </c>
      <c r="G1395" t="s">
        <v>1645</v>
      </c>
      <c r="H1395">
        <v>8</v>
      </c>
      <c r="I1395">
        <v>39.020000000000003</v>
      </c>
      <c r="J1395" s="50">
        <v>312.16000000000003</v>
      </c>
      <c r="K1395" t="s">
        <v>1632</v>
      </c>
      <c r="L1395" t="s">
        <v>2741</v>
      </c>
      <c r="M1395" t="s">
        <v>1621</v>
      </c>
      <c r="N1395">
        <v>20.59</v>
      </c>
      <c r="O1395" s="49">
        <v>44862</v>
      </c>
      <c r="P1395" s="50">
        <v>140.47200000000001</v>
      </c>
    </row>
    <row r="1396" spans="4:16" x14ac:dyDescent="0.2">
      <c r="D1396">
        <v>100000842</v>
      </c>
      <c r="E1396" s="49">
        <v>44378</v>
      </c>
      <c r="F1396" t="s">
        <v>2740</v>
      </c>
      <c r="G1396" t="s">
        <v>1744</v>
      </c>
      <c r="H1396">
        <v>9</v>
      </c>
      <c r="I1396">
        <v>41.24</v>
      </c>
      <c r="J1396" s="50">
        <v>371.16</v>
      </c>
      <c r="K1396" t="s">
        <v>1632</v>
      </c>
      <c r="L1396" t="s">
        <v>2741</v>
      </c>
      <c r="M1396" t="s">
        <v>1629</v>
      </c>
      <c r="N1396">
        <v>21.77</v>
      </c>
      <c r="O1396" s="49">
        <v>44379</v>
      </c>
      <c r="P1396" s="50">
        <v>167.02200000000002</v>
      </c>
    </row>
    <row r="1397" spans="4:16" x14ac:dyDescent="0.2">
      <c r="D1397">
        <v>100000842</v>
      </c>
      <c r="E1397" s="49">
        <v>45239</v>
      </c>
      <c r="F1397" t="s">
        <v>2740</v>
      </c>
      <c r="G1397" t="s">
        <v>1679</v>
      </c>
      <c r="H1397">
        <v>3</v>
      </c>
      <c r="I1397">
        <v>61.78</v>
      </c>
      <c r="J1397" s="50">
        <v>185.34</v>
      </c>
      <c r="K1397" t="s">
        <v>1632</v>
      </c>
      <c r="L1397" t="s">
        <v>2741</v>
      </c>
      <c r="M1397" t="s">
        <v>1619</v>
      </c>
      <c r="N1397">
        <v>32.61</v>
      </c>
      <c r="O1397" s="49">
        <v>45241</v>
      </c>
      <c r="P1397" s="50">
        <v>83.403000000000006</v>
      </c>
    </row>
    <row r="1398" spans="4:16" x14ac:dyDescent="0.2">
      <c r="D1398">
        <v>100000842</v>
      </c>
      <c r="E1398" s="49">
        <v>45081</v>
      </c>
      <c r="F1398" t="s">
        <v>2740</v>
      </c>
      <c r="G1398" t="s">
        <v>1819</v>
      </c>
      <c r="H1398">
        <v>3</v>
      </c>
      <c r="I1398">
        <v>109.35</v>
      </c>
      <c r="J1398" s="50">
        <v>328.05</v>
      </c>
      <c r="K1398" t="s">
        <v>1632</v>
      </c>
      <c r="L1398" t="s">
        <v>2741</v>
      </c>
      <c r="M1398" t="s">
        <v>1619</v>
      </c>
      <c r="N1398">
        <v>57.71</v>
      </c>
      <c r="O1398" s="49">
        <v>45085</v>
      </c>
      <c r="P1398" s="50">
        <v>147.6225</v>
      </c>
    </row>
    <row r="1399" spans="4:16" x14ac:dyDescent="0.2">
      <c r="D1399">
        <v>100000842</v>
      </c>
      <c r="E1399" s="49">
        <v>44204</v>
      </c>
      <c r="F1399" t="s">
        <v>2740</v>
      </c>
      <c r="G1399" t="s">
        <v>2033</v>
      </c>
      <c r="H1399">
        <v>10</v>
      </c>
      <c r="I1399">
        <v>43.1</v>
      </c>
      <c r="J1399" s="50">
        <v>431</v>
      </c>
      <c r="K1399" t="s">
        <v>1632</v>
      </c>
      <c r="L1399" t="s">
        <v>2741</v>
      </c>
      <c r="M1399" t="s">
        <v>1629</v>
      </c>
      <c r="N1399">
        <v>22.75</v>
      </c>
      <c r="O1399" s="49">
        <v>44205</v>
      </c>
      <c r="P1399" s="50">
        <v>193.95000000000002</v>
      </c>
    </row>
    <row r="1400" spans="4:16" x14ac:dyDescent="0.2">
      <c r="D1400">
        <v>100000843</v>
      </c>
      <c r="E1400" s="49">
        <v>44414</v>
      </c>
      <c r="F1400" t="s">
        <v>2386</v>
      </c>
      <c r="G1400" t="s">
        <v>1671</v>
      </c>
      <c r="H1400">
        <v>5</v>
      </c>
      <c r="I1400">
        <v>110</v>
      </c>
      <c r="J1400" s="50">
        <v>550</v>
      </c>
      <c r="K1400" t="s">
        <v>1618</v>
      </c>
      <c r="M1400" t="s">
        <v>1621</v>
      </c>
      <c r="N1400">
        <v>58.06</v>
      </c>
      <c r="O1400" s="49">
        <v>44417</v>
      </c>
      <c r="P1400" s="50">
        <v>247.5</v>
      </c>
    </row>
    <row r="1401" spans="4:16" x14ac:dyDescent="0.2">
      <c r="D1401">
        <v>100000843</v>
      </c>
      <c r="E1401" s="49">
        <v>44543</v>
      </c>
      <c r="F1401" t="s">
        <v>2386</v>
      </c>
      <c r="G1401" t="s">
        <v>1754</v>
      </c>
      <c r="H1401">
        <v>7</v>
      </c>
      <c r="I1401">
        <v>109.49</v>
      </c>
      <c r="J1401" s="50">
        <v>766.43</v>
      </c>
      <c r="K1401" t="s">
        <v>1618</v>
      </c>
      <c r="M1401" t="s">
        <v>1624</v>
      </c>
      <c r="N1401">
        <v>57.79</v>
      </c>
      <c r="O1401" s="49">
        <v>44548</v>
      </c>
      <c r="P1401" s="50">
        <v>344.89349999999996</v>
      </c>
    </row>
    <row r="1402" spans="4:16" x14ac:dyDescent="0.2">
      <c r="D1402">
        <v>100000843</v>
      </c>
      <c r="E1402" s="49">
        <v>44371</v>
      </c>
      <c r="F1402" t="s">
        <v>2386</v>
      </c>
      <c r="G1402" t="s">
        <v>1770</v>
      </c>
      <c r="H1402">
        <v>3</v>
      </c>
      <c r="I1402">
        <v>90.81</v>
      </c>
      <c r="J1402" s="50">
        <v>272.43</v>
      </c>
      <c r="K1402" t="s">
        <v>1618</v>
      </c>
      <c r="M1402" t="s">
        <v>1624</v>
      </c>
      <c r="N1402">
        <v>47.93</v>
      </c>
      <c r="O1402" s="49">
        <v>44375</v>
      </c>
      <c r="P1402" s="50">
        <v>122.59350000000001</v>
      </c>
    </row>
    <row r="1403" spans="4:16" x14ac:dyDescent="0.2">
      <c r="D1403">
        <v>100000843</v>
      </c>
      <c r="E1403" s="49">
        <v>45027</v>
      </c>
      <c r="F1403" t="s">
        <v>2386</v>
      </c>
      <c r="G1403" t="s">
        <v>2393</v>
      </c>
      <c r="H1403">
        <v>5</v>
      </c>
      <c r="I1403">
        <v>63.09</v>
      </c>
      <c r="J1403" s="50">
        <v>315.45</v>
      </c>
      <c r="K1403" t="s">
        <v>1618</v>
      </c>
      <c r="M1403" t="s">
        <v>1629</v>
      </c>
      <c r="N1403">
        <v>33.299999999999997</v>
      </c>
      <c r="O1403" s="49">
        <v>45032</v>
      </c>
      <c r="P1403" s="50">
        <v>141.95249999999999</v>
      </c>
    </row>
    <row r="1404" spans="4:16" x14ac:dyDescent="0.2">
      <c r="D1404">
        <v>100000845</v>
      </c>
      <c r="E1404" s="49">
        <v>44581</v>
      </c>
      <c r="F1404" t="s">
        <v>2742</v>
      </c>
      <c r="G1404" t="s">
        <v>1768</v>
      </c>
      <c r="H1404">
        <v>4</v>
      </c>
      <c r="I1404">
        <v>11.3</v>
      </c>
      <c r="J1404" s="50">
        <v>45.2</v>
      </c>
      <c r="K1404" t="s">
        <v>1632</v>
      </c>
      <c r="M1404" t="s">
        <v>1627</v>
      </c>
      <c r="N1404">
        <v>5.96</v>
      </c>
      <c r="O1404" s="49">
        <v>44582</v>
      </c>
      <c r="P1404" s="50">
        <v>20.340000000000003</v>
      </c>
    </row>
    <row r="1405" spans="4:16" x14ac:dyDescent="0.2">
      <c r="D1405">
        <v>100000846</v>
      </c>
      <c r="E1405" s="49">
        <v>44932</v>
      </c>
      <c r="F1405" t="s">
        <v>2743</v>
      </c>
      <c r="G1405" t="s">
        <v>2633</v>
      </c>
      <c r="H1405">
        <v>8</v>
      </c>
      <c r="I1405">
        <v>20.03</v>
      </c>
      <c r="J1405" s="50">
        <v>160.24</v>
      </c>
      <c r="K1405" t="s">
        <v>1618</v>
      </c>
      <c r="M1405" t="s">
        <v>1621</v>
      </c>
      <c r="N1405">
        <v>10.57</v>
      </c>
      <c r="O1405" s="49">
        <v>44936</v>
      </c>
      <c r="P1405" s="50">
        <v>72.108000000000004</v>
      </c>
    </row>
    <row r="1406" spans="4:16" x14ac:dyDescent="0.2">
      <c r="D1406">
        <v>100000847</v>
      </c>
      <c r="E1406" s="49">
        <v>45159</v>
      </c>
      <c r="F1406" t="s">
        <v>2744</v>
      </c>
      <c r="G1406" t="s">
        <v>2613</v>
      </c>
      <c r="H1406">
        <v>7</v>
      </c>
      <c r="I1406">
        <v>88.35</v>
      </c>
      <c r="J1406" s="50">
        <v>618.44999999999993</v>
      </c>
      <c r="K1406" t="s">
        <v>1618</v>
      </c>
      <c r="M1406" t="s">
        <v>1619</v>
      </c>
      <c r="N1406">
        <v>46.63</v>
      </c>
      <c r="O1406" s="49">
        <v>45163</v>
      </c>
      <c r="P1406" s="50">
        <v>278.30249999999995</v>
      </c>
    </row>
    <row r="1407" spans="4:16" x14ac:dyDescent="0.2">
      <c r="D1407">
        <v>100000847</v>
      </c>
      <c r="E1407" s="49">
        <v>45130</v>
      </c>
      <c r="F1407" t="s">
        <v>2744</v>
      </c>
      <c r="G1407" t="s">
        <v>1939</v>
      </c>
      <c r="H1407">
        <v>8</v>
      </c>
      <c r="I1407">
        <v>27.77</v>
      </c>
      <c r="J1407" s="50">
        <v>222.16</v>
      </c>
      <c r="K1407" t="s">
        <v>1618</v>
      </c>
      <c r="M1407" t="s">
        <v>1627</v>
      </c>
      <c r="N1407">
        <v>14.66</v>
      </c>
      <c r="O1407" s="49">
        <v>45134</v>
      </c>
      <c r="P1407" s="50">
        <v>99.971999999999994</v>
      </c>
    </row>
    <row r="1408" spans="4:16" x14ac:dyDescent="0.2">
      <c r="D1408">
        <v>100000847</v>
      </c>
      <c r="E1408" s="49">
        <v>45183</v>
      </c>
      <c r="F1408" t="s">
        <v>2744</v>
      </c>
      <c r="G1408" t="s">
        <v>2745</v>
      </c>
      <c r="H1408">
        <v>3</v>
      </c>
      <c r="I1408">
        <v>25.96</v>
      </c>
      <c r="J1408" s="50">
        <v>77.88</v>
      </c>
      <c r="K1408" t="s">
        <v>1618</v>
      </c>
      <c r="M1408" t="s">
        <v>1624</v>
      </c>
      <c r="N1408">
        <v>13.7</v>
      </c>
      <c r="O1408" s="49">
        <v>45185</v>
      </c>
      <c r="P1408" s="50">
        <v>35.045999999999999</v>
      </c>
    </row>
    <row r="1409" spans="4:16" x14ac:dyDescent="0.2">
      <c r="D1409">
        <v>100000848</v>
      </c>
      <c r="E1409" s="49">
        <v>45136</v>
      </c>
      <c r="F1409" t="s">
        <v>2746</v>
      </c>
      <c r="G1409" t="s">
        <v>2069</v>
      </c>
      <c r="H1409">
        <v>6</v>
      </c>
      <c r="I1409">
        <v>61.74</v>
      </c>
      <c r="J1409" s="50">
        <v>370.44</v>
      </c>
      <c r="K1409" t="s">
        <v>1632</v>
      </c>
      <c r="M1409" t="s">
        <v>1629</v>
      </c>
      <c r="N1409">
        <v>32.58</v>
      </c>
      <c r="O1409" s="49">
        <v>45140</v>
      </c>
      <c r="P1409" s="50">
        <v>166.69800000000001</v>
      </c>
    </row>
    <row r="1410" spans="4:16" x14ac:dyDescent="0.2">
      <c r="D1410">
        <v>100000849</v>
      </c>
      <c r="E1410" s="49">
        <v>45091</v>
      </c>
      <c r="F1410" t="s">
        <v>2747</v>
      </c>
      <c r="G1410" t="s">
        <v>1831</v>
      </c>
      <c r="H1410">
        <v>7</v>
      </c>
      <c r="I1410">
        <v>55.89</v>
      </c>
      <c r="J1410" s="50">
        <v>391.23</v>
      </c>
      <c r="K1410" t="s">
        <v>1618</v>
      </c>
      <c r="L1410" t="s">
        <v>2748</v>
      </c>
      <c r="M1410" t="s">
        <v>1627</v>
      </c>
      <c r="N1410">
        <v>29.5</v>
      </c>
      <c r="O1410" s="49">
        <v>45096</v>
      </c>
      <c r="P1410" s="50">
        <v>176.05350000000001</v>
      </c>
    </row>
    <row r="1411" spans="4:16" x14ac:dyDescent="0.2">
      <c r="D1411">
        <v>100000851</v>
      </c>
      <c r="E1411" s="49">
        <v>45246</v>
      </c>
      <c r="F1411" t="s">
        <v>2749</v>
      </c>
      <c r="G1411" t="s">
        <v>2194</v>
      </c>
      <c r="H1411">
        <v>4</v>
      </c>
      <c r="I1411">
        <v>22.72</v>
      </c>
      <c r="J1411" s="50">
        <v>90.88</v>
      </c>
      <c r="K1411" t="s">
        <v>1618</v>
      </c>
      <c r="M1411" t="s">
        <v>1621</v>
      </c>
      <c r="N1411">
        <v>11.99</v>
      </c>
      <c r="O1411" s="49">
        <v>45249</v>
      </c>
      <c r="P1411" s="50">
        <v>40.896000000000001</v>
      </c>
    </row>
    <row r="1412" spans="4:16" x14ac:dyDescent="0.2">
      <c r="D1412">
        <v>100000851</v>
      </c>
      <c r="E1412" s="49">
        <v>44534</v>
      </c>
      <c r="F1412" t="s">
        <v>2749</v>
      </c>
      <c r="G1412" t="s">
        <v>1812</v>
      </c>
      <c r="H1412">
        <v>5</v>
      </c>
      <c r="I1412">
        <v>51.76</v>
      </c>
      <c r="J1412" s="50">
        <v>258.8</v>
      </c>
      <c r="K1412" t="s">
        <v>1618</v>
      </c>
      <c r="M1412" t="s">
        <v>1629</v>
      </c>
      <c r="N1412">
        <v>27.32</v>
      </c>
      <c r="O1412" s="49">
        <v>44537</v>
      </c>
      <c r="P1412" s="50">
        <v>116.46000000000001</v>
      </c>
    </row>
    <row r="1413" spans="4:16" x14ac:dyDescent="0.2">
      <c r="D1413">
        <v>100000851</v>
      </c>
      <c r="E1413" s="49">
        <v>44447</v>
      </c>
      <c r="F1413" t="s">
        <v>2749</v>
      </c>
      <c r="G1413" t="s">
        <v>2431</v>
      </c>
      <c r="H1413">
        <v>4</v>
      </c>
      <c r="I1413">
        <v>78.180000000000007</v>
      </c>
      <c r="J1413" s="50">
        <v>312.72000000000003</v>
      </c>
      <c r="K1413" t="s">
        <v>1618</v>
      </c>
      <c r="M1413" t="s">
        <v>1624</v>
      </c>
      <c r="N1413">
        <v>41.26</v>
      </c>
      <c r="O1413" s="49">
        <v>44452</v>
      </c>
      <c r="P1413" s="50">
        <v>140.72400000000002</v>
      </c>
    </row>
    <row r="1414" spans="4:16" x14ac:dyDescent="0.2">
      <c r="D1414">
        <v>100000852</v>
      </c>
      <c r="E1414" s="49">
        <v>44583</v>
      </c>
      <c r="F1414" t="s">
        <v>2750</v>
      </c>
      <c r="G1414" t="s">
        <v>2706</v>
      </c>
      <c r="H1414">
        <v>5</v>
      </c>
      <c r="I1414">
        <v>41.69</v>
      </c>
      <c r="J1414" s="50">
        <v>208.45</v>
      </c>
      <c r="K1414" t="s">
        <v>1632</v>
      </c>
      <c r="L1414" t="s">
        <v>2233</v>
      </c>
      <c r="M1414" t="s">
        <v>1621</v>
      </c>
      <c r="N1414">
        <v>22</v>
      </c>
      <c r="O1414" s="49">
        <v>44585</v>
      </c>
      <c r="P1414" s="50">
        <v>93.802499999999995</v>
      </c>
    </row>
    <row r="1415" spans="4:16" x14ac:dyDescent="0.2">
      <c r="D1415">
        <v>100000853</v>
      </c>
      <c r="E1415" s="49">
        <v>44763</v>
      </c>
      <c r="F1415" t="s">
        <v>2751</v>
      </c>
      <c r="G1415" t="s">
        <v>1805</v>
      </c>
      <c r="H1415">
        <v>3</v>
      </c>
      <c r="I1415">
        <v>44.37</v>
      </c>
      <c r="J1415" s="50">
        <v>133.11000000000001</v>
      </c>
      <c r="K1415" t="s">
        <v>1618</v>
      </c>
      <c r="M1415" t="s">
        <v>1629</v>
      </c>
      <c r="N1415">
        <v>23.42</v>
      </c>
      <c r="O1415" s="49">
        <v>44767</v>
      </c>
      <c r="P1415" s="50">
        <v>59.89950000000001</v>
      </c>
    </row>
    <row r="1416" spans="4:16" x14ac:dyDescent="0.2">
      <c r="D1416">
        <v>100000853</v>
      </c>
      <c r="E1416" s="49">
        <v>45132</v>
      </c>
      <c r="F1416" t="s">
        <v>2751</v>
      </c>
      <c r="G1416" t="s">
        <v>2305</v>
      </c>
      <c r="H1416">
        <v>1</v>
      </c>
      <c r="I1416">
        <v>58.61</v>
      </c>
      <c r="J1416" s="50">
        <v>58.61</v>
      </c>
      <c r="K1416" t="s">
        <v>1618</v>
      </c>
      <c r="M1416" t="s">
        <v>1619</v>
      </c>
      <c r="N1416">
        <v>30.93</v>
      </c>
      <c r="O1416" s="49">
        <v>45135</v>
      </c>
      <c r="P1416" s="50">
        <v>26.374500000000001</v>
      </c>
    </row>
    <row r="1417" spans="4:16" x14ac:dyDescent="0.2">
      <c r="D1417">
        <v>100000854</v>
      </c>
      <c r="E1417" s="49">
        <v>44990</v>
      </c>
      <c r="F1417" t="s">
        <v>2752</v>
      </c>
      <c r="G1417" t="s">
        <v>1691</v>
      </c>
      <c r="H1417">
        <v>2</v>
      </c>
      <c r="I1417">
        <v>45.2</v>
      </c>
      <c r="J1417" s="50">
        <v>90.4</v>
      </c>
      <c r="K1417" t="s">
        <v>1618</v>
      </c>
      <c r="M1417" t="s">
        <v>1629</v>
      </c>
      <c r="N1417">
        <v>23.86</v>
      </c>
      <c r="O1417" s="49">
        <v>44995</v>
      </c>
      <c r="P1417" s="50">
        <v>40.680000000000007</v>
      </c>
    </row>
    <row r="1418" spans="4:16" x14ac:dyDescent="0.2">
      <c r="D1418">
        <v>100000854</v>
      </c>
      <c r="E1418" s="49">
        <v>44783</v>
      </c>
      <c r="F1418" t="s">
        <v>2752</v>
      </c>
      <c r="G1418" t="s">
        <v>2116</v>
      </c>
      <c r="H1418">
        <v>6</v>
      </c>
      <c r="I1418">
        <v>50.04</v>
      </c>
      <c r="J1418" s="50">
        <v>300.24</v>
      </c>
      <c r="K1418" t="s">
        <v>1618</v>
      </c>
      <c r="M1418" t="s">
        <v>1624</v>
      </c>
      <c r="N1418">
        <v>26.41</v>
      </c>
      <c r="O1418" s="49">
        <v>44784</v>
      </c>
      <c r="P1418" s="50">
        <v>135.108</v>
      </c>
    </row>
    <row r="1419" spans="4:16" x14ac:dyDescent="0.2">
      <c r="D1419">
        <v>100000854</v>
      </c>
      <c r="E1419" s="49">
        <v>44931</v>
      </c>
      <c r="F1419" t="s">
        <v>2752</v>
      </c>
      <c r="G1419" t="s">
        <v>2263</v>
      </c>
      <c r="H1419">
        <v>9</v>
      </c>
      <c r="I1419">
        <v>102.06</v>
      </c>
      <c r="J1419" s="50">
        <v>918.54</v>
      </c>
      <c r="K1419" t="s">
        <v>1618</v>
      </c>
      <c r="M1419" t="s">
        <v>1624</v>
      </c>
      <c r="N1419">
        <v>53.86</v>
      </c>
      <c r="O1419" s="49">
        <v>44932</v>
      </c>
      <c r="P1419" s="50">
        <v>413.34300000000002</v>
      </c>
    </row>
    <row r="1420" spans="4:16" x14ac:dyDescent="0.2">
      <c r="D1420">
        <v>100000856</v>
      </c>
      <c r="E1420" s="49">
        <v>44639</v>
      </c>
      <c r="F1420" t="s">
        <v>2753</v>
      </c>
      <c r="G1420" t="s">
        <v>1882</v>
      </c>
      <c r="H1420">
        <v>4</v>
      </c>
      <c r="I1420">
        <v>10.07</v>
      </c>
      <c r="J1420" s="50">
        <v>40.28</v>
      </c>
      <c r="K1420" t="s">
        <v>1618</v>
      </c>
      <c r="M1420" t="s">
        <v>1624</v>
      </c>
      <c r="N1420">
        <v>5.31</v>
      </c>
      <c r="O1420" s="49">
        <v>44642</v>
      </c>
      <c r="P1420" s="50">
        <v>18.126000000000001</v>
      </c>
    </row>
    <row r="1421" spans="4:16" x14ac:dyDescent="0.2">
      <c r="D1421">
        <v>100000856</v>
      </c>
      <c r="E1421" s="49">
        <v>45021</v>
      </c>
      <c r="F1421" t="s">
        <v>2753</v>
      </c>
      <c r="G1421" t="s">
        <v>1742</v>
      </c>
      <c r="H1421">
        <v>3</v>
      </c>
      <c r="I1421">
        <v>67.95</v>
      </c>
      <c r="J1421" s="50">
        <v>203.85</v>
      </c>
      <c r="K1421" t="s">
        <v>1618</v>
      </c>
      <c r="M1421" t="s">
        <v>1627</v>
      </c>
      <c r="N1421">
        <v>35.86</v>
      </c>
      <c r="O1421" s="49">
        <v>45022</v>
      </c>
      <c r="P1421" s="50">
        <v>91.732500000000002</v>
      </c>
    </row>
    <row r="1422" spans="4:16" x14ac:dyDescent="0.2">
      <c r="D1422">
        <v>100000857</v>
      </c>
      <c r="E1422" s="49">
        <v>44430</v>
      </c>
      <c r="F1422" t="s">
        <v>2754</v>
      </c>
      <c r="G1422" t="s">
        <v>2380</v>
      </c>
      <c r="H1422">
        <v>9</v>
      </c>
      <c r="I1422">
        <v>71.540000000000006</v>
      </c>
      <c r="J1422" s="50">
        <v>643.86</v>
      </c>
      <c r="K1422" t="s">
        <v>1618</v>
      </c>
      <c r="L1422" t="s">
        <v>2755</v>
      </c>
      <c r="M1422" t="s">
        <v>1621</v>
      </c>
      <c r="N1422">
        <v>37.76</v>
      </c>
      <c r="O1422" s="49">
        <v>44431</v>
      </c>
      <c r="P1422" s="50">
        <v>289.73700000000002</v>
      </c>
    </row>
    <row r="1423" spans="4:16" x14ac:dyDescent="0.2">
      <c r="D1423">
        <v>100000858</v>
      </c>
      <c r="E1423" s="49">
        <v>44837</v>
      </c>
      <c r="F1423" t="s">
        <v>2756</v>
      </c>
      <c r="G1423" t="s">
        <v>1758</v>
      </c>
      <c r="H1423">
        <v>10</v>
      </c>
      <c r="I1423">
        <v>39.56</v>
      </c>
      <c r="J1423" s="50">
        <v>395.6</v>
      </c>
      <c r="K1423" t="s">
        <v>1618</v>
      </c>
      <c r="M1423" t="s">
        <v>1627</v>
      </c>
      <c r="N1423">
        <v>20.88</v>
      </c>
      <c r="O1423" s="49">
        <v>44842</v>
      </c>
      <c r="P1423" s="50">
        <v>178.02</v>
      </c>
    </row>
    <row r="1424" spans="4:16" x14ac:dyDescent="0.2">
      <c r="D1424">
        <v>100000862</v>
      </c>
      <c r="E1424" s="49">
        <v>44252</v>
      </c>
      <c r="F1424" t="s">
        <v>2757</v>
      </c>
      <c r="G1424" t="s">
        <v>1872</v>
      </c>
      <c r="H1424">
        <v>10</v>
      </c>
      <c r="I1424">
        <v>69.739999999999995</v>
      </c>
      <c r="J1424" s="50">
        <v>697.4</v>
      </c>
      <c r="K1424" t="s">
        <v>1632</v>
      </c>
      <c r="M1424" t="s">
        <v>1619</v>
      </c>
      <c r="N1424">
        <v>36.81</v>
      </c>
      <c r="O1424" s="49">
        <v>44255</v>
      </c>
      <c r="P1424" s="50">
        <v>313.83</v>
      </c>
    </row>
    <row r="1425" spans="4:16" x14ac:dyDescent="0.2">
      <c r="D1425">
        <v>100000862</v>
      </c>
      <c r="E1425" s="49">
        <v>44796</v>
      </c>
      <c r="F1425" t="s">
        <v>2757</v>
      </c>
      <c r="G1425" t="s">
        <v>2263</v>
      </c>
      <c r="H1425">
        <v>8</v>
      </c>
      <c r="I1425">
        <v>48.16</v>
      </c>
      <c r="J1425" s="50">
        <v>385.28</v>
      </c>
      <c r="K1425" t="s">
        <v>1632</v>
      </c>
      <c r="M1425" t="s">
        <v>1627</v>
      </c>
      <c r="N1425">
        <v>25.42</v>
      </c>
      <c r="O1425" s="49">
        <v>44801</v>
      </c>
      <c r="P1425" s="50">
        <v>173.376</v>
      </c>
    </row>
    <row r="1426" spans="4:16" x14ac:dyDescent="0.2">
      <c r="D1426">
        <v>100000862</v>
      </c>
      <c r="E1426" s="49">
        <v>45331</v>
      </c>
      <c r="F1426" t="s">
        <v>2757</v>
      </c>
      <c r="G1426" t="s">
        <v>2090</v>
      </c>
      <c r="H1426">
        <v>1</v>
      </c>
      <c r="I1426">
        <v>112.8</v>
      </c>
      <c r="J1426" s="50">
        <v>112.8</v>
      </c>
      <c r="K1426" t="s">
        <v>1632</v>
      </c>
      <c r="M1426" t="s">
        <v>1627</v>
      </c>
      <c r="N1426">
        <v>59.53</v>
      </c>
      <c r="O1426" s="49">
        <v>45335</v>
      </c>
      <c r="P1426" s="50">
        <v>50.76</v>
      </c>
    </row>
    <row r="1427" spans="4:16" x14ac:dyDescent="0.2">
      <c r="D1427">
        <v>100000862</v>
      </c>
      <c r="E1427" s="49">
        <v>45457</v>
      </c>
      <c r="F1427" t="s">
        <v>2757</v>
      </c>
      <c r="G1427" t="s">
        <v>1950</v>
      </c>
      <c r="H1427">
        <v>7</v>
      </c>
      <c r="I1427">
        <v>37.049999999999997</v>
      </c>
      <c r="J1427" s="50">
        <v>259.35000000000002</v>
      </c>
      <c r="K1427" t="s">
        <v>1632</v>
      </c>
      <c r="M1427" t="s">
        <v>1624</v>
      </c>
      <c r="N1427">
        <v>19.55</v>
      </c>
      <c r="O1427" s="49">
        <v>45461</v>
      </c>
      <c r="P1427" s="50">
        <v>116.70750000000001</v>
      </c>
    </row>
    <row r="1428" spans="4:16" x14ac:dyDescent="0.2">
      <c r="D1428">
        <v>100000862</v>
      </c>
      <c r="E1428" s="49">
        <v>45589</v>
      </c>
      <c r="F1428" t="s">
        <v>2757</v>
      </c>
      <c r="G1428" t="s">
        <v>1943</v>
      </c>
      <c r="H1428">
        <v>3</v>
      </c>
      <c r="I1428">
        <v>64.930000000000007</v>
      </c>
      <c r="J1428" s="50">
        <v>194.79</v>
      </c>
      <c r="K1428" t="s">
        <v>1632</v>
      </c>
      <c r="M1428" t="s">
        <v>1624</v>
      </c>
      <c r="N1428">
        <v>34.270000000000003</v>
      </c>
      <c r="O1428" s="49">
        <v>45594</v>
      </c>
      <c r="P1428" s="50">
        <v>87.655500000000004</v>
      </c>
    </row>
    <row r="1429" spans="4:16" x14ac:dyDescent="0.2">
      <c r="D1429">
        <v>100000862</v>
      </c>
      <c r="E1429" s="49">
        <v>44878</v>
      </c>
      <c r="F1429" t="s">
        <v>2757</v>
      </c>
      <c r="G1429" t="s">
        <v>1648</v>
      </c>
      <c r="H1429">
        <v>7</v>
      </c>
      <c r="I1429">
        <v>79.14</v>
      </c>
      <c r="J1429" s="50">
        <v>553.98</v>
      </c>
      <c r="K1429" t="s">
        <v>1632</v>
      </c>
      <c r="M1429" t="s">
        <v>1624</v>
      </c>
      <c r="N1429">
        <v>41.77</v>
      </c>
      <c r="O1429" s="49">
        <v>44879</v>
      </c>
      <c r="P1429" s="50">
        <v>249.29100000000003</v>
      </c>
    </row>
    <row r="1430" spans="4:16" x14ac:dyDescent="0.2">
      <c r="D1430">
        <v>100000862</v>
      </c>
      <c r="E1430" s="49">
        <v>45138</v>
      </c>
      <c r="F1430" t="s">
        <v>2757</v>
      </c>
      <c r="G1430" t="s">
        <v>1937</v>
      </c>
      <c r="H1430">
        <v>2</v>
      </c>
      <c r="I1430">
        <v>36.96</v>
      </c>
      <c r="J1430" s="50">
        <v>73.92</v>
      </c>
      <c r="K1430" t="s">
        <v>1632</v>
      </c>
      <c r="M1430" t="s">
        <v>1629</v>
      </c>
      <c r="N1430">
        <v>19.510000000000002</v>
      </c>
      <c r="O1430" s="49">
        <v>45143</v>
      </c>
      <c r="P1430" s="50">
        <v>33.264000000000003</v>
      </c>
    </row>
    <row r="1431" spans="4:16" x14ac:dyDescent="0.2">
      <c r="D1431">
        <v>100000862</v>
      </c>
      <c r="E1431" s="49">
        <v>44306</v>
      </c>
      <c r="F1431" t="s">
        <v>2757</v>
      </c>
      <c r="G1431" t="s">
        <v>2375</v>
      </c>
      <c r="H1431">
        <v>8</v>
      </c>
      <c r="I1431">
        <v>42.39</v>
      </c>
      <c r="J1431" s="50">
        <v>339.12</v>
      </c>
      <c r="K1431" t="s">
        <v>1632</v>
      </c>
      <c r="M1431" t="s">
        <v>1621</v>
      </c>
      <c r="N1431">
        <v>22.37</v>
      </c>
      <c r="O1431" s="49">
        <v>44307</v>
      </c>
      <c r="P1431" s="50">
        <v>152.60400000000001</v>
      </c>
    </row>
    <row r="1432" spans="4:16" x14ac:dyDescent="0.2">
      <c r="D1432">
        <v>100000862</v>
      </c>
      <c r="E1432" s="49">
        <v>44453</v>
      </c>
      <c r="F1432" t="s">
        <v>2757</v>
      </c>
      <c r="G1432" t="s">
        <v>1950</v>
      </c>
      <c r="H1432">
        <v>9</v>
      </c>
      <c r="I1432">
        <v>24.65</v>
      </c>
      <c r="J1432" s="50">
        <v>221.85</v>
      </c>
      <c r="K1432" t="s">
        <v>1632</v>
      </c>
      <c r="M1432" t="s">
        <v>1624</v>
      </c>
      <c r="N1432">
        <v>13.01</v>
      </c>
      <c r="O1432" s="49">
        <v>44458</v>
      </c>
      <c r="P1432" s="50">
        <v>99.832499999999996</v>
      </c>
    </row>
    <row r="1433" spans="4:16" x14ac:dyDescent="0.2">
      <c r="D1433">
        <v>100000862</v>
      </c>
      <c r="E1433" s="49">
        <v>44997</v>
      </c>
      <c r="F1433" t="s">
        <v>2757</v>
      </c>
      <c r="G1433" t="s">
        <v>1661</v>
      </c>
      <c r="H1433">
        <v>7</v>
      </c>
      <c r="I1433">
        <v>20.99</v>
      </c>
      <c r="J1433" s="50">
        <v>146.93</v>
      </c>
      <c r="K1433" t="s">
        <v>1632</v>
      </c>
      <c r="M1433" t="s">
        <v>1629</v>
      </c>
      <c r="N1433">
        <v>11.08</v>
      </c>
      <c r="O1433" s="49">
        <v>45002</v>
      </c>
      <c r="P1433" s="50">
        <v>66.118500000000012</v>
      </c>
    </row>
    <row r="1434" spans="4:16" x14ac:dyDescent="0.2">
      <c r="D1434">
        <v>100000863</v>
      </c>
      <c r="E1434" s="49">
        <v>44791</v>
      </c>
      <c r="F1434" t="s">
        <v>2758</v>
      </c>
      <c r="G1434" t="s">
        <v>1830</v>
      </c>
      <c r="H1434">
        <v>4</v>
      </c>
      <c r="I1434">
        <v>76.39</v>
      </c>
      <c r="J1434" s="50">
        <v>305.56</v>
      </c>
      <c r="K1434" t="s">
        <v>1618</v>
      </c>
      <c r="M1434" t="s">
        <v>1627</v>
      </c>
      <c r="N1434">
        <v>40.32</v>
      </c>
      <c r="O1434" s="49">
        <v>44793</v>
      </c>
      <c r="P1434" s="50">
        <v>137.50200000000001</v>
      </c>
    </row>
    <row r="1435" spans="4:16" x14ac:dyDescent="0.2">
      <c r="D1435">
        <v>100000864</v>
      </c>
      <c r="E1435" s="49">
        <v>45466</v>
      </c>
      <c r="F1435" t="s">
        <v>2759</v>
      </c>
      <c r="G1435" t="s">
        <v>1666</v>
      </c>
      <c r="H1435">
        <v>10</v>
      </c>
      <c r="I1435">
        <v>33.43</v>
      </c>
      <c r="J1435" s="50">
        <v>334.3</v>
      </c>
      <c r="K1435" t="s">
        <v>1632</v>
      </c>
      <c r="L1435" t="s">
        <v>2760</v>
      </c>
      <c r="M1435" t="s">
        <v>1629</v>
      </c>
      <c r="N1435">
        <v>17.64</v>
      </c>
      <c r="O1435" s="49">
        <v>45467</v>
      </c>
      <c r="P1435" s="50">
        <v>150.435</v>
      </c>
    </row>
    <row r="1436" spans="4:16" x14ac:dyDescent="0.2">
      <c r="D1436">
        <v>100000864</v>
      </c>
      <c r="E1436" s="49">
        <v>45195</v>
      </c>
      <c r="F1436" t="s">
        <v>2759</v>
      </c>
      <c r="G1436" t="s">
        <v>2420</v>
      </c>
      <c r="H1436">
        <v>3</v>
      </c>
      <c r="I1436">
        <v>80.14</v>
      </c>
      <c r="J1436" s="50">
        <v>240.42</v>
      </c>
      <c r="K1436" t="s">
        <v>1632</v>
      </c>
      <c r="L1436" t="s">
        <v>2760</v>
      </c>
      <c r="M1436" t="s">
        <v>1627</v>
      </c>
      <c r="N1436">
        <v>42.3</v>
      </c>
      <c r="O1436" s="49">
        <v>45198</v>
      </c>
      <c r="P1436" s="50">
        <v>108.18899999999999</v>
      </c>
    </row>
    <row r="1437" spans="4:16" x14ac:dyDescent="0.2">
      <c r="D1437">
        <v>100000866</v>
      </c>
      <c r="E1437" s="49">
        <v>44214</v>
      </c>
      <c r="F1437" t="s">
        <v>2761</v>
      </c>
      <c r="G1437" t="s">
        <v>2217</v>
      </c>
      <c r="H1437">
        <v>1</v>
      </c>
      <c r="I1437">
        <v>45.92</v>
      </c>
      <c r="J1437" s="50">
        <v>45.92</v>
      </c>
      <c r="K1437" t="s">
        <v>1618</v>
      </c>
      <c r="M1437" t="s">
        <v>1619</v>
      </c>
      <c r="N1437">
        <v>24.24</v>
      </c>
      <c r="O1437" s="49">
        <v>44218</v>
      </c>
      <c r="P1437" s="50">
        <v>20.664000000000001</v>
      </c>
    </row>
    <row r="1438" spans="4:16" x14ac:dyDescent="0.2">
      <c r="D1438">
        <v>100000866</v>
      </c>
      <c r="E1438" s="49">
        <v>45582</v>
      </c>
      <c r="F1438" t="s">
        <v>2761</v>
      </c>
      <c r="G1438" t="s">
        <v>1865</v>
      </c>
      <c r="H1438">
        <v>9</v>
      </c>
      <c r="I1438">
        <v>81.790000000000006</v>
      </c>
      <c r="J1438" s="50">
        <v>736.11</v>
      </c>
      <c r="K1438" t="s">
        <v>1618</v>
      </c>
      <c r="M1438" t="s">
        <v>1627</v>
      </c>
      <c r="N1438">
        <v>43.17</v>
      </c>
      <c r="O1438" s="49">
        <v>45583</v>
      </c>
      <c r="P1438" s="50">
        <v>331.24950000000001</v>
      </c>
    </row>
    <row r="1439" spans="4:16" x14ac:dyDescent="0.2">
      <c r="D1439">
        <v>100000866</v>
      </c>
      <c r="E1439" s="49">
        <v>45015</v>
      </c>
      <c r="F1439" t="s">
        <v>2761</v>
      </c>
      <c r="G1439" t="s">
        <v>2762</v>
      </c>
      <c r="H1439">
        <v>10</v>
      </c>
      <c r="I1439">
        <v>62.18</v>
      </c>
      <c r="J1439" s="50">
        <v>621.79999999999995</v>
      </c>
      <c r="K1439" t="s">
        <v>1618</v>
      </c>
      <c r="M1439" t="s">
        <v>1621</v>
      </c>
      <c r="N1439">
        <v>32.82</v>
      </c>
      <c r="O1439" s="49">
        <v>45020</v>
      </c>
      <c r="P1439" s="50">
        <v>279.81</v>
      </c>
    </row>
    <row r="1440" spans="4:16" x14ac:dyDescent="0.2">
      <c r="D1440">
        <v>100000866</v>
      </c>
      <c r="E1440" s="49">
        <v>45140</v>
      </c>
      <c r="F1440" t="s">
        <v>2761</v>
      </c>
      <c r="G1440" t="s">
        <v>1904</v>
      </c>
      <c r="H1440">
        <v>9</v>
      </c>
      <c r="I1440">
        <v>111.06</v>
      </c>
      <c r="J1440" s="50">
        <v>999.54</v>
      </c>
      <c r="K1440" t="s">
        <v>1618</v>
      </c>
      <c r="M1440" t="s">
        <v>1629</v>
      </c>
      <c r="N1440">
        <v>58.61</v>
      </c>
      <c r="O1440" s="49">
        <v>45142</v>
      </c>
      <c r="P1440" s="50">
        <v>449.79300000000001</v>
      </c>
    </row>
    <row r="1441" spans="4:16" x14ac:dyDescent="0.2">
      <c r="D1441">
        <v>100000867</v>
      </c>
      <c r="E1441" s="49">
        <v>45253</v>
      </c>
      <c r="F1441" t="s">
        <v>2763</v>
      </c>
      <c r="G1441" t="s">
        <v>2038</v>
      </c>
      <c r="H1441">
        <v>9</v>
      </c>
      <c r="I1441">
        <v>85.74</v>
      </c>
      <c r="J1441" s="50">
        <v>771.66</v>
      </c>
      <c r="K1441" t="s">
        <v>1632</v>
      </c>
      <c r="M1441" t="s">
        <v>1621</v>
      </c>
      <c r="N1441">
        <v>45.25</v>
      </c>
      <c r="O1441" s="49">
        <v>45256</v>
      </c>
      <c r="P1441" s="50">
        <v>347.24700000000001</v>
      </c>
    </row>
    <row r="1442" spans="4:16" x14ac:dyDescent="0.2">
      <c r="D1442">
        <v>100000867</v>
      </c>
      <c r="E1442" s="49">
        <v>44990</v>
      </c>
      <c r="F1442" t="s">
        <v>2763</v>
      </c>
      <c r="G1442" t="s">
        <v>2210</v>
      </c>
      <c r="H1442">
        <v>10</v>
      </c>
      <c r="I1442">
        <v>82.53</v>
      </c>
      <c r="J1442" s="50">
        <v>825.3</v>
      </c>
      <c r="K1442" t="s">
        <v>1632</v>
      </c>
      <c r="M1442" t="s">
        <v>1619</v>
      </c>
      <c r="N1442">
        <v>43.56</v>
      </c>
      <c r="O1442" s="49">
        <v>44995</v>
      </c>
      <c r="P1442" s="50">
        <v>371.38499999999999</v>
      </c>
    </row>
    <row r="1443" spans="4:16" x14ac:dyDescent="0.2">
      <c r="D1443">
        <v>100000868</v>
      </c>
      <c r="E1443" s="49">
        <v>44734</v>
      </c>
      <c r="F1443" t="s">
        <v>2764</v>
      </c>
      <c r="G1443" t="s">
        <v>1922</v>
      </c>
      <c r="H1443">
        <v>7</v>
      </c>
      <c r="I1443">
        <v>13.13</v>
      </c>
      <c r="J1443" s="50">
        <v>91.910000000000011</v>
      </c>
      <c r="K1443" t="s">
        <v>1632</v>
      </c>
      <c r="M1443" t="s">
        <v>1619</v>
      </c>
      <c r="N1443">
        <v>6.93</v>
      </c>
      <c r="O1443" s="49">
        <v>44737</v>
      </c>
      <c r="P1443" s="50">
        <v>41.359500000000004</v>
      </c>
    </row>
    <row r="1444" spans="4:16" x14ac:dyDescent="0.2">
      <c r="D1444">
        <v>100000869</v>
      </c>
      <c r="E1444" s="49">
        <v>44562</v>
      </c>
      <c r="F1444" t="s">
        <v>2765</v>
      </c>
      <c r="G1444" t="s">
        <v>2766</v>
      </c>
      <c r="H1444">
        <v>6</v>
      </c>
      <c r="I1444">
        <v>67.86</v>
      </c>
      <c r="J1444" s="50">
        <v>407.16</v>
      </c>
      <c r="K1444" t="s">
        <v>1618</v>
      </c>
      <c r="M1444" t="s">
        <v>1627</v>
      </c>
      <c r="N1444">
        <v>35.81</v>
      </c>
      <c r="O1444" s="49">
        <v>44564</v>
      </c>
      <c r="P1444" s="50">
        <v>183.22200000000001</v>
      </c>
    </row>
    <row r="1445" spans="4:16" x14ac:dyDescent="0.2">
      <c r="D1445">
        <v>100000871</v>
      </c>
      <c r="E1445" s="49">
        <v>45195</v>
      </c>
      <c r="F1445" t="s">
        <v>2767</v>
      </c>
      <c r="G1445" t="s">
        <v>1720</v>
      </c>
      <c r="H1445">
        <v>3</v>
      </c>
      <c r="I1445">
        <v>22.94</v>
      </c>
      <c r="J1445" s="50">
        <v>68.820000000000007</v>
      </c>
      <c r="K1445" t="s">
        <v>1632</v>
      </c>
      <c r="L1445" t="s">
        <v>2768</v>
      </c>
      <c r="M1445" t="s">
        <v>1624</v>
      </c>
      <c r="N1445">
        <v>12.11</v>
      </c>
      <c r="O1445" s="49">
        <v>45196</v>
      </c>
      <c r="P1445" s="50">
        <v>30.969000000000005</v>
      </c>
    </row>
    <row r="1446" spans="4:16" x14ac:dyDescent="0.2">
      <c r="D1446">
        <v>100000871</v>
      </c>
      <c r="E1446" s="49">
        <v>45496</v>
      </c>
      <c r="F1446" t="s">
        <v>2767</v>
      </c>
      <c r="G1446" t="s">
        <v>2174</v>
      </c>
      <c r="H1446">
        <v>3</v>
      </c>
      <c r="I1446">
        <v>86.28</v>
      </c>
      <c r="J1446" s="50">
        <v>258.83999999999997</v>
      </c>
      <c r="K1446" t="s">
        <v>1632</v>
      </c>
      <c r="L1446" t="s">
        <v>2768</v>
      </c>
      <c r="M1446" t="s">
        <v>1627</v>
      </c>
      <c r="N1446">
        <v>45.54</v>
      </c>
      <c r="O1446" s="49">
        <v>45498</v>
      </c>
      <c r="P1446" s="50">
        <v>116.47799999999999</v>
      </c>
    </row>
    <row r="1447" spans="4:16" x14ac:dyDescent="0.2">
      <c r="D1447">
        <v>100000871</v>
      </c>
      <c r="E1447" s="49">
        <v>45141</v>
      </c>
      <c r="F1447" t="s">
        <v>2767</v>
      </c>
      <c r="G1447" t="s">
        <v>2207</v>
      </c>
      <c r="H1447">
        <v>8</v>
      </c>
      <c r="I1447">
        <v>66.040000000000006</v>
      </c>
      <c r="J1447" s="50">
        <v>528.32000000000005</v>
      </c>
      <c r="K1447" t="s">
        <v>1632</v>
      </c>
      <c r="L1447" t="s">
        <v>2768</v>
      </c>
      <c r="M1447" t="s">
        <v>1629</v>
      </c>
      <c r="N1447">
        <v>34.85</v>
      </c>
      <c r="O1447" s="49">
        <v>45142</v>
      </c>
      <c r="P1447" s="50">
        <v>237.74400000000003</v>
      </c>
    </row>
    <row r="1448" spans="4:16" x14ac:dyDescent="0.2">
      <c r="D1448">
        <v>100000872</v>
      </c>
      <c r="E1448" s="49">
        <v>45611</v>
      </c>
      <c r="F1448" t="s">
        <v>2769</v>
      </c>
      <c r="G1448" t="s">
        <v>1795</v>
      </c>
      <c r="H1448">
        <v>5</v>
      </c>
      <c r="I1448">
        <v>32.74</v>
      </c>
      <c r="J1448" s="50">
        <v>163.69999999999999</v>
      </c>
      <c r="K1448" t="s">
        <v>1632</v>
      </c>
      <c r="L1448" t="s">
        <v>2770</v>
      </c>
      <c r="M1448" t="s">
        <v>1627</v>
      </c>
      <c r="N1448">
        <v>17.28</v>
      </c>
      <c r="O1448" s="49">
        <v>45615</v>
      </c>
      <c r="P1448" s="50">
        <v>73.664999999999992</v>
      </c>
    </row>
    <row r="1449" spans="4:16" x14ac:dyDescent="0.2">
      <c r="D1449">
        <v>100000873</v>
      </c>
      <c r="E1449" s="49">
        <v>45542</v>
      </c>
      <c r="F1449" t="s">
        <v>2771</v>
      </c>
      <c r="G1449" t="s">
        <v>2136</v>
      </c>
      <c r="H1449">
        <v>3</v>
      </c>
      <c r="I1449">
        <v>19.34</v>
      </c>
      <c r="J1449" s="50">
        <v>58.02</v>
      </c>
      <c r="K1449" t="s">
        <v>1632</v>
      </c>
      <c r="M1449" t="s">
        <v>1619</v>
      </c>
      <c r="N1449">
        <v>10.210000000000001</v>
      </c>
      <c r="O1449" s="49">
        <v>45544</v>
      </c>
      <c r="P1449" s="50">
        <v>26.109000000000002</v>
      </c>
    </row>
    <row r="1450" spans="4:16" x14ac:dyDescent="0.2">
      <c r="D1450">
        <v>100000873</v>
      </c>
      <c r="E1450" s="49">
        <v>45274</v>
      </c>
      <c r="F1450" t="s">
        <v>2771</v>
      </c>
      <c r="G1450" t="s">
        <v>1644</v>
      </c>
      <c r="H1450">
        <v>10</v>
      </c>
      <c r="I1450">
        <v>26.43</v>
      </c>
      <c r="J1450" s="50">
        <v>264.3</v>
      </c>
      <c r="K1450" t="s">
        <v>1632</v>
      </c>
      <c r="M1450" t="s">
        <v>1627</v>
      </c>
      <c r="N1450">
        <v>13.95</v>
      </c>
      <c r="O1450" s="49">
        <v>45275</v>
      </c>
      <c r="P1450" s="50">
        <v>118.935</v>
      </c>
    </row>
    <row r="1451" spans="4:16" x14ac:dyDescent="0.2">
      <c r="D1451">
        <v>100000874</v>
      </c>
      <c r="E1451" s="49">
        <v>45390</v>
      </c>
      <c r="F1451" t="s">
        <v>2772</v>
      </c>
      <c r="G1451" t="s">
        <v>1797</v>
      </c>
      <c r="H1451">
        <v>1</v>
      </c>
      <c r="I1451">
        <v>40.98</v>
      </c>
      <c r="J1451" s="50">
        <v>40.98</v>
      </c>
      <c r="K1451" t="s">
        <v>1632</v>
      </c>
      <c r="M1451" t="s">
        <v>1619</v>
      </c>
      <c r="N1451">
        <v>21.63</v>
      </c>
      <c r="O1451" s="49">
        <v>45392</v>
      </c>
      <c r="P1451" s="50">
        <v>18.440999999999999</v>
      </c>
    </row>
    <row r="1452" spans="4:16" x14ac:dyDescent="0.2">
      <c r="D1452">
        <v>100000874</v>
      </c>
      <c r="E1452" s="49">
        <v>45631</v>
      </c>
      <c r="F1452" t="s">
        <v>2772</v>
      </c>
      <c r="G1452" t="s">
        <v>1644</v>
      </c>
      <c r="H1452">
        <v>5</v>
      </c>
      <c r="I1452">
        <v>81.3</v>
      </c>
      <c r="J1452" s="50">
        <v>406.5</v>
      </c>
      <c r="K1452" t="s">
        <v>1632</v>
      </c>
      <c r="M1452" t="s">
        <v>1624</v>
      </c>
      <c r="N1452">
        <v>42.91</v>
      </c>
      <c r="O1452" s="49">
        <v>45634</v>
      </c>
      <c r="P1452" s="50">
        <v>182.92500000000001</v>
      </c>
    </row>
    <row r="1453" spans="4:16" x14ac:dyDescent="0.2">
      <c r="D1453">
        <v>100000875</v>
      </c>
      <c r="E1453" s="49">
        <v>45376</v>
      </c>
      <c r="F1453" t="s">
        <v>1778</v>
      </c>
      <c r="G1453" t="s">
        <v>2460</v>
      </c>
      <c r="H1453">
        <v>8</v>
      </c>
      <c r="I1453">
        <v>65.05</v>
      </c>
      <c r="J1453" s="50">
        <v>520.4</v>
      </c>
      <c r="K1453" t="s">
        <v>1632</v>
      </c>
      <c r="M1453" t="s">
        <v>1621</v>
      </c>
      <c r="N1453">
        <v>34.33</v>
      </c>
      <c r="O1453" s="49">
        <v>45381</v>
      </c>
      <c r="P1453" s="50">
        <v>234.18</v>
      </c>
    </row>
    <row r="1454" spans="4:16" x14ac:dyDescent="0.2">
      <c r="D1454">
        <v>100000878</v>
      </c>
      <c r="E1454" s="49">
        <v>45189</v>
      </c>
      <c r="F1454" t="s">
        <v>2773</v>
      </c>
      <c r="G1454" t="s">
        <v>2585</v>
      </c>
      <c r="H1454">
        <v>3</v>
      </c>
      <c r="I1454">
        <v>79.12</v>
      </c>
      <c r="J1454" s="50">
        <v>237.36</v>
      </c>
      <c r="K1454" t="s">
        <v>1618</v>
      </c>
      <c r="M1454" t="s">
        <v>1629</v>
      </c>
      <c r="N1454">
        <v>41.76</v>
      </c>
      <c r="O1454" s="49">
        <v>45194</v>
      </c>
      <c r="P1454" s="50">
        <v>106.81200000000001</v>
      </c>
    </row>
    <row r="1455" spans="4:16" x14ac:dyDescent="0.2">
      <c r="D1455">
        <v>100000878</v>
      </c>
      <c r="E1455" s="49">
        <v>45566</v>
      </c>
      <c r="F1455" t="s">
        <v>2773</v>
      </c>
      <c r="G1455" t="s">
        <v>1969</v>
      </c>
      <c r="H1455">
        <v>1</v>
      </c>
      <c r="I1455">
        <v>34.450000000000003</v>
      </c>
      <c r="J1455" s="50">
        <v>34.450000000000003</v>
      </c>
      <c r="K1455" t="s">
        <v>1618</v>
      </c>
      <c r="M1455" t="s">
        <v>1629</v>
      </c>
      <c r="N1455">
        <v>18.18</v>
      </c>
      <c r="O1455" s="49">
        <v>45570</v>
      </c>
      <c r="P1455" s="50">
        <v>15.502500000000001</v>
      </c>
    </row>
    <row r="1456" spans="4:16" x14ac:dyDescent="0.2">
      <c r="D1456">
        <v>100000879</v>
      </c>
      <c r="E1456" s="49">
        <v>44978</v>
      </c>
      <c r="F1456" t="s">
        <v>2774</v>
      </c>
      <c r="G1456" t="s">
        <v>2042</v>
      </c>
      <c r="H1456">
        <v>8</v>
      </c>
      <c r="I1456">
        <v>98.74</v>
      </c>
      <c r="J1456" s="50">
        <v>789.92</v>
      </c>
      <c r="K1456" t="s">
        <v>1618</v>
      </c>
      <c r="M1456" t="s">
        <v>1629</v>
      </c>
      <c r="N1456">
        <v>52.11</v>
      </c>
      <c r="O1456" s="49">
        <v>44980</v>
      </c>
      <c r="P1456" s="50">
        <v>355.464</v>
      </c>
    </row>
    <row r="1457" spans="4:16" x14ac:dyDescent="0.2">
      <c r="D1457">
        <v>100000880</v>
      </c>
      <c r="E1457" s="49">
        <v>44439</v>
      </c>
      <c r="F1457" t="s">
        <v>2775</v>
      </c>
      <c r="G1457" t="s">
        <v>1707</v>
      </c>
      <c r="H1457">
        <v>2</v>
      </c>
      <c r="I1457">
        <v>60.91</v>
      </c>
      <c r="J1457" s="50">
        <v>121.82</v>
      </c>
      <c r="K1457" t="s">
        <v>1632</v>
      </c>
      <c r="L1457" t="s">
        <v>2776</v>
      </c>
      <c r="M1457" t="s">
        <v>1627</v>
      </c>
      <c r="N1457">
        <v>32.15</v>
      </c>
      <c r="O1457" s="49">
        <v>44441</v>
      </c>
      <c r="P1457" s="50">
        <v>54.818999999999996</v>
      </c>
    </row>
    <row r="1458" spans="4:16" x14ac:dyDescent="0.2">
      <c r="D1458">
        <v>100000880</v>
      </c>
      <c r="E1458" s="49">
        <v>44766</v>
      </c>
      <c r="F1458" t="s">
        <v>2775</v>
      </c>
      <c r="G1458" t="s">
        <v>1910</v>
      </c>
      <c r="H1458">
        <v>2</v>
      </c>
      <c r="I1458">
        <v>32.81</v>
      </c>
      <c r="J1458" s="50">
        <v>65.62</v>
      </c>
      <c r="K1458" t="s">
        <v>1632</v>
      </c>
      <c r="L1458" t="s">
        <v>2776</v>
      </c>
      <c r="M1458" t="s">
        <v>1621</v>
      </c>
      <c r="N1458">
        <v>17.32</v>
      </c>
      <c r="O1458" s="49">
        <v>44770</v>
      </c>
      <c r="P1458" s="50">
        <v>29.529000000000003</v>
      </c>
    </row>
    <row r="1459" spans="4:16" x14ac:dyDescent="0.2">
      <c r="D1459">
        <v>100000883</v>
      </c>
      <c r="E1459" s="49">
        <v>44515</v>
      </c>
      <c r="F1459" t="s">
        <v>2777</v>
      </c>
      <c r="G1459" t="s">
        <v>1742</v>
      </c>
      <c r="H1459">
        <v>10</v>
      </c>
      <c r="I1459">
        <v>107.19</v>
      </c>
      <c r="J1459" s="50">
        <v>1071.9000000000001</v>
      </c>
      <c r="K1459" t="s">
        <v>1618</v>
      </c>
      <c r="M1459" t="s">
        <v>1629</v>
      </c>
      <c r="N1459">
        <v>56.57</v>
      </c>
      <c r="O1459" s="49">
        <v>44518</v>
      </c>
      <c r="P1459" s="50">
        <v>482.35500000000008</v>
      </c>
    </row>
    <row r="1460" spans="4:16" x14ac:dyDescent="0.2">
      <c r="D1460">
        <v>100000883</v>
      </c>
      <c r="E1460" s="49">
        <v>44829</v>
      </c>
      <c r="F1460" t="s">
        <v>2777</v>
      </c>
      <c r="G1460" t="s">
        <v>1904</v>
      </c>
      <c r="H1460">
        <v>6</v>
      </c>
      <c r="I1460">
        <v>48.71</v>
      </c>
      <c r="J1460" s="50">
        <v>292.26</v>
      </c>
      <c r="K1460" t="s">
        <v>1618</v>
      </c>
      <c r="M1460" t="s">
        <v>1627</v>
      </c>
      <c r="N1460">
        <v>25.71</v>
      </c>
      <c r="O1460" s="49">
        <v>44834</v>
      </c>
      <c r="P1460" s="50">
        <v>131.517</v>
      </c>
    </row>
    <row r="1461" spans="4:16" x14ac:dyDescent="0.2">
      <c r="D1461">
        <v>100000884</v>
      </c>
      <c r="E1461" s="49">
        <v>45012</v>
      </c>
      <c r="F1461" t="s">
        <v>2778</v>
      </c>
      <c r="G1461" t="s">
        <v>1823</v>
      </c>
      <c r="H1461">
        <v>1</v>
      </c>
      <c r="I1461">
        <v>36.270000000000003</v>
      </c>
      <c r="J1461" s="50">
        <v>36.270000000000003</v>
      </c>
      <c r="K1461" t="s">
        <v>1632</v>
      </c>
      <c r="M1461" t="s">
        <v>1627</v>
      </c>
      <c r="N1461">
        <v>19.14</v>
      </c>
      <c r="O1461" s="49">
        <v>45013</v>
      </c>
      <c r="P1461" s="50">
        <v>16.3215</v>
      </c>
    </row>
    <row r="1462" spans="4:16" x14ac:dyDescent="0.2">
      <c r="D1462">
        <v>100000884</v>
      </c>
      <c r="E1462" s="49">
        <v>44228</v>
      </c>
      <c r="F1462" t="s">
        <v>2778</v>
      </c>
      <c r="G1462" t="s">
        <v>1833</v>
      </c>
      <c r="H1462">
        <v>5</v>
      </c>
      <c r="I1462">
        <v>69.819999999999993</v>
      </c>
      <c r="J1462" s="50">
        <v>349.1</v>
      </c>
      <c r="K1462" t="s">
        <v>1632</v>
      </c>
      <c r="M1462" t="s">
        <v>1624</v>
      </c>
      <c r="N1462">
        <v>36.85</v>
      </c>
      <c r="O1462" s="49">
        <v>44232</v>
      </c>
      <c r="P1462" s="50">
        <v>157.09500000000003</v>
      </c>
    </row>
    <row r="1463" spans="4:16" x14ac:dyDescent="0.2">
      <c r="D1463">
        <v>100000884</v>
      </c>
      <c r="E1463" s="49">
        <v>44243</v>
      </c>
      <c r="F1463" t="s">
        <v>2778</v>
      </c>
      <c r="G1463" t="s">
        <v>1702</v>
      </c>
      <c r="H1463">
        <v>4</v>
      </c>
      <c r="I1463">
        <v>93.67</v>
      </c>
      <c r="J1463" s="50">
        <v>374.68</v>
      </c>
      <c r="K1463" t="s">
        <v>1632</v>
      </c>
      <c r="M1463" t="s">
        <v>1629</v>
      </c>
      <c r="N1463">
        <v>49.44</v>
      </c>
      <c r="O1463" s="49">
        <v>44248</v>
      </c>
      <c r="P1463" s="50">
        <v>168.60599999999999</v>
      </c>
    </row>
    <row r="1464" spans="4:16" x14ac:dyDescent="0.2">
      <c r="D1464">
        <v>100000885</v>
      </c>
      <c r="E1464" s="49">
        <v>45484</v>
      </c>
      <c r="F1464" t="s">
        <v>2779</v>
      </c>
      <c r="G1464" t="s">
        <v>2121</v>
      </c>
      <c r="H1464">
        <v>3</v>
      </c>
      <c r="I1464">
        <v>92.95</v>
      </c>
      <c r="J1464" s="50">
        <v>278.85000000000002</v>
      </c>
      <c r="K1464" t="s">
        <v>1618</v>
      </c>
      <c r="M1464" t="s">
        <v>1621</v>
      </c>
      <c r="N1464">
        <v>49.06</v>
      </c>
      <c r="O1464" s="49">
        <v>45486</v>
      </c>
      <c r="P1464" s="50">
        <v>125.48250000000002</v>
      </c>
    </row>
    <row r="1465" spans="4:16" x14ac:dyDescent="0.2">
      <c r="D1465">
        <v>100000885</v>
      </c>
      <c r="E1465" s="49">
        <v>45385</v>
      </c>
      <c r="F1465" t="s">
        <v>2779</v>
      </c>
      <c r="G1465" t="s">
        <v>2330</v>
      </c>
      <c r="H1465">
        <v>5</v>
      </c>
      <c r="I1465">
        <v>44.13</v>
      </c>
      <c r="J1465" s="50">
        <v>220.65</v>
      </c>
      <c r="K1465" t="s">
        <v>1618</v>
      </c>
      <c r="M1465" t="s">
        <v>1627</v>
      </c>
      <c r="N1465">
        <v>23.29</v>
      </c>
      <c r="O1465" s="49">
        <v>45387</v>
      </c>
      <c r="P1465" s="50">
        <v>99.292500000000004</v>
      </c>
    </row>
    <row r="1466" spans="4:16" x14ac:dyDescent="0.2">
      <c r="D1466">
        <v>100000885</v>
      </c>
      <c r="E1466" s="49">
        <v>44926</v>
      </c>
      <c r="F1466" t="s">
        <v>2779</v>
      </c>
      <c r="G1466" t="s">
        <v>2278</v>
      </c>
      <c r="H1466">
        <v>3</v>
      </c>
      <c r="I1466">
        <v>23.33</v>
      </c>
      <c r="J1466" s="50">
        <v>69.989999999999995</v>
      </c>
      <c r="K1466" t="s">
        <v>1618</v>
      </c>
      <c r="M1466" t="s">
        <v>1624</v>
      </c>
      <c r="N1466">
        <v>12.31</v>
      </c>
      <c r="O1466" s="49">
        <v>44929</v>
      </c>
      <c r="P1466" s="50">
        <v>31.4955</v>
      </c>
    </row>
    <row r="1467" spans="4:16" x14ac:dyDescent="0.2">
      <c r="D1467">
        <v>100000885</v>
      </c>
      <c r="E1467" s="49">
        <v>45309</v>
      </c>
      <c r="F1467" t="s">
        <v>2779</v>
      </c>
      <c r="G1467" t="s">
        <v>2378</v>
      </c>
      <c r="H1467">
        <v>8</v>
      </c>
      <c r="I1467">
        <v>27.93</v>
      </c>
      <c r="J1467" s="50">
        <v>223.44</v>
      </c>
      <c r="K1467" t="s">
        <v>1618</v>
      </c>
      <c r="M1467" t="s">
        <v>1629</v>
      </c>
      <c r="N1467">
        <v>14.74</v>
      </c>
      <c r="O1467" s="49">
        <v>45312</v>
      </c>
      <c r="P1467" s="50">
        <v>100.548</v>
      </c>
    </row>
    <row r="1468" spans="4:16" x14ac:dyDescent="0.2">
      <c r="D1468">
        <v>100000885</v>
      </c>
      <c r="E1468" s="49">
        <v>45186</v>
      </c>
      <c r="F1468" t="s">
        <v>2779</v>
      </c>
      <c r="G1468" t="s">
        <v>1765</v>
      </c>
      <c r="H1468">
        <v>4</v>
      </c>
      <c r="I1468">
        <v>58.4</v>
      </c>
      <c r="J1468" s="50">
        <v>233.6</v>
      </c>
      <c r="K1468" t="s">
        <v>1618</v>
      </c>
      <c r="M1468" t="s">
        <v>1629</v>
      </c>
      <c r="N1468">
        <v>30.82</v>
      </c>
      <c r="O1468" s="49">
        <v>45188</v>
      </c>
      <c r="P1468" s="50">
        <v>105.12</v>
      </c>
    </row>
    <row r="1469" spans="4:16" x14ac:dyDescent="0.2">
      <c r="D1469">
        <v>100000885</v>
      </c>
      <c r="E1469" s="49">
        <v>44803</v>
      </c>
      <c r="F1469" t="s">
        <v>2779</v>
      </c>
      <c r="G1469" t="s">
        <v>2017</v>
      </c>
      <c r="H1469">
        <v>1</v>
      </c>
      <c r="I1469">
        <v>36.6</v>
      </c>
      <c r="J1469" s="50">
        <v>36.6</v>
      </c>
      <c r="K1469" t="s">
        <v>1618</v>
      </c>
      <c r="M1469" t="s">
        <v>1619</v>
      </c>
      <c r="N1469">
        <v>19.32</v>
      </c>
      <c r="O1469" s="49">
        <v>44805</v>
      </c>
      <c r="P1469" s="50">
        <v>16.470000000000002</v>
      </c>
    </row>
    <row r="1470" spans="4:16" x14ac:dyDescent="0.2">
      <c r="D1470">
        <v>100000886</v>
      </c>
      <c r="E1470" s="49">
        <v>44630</v>
      </c>
      <c r="F1470" t="s">
        <v>2780</v>
      </c>
      <c r="G1470" t="s">
        <v>2112</v>
      </c>
      <c r="H1470">
        <v>3</v>
      </c>
      <c r="I1470">
        <v>27.96</v>
      </c>
      <c r="J1470" s="50">
        <v>83.88</v>
      </c>
      <c r="K1470" t="s">
        <v>1618</v>
      </c>
      <c r="M1470" t="s">
        <v>1624</v>
      </c>
      <c r="N1470">
        <v>14.76</v>
      </c>
      <c r="O1470" s="49">
        <v>44635</v>
      </c>
      <c r="P1470" s="50">
        <v>37.746000000000002</v>
      </c>
    </row>
    <row r="1471" spans="4:16" x14ac:dyDescent="0.2">
      <c r="D1471">
        <v>100000886</v>
      </c>
      <c r="E1471" s="49">
        <v>45464</v>
      </c>
      <c r="F1471" t="s">
        <v>2780</v>
      </c>
      <c r="G1471" t="s">
        <v>1715</v>
      </c>
      <c r="H1471">
        <v>2</v>
      </c>
      <c r="I1471">
        <v>70.09</v>
      </c>
      <c r="J1471" s="50">
        <v>140.18</v>
      </c>
      <c r="K1471" t="s">
        <v>1618</v>
      </c>
      <c r="M1471" t="s">
        <v>1624</v>
      </c>
      <c r="N1471">
        <v>36.99</v>
      </c>
      <c r="O1471" s="49">
        <v>45469</v>
      </c>
      <c r="P1471" s="50">
        <v>63.081000000000003</v>
      </c>
    </row>
    <row r="1472" spans="4:16" x14ac:dyDescent="0.2">
      <c r="D1472">
        <v>100000889</v>
      </c>
      <c r="E1472" s="49">
        <v>44350</v>
      </c>
      <c r="F1472" t="s">
        <v>2781</v>
      </c>
      <c r="G1472" t="s">
        <v>2180</v>
      </c>
      <c r="H1472">
        <v>7</v>
      </c>
      <c r="I1472">
        <v>20.6</v>
      </c>
      <c r="J1472" s="50">
        <v>144.19999999999999</v>
      </c>
      <c r="K1472" t="s">
        <v>1632</v>
      </c>
      <c r="L1472" t="s">
        <v>2072</v>
      </c>
      <c r="M1472" t="s">
        <v>1627</v>
      </c>
      <c r="N1472">
        <v>10.87</v>
      </c>
      <c r="O1472" s="49">
        <v>44351</v>
      </c>
      <c r="P1472" s="50">
        <v>64.89</v>
      </c>
    </row>
    <row r="1473" spans="4:16" x14ac:dyDescent="0.2">
      <c r="D1473">
        <v>100000890</v>
      </c>
      <c r="E1473" s="49">
        <v>44400</v>
      </c>
      <c r="F1473" t="s">
        <v>2782</v>
      </c>
      <c r="G1473" t="s">
        <v>1980</v>
      </c>
      <c r="H1473">
        <v>8</v>
      </c>
      <c r="I1473">
        <v>119.69</v>
      </c>
      <c r="J1473" s="50">
        <v>957.52</v>
      </c>
      <c r="K1473" t="s">
        <v>1632</v>
      </c>
      <c r="M1473" t="s">
        <v>1621</v>
      </c>
      <c r="N1473">
        <v>63.17</v>
      </c>
      <c r="O1473" s="49">
        <v>44403</v>
      </c>
      <c r="P1473" s="50">
        <v>430.88400000000001</v>
      </c>
    </row>
    <row r="1474" spans="4:16" x14ac:dyDescent="0.2">
      <c r="D1474">
        <v>100000890</v>
      </c>
      <c r="E1474" s="49">
        <v>45345</v>
      </c>
      <c r="F1474" t="s">
        <v>2782</v>
      </c>
      <c r="G1474" t="s">
        <v>1792</v>
      </c>
      <c r="H1474">
        <v>3</v>
      </c>
      <c r="I1474">
        <v>68.680000000000007</v>
      </c>
      <c r="J1474" s="50">
        <v>206.04</v>
      </c>
      <c r="K1474" t="s">
        <v>1632</v>
      </c>
      <c r="M1474" t="s">
        <v>1619</v>
      </c>
      <c r="N1474">
        <v>36.25</v>
      </c>
      <c r="O1474" s="49">
        <v>45347</v>
      </c>
      <c r="P1474" s="50">
        <v>92.718000000000004</v>
      </c>
    </row>
    <row r="1475" spans="4:16" x14ac:dyDescent="0.2">
      <c r="D1475">
        <v>100000890</v>
      </c>
      <c r="E1475" s="49">
        <v>45262</v>
      </c>
      <c r="F1475" t="s">
        <v>2782</v>
      </c>
      <c r="G1475" t="s">
        <v>2553</v>
      </c>
      <c r="H1475">
        <v>5</v>
      </c>
      <c r="I1475">
        <v>99.76</v>
      </c>
      <c r="J1475" s="50">
        <v>498.8</v>
      </c>
      <c r="K1475" t="s">
        <v>1632</v>
      </c>
      <c r="M1475" t="s">
        <v>1629</v>
      </c>
      <c r="N1475">
        <v>52.65</v>
      </c>
      <c r="O1475" s="49">
        <v>45266</v>
      </c>
      <c r="P1475" s="50">
        <v>224.46</v>
      </c>
    </row>
    <row r="1476" spans="4:16" x14ac:dyDescent="0.2">
      <c r="D1476">
        <v>100000890</v>
      </c>
      <c r="E1476" s="49">
        <v>45551</v>
      </c>
      <c r="F1476" t="s">
        <v>2782</v>
      </c>
      <c r="G1476" t="s">
        <v>1691</v>
      </c>
      <c r="H1476">
        <v>9</v>
      </c>
      <c r="I1476">
        <v>112.59</v>
      </c>
      <c r="J1476" s="50">
        <v>1013.31</v>
      </c>
      <c r="K1476" t="s">
        <v>1632</v>
      </c>
      <c r="M1476" t="s">
        <v>1624</v>
      </c>
      <c r="N1476">
        <v>59.42</v>
      </c>
      <c r="O1476" s="49">
        <v>45556</v>
      </c>
      <c r="P1476" s="50">
        <v>455.98949999999996</v>
      </c>
    </row>
    <row r="1477" spans="4:16" x14ac:dyDescent="0.2">
      <c r="D1477">
        <v>100000890</v>
      </c>
      <c r="E1477" s="49">
        <v>44758</v>
      </c>
      <c r="F1477" t="s">
        <v>2782</v>
      </c>
      <c r="G1477" t="s">
        <v>2050</v>
      </c>
      <c r="H1477">
        <v>10</v>
      </c>
      <c r="I1477">
        <v>76.819999999999993</v>
      </c>
      <c r="J1477" s="50">
        <v>768.19999999999993</v>
      </c>
      <c r="K1477" t="s">
        <v>1632</v>
      </c>
      <c r="M1477" t="s">
        <v>1629</v>
      </c>
      <c r="N1477">
        <v>40.54</v>
      </c>
      <c r="O1477" s="49">
        <v>44763</v>
      </c>
      <c r="P1477" s="50">
        <v>345.69</v>
      </c>
    </row>
    <row r="1478" spans="4:16" x14ac:dyDescent="0.2">
      <c r="D1478">
        <v>100000891</v>
      </c>
      <c r="E1478" s="49">
        <v>44889</v>
      </c>
      <c r="F1478" t="s">
        <v>2783</v>
      </c>
      <c r="G1478" t="s">
        <v>2420</v>
      </c>
      <c r="H1478">
        <v>1</v>
      </c>
      <c r="I1478">
        <v>37.17</v>
      </c>
      <c r="J1478" s="50">
        <v>37.17</v>
      </c>
      <c r="K1478" t="s">
        <v>1632</v>
      </c>
      <c r="M1478" t="s">
        <v>1627</v>
      </c>
      <c r="N1478">
        <v>19.62</v>
      </c>
      <c r="O1478" s="49">
        <v>44894</v>
      </c>
      <c r="P1478" s="50">
        <v>16.726500000000001</v>
      </c>
    </row>
    <row r="1479" spans="4:16" x14ac:dyDescent="0.2">
      <c r="D1479">
        <v>100000892</v>
      </c>
      <c r="E1479" s="49">
        <v>44448</v>
      </c>
      <c r="F1479" t="s">
        <v>2784</v>
      </c>
      <c r="G1479" t="s">
        <v>1671</v>
      </c>
      <c r="H1479">
        <v>2</v>
      </c>
      <c r="I1479">
        <v>74.66</v>
      </c>
      <c r="J1479" s="50">
        <v>149.32</v>
      </c>
      <c r="K1479" t="s">
        <v>1632</v>
      </c>
      <c r="M1479" t="s">
        <v>1621</v>
      </c>
      <c r="N1479">
        <v>39.4</v>
      </c>
      <c r="O1479" s="49">
        <v>44453</v>
      </c>
      <c r="P1479" s="50">
        <v>67.194000000000003</v>
      </c>
    </row>
    <row r="1480" spans="4:16" x14ac:dyDescent="0.2">
      <c r="D1480">
        <v>100000893</v>
      </c>
      <c r="E1480" s="49">
        <v>45213</v>
      </c>
      <c r="F1480" t="s">
        <v>2785</v>
      </c>
      <c r="G1480" t="s">
        <v>2019</v>
      </c>
      <c r="H1480">
        <v>9</v>
      </c>
      <c r="I1480">
        <v>89.09</v>
      </c>
      <c r="J1480" s="50">
        <v>801.81000000000006</v>
      </c>
      <c r="K1480" t="s">
        <v>1632</v>
      </c>
      <c r="M1480" t="s">
        <v>1627</v>
      </c>
      <c r="N1480">
        <v>47.02</v>
      </c>
      <c r="O1480" s="49">
        <v>45218</v>
      </c>
      <c r="P1480" s="50">
        <v>360.81450000000001</v>
      </c>
    </row>
    <row r="1481" spans="4:16" x14ac:dyDescent="0.2">
      <c r="D1481">
        <v>100000894</v>
      </c>
      <c r="E1481" s="49">
        <v>45609</v>
      </c>
      <c r="F1481" t="s">
        <v>2786</v>
      </c>
      <c r="G1481" t="s">
        <v>1722</v>
      </c>
      <c r="H1481">
        <v>3</v>
      </c>
      <c r="I1481">
        <v>11.28</v>
      </c>
      <c r="J1481" s="50">
        <v>33.840000000000003</v>
      </c>
      <c r="K1481" t="s">
        <v>1618</v>
      </c>
      <c r="M1481" t="s">
        <v>1624</v>
      </c>
      <c r="N1481">
        <v>5.95</v>
      </c>
      <c r="O1481" s="49">
        <v>45610</v>
      </c>
      <c r="P1481" s="50">
        <v>15.228000000000002</v>
      </c>
    </row>
    <row r="1482" spans="4:16" x14ac:dyDescent="0.2">
      <c r="D1482">
        <v>100000895</v>
      </c>
      <c r="E1482" s="49">
        <v>44884</v>
      </c>
      <c r="F1482" t="s">
        <v>2787</v>
      </c>
      <c r="G1482" t="s">
        <v>1620</v>
      </c>
      <c r="H1482">
        <v>2</v>
      </c>
      <c r="I1482">
        <v>59.09</v>
      </c>
      <c r="J1482" s="50">
        <v>118.18</v>
      </c>
      <c r="K1482" t="s">
        <v>1632</v>
      </c>
      <c r="L1482" t="s">
        <v>2788</v>
      </c>
      <c r="M1482" t="s">
        <v>1624</v>
      </c>
      <c r="N1482">
        <v>31.19</v>
      </c>
      <c r="O1482" s="49">
        <v>44886</v>
      </c>
      <c r="P1482" s="50">
        <v>53.181000000000004</v>
      </c>
    </row>
    <row r="1483" spans="4:16" x14ac:dyDescent="0.2">
      <c r="D1483">
        <v>100000895</v>
      </c>
      <c r="E1483" s="49">
        <v>45513</v>
      </c>
      <c r="F1483" t="s">
        <v>2787</v>
      </c>
      <c r="G1483" t="s">
        <v>2191</v>
      </c>
      <c r="H1483">
        <v>8</v>
      </c>
      <c r="I1483">
        <v>96.54</v>
      </c>
      <c r="J1483" s="50">
        <v>772.32</v>
      </c>
      <c r="K1483" t="s">
        <v>1632</v>
      </c>
      <c r="L1483" t="s">
        <v>2788</v>
      </c>
      <c r="M1483" t="s">
        <v>1624</v>
      </c>
      <c r="N1483">
        <v>50.95</v>
      </c>
      <c r="O1483" s="49">
        <v>45518</v>
      </c>
      <c r="P1483" s="50">
        <v>347.54400000000004</v>
      </c>
    </row>
    <row r="1484" spans="4:16" x14ac:dyDescent="0.2">
      <c r="D1484">
        <v>100000896</v>
      </c>
      <c r="E1484" s="49">
        <v>44879</v>
      </c>
      <c r="F1484" t="s">
        <v>2789</v>
      </c>
      <c r="G1484" t="s">
        <v>2069</v>
      </c>
      <c r="H1484">
        <v>8</v>
      </c>
      <c r="I1484">
        <v>114</v>
      </c>
      <c r="J1484" s="50">
        <v>912</v>
      </c>
      <c r="K1484" t="s">
        <v>1618</v>
      </c>
      <c r="L1484" t="s">
        <v>2790</v>
      </c>
      <c r="M1484" t="s">
        <v>1621</v>
      </c>
      <c r="N1484">
        <v>60.17</v>
      </c>
      <c r="O1484" s="49">
        <v>44880</v>
      </c>
      <c r="P1484" s="50">
        <v>410.40000000000003</v>
      </c>
    </row>
    <row r="1485" spans="4:16" x14ac:dyDescent="0.2">
      <c r="D1485">
        <v>100000896</v>
      </c>
      <c r="E1485" s="49">
        <v>44266</v>
      </c>
      <c r="F1485" t="s">
        <v>2789</v>
      </c>
      <c r="G1485" t="s">
        <v>2380</v>
      </c>
      <c r="H1485">
        <v>9</v>
      </c>
      <c r="I1485">
        <v>11.89</v>
      </c>
      <c r="J1485" s="50">
        <v>107.01</v>
      </c>
      <c r="K1485" t="s">
        <v>1618</v>
      </c>
      <c r="L1485" t="s">
        <v>2790</v>
      </c>
      <c r="M1485" t="s">
        <v>1624</v>
      </c>
      <c r="N1485">
        <v>6.28</v>
      </c>
      <c r="O1485" s="49">
        <v>44268</v>
      </c>
      <c r="P1485" s="50">
        <v>48.154500000000006</v>
      </c>
    </row>
    <row r="1486" spans="4:16" x14ac:dyDescent="0.2">
      <c r="D1486">
        <v>100000898</v>
      </c>
      <c r="E1486" s="49">
        <v>44959</v>
      </c>
      <c r="F1486" t="s">
        <v>2791</v>
      </c>
      <c r="G1486" t="s">
        <v>2101</v>
      </c>
      <c r="H1486">
        <v>2</v>
      </c>
      <c r="I1486">
        <v>85.7</v>
      </c>
      <c r="J1486" s="50">
        <v>171.4</v>
      </c>
      <c r="K1486" t="s">
        <v>1632</v>
      </c>
      <c r="M1486" t="s">
        <v>1619</v>
      </c>
      <c r="N1486">
        <v>45.23</v>
      </c>
      <c r="O1486" s="49">
        <v>44962</v>
      </c>
      <c r="P1486" s="50">
        <v>77.13000000000001</v>
      </c>
    </row>
    <row r="1487" spans="4:16" x14ac:dyDescent="0.2">
      <c r="D1487">
        <v>100000899</v>
      </c>
      <c r="E1487" s="49">
        <v>44475</v>
      </c>
      <c r="F1487" t="s">
        <v>2792</v>
      </c>
      <c r="G1487" t="s">
        <v>2096</v>
      </c>
      <c r="H1487">
        <v>1</v>
      </c>
      <c r="I1487">
        <v>11.13</v>
      </c>
      <c r="J1487" s="50">
        <v>11.13</v>
      </c>
      <c r="K1487" t="s">
        <v>1632</v>
      </c>
      <c r="M1487" t="s">
        <v>1629</v>
      </c>
      <c r="N1487">
        <v>5.87</v>
      </c>
      <c r="O1487" s="49">
        <v>44480</v>
      </c>
      <c r="P1487" s="50">
        <v>5.0085000000000006</v>
      </c>
    </row>
    <row r="1488" spans="4:16" x14ac:dyDescent="0.2">
      <c r="D1488">
        <v>100000899</v>
      </c>
      <c r="E1488" s="49">
        <v>45431</v>
      </c>
      <c r="F1488" t="s">
        <v>2792</v>
      </c>
      <c r="G1488" t="s">
        <v>2372</v>
      </c>
      <c r="H1488">
        <v>6</v>
      </c>
      <c r="I1488">
        <v>73.819999999999993</v>
      </c>
      <c r="J1488" s="50">
        <v>442.92</v>
      </c>
      <c r="K1488" t="s">
        <v>1632</v>
      </c>
      <c r="M1488" t="s">
        <v>1619</v>
      </c>
      <c r="N1488">
        <v>38.96</v>
      </c>
      <c r="O1488" s="49">
        <v>45432</v>
      </c>
      <c r="P1488" s="50">
        <v>199.31400000000002</v>
      </c>
    </row>
    <row r="1489" spans="4:16" x14ac:dyDescent="0.2">
      <c r="D1489">
        <v>100000899</v>
      </c>
      <c r="E1489" s="49">
        <v>45472</v>
      </c>
      <c r="F1489" t="s">
        <v>2792</v>
      </c>
      <c r="G1489" t="s">
        <v>1939</v>
      </c>
      <c r="H1489">
        <v>7</v>
      </c>
      <c r="I1489">
        <v>103.96</v>
      </c>
      <c r="J1489" s="50">
        <v>727.71999999999991</v>
      </c>
      <c r="K1489" t="s">
        <v>1632</v>
      </c>
      <c r="M1489" t="s">
        <v>1621</v>
      </c>
      <c r="N1489">
        <v>54.87</v>
      </c>
      <c r="O1489" s="49">
        <v>45475</v>
      </c>
      <c r="P1489" s="50">
        <v>327.47399999999999</v>
      </c>
    </row>
    <row r="1490" spans="4:16" x14ac:dyDescent="0.2">
      <c r="D1490">
        <v>100000899</v>
      </c>
      <c r="E1490" s="49">
        <v>45365</v>
      </c>
      <c r="F1490" t="s">
        <v>2792</v>
      </c>
      <c r="G1490" t="s">
        <v>1890</v>
      </c>
      <c r="H1490">
        <v>6</v>
      </c>
      <c r="I1490">
        <v>33.54</v>
      </c>
      <c r="J1490" s="50">
        <v>201.24</v>
      </c>
      <c r="K1490" t="s">
        <v>1632</v>
      </c>
      <c r="M1490" t="s">
        <v>1621</v>
      </c>
      <c r="N1490">
        <v>17.7</v>
      </c>
      <c r="O1490" s="49">
        <v>45367</v>
      </c>
      <c r="P1490" s="50">
        <v>90.558000000000007</v>
      </c>
    </row>
    <row r="1491" spans="4:16" x14ac:dyDescent="0.2">
      <c r="D1491">
        <v>100000900</v>
      </c>
      <c r="E1491" s="49">
        <v>45400</v>
      </c>
      <c r="F1491" t="s">
        <v>2793</v>
      </c>
      <c r="G1491" t="s">
        <v>1766</v>
      </c>
      <c r="H1491">
        <v>3</v>
      </c>
      <c r="I1491">
        <v>91.24</v>
      </c>
      <c r="J1491" s="50">
        <v>273.72000000000003</v>
      </c>
      <c r="K1491" t="s">
        <v>1632</v>
      </c>
      <c r="M1491" t="s">
        <v>1619</v>
      </c>
      <c r="N1491">
        <v>48.15</v>
      </c>
      <c r="O1491" s="49">
        <v>45403</v>
      </c>
      <c r="P1491" s="50">
        <v>123.17400000000002</v>
      </c>
    </row>
    <row r="1492" spans="4:16" x14ac:dyDescent="0.2">
      <c r="D1492">
        <v>100000900</v>
      </c>
      <c r="E1492" s="49">
        <v>45362</v>
      </c>
      <c r="F1492" t="s">
        <v>2793</v>
      </c>
      <c r="G1492" t="s">
        <v>1805</v>
      </c>
      <c r="H1492">
        <v>8</v>
      </c>
      <c r="I1492">
        <v>69.39</v>
      </c>
      <c r="J1492" s="50">
        <v>555.12</v>
      </c>
      <c r="K1492" t="s">
        <v>1632</v>
      </c>
      <c r="M1492" t="s">
        <v>1624</v>
      </c>
      <c r="N1492">
        <v>36.619999999999997</v>
      </c>
      <c r="O1492" s="49">
        <v>45366</v>
      </c>
      <c r="P1492" s="50">
        <v>249.804</v>
      </c>
    </row>
    <row r="1493" spans="4:16" x14ac:dyDescent="0.2">
      <c r="D1493">
        <v>100000900</v>
      </c>
      <c r="E1493" s="49">
        <v>44586</v>
      </c>
      <c r="F1493" t="s">
        <v>2793</v>
      </c>
      <c r="G1493" t="s">
        <v>2330</v>
      </c>
      <c r="H1493">
        <v>10</v>
      </c>
      <c r="I1493">
        <v>87.11</v>
      </c>
      <c r="J1493" s="50">
        <v>871.1</v>
      </c>
      <c r="K1493" t="s">
        <v>1632</v>
      </c>
      <c r="M1493" t="s">
        <v>1629</v>
      </c>
      <c r="N1493">
        <v>45.97</v>
      </c>
      <c r="O1493" s="49">
        <v>44587</v>
      </c>
      <c r="P1493" s="50">
        <v>391.995</v>
      </c>
    </row>
    <row r="1494" spans="4:16" x14ac:dyDescent="0.2">
      <c r="D1494">
        <v>100000900</v>
      </c>
      <c r="E1494" s="49">
        <v>45420</v>
      </c>
      <c r="F1494" t="s">
        <v>2793</v>
      </c>
      <c r="G1494" t="s">
        <v>2255</v>
      </c>
      <c r="H1494">
        <v>5</v>
      </c>
      <c r="I1494">
        <v>58.29</v>
      </c>
      <c r="J1494" s="50">
        <v>291.45</v>
      </c>
      <c r="K1494" t="s">
        <v>1632</v>
      </c>
      <c r="M1494" t="s">
        <v>1629</v>
      </c>
      <c r="N1494">
        <v>30.76</v>
      </c>
      <c r="O1494" s="49">
        <v>45425</v>
      </c>
      <c r="P1494" s="50">
        <v>131.1525</v>
      </c>
    </row>
    <row r="1495" spans="4:16" x14ac:dyDescent="0.2">
      <c r="D1495">
        <v>100000901</v>
      </c>
      <c r="E1495" s="49">
        <v>44825</v>
      </c>
      <c r="F1495" t="s">
        <v>2794</v>
      </c>
      <c r="G1495" t="s">
        <v>1801</v>
      </c>
      <c r="H1495">
        <v>10</v>
      </c>
      <c r="I1495">
        <v>33.46</v>
      </c>
      <c r="J1495" s="50">
        <v>334.6</v>
      </c>
      <c r="K1495" t="s">
        <v>1618</v>
      </c>
      <c r="L1495" t="s">
        <v>2795</v>
      </c>
      <c r="M1495" t="s">
        <v>1624</v>
      </c>
      <c r="N1495">
        <v>17.66</v>
      </c>
      <c r="O1495" s="49">
        <v>44829</v>
      </c>
      <c r="P1495" s="50">
        <v>150.57000000000002</v>
      </c>
    </row>
    <row r="1496" spans="4:16" x14ac:dyDescent="0.2">
      <c r="D1496">
        <v>100000901</v>
      </c>
      <c r="E1496" s="49">
        <v>44458</v>
      </c>
      <c r="F1496" t="s">
        <v>2794</v>
      </c>
      <c r="G1496" t="s">
        <v>1921</v>
      </c>
      <c r="H1496">
        <v>5</v>
      </c>
      <c r="I1496">
        <v>89.96</v>
      </c>
      <c r="J1496" s="50">
        <v>449.8</v>
      </c>
      <c r="K1496" t="s">
        <v>1618</v>
      </c>
      <c r="L1496" t="s">
        <v>2795</v>
      </c>
      <c r="M1496" t="s">
        <v>1627</v>
      </c>
      <c r="N1496">
        <v>47.48</v>
      </c>
      <c r="O1496" s="49">
        <v>44460</v>
      </c>
      <c r="P1496" s="50">
        <v>202.41</v>
      </c>
    </row>
    <row r="1497" spans="4:16" x14ac:dyDescent="0.2">
      <c r="D1497">
        <v>100000901</v>
      </c>
      <c r="E1497" s="49">
        <v>45205</v>
      </c>
      <c r="F1497" t="s">
        <v>2794</v>
      </c>
      <c r="G1497" t="s">
        <v>1880</v>
      </c>
      <c r="H1497">
        <v>4</v>
      </c>
      <c r="I1497">
        <v>60.67</v>
      </c>
      <c r="J1497" s="50">
        <v>242.68</v>
      </c>
      <c r="K1497" t="s">
        <v>1618</v>
      </c>
      <c r="L1497" t="s">
        <v>2795</v>
      </c>
      <c r="M1497" t="s">
        <v>1619</v>
      </c>
      <c r="N1497">
        <v>32.020000000000003</v>
      </c>
      <c r="O1497" s="49">
        <v>45209</v>
      </c>
      <c r="P1497" s="50">
        <v>109.206</v>
      </c>
    </row>
    <row r="1498" spans="4:16" x14ac:dyDescent="0.2">
      <c r="D1498">
        <v>100000901</v>
      </c>
      <c r="E1498" s="49">
        <v>45015</v>
      </c>
      <c r="F1498" t="s">
        <v>2794</v>
      </c>
      <c r="G1498" t="s">
        <v>1918</v>
      </c>
      <c r="H1498">
        <v>2</v>
      </c>
      <c r="I1498">
        <v>64.39</v>
      </c>
      <c r="J1498" s="50">
        <v>128.78</v>
      </c>
      <c r="K1498" t="s">
        <v>1618</v>
      </c>
      <c r="L1498" t="s">
        <v>2795</v>
      </c>
      <c r="M1498" t="s">
        <v>1619</v>
      </c>
      <c r="N1498">
        <v>33.979999999999997</v>
      </c>
      <c r="O1498" s="49">
        <v>45017</v>
      </c>
      <c r="P1498" s="50">
        <v>57.951000000000001</v>
      </c>
    </row>
    <row r="1499" spans="4:16" x14ac:dyDescent="0.2">
      <c r="D1499">
        <v>100000901</v>
      </c>
      <c r="E1499" s="49">
        <v>44387</v>
      </c>
      <c r="F1499" t="s">
        <v>2794</v>
      </c>
      <c r="G1499" t="s">
        <v>1777</v>
      </c>
      <c r="H1499">
        <v>2</v>
      </c>
      <c r="I1499">
        <v>39.92</v>
      </c>
      <c r="J1499" s="50">
        <v>79.84</v>
      </c>
      <c r="K1499" t="s">
        <v>1618</v>
      </c>
      <c r="L1499" t="s">
        <v>2795</v>
      </c>
      <c r="M1499" t="s">
        <v>1627</v>
      </c>
      <c r="N1499">
        <v>21.07</v>
      </c>
      <c r="O1499" s="49">
        <v>44389</v>
      </c>
      <c r="P1499" s="50">
        <v>35.928000000000004</v>
      </c>
    </row>
    <row r="1500" spans="4:16" x14ac:dyDescent="0.2">
      <c r="D1500">
        <v>100000903</v>
      </c>
      <c r="E1500" s="49">
        <v>45656</v>
      </c>
      <c r="F1500" t="s">
        <v>2796</v>
      </c>
      <c r="G1500" t="s">
        <v>1932</v>
      </c>
      <c r="H1500">
        <v>10</v>
      </c>
      <c r="I1500">
        <v>87.11</v>
      </c>
      <c r="J1500" s="50">
        <v>871.1</v>
      </c>
      <c r="K1500" t="s">
        <v>1618</v>
      </c>
      <c r="L1500" t="s">
        <v>2315</v>
      </c>
      <c r="M1500" t="s">
        <v>1619</v>
      </c>
      <c r="N1500">
        <v>45.97</v>
      </c>
      <c r="O1500" s="49">
        <v>45660</v>
      </c>
      <c r="P1500" s="50">
        <v>391.995</v>
      </c>
    </row>
    <row r="1501" spans="4:16" x14ac:dyDescent="0.2">
      <c r="D1501">
        <v>100000903</v>
      </c>
      <c r="E1501" s="49">
        <v>45266</v>
      </c>
      <c r="F1501" t="s">
        <v>2796</v>
      </c>
      <c r="G1501" t="s">
        <v>2692</v>
      </c>
      <c r="H1501">
        <v>7</v>
      </c>
      <c r="I1501">
        <v>18.39</v>
      </c>
      <c r="J1501" s="50">
        <v>128.72999999999999</v>
      </c>
      <c r="K1501" t="s">
        <v>1618</v>
      </c>
      <c r="L1501" t="s">
        <v>2315</v>
      </c>
      <c r="M1501" t="s">
        <v>1624</v>
      </c>
      <c r="N1501">
        <v>9.7100000000000009</v>
      </c>
      <c r="O1501" s="49">
        <v>45267</v>
      </c>
      <c r="P1501" s="50">
        <v>57.9285</v>
      </c>
    </row>
    <row r="1502" spans="4:16" x14ac:dyDescent="0.2">
      <c r="D1502">
        <v>100000903</v>
      </c>
      <c r="E1502" s="49">
        <v>44491</v>
      </c>
      <c r="F1502" t="s">
        <v>2796</v>
      </c>
      <c r="G1502" t="s">
        <v>1737</v>
      </c>
      <c r="H1502">
        <v>9</v>
      </c>
      <c r="I1502">
        <v>102.06</v>
      </c>
      <c r="J1502" s="50">
        <v>918.54</v>
      </c>
      <c r="K1502" t="s">
        <v>1618</v>
      </c>
      <c r="L1502" t="s">
        <v>2315</v>
      </c>
      <c r="M1502" t="s">
        <v>1629</v>
      </c>
      <c r="N1502">
        <v>53.86</v>
      </c>
      <c r="O1502" s="49">
        <v>44493</v>
      </c>
      <c r="P1502" s="50">
        <v>413.34300000000002</v>
      </c>
    </row>
    <row r="1503" spans="4:16" x14ac:dyDescent="0.2">
      <c r="D1503">
        <v>100000903</v>
      </c>
      <c r="E1503" s="49">
        <v>44379</v>
      </c>
      <c r="F1503" t="s">
        <v>2796</v>
      </c>
      <c r="G1503" t="s">
        <v>2745</v>
      </c>
      <c r="H1503">
        <v>10</v>
      </c>
      <c r="I1503">
        <v>98.35</v>
      </c>
      <c r="J1503" s="50">
        <v>983.5</v>
      </c>
      <c r="K1503" t="s">
        <v>1618</v>
      </c>
      <c r="L1503" t="s">
        <v>2315</v>
      </c>
      <c r="M1503" t="s">
        <v>1627</v>
      </c>
      <c r="N1503">
        <v>51.91</v>
      </c>
      <c r="O1503" s="49">
        <v>44384</v>
      </c>
      <c r="P1503" s="50">
        <v>442.57499999999999</v>
      </c>
    </row>
    <row r="1504" spans="4:16" x14ac:dyDescent="0.2">
      <c r="D1504">
        <v>100000903</v>
      </c>
      <c r="E1504" s="49">
        <v>44286</v>
      </c>
      <c r="F1504" t="s">
        <v>2796</v>
      </c>
      <c r="G1504" t="s">
        <v>2390</v>
      </c>
      <c r="H1504">
        <v>3</v>
      </c>
      <c r="I1504">
        <v>58.71</v>
      </c>
      <c r="J1504" s="50">
        <v>176.13</v>
      </c>
      <c r="K1504" t="s">
        <v>1618</v>
      </c>
      <c r="L1504" t="s">
        <v>2315</v>
      </c>
      <c r="M1504" t="s">
        <v>1624</v>
      </c>
      <c r="N1504">
        <v>30.99</v>
      </c>
      <c r="O1504" s="49">
        <v>44287</v>
      </c>
      <c r="P1504" s="50">
        <v>79.258499999999998</v>
      </c>
    </row>
    <row r="1505" spans="4:16" x14ac:dyDescent="0.2">
      <c r="D1505">
        <v>100000906</v>
      </c>
      <c r="E1505" s="49">
        <v>44262</v>
      </c>
      <c r="F1505" t="s">
        <v>2797</v>
      </c>
      <c r="G1505" t="s">
        <v>2078</v>
      </c>
      <c r="H1505">
        <v>5</v>
      </c>
      <c r="I1505">
        <v>103.69</v>
      </c>
      <c r="J1505" s="50">
        <v>518.45000000000005</v>
      </c>
      <c r="K1505" t="s">
        <v>1632</v>
      </c>
      <c r="M1505" t="s">
        <v>1624</v>
      </c>
      <c r="N1505">
        <v>54.72</v>
      </c>
      <c r="O1505" s="49">
        <v>44264</v>
      </c>
      <c r="P1505" s="50">
        <v>233.30250000000004</v>
      </c>
    </row>
    <row r="1506" spans="4:16" x14ac:dyDescent="0.2">
      <c r="D1506">
        <v>100000906</v>
      </c>
      <c r="E1506" s="49">
        <v>44329</v>
      </c>
      <c r="F1506" t="s">
        <v>2797</v>
      </c>
      <c r="G1506" t="s">
        <v>1752</v>
      </c>
      <c r="H1506">
        <v>4</v>
      </c>
      <c r="I1506">
        <v>43.78</v>
      </c>
      <c r="J1506" s="50">
        <v>175.12</v>
      </c>
      <c r="K1506" t="s">
        <v>1632</v>
      </c>
      <c r="M1506" t="s">
        <v>1624</v>
      </c>
      <c r="N1506">
        <v>23.11</v>
      </c>
      <c r="O1506" s="49">
        <v>44331</v>
      </c>
      <c r="P1506" s="50">
        <v>78.804000000000002</v>
      </c>
    </row>
    <row r="1507" spans="4:16" x14ac:dyDescent="0.2">
      <c r="D1507">
        <v>100000906</v>
      </c>
      <c r="E1507" s="49">
        <v>45157</v>
      </c>
      <c r="F1507" t="s">
        <v>2797</v>
      </c>
      <c r="G1507" t="s">
        <v>2039</v>
      </c>
      <c r="H1507">
        <v>2</v>
      </c>
      <c r="I1507">
        <v>77.08</v>
      </c>
      <c r="J1507" s="50">
        <v>154.16</v>
      </c>
      <c r="K1507" t="s">
        <v>1632</v>
      </c>
      <c r="M1507" t="s">
        <v>1627</v>
      </c>
      <c r="N1507">
        <v>40.68</v>
      </c>
      <c r="O1507" s="49">
        <v>45159</v>
      </c>
      <c r="P1507" s="50">
        <v>69.372</v>
      </c>
    </row>
    <row r="1508" spans="4:16" x14ac:dyDescent="0.2">
      <c r="D1508">
        <v>100000907</v>
      </c>
      <c r="E1508" s="49">
        <v>45616</v>
      </c>
      <c r="F1508" t="s">
        <v>2798</v>
      </c>
      <c r="G1508" t="s">
        <v>1675</v>
      </c>
      <c r="H1508">
        <v>9</v>
      </c>
      <c r="I1508">
        <v>62.71</v>
      </c>
      <c r="J1508" s="50">
        <v>564.39</v>
      </c>
      <c r="K1508" t="s">
        <v>1618</v>
      </c>
      <c r="M1508" t="s">
        <v>1624</v>
      </c>
      <c r="N1508">
        <v>33.1</v>
      </c>
      <c r="O1508" s="49">
        <v>45619</v>
      </c>
      <c r="P1508" s="50">
        <v>253.97550000000001</v>
      </c>
    </row>
    <row r="1509" spans="4:16" x14ac:dyDescent="0.2">
      <c r="D1509">
        <v>100000908</v>
      </c>
      <c r="E1509" s="49">
        <v>44687</v>
      </c>
      <c r="F1509" t="s">
        <v>2799</v>
      </c>
      <c r="G1509" t="s">
        <v>2745</v>
      </c>
      <c r="H1509">
        <v>7</v>
      </c>
      <c r="I1509">
        <v>119.2</v>
      </c>
      <c r="J1509" s="50">
        <v>834.4</v>
      </c>
      <c r="K1509" t="s">
        <v>1618</v>
      </c>
      <c r="M1509" t="s">
        <v>1619</v>
      </c>
      <c r="N1509">
        <v>62.91</v>
      </c>
      <c r="O1509" s="49">
        <v>44691</v>
      </c>
      <c r="P1509" s="50">
        <v>375.48</v>
      </c>
    </row>
    <row r="1510" spans="4:16" x14ac:dyDescent="0.2">
      <c r="D1510">
        <v>100000908</v>
      </c>
      <c r="E1510" s="49">
        <v>44408</v>
      </c>
      <c r="F1510" t="s">
        <v>2799</v>
      </c>
      <c r="G1510" t="s">
        <v>2096</v>
      </c>
      <c r="H1510">
        <v>2</v>
      </c>
      <c r="I1510">
        <v>38.54</v>
      </c>
      <c r="J1510" s="50">
        <v>77.08</v>
      </c>
      <c r="K1510" t="s">
        <v>1618</v>
      </c>
      <c r="M1510" t="s">
        <v>1624</v>
      </c>
      <c r="N1510">
        <v>20.34</v>
      </c>
      <c r="O1510" s="49">
        <v>44413</v>
      </c>
      <c r="P1510" s="50">
        <v>34.686</v>
      </c>
    </row>
    <row r="1511" spans="4:16" x14ac:dyDescent="0.2">
      <c r="D1511">
        <v>100000908</v>
      </c>
      <c r="E1511" s="49">
        <v>45327</v>
      </c>
      <c r="F1511" t="s">
        <v>2799</v>
      </c>
      <c r="G1511" t="s">
        <v>1807</v>
      </c>
      <c r="H1511">
        <v>2</v>
      </c>
      <c r="I1511">
        <v>36.71</v>
      </c>
      <c r="J1511" s="50">
        <v>73.42</v>
      </c>
      <c r="K1511" t="s">
        <v>1618</v>
      </c>
      <c r="M1511" t="s">
        <v>1629</v>
      </c>
      <c r="N1511">
        <v>19.37</v>
      </c>
      <c r="O1511" s="49">
        <v>45329</v>
      </c>
      <c r="P1511" s="50">
        <v>33.039000000000001</v>
      </c>
    </row>
    <row r="1512" spans="4:16" x14ac:dyDescent="0.2">
      <c r="D1512">
        <v>100000908</v>
      </c>
      <c r="E1512" s="49">
        <v>44843</v>
      </c>
      <c r="F1512" t="s">
        <v>2799</v>
      </c>
      <c r="G1512" t="s">
        <v>1944</v>
      </c>
      <c r="H1512">
        <v>4</v>
      </c>
      <c r="I1512">
        <v>85.81</v>
      </c>
      <c r="J1512" s="50">
        <v>343.24</v>
      </c>
      <c r="K1512" t="s">
        <v>1618</v>
      </c>
      <c r="M1512" t="s">
        <v>1619</v>
      </c>
      <c r="N1512">
        <v>45.29</v>
      </c>
      <c r="O1512" s="49">
        <v>44844</v>
      </c>
      <c r="P1512" s="50">
        <v>154.458</v>
      </c>
    </row>
    <row r="1513" spans="4:16" x14ac:dyDescent="0.2">
      <c r="D1513">
        <v>100000909</v>
      </c>
      <c r="E1513" s="49">
        <v>44522</v>
      </c>
      <c r="F1513" t="s">
        <v>2800</v>
      </c>
      <c r="G1513" t="s">
        <v>1827</v>
      </c>
      <c r="H1513">
        <v>1</v>
      </c>
      <c r="I1513">
        <v>50.04</v>
      </c>
      <c r="J1513" s="50">
        <v>50.04</v>
      </c>
      <c r="K1513" t="s">
        <v>1618</v>
      </c>
      <c r="M1513" t="s">
        <v>1627</v>
      </c>
      <c r="N1513">
        <v>26.41</v>
      </c>
      <c r="O1513" s="49">
        <v>44526</v>
      </c>
      <c r="P1513" s="50">
        <v>22.518000000000001</v>
      </c>
    </row>
    <row r="1514" spans="4:16" x14ac:dyDescent="0.2">
      <c r="D1514">
        <v>100000909</v>
      </c>
      <c r="E1514" s="49">
        <v>44862</v>
      </c>
      <c r="F1514" t="s">
        <v>2800</v>
      </c>
      <c r="G1514" t="s">
        <v>2025</v>
      </c>
      <c r="H1514">
        <v>8</v>
      </c>
      <c r="I1514">
        <v>41.76</v>
      </c>
      <c r="J1514" s="50">
        <v>334.08</v>
      </c>
      <c r="K1514" t="s">
        <v>1618</v>
      </c>
      <c r="M1514" t="s">
        <v>1627</v>
      </c>
      <c r="N1514">
        <v>22.04</v>
      </c>
      <c r="O1514" s="49">
        <v>44866</v>
      </c>
      <c r="P1514" s="50">
        <v>150.33599999999998</v>
      </c>
    </row>
    <row r="1515" spans="4:16" x14ac:dyDescent="0.2">
      <c r="D1515">
        <v>100000910</v>
      </c>
      <c r="E1515" s="49">
        <v>44288</v>
      </c>
      <c r="F1515" t="s">
        <v>2801</v>
      </c>
      <c r="G1515" t="s">
        <v>2121</v>
      </c>
      <c r="H1515">
        <v>1</v>
      </c>
      <c r="I1515">
        <v>108.67</v>
      </c>
      <c r="J1515" s="50">
        <v>108.67</v>
      </c>
      <c r="K1515" t="s">
        <v>1618</v>
      </c>
      <c r="M1515" t="s">
        <v>1619</v>
      </c>
      <c r="N1515">
        <v>57.35</v>
      </c>
      <c r="O1515" s="49">
        <v>44291</v>
      </c>
      <c r="P1515" s="50">
        <v>48.901499999999999</v>
      </c>
    </row>
    <row r="1516" spans="4:16" x14ac:dyDescent="0.2">
      <c r="D1516">
        <v>100000910</v>
      </c>
      <c r="E1516" s="49">
        <v>45571</v>
      </c>
      <c r="F1516" t="s">
        <v>2801</v>
      </c>
      <c r="G1516" t="s">
        <v>2132</v>
      </c>
      <c r="H1516">
        <v>2</v>
      </c>
      <c r="I1516">
        <v>30.53</v>
      </c>
      <c r="J1516" s="50">
        <v>61.06</v>
      </c>
      <c r="K1516" t="s">
        <v>1618</v>
      </c>
      <c r="M1516" t="s">
        <v>1621</v>
      </c>
      <c r="N1516">
        <v>16.11</v>
      </c>
      <c r="O1516" s="49">
        <v>45573</v>
      </c>
      <c r="P1516" s="50">
        <v>27.477</v>
      </c>
    </row>
    <row r="1517" spans="4:16" x14ac:dyDescent="0.2">
      <c r="D1517">
        <v>100000910</v>
      </c>
      <c r="E1517" s="49">
        <v>45561</v>
      </c>
      <c r="F1517" t="s">
        <v>2801</v>
      </c>
      <c r="G1517" t="s">
        <v>1815</v>
      </c>
      <c r="H1517">
        <v>9</v>
      </c>
      <c r="I1517">
        <v>35.74</v>
      </c>
      <c r="J1517" s="50">
        <v>321.66000000000003</v>
      </c>
      <c r="K1517" t="s">
        <v>1618</v>
      </c>
      <c r="M1517" t="s">
        <v>1627</v>
      </c>
      <c r="N1517">
        <v>18.86</v>
      </c>
      <c r="O1517" s="49">
        <v>45566</v>
      </c>
      <c r="P1517" s="50">
        <v>144.74700000000001</v>
      </c>
    </row>
    <row r="1518" spans="4:16" x14ac:dyDescent="0.2">
      <c r="D1518">
        <v>100000910</v>
      </c>
      <c r="E1518" s="49">
        <v>45467</v>
      </c>
      <c r="F1518" t="s">
        <v>2801</v>
      </c>
      <c r="G1518" t="s">
        <v>1768</v>
      </c>
      <c r="H1518">
        <v>5</v>
      </c>
      <c r="I1518">
        <v>101.46</v>
      </c>
      <c r="J1518" s="50">
        <v>507.3</v>
      </c>
      <c r="K1518" t="s">
        <v>1618</v>
      </c>
      <c r="M1518" t="s">
        <v>1619</v>
      </c>
      <c r="N1518">
        <v>53.55</v>
      </c>
      <c r="O1518" s="49">
        <v>45472</v>
      </c>
      <c r="P1518" s="50">
        <v>228.285</v>
      </c>
    </row>
    <row r="1519" spans="4:16" x14ac:dyDescent="0.2">
      <c r="D1519">
        <v>100000912</v>
      </c>
      <c r="E1519" s="49">
        <v>44316</v>
      </c>
      <c r="F1519" t="s">
        <v>2802</v>
      </c>
      <c r="G1519" t="s">
        <v>1958</v>
      </c>
      <c r="H1519">
        <v>6</v>
      </c>
      <c r="I1519">
        <v>59.5</v>
      </c>
      <c r="J1519" s="50">
        <v>357</v>
      </c>
      <c r="K1519" t="s">
        <v>1632</v>
      </c>
      <c r="M1519" t="s">
        <v>1619</v>
      </c>
      <c r="N1519">
        <v>31.4</v>
      </c>
      <c r="O1519" s="49">
        <v>44317</v>
      </c>
      <c r="P1519" s="50">
        <v>160.65</v>
      </c>
    </row>
    <row r="1520" spans="4:16" x14ac:dyDescent="0.2">
      <c r="D1520">
        <v>100000912</v>
      </c>
      <c r="E1520" s="49">
        <v>45176</v>
      </c>
      <c r="F1520" t="s">
        <v>2802</v>
      </c>
      <c r="G1520" t="s">
        <v>1752</v>
      </c>
      <c r="H1520">
        <v>9</v>
      </c>
      <c r="I1520">
        <v>81.98</v>
      </c>
      <c r="J1520" s="50">
        <v>737.82</v>
      </c>
      <c r="K1520" t="s">
        <v>1632</v>
      </c>
      <c r="M1520" t="s">
        <v>1619</v>
      </c>
      <c r="N1520">
        <v>43.27</v>
      </c>
      <c r="O1520" s="49">
        <v>45179</v>
      </c>
      <c r="P1520" s="50">
        <v>332.01900000000001</v>
      </c>
    </row>
    <row r="1521" spans="4:16" x14ac:dyDescent="0.2">
      <c r="D1521">
        <v>100000912</v>
      </c>
      <c r="E1521" s="49">
        <v>44508</v>
      </c>
      <c r="F1521" t="s">
        <v>2802</v>
      </c>
      <c r="G1521" t="s">
        <v>1877</v>
      </c>
      <c r="H1521">
        <v>3</v>
      </c>
      <c r="I1521">
        <v>115.4</v>
      </c>
      <c r="J1521" s="50">
        <v>346.2</v>
      </c>
      <c r="K1521" t="s">
        <v>1632</v>
      </c>
      <c r="M1521" t="s">
        <v>1621</v>
      </c>
      <c r="N1521">
        <v>60.91</v>
      </c>
      <c r="O1521" s="49">
        <v>44509</v>
      </c>
      <c r="P1521" s="50">
        <v>155.79</v>
      </c>
    </row>
    <row r="1522" spans="4:16" x14ac:dyDescent="0.2">
      <c r="D1522">
        <v>100000912</v>
      </c>
      <c r="E1522" s="49">
        <v>44614</v>
      </c>
      <c r="F1522" t="s">
        <v>2802</v>
      </c>
      <c r="G1522" t="s">
        <v>2745</v>
      </c>
      <c r="H1522">
        <v>5</v>
      </c>
      <c r="I1522">
        <v>110.84</v>
      </c>
      <c r="J1522" s="50">
        <v>554.20000000000005</v>
      </c>
      <c r="K1522" t="s">
        <v>1632</v>
      </c>
      <c r="M1522" t="s">
        <v>1619</v>
      </c>
      <c r="N1522">
        <v>58.5</v>
      </c>
      <c r="O1522" s="49">
        <v>44616</v>
      </c>
      <c r="P1522" s="50">
        <v>249.39000000000001</v>
      </c>
    </row>
    <row r="1523" spans="4:16" x14ac:dyDescent="0.2">
      <c r="D1523">
        <v>100000912</v>
      </c>
      <c r="E1523" s="49">
        <v>45178</v>
      </c>
      <c r="F1523" t="s">
        <v>2802</v>
      </c>
      <c r="G1523" t="s">
        <v>2158</v>
      </c>
      <c r="H1523">
        <v>10</v>
      </c>
      <c r="I1523">
        <v>109.23</v>
      </c>
      <c r="J1523" s="50">
        <v>1092.3</v>
      </c>
      <c r="K1523" t="s">
        <v>1632</v>
      </c>
      <c r="M1523" t="s">
        <v>1629</v>
      </c>
      <c r="N1523">
        <v>57.65</v>
      </c>
      <c r="O1523" s="49">
        <v>45182</v>
      </c>
      <c r="P1523" s="50">
        <v>491.53499999999997</v>
      </c>
    </row>
    <row r="1524" spans="4:16" x14ac:dyDescent="0.2">
      <c r="D1524">
        <v>100000913</v>
      </c>
      <c r="E1524" s="49">
        <v>44534</v>
      </c>
      <c r="F1524" t="s">
        <v>2803</v>
      </c>
      <c r="G1524" t="s">
        <v>1699</v>
      </c>
      <c r="H1524">
        <v>7</v>
      </c>
      <c r="I1524">
        <v>93</v>
      </c>
      <c r="J1524" s="50">
        <v>651</v>
      </c>
      <c r="K1524" t="s">
        <v>1618</v>
      </c>
      <c r="L1524" t="s">
        <v>2804</v>
      </c>
      <c r="M1524" t="s">
        <v>1627</v>
      </c>
      <c r="N1524">
        <v>49.08</v>
      </c>
      <c r="O1524" s="49">
        <v>44536</v>
      </c>
      <c r="P1524" s="50">
        <v>292.95</v>
      </c>
    </row>
    <row r="1525" spans="4:16" x14ac:dyDescent="0.2">
      <c r="D1525">
        <v>100000913</v>
      </c>
      <c r="E1525" s="49">
        <v>44232</v>
      </c>
      <c r="F1525" t="s">
        <v>2803</v>
      </c>
      <c r="G1525" t="s">
        <v>2628</v>
      </c>
      <c r="H1525">
        <v>4</v>
      </c>
      <c r="I1525">
        <v>19.170000000000002</v>
      </c>
      <c r="J1525" s="50">
        <v>76.680000000000007</v>
      </c>
      <c r="K1525" t="s">
        <v>1618</v>
      </c>
      <c r="L1525" t="s">
        <v>2804</v>
      </c>
      <c r="M1525" t="s">
        <v>1627</v>
      </c>
      <c r="N1525">
        <v>10.119999999999999</v>
      </c>
      <c r="O1525" s="49">
        <v>44237</v>
      </c>
      <c r="P1525" s="50">
        <v>34.506000000000007</v>
      </c>
    </row>
    <row r="1526" spans="4:16" x14ac:dyDescent="0.2">
      <c r="D1526">
        <v>100000913</v>
      </c>
      <c r="E1526" s="49">
        <v>45378</v>
      </c>
      <c r="F1526" t="s">
        <v>2803</v>
      </c>
      <c r="G1526" t="s">
        <v>1904</v>
      </c>
      <c r="H1526">
        <v>1</v>
      </c>
      <c r="I1526">
        <v>68.55</v>
      </c>
      <c r="J1526" s="50">
        <v>68.55</v>
      </c>
      <c r="K1526" t="s">
        <v>1618</v>
      </c>
      <c r="L1526" t="s">
        <v>2804</v>
      </c>
      <c r="M1526" t="s">
        <v>1624</v>
      </c>
      <c r="N1526">
        <v>36.18</v>
      </c>
      <c r="O1526" s="49">
        <v>45382</v>
      </c>
      <c r="P1526" s="50">
        <v>30.8475</v>
      </c>
    </row>
    <row r="1527" spans="4:16" x14ac:dyDescent="0.2">
      <c r="D1527">
        <v>100000915</v>
      </c>
      <c r="E1527" s="49">
        <v>44532</v>
      </c>
      <c r="F1527" t="s">
        <v>2805</v>
      </c>
      <c r="G1527" t="s">
        <v>1671</v>
      </c>
      <c r="H1527">
        <v>4</v>
      </c>
      <c r="I1527">
        <v>43.05</v>
      </c>
      <c r="J1527" s="50">
        <v>172.2</v>
      </c>
      <c r="K1527" t="s">
        <v>1618</v>
      </c>
      <c r="M1527" t="s">
        <v>1619</v>
      </c>
      <c r="N1527">
        <v>22.72</v>
      </c>
      <c r="O1527" s="49">
        <v>44537</v>
      </c>
      <c r="P1527" s="50">
        <v>77.489999999999995</v>
      </c>
    </row>
    <row r="1528" spans="4:16" x14ac:dyDescent="0.2">
      <c r="D1528">
        <v>100000916</v>
      </c>
      <c r="E1528" s="49">
        <v>44584</v>
      </c>
      <c r="F1528" t="s">
        <v>2806</v>
      </c>
      <c r="G1528" t="s">
        <v>2142</v>
      </c>
      <c r="H1528">
        <v>6</v>
      </c>
      <c r="I1528">
        <v>28.35</v>
      </c>
      <c r="J1528" s="50">
        <v>170.1</v>
      </c>
      <c r="K1528" t="s">
        <v>1632</v>
      </c>
      <c r="M1528" t="s">
        <v>1624</v>
      </c>
      <c r="N1528">
        <v>14.96</v>
      </c>
      <c r="O1528" s="49">
        <v>44585</v>
      </c>
      <c r="P1528" s="50">
        <v>76.545000000000002</v>
      </c>
    </row>
    <row r="1529" spans="4:16" x14ac:dyDescent="0.2">
      <c r="D1529">
        <v>100000917</v>
      </c>
      <c r="E1529" s="49">
        <v>44896</v>
      </c>
      <c r="F1529" t="s">
        <v>2807</v>
      </c>
      <c r="G1529" t="s">
        <v>1855</v>
      </c>
      <c r="H1529">
        <v>3</v>
      </c>
      <c r="I1529">
        <v>101.77</v>
      </c>
      <c r="J1529" s="50">
        <v>305.31</v>
      </c>
      <c r="K1529" t="s">
        <v>1632</v>
      </c>
      <c r="M1529" t="s">
        <v>1629</v>
      </c>
      <c r="N1529">
        <v>53.71</v>
      </c>
      <c r="O1529" s="49">
        <v>44900</v>
      </c>
      <c r="P1529" s="50">
        <v>137.3895</v>
      </c>
    </row>
    <row r="1530" spans="4:16" x14ac:dyDescent="0.2">
      <c r="D1530">
        <v>100000917</v>
      </c>
      <c r="E1530" s="49">
        <v>44506</v>
      </c>
      <c r="F1530" t="s">
        <v>2807</v>
      </c>
      <c r="G1530" t="s">
        <v>1737</v>
      </c>
      <c r="H1530">
        <v>1</v>
      </c>
      <c r="I1530">
        <v>86.53</v>
      </c>
      <c r="J1530" s="50">
        <v>86.53</v>
      </c>
      <c r="K1530" t="s">
        <v>1632</v>
      </c>
      <c r="M1530" t="s">
        <v>1621</v>
      </c>
      <c r="N1530">
        <v>45.67</v>
      </c>
      <c r="O1530" s="49">
        <v>44508</v>
      </c>
      <c r="P1530" s="50">
        <v>38.938500000000005</v>
      </c>
    </row>
    <row r="1531" spans="4:16" x14ac:dyDescent="0.2">
      <c r="D1531">
        <v>100000917</v>
      </c>
      <c r="E1531" s="49">
        <v>44973</v>
      </c>
      <c r="F1531" t="s">
        <v>2807</v>
      </c>
      <c r="G1531" t="s">
        <v>1823</v>
      </c>
      <c r="H1531">
        <v>8</v>
      </c>
      <c r="I1531">
        <v>52.93</v>
      </c>
      <c r="J1531" s="50">
        <v>423.44</v>
      </c>
      <c r="K1531" t="s">
        <v>1632</v>
      </c>
      <c r="M1531" t="s">
        <v>1621</v>
      </c>
      <c r="N1531">
        <v>27.94</v>
      </c>
      <c r="O1531" s="49">
        <v>44974</v>
      </c>
      <c r="P1531" s="50">
        <v>190.548</v>
      </c>
    </row>
    <row r="1532" spans="4:16" x14ac:dyDescent="0.2">
      <c r="D1532">
        <v>100000918</v>
      </c>
      <c r="E1532" s="49">
        <v>45035</v>
      </c>
      <c r="F1532" t="s">
        <v>2808</v>
      </c>
      <c r="G1532" t="s">
        <v>2074</v>
      </c>
      <c r="H1532">
        <v>1</v>
      </c>
      <c r="I1532">
        <v>22.43</v>
      </c>
      <c r="J1532" s="50">
        <v>22.43</v>
      </c>
      <c r="K1532" t="s">
        <v>1632</v>
      </c>
      <c r="M1532" t="s">
        <v>1619</v>
      </c>
      <c r="N1532">
        <v>11.84</v>
      </c>
      <c r="O1532" s="49">
        <v>45040</v>
      </c>
      <c r="P1532" s="50">
        <v>10.093500000000001</v>
      </c>
    </row>
    <row r="1533" spans="4:16" x14ac:dyDescent="0.2">
      <c r="D1533">
        <v>100000919</v>
      </c>
      <c r="E1533" s="49">
        <v>44563</v>
      </c>
      <c r="F1533" t="s">
        <v>2809</v>
      </c>
      <c r="G1533" t="s">
        <v>1967</v>
      </c>
      <c r="H1533">
        <v>6</v>
      </c>
      <c r="I1533">
        <v>108.73</v>
      </c>
      <c r="J1533" s="50">
        <v>652.38</v>
      </c>
      <c r="K1533" t="s">
        <v>1618</v>
      </c>
      <c r="M1533" t="s">
        <v>1629</v>
      </c>
      <c r="N1533">
        <v>57.38</v>
      </c>
      <c r="O1533" s="49">
        <v>44564</v>
      </c>
      <c r="P1533" s="50">
        <v>293.57100000000003</v>
      </c>
    </row>
    <row r="1534" spans="4:16" x14ac:dyDescent="0.2">
      <c r="D1534">
        <v>100000919</v>
      </c>
      <c r="E1534" s="49">
        <v>44535</v>
      </c>
      <c r="F1534" t="s">
        <v>2809</v>
      </c>
      <c r="G1534" t="s">
        <v>2346</v>
      </c>
      <c r="H1534">
        <v>8</v>
      </c>
      <c r="I1534">
        <v>19.07</v>
      </c>
      <c r="J1534" s="50">
        <v>152.56</v>
      </c>
      <c r="K1534" t="s">
        <v>1618</v>
      </c>
      <c r="M1534" t="s">
        <v>1627</v>
      </c>
      <c r="N1534">
        <v>10.06</v>
      </c>
      <c r="O1534" s="49">
        <v>44537</v>
      </c>
      <c r="P1534" s="50">
        <v>68.652000000000001</v>
      </c>
    </row>
    <row r="1535" spans="4:16" x14ac:dyDescent="0.2">
      <c r="D1535">
        <v>100000920</v>
      </c>
      <c r="E1535" s="49">
        <v>44885</v>
      </c>
      <c r="F1535" t="s">
        <v>2810</v>
      </c>
      <c r="G1535" t="s">
        <v>1975</v>
      </c>
      <c r="H1535">
        <v>1</v>
      </c>
      <c r="I1535">
        <v>62.94</v>
      </c>
      <c r="J1535" s="50">
        <v>62.94</v>
      </c>
      <c r="K1535" t="s">
        <v>1618</v>
      </c>
      <c r="M1535" t="s">
        <v>1629</v>
      </c>
      <c r="N1535">
        <v>33.22</v>
      </c>
      <c r="O1535" s="49">
        <v>44889</v>
      </c>
      <c r="P1535" s="50">
        <v>28.323</v>
      </c>
    </row>
    <row r="1536" spans="4:16" x14ac:dyDescent="0.2">
      <c r="D1536">
        <v>100000920</v>
      </c>
      <c r="E1536" s="49">
        <v>44736</v>
      </c>
      <c r="F1536" t="s">
        <v>2810</v>
      </c>
      <c r="G1536" t="s">
        <v>2132</v>
      </c>
      <c r="H1536">
        <v>6</v>
      </c>
      <c r="I1536">
        <v>43.44</v>
      </c>
      <c r="J1536" s="50">
        <v>260.64</v>
      </c>
      <c r="K1536" t="s">
        <v>1618</v>
      </c>
      <c r="M1536" t="s">
        <v>1619</v>
      </c>
      <c r="N1536">
        <v>22.93</v>
      </c>
      <c r="O1536" s="49">
        <v>44740</v>
      </c>
      <c r="P1536" s="50">
        <v>117.288</v>
      </c>
    </row>
    <row r="1537" spans="4:16" x14ac:dyDescent="0.2">
      <c r="D1537">
        <v>100000920</v>
      </c>
      <c r="E1537" s="49">
        <v>44732</v>
      </c>
      <c r="F1537" t="s">
        <v>2810</v>
      </c>
      <c r="G1537" t="s">
        <v>1724</v>
      </c>
      <c r="H1537">
        <v>2</v>
      </c>
      <c r="I1537">
        <v>33.49</v>
      </c>
      <c r="J1537" s="50">
        <v>66.98</v>
      </c>
      <c r="K1537" t="s">
        <v>1618</v>
      </c>
      <c r="M1537" t="s">
        <v>1629</v>
      </c>
      <c r="N1537">
        <v>17.68</v>
      </c>
      <c r="O1537" s="49">
        <v>44733</v>
      </c>
      <c r="P1537" s="50">
        <v>30.141000000000002</v>
      </c>
    </row>
    <row r="1538" spans="4:16" x14ac:dyDescent="0.2">
      <c r="D1538">
        <v>100000921</v>
      </c>
      <c r="E1538" s="49">
        <v>45024</v>
      </c>
      <c r="F1538" t="s">
        <v>2811</v>
      </c>
      <c r="G1538" t="s">
        <v>2142</v>
      </c>
      <c r="H1538">
        <v>2</v>
      </c>
      <c r="I1538">
        <v>93.82</v>
      </c>
      <c r="J1538" s="50">
        <v>187.64</v>
      </c>
      <c r="K1538" t="s">
        <v>1618</v>
      </c>
      <c r="M1538" t="s">
        <v>1629</v>
      </c>
      <c r="N1538">
        <v>49.52</v>
      </c>
      <c r="O1538" s="49">
        <v>45028</v>
      </c>
      <c r="P1538" s="50">
        <v>84.438000000000002</v>
      </c>
    </row>
    <row r="1539" spans="4:16" x14ac:dyDescent="0.2">
      <c r="D1539">
        <v>100000922</v>
      </c>
      <c r="E1539" s="49">
        <v>44483</v>
      </c>
      <c r="F1539" t="s">
        <v>2812</v>
      </c>
      <c r="G1539" t="s">
        <v>1910</v>
      </c>
      <c r="H1539">
        <v>7</v>
      </c>
      <c r="I1539">
        <v>117.27</v>
      </c>
      <c r="J1539" s="50">
        <v>820.89</v>
      </c>
      <c r="K1539" t="s">
        <v>1618</v>
      </c>
      <c r="M1539" t="s">
        <v>1629</v>
      </c>
      <c r="N1539">
        <v>61.89</v>
      </c>
      <c r="O1539" s="49">
        <v>44485</v>
      </c>
      <c r="P1539" s="50">
        <v>369.40050000000002</v>
      </c>
    </row>
    <row r="1540" spans="4:16" x14ac:dyDescent="0.2">
      <c r="D1540">
        <v>100000923</v>
      </c>
      <c r="E1540" s="49">
        <v>44234</v>
      </c>
      <c r="F1540" t="s">
        <v>2813</v>
      </c>
      <c r="G1540" t="s">
        <v>2158</v>
      </c>
      <c r="H1540">
        <v>3</v>
      </c>
      <c r="I1540">
        <v>58.87</v>
      </c>
      <c r="J1540" s="50">
        <v>176.61</v>
      </c>
      <c r="K1540" t="s">
        <v>1618</v>
      </c>
      <c r="M1540" t="s">
        <v>1629</v>
      </c>
      <c r="N1540">
        <v>31.07</v>
      </c>
      <c r="O1540" s="49">
        <v>44235</v>
      </c>
      <c r="P1540" s="50">
        <v>79.474500000000006</v>
      </c>
    </row>
    <row r="1541" spans="4:16" x14ac:dyDescent="0.2">
      <c r="D1541">
        <v>100000923</v>
      </c>
      <c r="E1541" s="49">
        <v>45202</v>
      </c>
      <c r="F1541" t="s">
        <v>2813</v>
      </c>
      <c r="G1541" t="s">
        <v>1897</v>
      </c>
      <c r="H1541">
        <v>7</v>
      </c>
      <c r="I1541">
        <v>37.57</v>
      </c>
      <c r="J1541" s="50">
        <v>262.99</v>
      </c>
      <c r="K1541" t="s">
        <v>1618</v>
      </c>
      <c r="M1541" t="s">
        <v>1627</v>
      </c>
      <c r="N1541">
        <v>19.829999999999998</v>
      </c>
      <c r="O1541" s="49">
        <v>45205</v>
      </c>
      <c r="P1541" s="50">
        <v>118.3455</v>
      </c>
    </row>
    <row r="1542" spans="4:16" x14ac:dyDescent="0.2">
      <c r="D1542">
        <v>100000923</v>
      </c>
      <c r="E1542" s="49">
        <v>45487</v>
      </c>
      <c r="F1542" t="s">
        <v>2813</v>
      </c>
      <c r="G1542" t="s">
        <v>2378</v>
      </c>
      <c r="H1542">
        <v>6</v>
      </c>
      <c r="I1542">
        <v>56.76</v>
      </c>
      <c r="J1542" s="50">
        <v>340.56</v>
      </c>
      <c r="K1542" t="s">
        <v>1618</v>
      </c>
      <c r="M1542" t="s">
        <v>1624</v>
      </c>
      <c r="N1542">
        <v>29.96</v>
      </c>
      <c r="O1542" s="49">
        <v>45488</v>
      </c>
      <c r="P1542" s="50">
        <v>153.25200000000001</v>
      </c>
    </row>
    <row r="1543" spans="4:16" x14ac:dyDescent="0.2">
      <c r="D1543">
        <v>100000926</v>
      </c>
      <c r="E1543" s="49">
        <v>44958</v>
      </c>
      <c r="F1543" t="s">
        <v>2814</v>
      </c>
      <c r="G1543" t="s">
        <v>2024</v>
      </c>
      <c r="H1543">
        <v>5</v>
      </c>
      <c r="I1543">
        <v>24.99</v>
      </c>
      <c r="J1543" s="50">
        <v>124.95</v>
      </c>
      <c r="K1543" t="s">
        <v>1632</v>
      </c>
      <c r="L1543" t="s">
        <v>2815</v>
      </c>
      <c r="M1543" t="s">
        <v>1624</v>
      </c>
      <c r="N1543">
        <v>13.19</v>
      </c>
      <c r="O1543" s="49">
        <v>44963</v>
      </c>
      <c r="P1543" s="50">
        <v>56.227499999999999</v>
      </c>
    </row>
    <row r="1544" spans="4:16" x14ac:dyDescent="0.2">
      <c r="D1544">
        <v>100000926</v>
      </c>
      <c r="E1544" s="49">
        <v>44693</v>
      </c>
      <c r="F1544" t="s">
        <v>2814</v>
      </c>
      <c r="G1544" t="s">
        <v>1634</v>
      </c>
      <c r="H1544">
        <v>4</v>
      </c>
      <c r="I1544">
        <v>91.15</v>
      </c>
      <c r="J1544" s="50">
        <v>364.6</v>
      </c>
      <c r="K1544" t="s">
        <v>1632</v>
      </c>
      <c r="L1544" t="s">
        <v>2815</v>
      </c>
      <c r="M1544" t="s">
        <v>1629</v>
      </c>
      <c r="N1544">
        <v>48.11</v>
      </c>
      <c r="O1544" s="49">
        <v>44697</v>
      </c>
      <c r="P1544" s="50">
        <v>164.07000000000002</v>
      </c>
    </row>
    <row r="1545" spans="4:16" x14ac:dyDescent="0.2">
      <c r="D1545">
        <v>100000928</v>
      </c>
      <c r="E1545" s="49">
        <v>45146</v>
      </c>
      <c r="F1545" t="s">
        <v>2816</v>
      </c>
      <c r="G1545" t="s">
        <v>1795</v>
      </c>
      <c r="H1545">
        <v>1</v>
      </c>
      <c r="I1545">
        <v>91.86</v>
      </c>
      <c r="J1545" s="50">
        <v>91.86</v>
      </c>
      <c r="K1545" t="s">
        <v>1632</v>
      </c>
      <c r="M1545" t="s">
        <v>1629</v>
      </c>
      <c r="N1545">
        <v>48.48</v>
      </c>
      <c r="O1545" s="49">
        <v>45151</v>
      </c>
      <c r="P1545" s="50">
        <v>41.337000000000003</v>
      </c>
    </row>
    <row r="1546" spans="4:16" x14ac:dyDescent="0.2">
      <c r="D1546">
        <v>100000928</v>
      </c>
      <c r="E1546" s="49">
        <v>44923</v>
      </c>
      <c r="F1546" t="s">
        <v>2816</v>
      </c>
      <c r="G1546" t="s">
        <v>1969</v>
      </c>
      <c r="H1546">
        <v>6</v>
      </c>
      <c r="I1546">
        <v>18.190000000000001</v>
      </c>
      <c r="J1546" s="50">
        <v>109.14</v>
      </c>
      <c r="K1546" t="s">
        <v>1632</v>
      </c>
      <c r="M1546" t="s">
        <v>1627</v>
      </c>
      <c r="N1546">
        <v>9.6</v>
      </c>
      <c r="O1546" s="49">
        <v>44927</v>
      </c>
      <c r="P1546" s="50">
        <v>49.113</v>
      </c>
    </row>
    <row r="1547" spans="4:16" x14ac:dyDescent="0.2">
      <c r="D1547">
        <v>100000929</v>
      </c>
      <c r="E1547" s="49">
        <v>44483</v>
      </c>
      <c r="F1547" t="s">
        <v>2817</v>
      </c>
      <c r="G1547" t="s">
        <v>2042</v>
      </c>
      <c r="H1547">
        <v>3</v>
      </c>
      <c r="I1547">
        <v>94.34</v>
      </c>
      <c r="J1547" s="50">
        <v>283.02</v>
      </c>
      <c r="K1547" t="s">
        <v>1632</v>
      </c>
      <c r="L1547" t="s">
        <v>2494</v>
      </c>
      <c r="M1547" t="s">
        <v>1629</v>
      </c>
      <c r="N1547">
        <v>49.79</v>
      </c>
      <c r="O1547" s="49">
        <v>44488</v>
      </c>
      <c r="P1547" s="50">
        <v>127.35899999999999</v>
      </c>
    </row>
    <row r="1548" spans="4:16" x14ac:dyDescent="0.2">
      <c r="D1548">
        <v>100000929</v>
      </c>
      <c r="E1548" s="49">
        <v>45406</v>
      </c>
      <c r="F1548" t="s">
        <v>2817</v>
      </c>
      <c r="G1548" t="s">
        <v>1882</v>
      </c>
      <c r="H1548">
        <v>4</v>
      </c>
      <c r="I1548">
        <v>79.349999999999994</v>
      </c>
      <c r="J1548" s="50">
        <v>317.39999999999998</v>
      </c>
      <c r="K1548" t="s">
        <v>1632</v>
      </c>
      <c r="L1548" t="s">
        <v>2494</v>
      </c>
      <c r="M1548" t="s">
        <v>1619</v>
      </c>
      <c r="N1548">
        <v>41.88</v>
      </c>
      <c r="O1548" s="49">
        <v>45408</v>
      </c>
      <c r="P1548" s="50">
        <v>142.82999999999998</v>
      </c>
    </row>
    <row r="1549" spans="4:16" x14ac:dyDescent="0.2">
      <c r="D1549">
        <v>100000929</v>
      </c>
      <c r="E1549" s="49">
        <v>45392</v>
      </c>
      <c r="F1549" t="s">
        <v>2817</v>
      </c>
      <c r="G1549" t="s">
        <v>2174</v>
      </c>
      <c r="H1549">
        <v>2</v>
      </c>
      <c r="I1549">
        <v>77.97</v>
      </c>
      <c r="J1549" s="50">
        <v>155.94</v>
      </c>
      <c r="K1549" t="s">
        <v>1632</v>
      </c>
      <c r="L1549" t="s">
        <v>2494</v>
      </c>
      <c r="M1549" t="s">
        <v>1627</v>
      </c>
      <c r="N1549">
        <v>41.15</v>
      </c>
      <c r="O1549" s="49">
        <v>45396</v>
      </c>
      <c r="P1549" s="50">
        <v>70.173000000000002</v>
      </c>
    </row>
    <row r="1550" spans="4:16" x14ac:dyDescent="0.2">
      <c r="D1550">
        <v>100000929</v>
      </c>
      <c r="E1550" s="49">
        <v>44520</v>
      </c>
      <c r="F1550" t="s">
        <v>2817</v>
      </c>
      <c r="G1550" t="s">
        <v>2076</v>
      </c>
      <c r="H1550">
        <v>8</v>
      </c>
      <c r="I1550">
        <v>57.43</v>
      </c>
      <c r="J1550" s="50">
        <v>459.44</v>
      </c>
      <c r="K1550" t="s">
        <v>1632</v>
      </c>
      <c r="L1550" t="s">
        <v>2494</v>
      </c>
      <c r="M1550" t="s">
        <v>1627</v>
      </c>
      <c r="N1550">
        <v>30.31</v>
      </c>
      <c r="O1550" s="49">
        <v>44521</v>
      </c>
      <c r="P1550" s="50">
        <v>206.74799999999999</v>
      </c>
    </row>
    <row r="1551" spans="4:16" x14ac:dyDescent="0.2">
      <c r="D1551">
        <v>100000930</v>
      </c>
      <c r="E1551" s="49">
        <v>45521</v>
      </c>
      <c r="F1551" t="s">
        <v>2818</v>
      </c>
      <c r="G1551" t="s">
        <v>1628</v>
      </c>
      <c r="H1551">
        <v>7</v>
      </c>
      <c r="I1551">
        <v>55.7</v>
      </c>
      <c r="J1551" s="50">
        <v>389.9</v>
      </c>
      <c r="K1551" t="s">
        <v>1618</v>
      </c>
      <c r="M1551" t="s">
        <v>1629</v>
      </c>
      <c r="N1551">
        <v>29.4</v>
      </c>
      <c r="O1551" s="49">
        <v>45523</v>
      </c>
      <c r="P1551" s="50">
        <v>175.45499999999998</v>
      </c>
    </row>
    <row r="1552" spans="4:16" x14ac:dyDescent="0.2">
      <c r="D1552">
        <v>100000931</v>
      </c>
      <c r="E1552" s="49">
        <v>45069</v>
      </c>
      <c r="F1552" t="s">
        <v>2819</v>
      </c>
      <c r="G1552" t="s">
        <v>1655</v>
      </c>
      <c r="H1552">
        <v>4</v>
      </c>
      <c r="I1552">
        <v>108.37</v>
      </c>
      <c r="J1552" s="50">
        <v>433.48</v>
      </c>
      <c r="K1552" t="s">
        <v>1632</v>
      </c>
      <c r="M1552" t="s">
        <v>1621</v>
      </c>
      <c r="N1552">
        <v>57.19</v>
      </c>
      <c r="O1552" s="49">
        <v>45072</v>
      </c>
      <c r="P1552" s="50">
        <v>195.066</v>
      </c>
    </row>
    <row r="1553" spans="4:16" x14ac:dyDescent="0.2">
      <c r="D1553">
        <v>100000931</v>
      </c>
      <c r="E1553" s="49">
        <v>45026</v>
      </c>
      <c r="F1553" t="s">
        <v>2819</v>
      </c>
      <c r="G1553" t="s">
        <v>1851</v>
      </c>
      <c r="H1553">
        <v>2</v>
      </c>
      <c r="I1553">
        <v>17.34</v>
      </c>
      <c r="J1553" s="50">
        <v>34.68</v>
      </c>
      <c r="K1553" t="s">
        <v>1632</v>
      </c>
      <c r="M1553" t="s">
        <v>1627</v>
      </c>
      <c r="N1553">
        <v>9.15</v>
      </c>
      <c r="O1553" s="49">
        <v>45030</v>
      </c>
      <c r="P1553" s="50">
        <v>15.606</v>
      </c>
    </row>
    <row r="1554" spans="4:16" x14ac:dyDescent="0.2">
      <c r="D1554">
        <v>100000932</v>
      </c>
      <c r="E1554" s="49">
        <v>45269</v>
      </c>
      <c r="F1554" t="s">
        <v>2820</v>
      </c>
      <c r="G1554" t="s">
        <v>2024</v>
      </c>
      <c r="H1554">
        <v>5</v>
      </c>
      <c r="I1554">
        <v>89.2</v>
      </c>
      <c r="J1554" s="50">
        <v>446</v>
      </c>
      <c r="K1554" t="s">
        <v>1632</v>
      </c>
      <c r="M1554" t="s">
        <v>1627</v>
      </c>
      <c r="N1554">
        <v>47.08</v>
      </c>
      <c r="O1554" s="49">
        <v>45270</v>
      </c>
      <c r="P1554" s="50">
        <v>200.70000000000002</v>
      </c>
    </row>
    <row r="1555" spans="4:16" x14ac:dyDescent="0.2">
      <c r="D1555">
        <v>100000933</v>
      </c>
      <c r="E1555" s="49">
        <v>44778</v>
      </c>
      <c r="F1555" t="s">
        <v>2821</v>
      </c>
      <c r="G1555" t="s">
        <v>2191</v>
      </c>
      <c r="H1555">
        <v>8</v>
      </c>
      <c r="I1555">
        <v>113.94</v>
      </c>
      <c r="J1555" s="50">
        <v>911.52</v>
      </c>
      <c r="K1555" t="s">
        <v>1618</v>
      </c>
      <c r="M1555" t="s">
        <v>1624</v>
      </c>
      <c r="N1555">
        <v>60.13</v>
      </c>
      <c r="O1555" s="49">
        <v>44779</v>
      </c>
      <c r="P1555" s="50">
        <v>410.18400000000003</v>
      </c>
    </row>
    <row r="1556" spans="4:16" x14ac:dyDescent="0.2">
      <c r="D1556">
        <v>100000934</v>
      </c>
      <c r="E1556" s="49">
        <v>45169</v>
      </c>
      <c r="F1556" t="s">
        <v>2822</v>
      </c>
      <c r="G1556" t="s">
        <v>1859</v>
      </c>
      <c r="H1556">
        <v>3</v>
      </c>
      <c r="I1556">
        <v>47.46</v>
      </c>
      <c r="J1556" s="50">
        <v>142.38</v>
      </c>
      <c r="K1556" t="s">
        <v>1632</v>
      </c>
      <c r="L1556" t="s">
        <v>2823</v>
      </c>
      <c r="M1556" t="s">
        <v>1629</v>
      </c>
      <c r="N1556">
        <v>25.05</v>
      </c>
      <c r="O1556" s="49">
        <v>45171</v>
      </c>
      <c r="P1556" s="50">
        <v>64.070999999999998</v>
      </c>
    </row>
    <row r="1557" spans="4:16" x14ac:dyDescent="0.2">
      <c r="D1557">
        <v>100000936</v>
      </c>
      <c r="E1557" s="49">
        <v>44667</v>
      </c>
      <c r="F1557" t="s">
        <v>2824</v>
      </c>
      <c r="G1557" t="s">
        <v>2574</v>
      </c>
      <c r="H1557">
        <v>7</v>
      </c>
      <c r="I1557">
        <v>68.28</v>
      </c>
      <c r="J1557" s="50">
        <v>477.96</v>
      </c>
      <c r="K1557" t="s">
        <v>1632</v>
      </c>
      <c r="M1557" t="s">
        <v>1627</v>
      </c>
      <c r="N1557">
        <v>36.04</v>
      </c>
      <c r="O1557" s="49">
        <v>44671</v>
      </c>
      <c r="P1557" s="50">
        <v>215.08199999999999</v>
      </c>
    </row>
    <row r="1558" spans="4:16" x14ac:dyDescent="0.2">
      <c r="D1558">
        <v>100000936</v>
      </c>
      <c r="E1558" s="49">
        <v>44926</v>
      </c>
      <c r="F1558" t="s">
        <v>2824</v>
      </c>
      <c r="G1558" t="s">
        <v>1766</v>
      </c>
      <c r="H1558">
        <v>8</v>
      </c>
      <c r="I1558">
        <v>84.39</v>
      </c>
      <c r="J1558" s="50">
        <v>675.12</v>
      </c>
      <c r="K1558" t="s">
        <v>1632</v>
      </c>
      <c r="M1558" t="s">
        <v>1624</v>
      </c>
      <c r="N1558">
        <v>44.54</v>
      </c>
      <c r="O1558" s="49">
        <v>44927</v>
      </c>
      <c r="P1558" s="50">
        <v>303.80400000000003</v>
      </c>
    </row>
    <row r="1559" spans="4:16" x14ac:dyDescent="0.2">
      <c r="D1559">
        <v>100000936</v>
      </c>
      <c r="E1559" s="49">
        <v>45227</v>
      </c>
      <c r="F1559" t="s">
        <v>2824</v>
      </c>
      <c r="G1559" t="s">
        <v>1877</v>
      </c>
      <c r="H1559">
        <v>9</v>
      </c>
      <c r="I1559">
        <v>110.64</v>
      </c>
      <c r="J1559" s="50">
        <v>995.76</v>
      </c>
      <c r="K1559" t="s">
        <v>1632</v>
      </c>
      <c r="M1559" t="s">
        <v>1627</v>
      </c>
      <c r="N1559">
        <v>58.39</v>
      </c>
      <c r="O1559" s="49">
        <v>45230</v>
      </c>
      <c r="P1559" s="50">
        <v>448.09199999999998</v>
      </c>
    </row>
    <row r="1560" spans="4:16" x14ac:dyDescent="0.2">
      <c r="D1560">
        <v>100000936</v>
      </c>
      <c r="E1560" s="49">
        <v>45386</v>
      </c>
      <c r="F1560" t="s">
        <v>2824</v>
      </c>
      <c r="G1560" t="s">
        <v>2078</v>
      </c>
      <c r="H1560">
        <v>2</v>
      </c>
      <c r="I1560">
        <v>31.34</v>
      </c>
      <c r="J1560" s="50">
        <v>62.68</v>
      </c>
      <c r="K1560" t="s">
        <v>1632</v>
      </c>
      <c r="M1560" t="s">
        <v>1621</v>
      </c>
      <c r="N1560">
        <v>16.54</v>
      </c>
      <c r="O1560" s="49">
        <v>45388</v>
      </c>
      <c r="P1560" s="50">
        <v>28.206</v>
      </c>
    </row>
    <row r="1561" spans="4:16" x14ac:dyDescent="0.2">
      <c r="D1561">
        <v>100000936</v>
      </c>
      <c r="E1561" s="49">
        <v>44274</v>
      </c>
      <c r="F1561" t="s">
        <v>2824</v>
      </c>
      <c r="G1561" t="s">
        <v>2017</v>
      </c>
      <c r="H1561">
        <v>4</v>
      </c>
      <c r="I1561">
        <v>18.579999999999998</v>
      </c>
      <c r="J1561" s="50">
        <v>74.319999999999993</v>
      </c>
      <c r="K1561" t="s">
        <v>1632</v>
      </c>
      <c r="M1561" t="s">
        <v>1624</v>
      </c>
      <c r="N1561">
        <v>9.81</v>
      </c>
      <c r="O1561" s="49">
        <v>44278</v>
      </c>
      <c r="P1561" s="50">
        <v>33.443999999999996</v>
      </c>
    </row>
    <row r="1562" spans="4:16" x14ac:dyDescent="0.2">
      <c r="D1562">
        <v>100000938</v>
      </c>
      <c r="E1562" s="49">
        <v>45626</v>
      </c>
      <c r="F1562" t="s">
        <v>2825</v>
      </c>
      <c r="G1562" t="s">
        <v>2302</v>
      </c>
      <c r="H1562">
        <v>3</v>
      </c>
      <c r="I1562">
        <v>94.49</v>
      </c>
      <c r="J1562" s="50">
        <v>283.47000000000003</v>
      </c>
      <c r="K1562" t="s">
        <v>1632</v>
      </c>
      <c r="L1562" t="s">
        <v>2826</v>
      </c>
      <c r="M1562" t="s">
        <v>1629</v>
      </c>
      <c r="N1562">
        <v>49.87</v>
      </c>
      <c r="O1562" s="49">
        <v>45627</v>
      </c>
      <c r="P1562" s="50">
        <v>127.56150000000001</v>
      </c>
    </row>
    <row r="1563" spans="4:16" x14ac:dyDescent="0.2">
      <c r="D1563">
        <v>100000939</v>
      </c>
      <c r="E1563" s="49">
        <v>45443</v>
      </c>
      <c r="F1563" t="s">
        <v>2322</v>
      </c>
      <c r="G1563" t="s">
        <v>1971</v>
      </c>
      <c r="H1563">
        <v>4</v>
      </c>
      <c r="I1563">
        <v>87.42</v>
      </c>
      <c r="J1563" s="50">
        <v>349.68</v>
      </c>
      <c r="K1563" t="s">
        <v>1618</v>
      </c>
      <c r="M1563" t="s">
        <v>1627</v>
      </c>
      <c r="N1563">
        <v>46.14</v>
      </c>
      <c r="O1563" s="49">
        <v>45448</v>
      </c>
      <c r="P1563" s="50">
        <v>157.35599999999999</v>
      </c>
    </row>
    <row r="1564" spans="4:16" x14ac:dyDescent="0.2">
      <c r="D1564">
        <v>100000940</v>
      </c>
      <c r="E1564" s="49">
        <v>45085</v>
      </c>
      <c r="F1564" t="s">
        <v>2827</v>
      </c>
      <c r="G1564" t="s">
        <v>1707</v>
      </c>
      <c r="H1564">
        <v>1</v>
      </c>
      <c r="I1564">
        <v>43.58</v>
      </c>
      <c r="J1564" s="50">
        <v>43.58</v>
      </c>
      <c r="K1564" t="s">
        <v>1632</v>
      </c>
      <c r="M1564" t="s">
        <v>1619</v>
      </c>
      <c r="N1564">
        <v>23</v>
      </c>
      <c r="O1564" s="49">
        <v>45089</v>
      </c>
      <c r="P1564" s="50">
        <v>19.611000000000001</v>
      </c>
    </row>
    <row r="1565" spans="4:16" x14ac:dyDescent="0.2">
      <c r="D1565">
        <v>100000940</v>
      </c>
      <c r="E1565" s="49">
        <v>44573</v>
      </c>
      <c r="F1565" t="s">
        <v>2827</v>
      </c>
      <c r="G1565" t="s">
        <v>1766</v>
      </c>
      <c r="H1565">
        <v>7</v>
      </c>
      <c r="I1565">
        <v>70.37</v>
      </c>
      <c r="J1565" s="50">
        <v>492.59</v>
      </c>
      <c r="K1565" t="s">
        <v>1632</v>
      </c>
      <c r="M1565" t="s">
        <v>1629</v>
      </c>
      <c r="N1565">
        <v>37.14</v>
      </c>
      <c r="O1565" s="49">
        <v>44576</v>
      </c>
      <c r="P1565" s="50">
        <v>221.66549999999998</v>
      </c>
    </row>
    <row r="1566" spans="4:16" x14ac:dyDescent="0.2">
      <c r="D1566">
        <v>100000941</v>
      </c>
      <c r="E1566" s="49">
        <v>44439</v>
      </c>
      <c r="F1566" t="s">
        <v>2828</v>
      </c>
      <c r="G1566" t="s">
        <v>1623</v>
      </c>
      <c r="H1566">
        <v>8</v>
      </c>
      <c r="I1566">
        <v>19.489999999999998</v>
      </c>
      <c r="J1566" s="50">
        <v>155.91999999999999</v>
      </c>
      <c r="K1566" t="s">
        <v>1632</v>
      </c>
      <c r="L1566" t="s">
        <v>2496</v>
      </c>
      <c r="M1566" t="s">
        <v>1619</v>
      </c>
      <c r="N1566">
        <v>10.29</v>
      </c>
      <c r="O1566" s="49">
        <v>44441</v>
      </c>
      <c r="P1566" s="50">
        <v>70.164000000000001</v>
      </c>
    </row>
    <row r="1567" spans="4:16" x14ac:dyDescent="0.2">
      <c r="D1567">
        <v>100000941</v>
      </c>
      <c r="E1567" s="49">
        <v>45466</v>
      </c>
      <c r="F1567" t="s">
        <v>2828</v>
      </c>
      <c r="G1567" t="s">
        <v>1782</v>
      </c>
      <c r="H1567">
        <v>9</v>
      </c>
      <c r="I1567">
        <v>118.94</v>
      </c>
      <c r="J1567" s="50">
        <v>1070.46</v>
      </c>
      <c r="K1567" t="s">
        <v>1632</v>
      </c>
      <c r="L1567" t="s">
        <v>2496</v>
      </c>
      <c r="M1567" t="s">
        <v>1629</v>
      </c>
      <c r="N1567">
        <v>62.77</v>
      </c>
      <c r="O1567" s="49">
        <v>45468</v>
      </c>
      <c r="P1567" s="50">
        <v>481.70700000000005</v>
      </c>
    </row>
    <row r="1568" spans="4:16" x14ac:dyDescent="0.2">
      <c r="D1568">
        <v>100000941</v>
      </c>
      <c r="E1568" s="49">
        <v>45019</v>
      </c>
      <c r="F1568" t="s">
        <v>2828</v>
      </c>
      <c r="G1568" t="s">
        <v>2003</v>
      </c>
      <c r="H1568">
        <v>2</v>
      </c>
      <c r="I1568">
        <v>89.54</v>
      </c>
      <c r="J1568" s="50">
        <v>179.08</v>
      </c>
      <c r="K1568" t="s">
        <v>1632</v>
      </c>
      <c r="L1568" t="s">
        <v>2496</v>
      </c>
      <c r="M1568" t="s">
        <v>1627</v>
      </c>
      <c r="N1568">
        <v>47.26</v>
      </c>
      <c r="O1568" s="49">
        <v>45021</v>
      </c>
      <c r="P1568" s="50">
        <v>80.586000000000013</v>
      </c>
    </row>
    <row r="1569" spans="4:16" x14ac:dyDescent="0.2">
      <c r="D1569">
        <v>100000942</v>
      </c>
      <c r="E1569" s="49">
        <v>44957</v>
      </c>
      <c r="F1569" t="s">
        <v>2829</v>
      </c>
      <c r="G1569" t="s">
        <v>2142</v>
      </c>
      <c r="H1569">
        <v>9</v>
      </c>
      <c r="I1569">
        <v>27.86</v>
      </c>
      <c r="J1569" s="50">
        <v>250.74</v>
      </c>
      <c r="K1569" t="s">
        <v>1632</v>
      </c>
      <c r="L1569" t="s">
        <v>2830</v>
      </c>
      <c r="M1569" t="s">
        <v>1621</v>
      </c>
      <c r="N1569">
        <v>14.7</v>
      </c>
      <c r="O1569" s="49">
        <v>44960</v>
      </c>
      <c r="P1569" s="50">
        <v>112.83300000000001</v>
      </c>
    </row>
    <row r="1570" spans="4:16" x14ac:dyDescent="0.2">
      <c r="D1570">
        <v>100000942</v>
      </c>
      <c r="E1570" s="49">
        <v>44249</v>
      </c>
      <c r="F1570" t="s">
        <v>2829</v>
      </c>
      <c r="G1570" t="s">
        <v>2038</v>
      </c>
      <c r="H1570">
        <v>3</v>
      </c>
      <c r="I1570">
        <v>69.95</v>
      </c>
      <c r="J1570" s="50">
        <v>209.85</v>
      </c>
      <c r="K1570" t="s">
        <v>1632</v>
      </c>
      <c r="L1570" t="s">
        <v>2830</v>
      </c>
      <c r="M1570" t="s">
        <v>1627</v>
      </c>
      <c r="N1570">
        <v>36.92</v>
      </c>
      <c r="O1570" s="49">
        <v>44250</v>
      </c>
      <c r="P1570" s="50">
        <v>94.432500000000005</v>
      </c>
    </row>
    <row r="1571" spans="4:16" x14ac:dyDescent="0.2">
      <c r="D1571">
        <v>100000942</v>
      </c>
      <c r="E1571" s="49">
        <v>44230</v>
      </c>
      <c r="F1571" t="s">
        <v>2829</v>
      </c>
      <c r="G1571" t="s">
        <v>2017</v>
      </c>
      <c r="H1571">
        <v>6</v>
      </c>
      <c r="I1571">
        <v>68.16</v>
      </c>
      <c r="J1571" s="50">
        <v>408.96</v>
      </c>
      <c r="K1571" t="s">
        <v>1632</v>
      </c>
      <c r="L1571" t="s">
        <v>2830</v>
      </c>
      <c r="M1571" t="s">
        <v>1621</v>
      </c>
      <c r="N1571">
        <v>35.97</v>
      </c>
      <c r="O1571" s="49">
        <v>44231</v>
      </c>
      <c r="P1571" s="50">
        <v>184.03199999999998</v>
      </c>
    </row>
    <row r="1572" spans="4:16" x14ac:dyDescent="0.2">
      <c r="D1572">
        <v>100000942</v>
      </c>
      <c r="E1572" s="49">
        <v>45199</v>
      </c>
      <c r="F1572" t="s">
        <v>2829</v>
      </c>
      <c r="G1572" t="s">
        <v>1637</v>
      </c>
      <c r="H1572">
        <v>2</v>
      </c>
      <c r="I1572">
        <v>89.73</v>
      </c>
      <c r="J1572" s="50">
        <v>179.46</v>
      </c>
      <c r="K1572" t="s">
        <v>1632</v>
      </c>
      <c r="L1572" t="s">
        <v>2830</v>
      </c>
      <c r="M1572" t="s">
        <v>1624</v>
      </c>
      <c r="N1572">
        <v>47.36</v>
      </c>
      <c r="O1572" s="49">
        <v>45200</v>
      </c>
      <c r="P1572" s="50">
        <v>80.757000000000005</v>
      </c>
    </row>
    <row r="1573" spans="4:16" x14ac:dyDescent="0.2">
      <c r="D1573">
        <v>100000944</v>
      </c>
      <c r="E1573" s="49">
        <v>45655</v>
      </c>
      <c r="F1573" t="s">
        <v>2831</v>
      </c>
      <c r="G1573" t="s">
        <v>1880</v>
      </c>
      <c r="H1573">
        <v>7</v>
      </c>
      <c r="I1573">
        <v>115.1</v>
      </c>
      <c r="J1573" s="50">
        <v>805.69999999999993</v>
      </c>
      <c r="K1573" t="s">
        <v>1618</v>
      </c>
      <c r="M1573" t="s">
        <v>1619</v>
      </c>
      <c r="N1573">
        <v>60.75</v>
      </c>
      <c r="O1573" s="49">
        <v>45657</v>
      </c>
      <c r="P1573" s="50">
        <v>362.565</v>
      </c>
    </row>
    <row r="1574" spans="4:16" x14ac:dyDescent="0.2">
      <c r="D1574">
        <v>100000948</v>
      </c>
      <c r="E1574" s="49">
        <v>44347</v>
      </c>
      <c r="F1574" t="s">
        <v>2832</v>
      </c>
      <c r="G1574" t="s">
        <v>2003</v>
      </c>
      <c r="H1574">
        <v>5</v>
      </c>
      <c r="I1574">
        <v>111.56</v>
      </c>
      <c r="J1574" s="50">
        <v>557.79999999999995</v>
      </c>
      <c r="K1574" t="s">
        <v>1618</v>
      </c>
      <c r="L1574" t="s">
        <v>2833</v>
      </c>
      <c r="M1574" t="s">
        <v>1624</v>
      </c>
      <c r="N1574">
        <v>58.88</v>
      </c>
      <c r="O1574" s="49">
        <v>44352</v>
      </c>
      <c r="P1574" s="50">
        <v>251.01</v>
      </c>
    </row>
    <row r="1575" spans="4:16" x14ac:dyDescent="0.2">
      <c r="D1575">
        <v>100000948</v>
      </c>
      <c r="E1575" s="49">
        <v>45366</v>
      </c>
      <c r="F1575" t="s">
        <v>2832</v>
      </c>
      <c r="G1575" t="s">
        <v>1639</v>
      </c>
      <c r="H1575">
        <v>5</v>
      </c>
      <c r="I1575">
        <v>102.05</v>
      </c>
      <c r="J1575" s="50">
        <v>510.25</v>
      </c>
      <c r="K1575" t="s">
        <v>1618</v>
      </c>
      <c r="L1575" t="s">
        <v>2833</v>
      </c>
      <c r="M1575" t="s">
        <v>1624</v>
      </c>
      <c r="N1575">
        <v>53.86</v>
      </c>
      <c r="O1575" s="49">
        <v>45368</v>
      </c>
      <c r="P1575" s="50">
        <v>229.61250000000001</v>
      </c>
    </row>
    <row r="1576" spans="4:16" x14ac:dyDescent="0.2">
      <c r="D1576">
        <v>100000948</v>
      </c>
      <c r="E1576" s="49">
        <v>44727</v>
      </c>
      <c r="F1576" t="s">
        <v>2832</v>
      </c>
      <c r="G1576" t="s">
        <v>2207</v>
      </c>
      <c r="H1576">
        <v>8</v>
      </c>
      <c r="I1576">
        <v>115.55</v>
      </c>
      <c r="J1576" s="50">
        <v>924.4</v>
      </c>
      <c r="K1576" t="s">
        <v>1618</v>
      </c>
      <c r="L1576" t="s">
        <v>2833</v>
      </c>
      <c r="M1576" t="s">
        <v>1619</v>
      </c>
      <c r="N1576">
        <v>60.98</v>
      </c>
      <c r="O1576" s="49">
        <v>44730</v>
      </c>
      <c r="P1576" s="50">
        <v>415.98</v>
      </c>
    </row>
    <row r="1577" spans="4:16" x14ac:dyDescent="0.2">
      <c r="D1577">
        <v>100000950</v>
      </c>
      <c r="E1577" s="49">
        <v>44376</v>
      </c>
      <c r="F1577" t="s">
        <v>2834</v>
      </c>
      <c r="G1577" t="s">
        <v>1844</v>
      </c>
      <c r="H1577">
        <v>6</v>
      </c>
      <c r="I1577">
        <v>41.8</v>
      </c>
      <c r="J1577" s="50">
        <v>250.8</v>
      </c>
      <c r="K1577" t="s">
        <v>1618</v>
      </c>
      <c r="M1577" t="s">
        <v>1621</v>
      </c>
      <c r="N1577">
        <v>22.06</v>
      </c>
      <c r="O1577" s="49">
        <v>44379</v>
      </c>
      <c r="P1577" s="50">
        <v>112.86000000000001</v>
      </c>
    </row>
    <row r="1578" spans="4:16" x14ac:dyDescent="0.2">
      <c r="D1578">
        <v>100000950</v>
      </c>
      <c r="E1578" s="49">
        <v>44238</v>
      </c>
      <c r="F1578" t="s">
        <v>2834</v>
      </c>
      <c r="G1578" t="s">
        <v>1945</v>
      </c>
      <c r="H1578">
        <v>5</v>
      </c>
      <c r="I1578">
        <v>84.79</v>
      </c>
      <c r="J1578" s="50">
        <v>423.95</v>
      </c>
      <c r="K1578" t="s">
        <v>1618</v>
      </c>
      <c r="M1578" t="s">
        <v>1624</v>
      </c>
      <c r="N1578">
        <v>44.75</v>
      </c>
      <c r="O1578" s="49">
        <v>44239</v>
      </c>
      <c r="P1578" s="50">
        <v>190.7775</v>
      </c>
    </row>
    <row r="1579" spans="4:16" x14ac:dyDescent="0.2">
      <c r="D1579">
        <v>100000952</v>
      </c>
      <c r="E1579" s="49">
        <v>45429</v>
      </c>
      <c r="F1579" t="s">
        <v>2835</v>
      </c>
      <c r="G1579" t="s">
        <v>1777</v>
      </c>
      <c r="H1579">
        <v>9</v>
      </c>
      <c r="I1579">
        <v>19.989999999999998</v>
      </c>
      <c r="J1579" s="50">
        <v>179.91</v>
      </c>
      <c r="K1579" t="s">
        <v>1618</v>
      </c>
      <c r="M1579" t="s">
        <v>1619</v>
      </c>
      <c r="N1579">
        <v>10.55</v>
      </c>
      <c r="O1579" s="49">
        <v>45432</v>
      </c>
      <c r="P1579" s="50">
        <v>80.959500000000006</v>
      </c>
    </row>
    <row r="1580" spans="4:16" x14ac:dyDescent="0.2">
      <c r="D1580">
        <v>100000953</v>
      </c>
      <c r="E1580" s="49">
        <v>44211</v>
      </c>
      <c r="F1580" t="s">
        <v>2836</v>
      </c>
      <c r="G1580" t="s">
        <v>1958</v>
      </c>
      <c r="H1580">
        <v>2</v>
      </c>
      <c r="I1580">
        <v>68.23</v>
      </c>
      <c r="J1580" s="50">
        <v>136.46</v>
      </c>
      <c r="K1580" t="s">
        <v>1632</v>
      </c>
      <c r="M1580" t="s">
        <v>1619</v>
      </c>
      <c r="N1580">
        <v>36.01</v>
      </c>
      <c r="O1580" s="49">
        <v>44216</v>
      </c>
      <c r="P1580" s="50">
        <v>61.407000000000004</v>
      </c>
    </row>
    <row r="1581" spans="4:16" x14ac:dyDescent="0.2">
      <c r="D1581">
        <v>100000955</v>
      </c>
      <c r="E1581" s="49">
        <v>45593</v>
      </c>
      <c r="F1581" t="s">
        <v>2837</v>
      </c>
      <c r="G1581" t="s">
        <v>2427</v>
      </c>
      <c r="H1581">
        <v>8</v>
      </c>
      <c r="I1581">
        <v>33.159999999999997</v>
      </c>
      <c r="J1581" s="50">
        <v>265.27999999999997</v>
      </c>
      <c r="K1581" t="s">
        <v>1632</v>
      </c>
      <c r="L1581" t="s">
        <v>2838</v>
      </c>
      <c r="M1581" t="s">
        <v>1619</v>
      </c>
      <c r="N1581">
        <v>17.5</v>
      </c>
      <c r="O1581" s="49">
        <v>45597</v>
      </c>
      <c r="P1581" s="50">
        <v>119.37599999999999</v>
      </c>
    </row>
    <row r="1582" spans="4:16" x14ac:dyDescent="0.2">
      <c r="D1582">
        <v>100000957</v>
      </c>
      <c r="E1582" s="49">
        <v>44201</v>
      </c>
      <c r="F1582" t="s">
        <v>2839</v>
      </c>
      <c r="G1582" t="s">
        <v>2168</v>
      </c>
      <c r="H1582">
        <v>3</v>
      </c>
      <c r="I1582">
        <v>95.16</v>
      </c>
      <c r="J1582" s="50">
        <v>285.48</v>
      </c>
      <c r="K1582" t="s">
        <v>1618</v>
      </c>
      <c r="M1582" t="s">
        <v>1619</v>
      </c>
      <c r="N1582">
        <v>50.22</v>
      </c>
      <c r="O1582" s="49">
        <v>44203</v>
      </c>
      <c r="P1582" s="50">
        <v>128.46600000000001</v>
      </c>
    </row>
    <row r="1583" spans="4:16" x14ac:dyDescent="0.2">
      <c r="D1583">
        <v>100000958</v>
      </c>
      <c r="E1583" s="49">
        <v>45009</v>
      </c>
      <c r="F1583" t="s">
        <v>2840</v>
      </c>
      <c r="G1583" t="s">
        <v>2331</v>
      </c>
      <c r="H1583">
        <v>8</v>
      </c>
      <c r="I1583">
        <v>75.06</v>
      </c>
      <c r="J1583" s="50">
        <v>600.48</v>
      </c>
      <c r="K1583" t="s">
        <v>1632</v>
      </c>
      <c r="M1583" t="s">
        <v>1619</v>
      </c>
      <c r="N1583">
        <v>39.61</v>
      </c>
      <c r="O1583" s="49">
        <v>45011</v>
      </c>
      <c r="P1583" s="50">
        <v>270.21600000000001</v>
      </c>
    </row>
    <row r="1584" spans="4:16" x14ac:dyDescent="0.2">
      <c r="D1584">
        <v>100000958</v>
      </c>
      <c r="E1584" s="49">
        <v>45272</v>
      </c>
      <c r="F1584" t="s">
        <v>2840</v>
      </c>
      <c r="G1584" t="s">
        <v>1664</v>
      </c>
      <c r="H1584">
        <v>7</v>
      </c>
      <c r="I1584">
        <v>33.1</v>
      </c>
      <c r="J1584" s="50">
        <v>231.7</v>
      </c>
      <c r="K1584" t="s">
        <v>1632</v>
      </c>
      <c r="M1584" t="s">
        <v>1629</v>
      </c>
      <c r="N1584">
        <v>17.47</v>
      </c>
      <c r="O1584" s="49">
        <v>45276</v>
      </c>
      <c r="P1584" s="50">
        <v>104.265</v>
      </c>
    </row>
    <row r="1585" spans="4:16" x14ac:dyDescent="0.2">
      <c r="D1585">
        <v>100000958</v>
      </c>
      <c r="E1585" s="49">
        <v>45645</v>
      </c>
      <c r="F1585" t="s">
        <v>2840</v>
      </c>
      <c r="G1585" t="s">
        <v>1789</v>
      </c>
      <c r="H1585">
        <v>6</v>
      </c>
      <c r="I1585">
        <v>24.89</v>
      </c>
      <c r="J1585" s="50">
        <v>149.34</v>
      </c>
      <c r="K1585" t="s">
        <v>1632</v>
      </c>
      <c r="M1585" t="s">
        <v>1619</v>
      </c>
      <c r="N1585">
        <v>13.14</v>
      </c>
      <c r="O1585" s="49">
        <v>45650</v>
      </c>
      <c r="P1585" s="50">
        <v>67.203000000000003</v>
      </c>
    </row>
    <row r="1586" spans="4:16" x14ac:dyDescent="0.2">
      <c r="D1586">
        <v>100000960</v>
      </c>
      <c r="E1586" s="49">
        <v>44852</v>
      </c>
      <c r="F1586" t="s">
        <v>2841</v>
      </c>
      <c r="G1586" t="s">
        <v>2278</v>
      </c>
      <c r="H1586">
        <v>6</v>
      </c>
      <c r="I1586">
        <v>17.57</v>
      </c>
      <c r="J1586" s="50">
        <v>105.42</v>
      </c>
      <c r="K1586" t="s">
        <v>1618</v>
      </c>
      <c r="M1586" t="s">
        <v>1624</v>
      </c>
      <c r="N1586">
        <v>9.27</v>
      </c>
      <c r="O1586" s="49">
        <v>44855</v>
      </c>
      <c r="P1586" s="50">
        <v>47.439</v>
      </c>
    </row>
    <row r="1587" spans="4:16" x14ac:dyDescent="0.2">
      <c r="D1587">
        <v>100000960</v>
      </c>
      <c r="E1587" s="49">
        <v>44980</v>
      </c>
      <c r="F1587" t="s">
        <v>2841</v>
      </c>
      <c r="G1587" t="s">
        <v>2180</v>
      </c>
      <c r="H1587">
        <v>7</v>
      </c>
      <c r="I1587">
        <v>92.4</v>
      </c>
      <c r="J1587" s="50">
        <v>646.80000000000007</v>
      </c>
      <c r="K1587" t="s">
        <v>1618</v>
      </c>
      <c r="M1587" t="s">
        <v>1621</v>
      </c>
      <c r="N1587">
        <v>48.77</v>
      </c>
      <c r="O1587" s="49">
        <v>44981</v>
      </c>
      <c r="P1587" s="50">
        <v>291.06000000000006</v>
      </c>
    </row>
    <row r="1588" spans="4:16" x14ac:dyDescent="0.2">
      <c r="D1588">
        <v>100000960</v>
      </c>
      <c r="E1588" s="49">
        <v>45061</v>
      </c>
      <c r="F1588" t="s">
        <v>2841</v>
      </c>
      <c r="G1588" t="s">
        <v>2305</v>
      </c>
      <c r="H1588">
        <v>3</v>
      </c>
      <c r="I1588">
        <v>43.89</v>
      </c>
      <c r="J1588" s="50">
        <v>131.66999999999999</v>
      </c>
      <c r="K1588" t="s">
        <v>1618</v>
      </c>
      <c r="M1588" t="s">
        <v>1619</v>
      </c>
      <c r="N1588">
        <v>23.16</v>
      </c>
      <c r="O1588" s="49">
        <v>45064</v>
      </c>
      <c r="P1588" s="50">
        <v>59.251499999999993</v>
      </c>
    </row>
    <row r="1589" spans="4:16" x14ac:dyDescent="0.2">
      <c r="D1589">
        <v>100000960</v>
      </c>
      <c r="E1589" s="49">
        <v>44745</v>
      </c>
      <c r="F1589" t="s">
        <v>2841</v>
      </c>
      <c r="G1589" t="s">
        <v>1729</v>
      </c>
      <c r="H1589">
        <v>7</v>
      </c>
      <c r="I1589">
        <v>64</v>
      </c>
      <c r="J1589" s="50">
        <v>448</v>
      </c>
      <c r="K1589" t="s">
        <v>1618</v>
      </c>
      <c r="M1589" t="s">
        <v>1627</v>
      </c>
      <c r="N1589">
        <v>33.78</v>
      </c>
      <c r="O1589" s="49">
        <v>44748</v>
      </c>
      <c r="P1589" s="50">
        <v>201.6</v>
      </c>
    </row>
    <row r="1590" spans="4:16" x14ac:dyDescent="0.2">
      <c r="D1590">
        <v>100000961</v>
      </c>
      <c r="E1590" s="49">
        <v>44948</v>
      </c>
      <c r="F1590" t="s">
        <v>2842</v>
      </c>
      <c r="G1590" t="s">
        <v>2447</v>
      </c>
      <c r="H1590">
        <v>2</v>
      </c>
      <c r="I1590">
        <v>45.28</v>
      </c>
      <c r="J1590" s="50">
        <v>90.56</v>
      </c>
      <c r="K1590" t="s">
        <v>1618</v>
      </c>
      <c r="M1590" t="s">
        <v>1629</v>
      </c>
      <c r="N1590">
        <v>23.9</v>
      </c>
      <c r="O1590" s="49">
        <v>44953</v>
      </c>
      <c r="P1590" s="50">
        <v>40.752000000000002</v>
      </c>
    </row>
    <row r="1591" spans="4:16" x14ac:dyDescent="0.2">
      <c r="D1591">
        <v>100000961</v>
      </c>
      <c r="E1591" s="49">
        <v>44790</v>
      </c>
      <c r="F1591" t="s">
        <v>2842</v>
      </c>
      <c r="G1591" t="s">
        <v>2142</v>
      </c>
      <c r="H1591">
        <v>7</v>
      </c>
      <c r="I1591">
        <v>91.41</v>
      </c>
      <c r="J1591" s="50">
        <v>639.87</v>
      </c>
      <c r="K1591" t="s">
        <v>1618</v>
      </c>
      <c r="M1591" t="s">
        <v>1629</v>
      </c>
      <c r="N1591">
        <v>48.24</v>
      </c>
      <c r="O1591" s="49">
        <v>44791</v>
      </c>
      <c r="P1591" s="50">
        <v>287.94150000000002</v>
      </c>
    </row>
    <row r="1592" spans="4:16" x14ac:dyDescent="0.2">
      <c r="D1592">
        <v>100000962</v>
      </c>
      <c r="E1592" s="49">
        <v>45649</v>
      </c>
      <c r="F1592" t="s">
        <v>2843</v>
      </c>
      <c r="G1592" t="s">
        <v>1691</v>
      </c>
      <c r="H1592">
        <v>2</v>
      </c>
      <c r="I1592">
        <v>92.51</v>
      </c>
      <c r="J1592" s="50">
        <v>185.02</v>
      </c>
      <c r="K1592" t="s">
        <v>1618</v>
      </c>
      <c r="L1592" t="s">
        <v>2844</v>
      </c>
      <c r="M1592" t="s">
        <v>1627</v>
      </c>
      <c r="N1592">
        <v>48.82</v>
      </c>
      <c r="O1592" s="49">
        <v>45651</v>
      </c>
      <c r="P1592" s="50">
        <v>83.259</v>
      </c>
    </row>
    <row r="1593" spans="4:16" x14ac:dyDescent="0.2">
      <c r="D1593">
        <v>100000962</v>
      </c>
      <c r="E1593" s="49">
        <v>45131</v>
      </c>
      <c r="F1593" t="s">
        <v>2843</v>
      </c>
      <c r="G1593" t="s">
        <v>2150</v>
      </c>
      <c r="H1593">
        <v>3</v>
      </c>
      <c r="I1593">
        <v>14.8</v>
      </c>
      <c r="J1593" s="50">
        <v>44.400000000000013</v>
      </c>
      <c r="K1593" t="s">
        <v>1618</v>
      </c>
      <c r="L1593" t="s">
        <v>2844</v>
      </c>
      <c r="M1593" t="s">
        <v>1621</v>
      </c>
      <c r="N1593">
        <v>7.81</v>
      </c>
      <c r="O1593" s="49">
        <v>45134</v>
      </c>
      <c r="P1593" s="50">
        <v>19.980000000000008</v>
      </c>
    </row>
    <row r="1594" spans="4:16" x14ac:dyDescent="0.2">
      <c r="D1594">
        <v>100000962</v>
      </c>
      <c r="E1594" s="49">
        <v>45355</v>
      </c>
      <c r="F1594" t="s">
        <v>2843</v>
      </c>
      <c r="G1594" t="s">
        <v>1895</v>
      </c>
      <c r="H1594">
        <v>5</v>
      </c>
      <c r="I1594">
        <v>61.21</v>
      </c>
      <c r="J1594" s="50">
        <v>306.05</v>
      </c>
      <c r="K1594" t="s">
        <v>1618</v>
      </c>
      <c r="L1594" t="s">
        <v>2844</v>
      </c>
      <c r="M1594" t="s">
        <v>1619</v>
      </c>
      <c r="N1594">
        <v>32.31</v>
      </c>
      <c r="O1594" s="49">
        <v>45357</v>
      </c>
      <c r="P1594" s="50">
        <v>137.7225</v>
      </c>
    </row>
    <row r="1595" spans="4:16" x14ac:dyDescent="0.2">
      <c r="D1595">
        <v>100000962</v>
      </c>
      <c r="E1595" s="49">
        <v>44213</v>
      </c>
      <c r="F1595" t="s">
        <v>2843</v>
      </c>
      <c r="G1595" t="s">
        <v>1783</v>
      </c>
      <c r="H1595">
        <v>5</v>
      </c>
      <c r="I1595">
        <v>95.78</v>
      </c>
      <c r="J1595" s="50">
        <v>478.9</v>
      </c>
      <c r="K1595" t="s">
        <v>1618</v>
      </c>
      <c r="L1595" t="s">
        <v>2844</v>
      </c>
      <c r="M1595" t="s">
        <v>1627</v>
      </c>
      <c r="N1595">
        <v>50.55</v>
      </c>
      <c r="O1595" s="49">
        <v>44217</v>
      </c>
      <c r="P1595" s="50">
        <v>215.505</v>
      </c>
    </row>
    <row r="1596" spans="4:16" x14ac:dyDescent="0.2">
      <c r="D1596">
        <v>100000963</v>
      </c>
      <c r="E1596" s="49">
        <v>44346</v>
      </c>
      <c r="F1596" t="s">
        <v>2845</v>
      </c>
      <c r="G1596" t="s">
        <v>1842</v>
      </c>
      <c r="H1596">
        <v>9</v>
      </c>
      <c r="I1596">
        <v>31.46</v>
      </c>
      <c r="J1596" s="50">
        <v>283.14</v>
      </c>
      <c r="K1596" t="s">
        <v>1632</v>
      </c>
      <c r="M1596" t="s">
        <v>1621</v>
      </c>
      <c r="N1596">
        <v>16.600000000000001</v>
      </c>
      <c r="O1596" s="49">
        <v>44350</v>
      </c>
      <c r="P1596" s="50">
        <v>127.413</v>
      </c>
    </row>
    <row r="1597" spans="4:16" x14ac:dyDescent="0.2">
      <c r="D1597">
        <v>100000965</v>
      </c>
      <c r="E1597" s="49">
        <v>45143</v>
      </c>
      <c r="F1597" t="s">
        <v>2846</v>
      </c>
      <c r="G1597" t="s">
        <v>1783</v>
      </c>
      <c r="H1597">
        <v>8</v>
      </c>
      <c r="I1597">
        <v>106.28</v>
      </c>
      <c r="J1597" s="50">
        <v>850.24</v>
      </c>
      <c r="K1597" t="s">
        <v>1632</v>
      </c>
      <c r="M1597" t="s">
        <v>1621</v>
      </c>
      <c r="N1597">
        <v>56.09</v>
      </c>
      <c r="O1597" s="49">
        <v>45147</v>
      </c>
      <c r="P1597" s="50">
        <v>382.608</v>
      </c>
    </row>
    <row r="1598" spans="4:16" x14ac:dyDescent="0.2">
      <c r="D1598">
        <v>100000966</v>
      </c>
      <c r="E1598" s="49">
        <v>45139</v>
      </c>
      <c r="F1598" t="s">
        <v>2847</v>
      </c>
      <c r="G1598" t="s">
        <v>2261</v>
      </c>
      <c r="H1598">
        <v>1</v>
      </c>
      <c r="I1598">
        <v>35.22</v>
      </c>
      <c r="J1598" s="50">
        <v>35.22</v>
      </c>
      <c r="K1598" t="s">
        <v>1618</v>
      </c>
      <c r="M1598" t="s">
        <v>1627</v>
      </c>
      <c r="N1598">
        <v>18.59</v>
      </c>
      <c r="O1598" s="49">
        <v>45142</v>
      </c>
      <c r="P1598" s="50">
        <v>15.849</v>
      </c>
    </row>
    <row r="1599" spans="4:16" x14ac:dyDescent="0.2">
      <c r="D1599">
        <v>100000967</v>
      </c>
      <c r="E1599" s="49">
        <v>44462</v>
      </c>
      <c r="F1599" t="s">
        <v>2848</v>
      </c>
      <c r="G1599" t="s">
        <v>1676</v>
      </c>
      <c r="H1599">
        <v>8</v>
      </c>
      <c r="I1599">
        <v>88.16</v>
      </c>
      <c r="J1599" s="50">
        <v>705.28</v>
      </c>
      <c r="K1599" t="s">
        <v>1618</v>
      </c>
      <c r="M1599" t="s">
        <v>1621</v>
      </c>
      <c r="N1599">
        <v>46.53</v>
      </c>
      <c r="O1599" s="49">
        <v>44466</v>
      </c>
      <c r="P1599" s="50">
        <v>317.37599999999998</v>
      </c>
    </row>
    <row r="1600" spans="4:16" x14ac:dyDescent="0.2">
      <c r="D1600">
        <v>100000967</v>
      </c>
      <c r="E1600" s="49">
        <v>44695</v>
      </c>
      <c r="F1600" t="s">
        <v>2848</v>
      </c>
      <c r="G1600" t="s">
        <v>2065</v>
      </c>
      <c r="H1600">
        <v>6</v>
      </c>
      <c r="I1600">
        <v>11.25</v>
      </c>
      <c r="J1600" s="50">
        <v>67.5</v>
      </c>
      <c r="K1600" t="s">
        <v>1618</v>
      </c>
      <c r="M1600" t="s">
        <v>1629</v>
      </c>
      <c r="N1600">
        <v>5.94</v>
      </c>
      <c r="O1600" s="49">
        <v>44697</v>
      </c>
      <c r="P1600" s="50">
        <v>30.375</v>
      </c>
    </row>
    <row r="1601" spans="4:16" x14ac:dyDescent="0.2">
      <c r="D1601">
        <v>100000968</v>
      </c>
      <c r="E1601" s="49">
        <v>45077</v>
      </c>
      <c r="F1601" t="s">
        <v>2849</v>
      </c>
      <c r="G1601" t="s">
        <v>1644</v>
      </c>
      <c r="H1601">
        <v>7</v>
      </c>
      <c r="I1601">
        <v>23.11</v>
      </c>
      <c r="J1601" s="50">
        <v>161.77000000000001</v>
      </c>
      <c r="K1601" t="s">
        <v>1618</v>
      </c>
      <c r="M1601" t="s">
        <v>1629</v>
      </c>
      <c r="N1601">
        <v>12.2</v>
      </c>
      <c r="O1601" s="49">
        <v>45079</v>
      </c>
      <c r="P1601" s="50">
        <v>72.796500000000009</v>
      </c>
    </row>
    <row r="1602" spans="4:16" x14ac:dyDescent="0.2">
      <c r="D1602">
        <v>100000969</v>
      </c>
      <c r="E1602" s="49">
        <v>44940</v>
      </c>
      <c r="F1602" t="s">
        <v>2850</v>
      </c>
      <c r="G1602" t="s">
        <v>2232</v>
      </c>
      <c r="H1602">
        <v>4</v>
      </c>
      <c r="I1602">
        <v>36.28</v>
      </c>
      <c r="J1602" s="50">
        <v>145.12</v>
      </c>
      <c r="K1602" t="s">
        <v>1632</v>
      </c>
      <c r="M1602" t="s">
        <v>1627</v>
      </c>
      <c r="N1602">
        <v>19.149999999999999</v>
      </c>
      <c r="O1602" s="49">
        <v>44943</v>
      </c>
      <c r="P1602" s="50">
        <v>65.304000000000002</v>
      </c>
    </row>
    <row r="1603" spans="4:16" x14ac:dyDescent="0.2">
      <c r="D1603">
        <v>100000971</v>
      </c>
      <c r="E1603" s="49">
        <v>45460</v>
      </c>
      <c r="F1603" t="s">
        <v>2851</v>
      </c>
      <c r="G1603" t="s">
        <v>1846</v>
      </c>
      <c r="H1603">
        <v>2</v>
      </c>
      <c r="I1603">
        <v>74.010000000000005</v>
      </c>
      <c r="J1603" s="50">
        <v>148.02000000000001</v>
      </c>
      <c r="K1603" t="s">
        <v>1632</v>
      </c>
      <c r="M1603" t="s">
        <v>1627</v>
      </c>
      <c r="N1603">
        <v>39.06</v>
      </c>
      <c r="O1603" s="49">
        <v>45462</v>
      </c>
      <c r="P1603" s="50">
        <v>66.609000000000009</v>
      </c>
    </row>
    <row r="1604" spans="4:16" x14ac:dyDescent="0.2">
      <c r="D1604">
        <v>100000971</v>
      </c>
      <c r="E1604" s="49">
        <v>45292</v>
      </c>
      <c r="F1604" t="s">
        <v>2851</v>
      </c>
      <c r="G1604" t="s">
        <v>2240</v>
      </c>
      <c r="H1604">
        <v>9</v>
      </c>
      <c r="I1604">
        <v>118.9</v>
      </c>
      <c r="J1604" s="50">
        <v>1070.0999999999999</v>
      </c>
      <c r="K1604" t="s">
        <v>1632</v>
      </c>
      <c r="M1604" t="s">
        <v>1629</v>
      </c>
      <c r="N1604">
        <v>62.75</v>
      </c>
      <c r="O1604" s="49">
        <v>45295</v>
      </c>
      <c r="P1604" s="50">
        <v>481.54499999999996</v>
      </c>
    </row>
    <row r="1605" spans="4:16" x14ac:dyDescent="0.2">
      <c r="D1605">
        <v>100000971</v>
      </c>
      <c r="E1605" s="49">
        <v>45506</v>
      </c>
      <c r="F1605" t="s">
        <v>2851</v>
      </c>
      <c r="G1605" t="s">
        <v>1990</v>
      </c>
      <c r="H1605">
        <v>5</v>
      </c>
      <c r="I1605">
        <v>77.349999999999994</v>
      </c>
      <c r="J1605" s="50">
        <v>386.75</v>
      </c>
      <c r="K1605" t="s">
        <v>1632</v>
      </c>
      <c r="M1605" t="s">
        <v>1621</v>
      </c>
      <c r="N1605">
        <v>40.82</v>
      </c>
      <c r="O1605" s="49">
        <v>45509</v>
      </c>
      <c r="P1605" s="50">
        <v>174.03749999999999</v>
      </c>
    </row>
    <row r="1606" spans="4:16" x14ac:dyDescent="0.2">
      <c r="D1606">
        <v>100000971</v>
      </c>
      <c r="E1606" s="49">
        <v>44923</v>
      </c>
      <c r="F1606" t="s">
        <v>2851</v>
      </c>
      <c r="G1606" t="s">
        <v>1865</v>
      </c>
      <c r="H1606">
        <v>2</v>
      </c>
      <c r="I1606">
        <v>114.84</v>
      </c>
      <c r="J1606" s="50">
        <v>229.68</v>
      </c>
      <c r="K1606" t="s">
        <v>1632</v>
      </c>
      <c r="M1606" t="s">
        <v>1621</v>
      </c>
      <c r="N1606">
        <v>60.61</v>
      </c>
      <c r="O1606" s="49">
        <v>44927</v>
      </c>
      <c r="P1606" s="50">
        <v>103.35600000000001</v>
      </c>
    </row>
    <row r="1607" spans="4:16" x14ac:dyDescent="0.2">
      <c r="D1607">
        <v>100000971</v>
      </c>
      <c r="E1607" s="49">
        <v>45590</v>
      </c>
      <c r="F1607" t="s">
        <v>2851</v>
      </c>
      <c r="G1607" t="s">
        <v>1646</v>
      </c>
      <c r="H1607">
        <v>8</v>
      </c>
      <c r="I1607">
        <v>30.1</v>
      </c>
      <c r="J1607" s="50">
        <v>240.8</v>
      </c>
      <c r="K1607" t="s">
        <v>1632</v>
      </c>
      <c r="M1607" t="s">
        <v>1627</v>
      </c>
      <c r="N1607">
        <v>15.89</v>
      </c>
      <c r="O1607" s="49">
        <v>45592</v>
      </c>
      <c r="P1607" s="50">
        <v>108.36000000000001</v>
      </c>
    </row>
    <row r="1608" spans="4:16" x14ac:dyDescent="0.2">
      <c r="D1608">
        <v>100000972</v>
      </c>
      <c r="E1608" s="49">
        <v>45636</v>
      </c>
      <c r="F1608" t="s">
        <v>2852</v>
      </c>
      <c r="G1608" t="s">
        <v>1752</v>
      </c>
      <c r="H1608">
        <v>2</v>
      </c>
      <c r="I1608">
        <v>44.77</v>
      </c>
      <c r="J1608" s="50">
        <v>89.54</v>
      </c>
      <c r="K1608" t="s">
        <v>1632</v>
      </c>
      <c r="M1608" t="s">
        <v>1629</v>
      </c>
      <c r="N1608">
        <v>23.63</v>
      </c>
      <c r="O1608" s="49">
        <v>45638</v>
      </c>
      <c r="P1608" s="50">
        <v>40.293000000000006</v>
      </c>
    </row>
    <row r="1609" spans="4:16" x14ac:dyDescent="0.2">
      <c r="D1609">
        <v>100000972</v>
      </c>
      <c r="E1609" s="49">
        <v>45418</v>
      </c>
      <c r="F1609" t="s">
        <v>2852</v>
      </c>
      <c r="G1609" t="s">
        <v>1767</v>
      </c>
      <c r="H1609">
        <v>5</v>
      </c>
      <c r="I1609">
        <v>70.61</v>
      </c>
      <c r="J1609" s="50">
        <v>353.05</v>
      </c>
      <c r="K1609" t="s">
        <v>1632</v>
      </c>
      <c r="M1609" t="s">
        <v>1627</v>
      </c>
      <c r="N1609">
        <v>37.270000000000003</v>
      </c>
      <c r="O1609" s="49">
        <v>45420</v>
      </c>
      <c r="P1609" s="50">
        <v>158.8725</v>
      </c>
    </row>
    <row r="1610" spans="4:16" x14ac:dyDescent="0.2">
      <c r="D1610">
        <v>100000972</v>
      </c>
      <c r="E1610" s="49">
        <v>44753</v>
      </c>
      <c r="F1610" t="s">
        <v>2852</v>
      </c>
      <c r="G1610" t="s">
        <v>2302</v>
      </c>
      <c r="H1610">
        <v>4</v>
      </c>
      <c r="I1610">
        <v>88.98</v>
      </c>
      <c r="J1610" s="50">
        <v>355.92</v>
      </c>
      <c r="K1610" t="s">
        <v>1632</v>
      </c>
      <c r="M1610" t="s">
        <v>1627</v>
      </c>
      <c r="N1610">
        <v>46.96</v>
      </c>
      <c r="O1610" s="49">
        <v>44755</v>
      </c>
      <c r="P1610" s="50">
        <v>160.16400000000002</v>
      </c>
    </row>
    <row r="1611" spans="4:16" x14ac:dyDescent="0.2">
      <c r="D1611">
        <v>100000972</v>
      </c>
      <c r="E1611" s="49">
        <v>44373</v>
      </c>
      <c r="F1611" t="s">
        <v>2852</v>
      </c>
      <c r="G1611" t="s">
        <v>2161</v>
      </c>
      <c r="H1611">
        <v>2</v>
      </c>
      <c r="I1611">
        <v>25.83</v>
      </c>
      <c r="J1611" s="50">
        <v>51.66</v>
      </c>
      <c r="K1611" t="s">
        <v>1632</v>
      </c>
      <c r="M1611" t="s">
        <v>1624</v>
      </c>
      <c r="N1611">
        <v>13.63</v>
      </c>
      <c r="O1611" s="49">
        <v>44374</v>
      </c>
      <c r="P1611" s="50">
        <v>23.247</v>
      </c>
    </row>
    <row r="1612" spans="4:16" x14ac:dyDescent="0.2">
      <c r="D1612">
        <v>100000972</v>
      </c>
      <c r="E1612" s="49">
        <v>44798</v>
      </c>
      <c r="F1612" t="s">
        <v>2852</v>
      </c>
      <c r="G1612" t="s">
        <v>2060</v>
      </c>
      <c r="H1612">
        <v>1</v>
      </c>
      <c r="I1612">
        <v>55.03</v>
      </c>
      <c r="J1612" s="50">
        <v>55.03</v>
      </c>
      <c r="K1612" t="s">
        <v>1632</v>
      </c>
      <c r="M1612" t="s">
        <v>1619</v>
      </c>
      <c r="N1612">
        <v>29.04</v>
      </c>
      <c r="O1612" s="49">
        <v>44803</v>
      </c>
      <c r="P1612" s="50">
        <v>24.763500000000001</v>
      </c>
    </row>
    <row r="1613" spans="4:16" x14ac:dyDescent="0.2">
      <c r="D1613">
        <v>100000973</v>
      </c>
      <c r="E1613" s="49">
        <v>44659</v>
      </c>
      <c r="F1613" t="s">
        <v>2853</v>
      </c>
      <c r="G1613" t="s">
        <v>1948</v>
      </c>
      <c r="H1613">
        <v>2</v>
      </c>
      <c r="I1613">
        <v>101.76</v>
      </c>
      <c r="J1613" s="50">
        <v>203.52</v>
      </c>
      <c r="K1613" t="s">
        <v>1618</v>
      </c>
      <c r="M1613" t="s">
        <v>1629</v>
      </c>
      <c r="N1613">
        <v>53.71</v>
      </c>
      <c r="O1613" s="49">
        <v>44664</v>
      </c>
      <c r="P1613" s="50">
        <v>91.584000000000003</v>
      </c>
    </row>
    <row r="1614" spans="4:16" x14ac:dyDescent="0.2">
      <c r="D1614">
        <v>100000973</v>
      </c>
      <c r="E1614" s="49">
        <v>44353</v>
      </c>
      <c r="F1614" t="s">
        <v>2853</v>
      </c>
      <c r="G1614" t="s">
        <v>1857</v>
      </c>
      <c r="H1614">
        <v>5</v>
      </c>
      <c r="I1614">
        <v>104.69</v>
      </c>
      <c r="J1614" s="50">
        <v>523.45000000000005</v>
      </c>
      <c r="K1614" t="s">
        <v>1618</v>
      </c>
      <c r="M1614" t="s">
        <v>1619</v>
      </c>
      <c r="N1614">
        <v>55.25</v>
      </c>
      <c r="O1614" s="49">
        <v>44355</v>
      </c>
      <c r="P1614" s="50">
        <v>235.55250000000004</v>
      </c>
    </row>
    <row r="1615" spans="4:16" x14ac:dyDescent="0.2">
      <c r="D1615">
        <v>100000973</v>
      </c>
      <c r="E1615" s="49">
        <v>44746</v>
      </c>
      <c r="F1615" t="s">
        <v>2853</v>
      </c>
      <c r="G1615" t="s">
        <v>2028</v>
      </c>
      <c r="H1615">
        <v>7</v>
      </c>
      <c r="I1615">
        <v>17.75</v>
      </c>
      <c r="J1615" s="50">
        <v>124.25</v>
      </c>
      <c r="K1615" t="s">
        <v>1618</v>
      </c>
      <c r="M1615" t="s">
        <v>1629</v>
      </c>
      <c r="N1615">
        <v>9.3699999999999992</v>
      </c>
      <c r="O1615" s="49">
        <v>44751</v>
      </c>
      <c r="P1615" s="50">
        <v>55.912500000000001</v>
      </c>
    </row>
    <row r="1616" spans="4:16" x14ac:dyDescent="0.2">
      <c r="D1616">
        <v>100000974</v>
      </c>
      <c r="E1616" s="49">
        <v>45268</v>
      </c>
      <c r="F1616" t="s">
        <v>2854</v>
      </c>
      <c r="G1616" t="s">
        <v>2331</v>
      </c>
      <c r="H1616">
        <v>8</v>
      </c>
      <c r="I1616">
        <v>95.26</v>
      </c>
      <c r="J1616" s="50">
        <v>762.08</v>
      </c>
      <c r="K1616" t="s">
        <v>1632</v>
      </c>
      <c r="M1616" t="s">
        <v>1629</v>
      </c>
      <c r="N1616">
        <v>50.28</v>
      </c>
      <c r="O1616" s="49">
        <v>45271</v>
      </c>
      <c r="P1616" s="50">
        <v>342.93600000000004</v>
      </c>
    </row>
    <row r="1617" spans="4:16" x14ac:dyDescent="0.2">
      <c r="D1617">
        <v>100000975</v>
      </c>
      <c r="E1617" s="49">
        <v>45524</v>
      </c>
      <c r="F1617" t="s">
        <v>2855</v>
      </c>
      <c r="G1617" t="s">
        <v>1820</v>
      </c>
      <c r="H1617">
        <v>3</v>
      </c>
      <c r="I1617">
        <v>26.25</v>
      </c>
      <c r="J1617" s="50">
        <v>78.75</v>
      </c>
      <c r="K1617" t="s">
        <v>1618</v>
      </c>
      <c r="M1617" t="s">
        <v>1619</v>
      </c>
      <c r="N1617">
        <v>13.85</v>
      </c>
      <c r="O1617" s="49">
        <v>45528</v>
      </c>
      <c r="P1617" s="50">
        <v>35.4375</v>
      </c>
    </row>
    <row r="1618" spans="4:16" x14ac:dyDescent="0.2">
      <c r="D1618">
        <v>100000975</v>
      </c>
      <c r="E1618" s="49">
        <v>45593</v>
      </c>
      <c r="F1618" t="s">
        <v>2855</v>
      </c>
      <c r="G1618" t="s">
        <v>1851</v>
      </c>
      <c r="H1618">
        <v>8</v>
      </c>
      <c r="I1618">
        <v>52.88</v>
      </c>
      <c r="J1618" s="50">
        <v>423.04</v>
      </c>
      <c r="K1618" t="s">
        <v>1618</v>
      </c>
      <c r="M1618" t="s">
        <v>1624</v>
      </c>
      <c r="N1618">
        <v>27.91</v>
      </c>
      <c r="O1618" s="49">
        <v>45595</v>
      </c>
      <c r="P1618" s="50">
        <v>190.36800000000002</v>
      </c>
    </row>
    <row r="1619" spans="4:16" x14ac:dyDescent="0.2">
      <c r="D1619">
        <v>100000975</v>
      </c>
      <c r="E1619" s="49">
        <v>44617</v>
      </c>
      <c r="F1619" t="s">
        <v>2855</v>
      </c>
      <c r="G1619" t="s">
        <v>1882</v>
      </c>
      <c r="H1619">
        <v>2</v>
      </c>
      <c r="I1619">
        <v>20.62</v>
      </c>
      <c r="J1619" s="50">
        <v>41.24</v>
      </c>
      <c r="K1619" t="s">
        <v>1618</v>
      </c>
      <c r="M1619" t="s">
        <v>1627</v>
      </c>
      <c r="N1619">
        <v>10.88</v>
      </c>
      <c r="O1619" s="49">
        <v>44618</v>
      </c>
      <c r="P1619" s="50">
        <v>18.558</v>
      </c>
    </row>
    <row r="1620" spans="4:16" x14ac:dyDescent="0.2">
      <c r="D1620">
        <v>100000975</v>
      </c>
      <c r="E1620" s="49">
        <v>44906</v>
      </c>
      <c r="F1620" t="s">
        <v>2855</v>
      </c>
      <c r="G1620" t="s">
        <v>2150</v>
      </c>
      <c r="H1620">
        <v>10</v>
      </c>
      <c r="I1620">
        <v>38.659999999999997</v>
      </c>
      <c r="J1620" s="50">
        <v>386.6</v>
      </c>
      <c r="K1620" t="s">
        <v>1618</v>
      </c>
      <c r="M1620" t="s">
        <v>1627</v>
      </c>
      <c r="N1620">
        <v>20.399999999999999</v>
      </c>
      <c r="O1620" s="49">
        <v>44910</v>
      </c>
      <c r="P1620" s="50">
        <v>173.97000000000003</v>
      </c>
    </row>
    <row r="1621" spans="4:16" x14ac:dyDescent="0.2">
      <c r="D1621">
        <v>100000976</v>
      </c>
      <c r="E1621" s="49">
        <v>44794</v>
      </c>
      <c r="F1621" t="s">
        <v>2856</v>
      </c>
      <c r="G1621" t="s">
        <v>1655</v>
      </c>
      <c r="H1621">
        <v>6</v>
      </c>
      <c r="I1621">
        <v>51.81</v>
      </c>
      <c r="J1621" s="50">
        <v>310.86</v>
      </c>
      <c r="K1621" t="s">
        <v>1618</v>
      </c>
      <c r="M1621" t="s">
        <v>1629</v>
      </c>
      <c r="N1621">
        <v>27.34</v>
      </c>
      <c r="O1621" s="49">
        <v>44795</v>
      </c>
      <c r="P1621" s="50">
        <v>139.887</v>
      </c>
    </row>
    <row r="1622" spans="4:16" x14ac:dyDescent="0.2">
      <c r="D1622">
        <v>100000977</v>
      </c>
      <c r="E1622" s="49">
        <v>45487</v>
      </c>
      <c r="F1622" t="s">
        <v>2857</v>
      </c>
      <c r="G1622" t="s">
        <v>1738</v>
      </c>
      <c r="H1622">
        <v>9</v>
      </c>
      <c r="I1622">
        <v>23.03</v>
      </c>
      <c r="J1622" s="50">
        <v>207.27</v>
      </c>
      <c r="K1622" t="s">
        <v>1632</v>
      </c>
      <c r="M1622" t="s">
        <v>1624</v>
      </c>
      <c r="N1622">
        <v>12.15</v>
      </c>
      <c r="O1622" s="49">
        <v>45491</v>
      </c>
      <c r="P1622" s="50">
        <v>93.271500000000003</v>
      </c>
    </row>
    <row r="1623" spans="4:16" x14ac:dyDescent="0.2">
      <c r="D1623">
        <v>100000978</v>
      </c>
      <c r="E1623" s="49">
        <v>44425</v>
      </c>
      <c r="F1623" t="s">
        <v>2858</v>
      </c>
      <c r="G1623" t="s">
        <v>1686</v>
      </c>
      <c r="H1623">
        <v>5</v>
      </c>
      <c r="I1623">
        <v>31.98</v>
      </c>
      <c r="J1623" s="50">
        <v>159.9</v>
      </c>
      <c r="K1623" t="s">
        <v>1618</v>
      </c>
      <c r="M1623" t="s">
        <v>1624</v>
      </c>
      <c r="N1623">
        <v>16.88</v>
      </c>
      <c r="O1623" s="49">
        <v>44430</v>
      </c>
      <c r="P1623" s="50">
        <v>71.954999999999998</v>
      </c>
    </row>
    <row r="1624" spans="4:16" x14ac:dyDescent="0.2">
      <c r="D1624">
        <v>100000979</v>
      </c>
      <c r="E1624" s="49">
        <v>45156</v>
      </c>
      <c r="F1624" t="s">
        <v>2859</v>
      </c>
      <c r="G1624" t="s">
        <v>2331</v>
      </c>
      <c r="H1624">
        <v>8</v>
      </c>
      <c r="I1624">
        <v>79.569999999999993</v>
      </c>
      <c r="J1624" s="50">
        <v>636.55999999999995</v>
      </c>
      <c r="K1624" t="s">
        <v>1632</v>
      </c>
      <c r="M1624" t="s">
        <v>1629</v>
      </c>
      <c r="N1624">
        <v>41.99</v>
      </c>
      <c r="O1624" s="49">
        <v>45158</v>
      </c>
      <c r="P1624" s="50">
        <v>286.452</v>
      </c>
    </row>
    <row r="1625" spans="4:16" x14ac:dyDescent="0.2">
      <c r="D1625">
        <v>100000980</v>
      </c>
      <c r="E1625" s="49">
        <v>45013</v>
      </c>
      <c r="F1625" t="s">
        <v>2860</v>
      </c>
      <c r="G1625" t="s">
        <v>1823</v>
      </c>
      <c r="H1625">
        <v>10</v>
      </c>
      <c r="I1625">
        <v>43.1</v>
      </c>
      <c r="J1625" s="50">
        <v>431</v>
      </c>
      <c r="K1625" t="s">
        <v>1618</v>
      </c>
      <c r="M1625" t="s">
        <v>1627</v>
      </c>
      <c r="N1625">
        <v>22.75</v>
      </c>
      <c r="O1625" s="49">
        <v>45018</v>
      </c>
      <c r="P1625" s="50">
        <v>193.95000000000002</v>
      </c>
    </row>
    <row r="1626" spans="4:16" x14ac:dyDescent="0.2">
      <c r="D1626">
        <v>100000981</v>
      </c>
      <c r="E1626" s="49">
        <v>44512</v>
      </c>
      <c r="F1626" t="s">
        <v>2861</v>
      </c>
      <c r="G1626" t="s">
        <v>1893</v>
      </c>
      <c r="H1626">
        <v>9</v>
      </c>
      <c r="I1626">
        <v>29.52</v>
      </c>
      <c r="J1626" s="50">
        <v>265.68</v>
      </c>
      <c r="K1626" t="s">
        <v>1618</v>
      </c>
      <c r="M1626" t="s">
        <v>1624</v>
      </c>
      <c r="N1626">
        <v>15.58</v>
      </c>
      <c r="O1626" s="49">
        <v>44514</v>
      </c>
      <c r="P1626" s="50">
        <v>119.55600000000001</v>
      </c>
    </row>
    <row r="1627" spans="4:16" x14ac:dyDescent="0.2">
      <c r="D1627">
        <v>100000981</v>
      </c>
      <c r="E1627" s="49">
        <v>45332</v>
      </c>
      <c r="F1627" t="s">
        <v>2861</v>
      </c>
      <c r="G1627" t="s">
        <v>1848</v>
      </c>
      <c r="H1627">
        <v>9</v>
      </c>
      <c r="I1627">
        <v>62.58</v>
      </c>
      <c r="J1627" s="50">
        <v>563.22</v>
      </c>
      <c r="K1627" t="s">
        <v>1618</v>
      </c>
      <c r="M1627" t="s">
        <v>1627</v>
      </c>
      <c r="N1627">
        <v>33.03</v>
      </c>
      <c r="O1627" s="49">
        <v>45336</v>
      </c>
      <c r="P1627" s="50">
        <v>253.44900000000001</v>
      </c>
    </row>
    <row r="1628" spans="4:16" x14ac:dyDescent="0.2">
      <c r="D1628">
        <v>100000981</v>
      </c>
      <c r="E1628" s="49">
        <v>45135</v>
      </c>
      <c r="F1628" t="s">
        <v>2861</v>
      </c>
      <c r="G1628" t="s">
        <v>2420</v>
      </c>
      <c r="H1628">
        <v>9</v>
      </c>
      <c r="I1628">
        <v>84.61</v>
      </c>
      <c r="J1628" s="50">
        <v>761.49</v>
      </c>
      <c r="K1628" t="s">
        <v>1618</v>
      </c>
      <c r="M1628" t="s">
        <v>1624</v>
      </c>
      <c r="N1628">
        <v>44.65</v>
      </c>
      <c r="O1628" s="49">
        <v>45139</v>
      </c>
      <c r="P1628" s="50">
        <v>342.6705</v>
      </c>
    </row>
    <row r="1629" spans="4:16" x14ac:dyDescent="0.2">
      <c r="D1629">
        <v>100000981</v>
      </c>
      <c r="E1629" s="49">
        <v>44670</v>
      </c>
      <c r="F1629" t="s">
        <v>2861</v>
      </c>
      <c r="G1629" t="s">
        <v>2633</v>
      </c>
      <c r="H1629">
        <v>9</v>
      </c>
      <c r="I1629">
        <v>69.94</v>
      </c>
      <c r="J1629" s="50">
        <v>629.46</v>
      </c>
      <c r="K1629" t="s">
        <v>1618</v>
      </c>
      <c r="M1629" t="s">
        <v>1629</v>
      </c>
      <c r="N1629">
        <v>36.909999999999997</v>
      </c>
      <c r="O1629" s="49">
        <v>44674</v>
      </c>
      <c r="P1629" s="50">
        <v>283.25700000000001</v>
      </c>
    </row>
    <row r="1630" spans="4:16" x14ac:dyDescent="0.2">
      <c r="D1630">
        <v>100000981</v>
      </c>
      <c r="E1630" s="49">
        <v>45495</v>
      </c>
      <c r="F1630" t="s">
        <v>2861</v>
      </c>
      <c r="G1630" t="s">
        <v>1707</v>
      </c>
      <c r="H1630">
        <v>8</v>
      </c>
      <c r="I1630">
        <v>42.21</v>
      </c>
      <c r="J1630" s="50">
        <v>337.68</v>
      </c>
      <c r="K1630" t="s">
        <v>1618</v>
      </c>
      <c r="M1630" t="s">
        <v>1629</v>
      </c>
      <c r="N1630">
        <v>22.28</v>
      </c>
      <c r="O1630" s="49">
        <v>45498</v>
      </c>
      <c r="P1630" s="50">
        <v>151.95600000000002</v>
      </c>
    </row>
    <row r="1631" spans="4:16" x14ac:dyDescent="0.2">
      <c r="D1631">
        <v>100000981</v>
      </c>
      <c r="E1631" s="49">
        <v>44660</v>
      </c>
      <c r="F1631" t="s">
        <v>2861</v>
      </c>
      <c r="G1631" t="s">
        <v>1820</v>
      </c>
      <c r="H1631">
        <v>5</v>
      </c>
      <c r="I1631">
        <v>70.86</v>
      </c>
      <c r="J1631" s="50">
        <v>354.3</v>
      </c>
      <c r="K1631" t="s">
        <v>1618</v>
      </c>
      <c r="M1631" t="s">
        <v>1621</v>
      </c>
      <c r="N1631">
        <v>37.4</v>
      </c>
      <c r="O1631" s="49">
        <v>44665</v>
      </c>
      <c r="P1631" s="50">
        <v>159.435</v>
      </c>
    </row>
    <row r="1632" spans="4:16" x14ac:dyDescent="0.2">
      <c r="D1632">
        <v>100000981</v>
      </c>
      <c r="E1632" s="49">
        <v>45234</v>
      </c>
      <c r="F1632" t="s">
        <v>2861</v>
      </c>
      <c r="G1632" t="s">
        <v>2145</v>
      </c>
      <c r="H1632">
        <v>8</v>
      </c>
      <c r="I1632">
        <v>78.150000000000006</v>
      </c>
      <c r="J1632" s="50">
        <v>625.20000000000005</v>
      </c>
      <c r="K1632" t="s">
        <v>1618</v>
      </c>
      <c r="M1632" t="s">
        <v>1619</v>
      </c>
      <c r="N1632">
        <v>41.25</v>
      </c>
      <c r="O1632" s="49">
        <v>45238</v>
      </c>
      <c r="P1632" s="50">
        <v>281.34000000000003</v>
      </c>
    </row>
    <row r="1633" spans="4:16" x14ac:dyDescent="0.2">
      <c r="D1633">
        <v>100000981</v>
      </c>
      <c r="E1633" s="49">
        <v>44831</v>
      </c>
      <c r="F1633" t="s">
        <v>2861</v>
      </c>
      <c r="G1633" t="s">
        <v>1665</v>
      </c>
      <c r="H1633">
        <v>1</v>
      </c>
      <c r="I1633">
        <v>97.85</v>
      </c>
      <c r="J1633" s="50">
        <v>97.85</v>
      </c>
      <c r="K1633" t="s">
        <v>1618</v>
      </c>
      <c r="M1633" t="s">
        <v>1619</v>
      </c>
      <c r="N1633">
        <v>51.64</v>
      </c>
      <c r="O1633" s="49">
        <v>44835</v>
      </c>
      <c r="P1633" s="50">
        <v>44.032499999999999</v>
      </c>
    </row>
    <row r="1634" spans="4:16" x14ac:dyDescent="0.2">
      <c r="D1634">
        <v>100000982</v>
      </c>
      <c r="E1634" s="49">
        <v>45341</v>
      </c>
      <c r="F1634" t="s">
        <v>2862</v>
      </c>
      <c r="G1634" t="s">
        <v>1987</v>
      </c>
      <c r="H1634">
        <v>6</v>
      </c>
      <c r="I1634">
        <v>109.47</v>
      </c>
      <c r="J1634" s="50">
        <v>656.81999999999994</v>
      </c>
      <c r="K1634" t="s">
        <v>1632</v>
      </c>
      <c r="L1634" t="s">
        <v>2863</v>
      </c>
      <c r="M1634" t="s">
        <v>1619</v>
      </c>
      <c r="N1634">
        <v>57.78</v>
      </c>
      <c r="O1634" s="49">
        <v>45344</v>
      </c>
      <c r="P1634" s="50">
        <v>295.56899999999996</v>
      </c>
    </row>
    <row r="1635" spans="4:16" x14ac:dyDescent="0.2">
      <c r="D1635">
        <v>100000983</v>
      </c>
      <c r="E1635" s="49">
        <v>45133</v>
      </c>
      <c r="F1635" t="s">
        <v>2864</v>
      </c>
      <c r="G1635" t="s">
        <v>2766</v>
      </c>
      <c r="H1635">
        <v>3</v>
      </c>
      <c r="I1635">
        <v>98.84</v>
      </c>
      <c r="J1635" s="50">
        <v>296.52</v>
      </c>
      <c r="K1635" t="s">
        <v>1618</v>
      </c>
      <c r="M1635" t="s">
        <v>1627</v>
      </c>
      <c r="N1635">
        <v>52.17</v>
      </c>
      <c r="O1635" s="49">
        <v>45134</v>
      </c>
      <c r="P1635" s="50">
        <v>133.434</v>
      </c>
    </row>
    <row r="1636" spans="4:16" x14ac:dyDescent="0.2">
      <c r="D1636">
        <v>100000983</v>
      </c>
      <c r="E1636" s="49">
        <v>44605</v>
      </c>
      <c r="F1636" t="s">
        <v>2864</v>
      </c>
      <c r="G1636" t="s">
        <v>2136</v>
      </c>
      <c r="H1636">
        <v>9</v>
      </c>
      <c r="I1636">
        <v>85.08</v>
      </c>
      <c r="J1636" s="50">
        <v>765.72</v>
      </c>
      <c r="K1636" t="s">
        <v>1618</v>
      </c>
      <c r="M1636" t="s">
        <v>1621</v>
      </c>
      <c r="N1636">
        <v>44.9</v>
      </c>
      <c r="O1636" s="49">
        <v>44606</v>
      </c>
      <c r="P1636" s="50">
        <v>344.57400000000001</v>
      </c>
    </row>
    <row r="1637" spans="4:16" x14ac:dyDescent="0.2">
      <c r="D1637">
        <v>100000983</v>
      </c>
      <c r="E1637" s="49">
        <v>44966</v>
      </c>
      <c r="F1637" t="s">
        <v>2864</v>
      </c>
      <c r="G1637" t="s">
        <v>1707</v>
      </c>
      <c r="H1637">
        <v>5</v>
      </c>
      <c r="I1637">
        <v>83.36</v>
      </c>
      <c r="J1637" s="50">
        <v>416.8</v>
      </c>
      <c r="K1637" t="s">
        <v>1618</v>
      </c>
      <c r="M1637" t="s">
        <v>1624</v>
      </c>
      <c r="N1637">
        <v>44</v>
      </c>
      <c r="O1637" s="49">
        <v>44970</v>
      </c>
      <c r="P1637" s="50">
        <v>187.56</v>
      </c>
    </row>
    <row r="1638" spans="4:16" x14ac:dyDescent="0.2">
      <c r="D1638">
        <v>100000984</v>
      </c>
      <c r="E1638" s="49">
        <v>45603</v>
      </c>
      <c r="F1638" t="s">
        <v>2865</v>
      </c>
      <c r="G1638" t="s">
        <v>1874</v>
      </c>
      <c r="H1638">
        <v>6</v>
      </c>
      <c r="I1638">
        <v>88.86</v>
      </c>
      <c r="J1638" s="50">
        <v>533.16</v>
      </c>
      <c r="K1638" t="s">
        <v>1632</v>
      </c>
      <c r="M1638" t="s">
        <v>1624</v>
      </c>
      <c r="N1638">
        <v>46.9</v>
      </c>
      <c r="O1638" s="49">
        <v>45608</v>
      </c>
      <c r="P1638" s="50">
        <v>239.922</v>
      </c>
    </row>
    <row r="1639" spans="4:16" x14ac:dyDescent="0.2">
      <c r="D1639">
        <v>100000984</v>
      </c>
      <c r="E1639" s="49">
        <v>44554</v>
      </c>
      <c r="F1639" t="s">
        <v>2865</v>
      </c>
      <c r="G1639" t="s">
        <v>1812</v>
      </c>
      <c r="H1639">
        <v>3</v>
      </c>
      <c r="I1639">
        <v>19.25</v>
      </c>
      <c r="J1639" s="50">
        <v>57.75</v>
      </c>
      <c r="K1639" t="s">
        <v>1632</v>
      </c>
      <c r="M1639" t="s">
        <v>1619</v>
      </c>
      <c r="N1639">
        <v>10.16</v>
      </c>
      <c r="O1639" s="49">
        <v>44556</v>
      </c>
      <c r="P1639" s="50">
        <v>25.987500000000001</v>
      </c>
    </row>
    <row r="1640" spans="4:16" x14ac:dyDescent="0.2">
      <c r="D1640">
        <v>100000984</v>
      </c>
      <c r="E1640" s="49">
        <v>45150</v>
      </c>
      <c r="F1640" t="s">
        <v>2865</v>
      </c>
      <c r="G1640" t="s">
        <v>2213</v>
      </c>
      <c r="H1640">
        <v>10</v>
      </c>
      <c r="I1640">
        <v>30.51</v>
      </c>
      <c r="J1640" s="50">
        <v>305.10000000000002</v>
      </c>
      <c r="K1640" t="s">
        <v>1632</v>
      </c>
      <c r="M1640" t="s">
        <v>1627</v>
      </c>
      <c r="N1640">
        <v>16.100000000000001</v>
      </c>
      <c r="O1640" s="49">
        <v>45152</v>
      </c>
      <c r="P1640" s="50">
        <v>137.29500000000002</v>
      </c>
    </row>
    <row r="1641" spans="4:16" x14ac:dyDescent="0.2">
      <c r="D1641">
        <v>100000984</v>
      </c>
      <c r="E1641" s="49">
        <v>45653</v>
      </c>
      <c r="F1641" t="s">
        <v>2865</v>
      </c>
      <c r="G1641" t="s">
        <v>1653</v>
      </c>
      <c r="H1641">
        <v>1</v>
      </c>
      <c r="I1641">
        <v>64.010000000000005</v>
      </c>
      <c r="J1641" s="50">
        <v>64.010000000000005</v>
      </c>
      <c r="K1641" t="s">
        <v>1632</v>
      </c>
      <c r="M1641" t="s">
        <v>1624</v>
      </c>
      <c r="N1641">
        <v>33.78</v>
      </c>
      <c r="O1641" s="49">
        <v>45658</v>
      </c>
      <c r="P1641" s="50">
        <v>28.804500000000004</v>
      </c>
    </row>
    <row r="1642" spans="4:16" x14ac:dyDescent="0.2">
      <c r="D1642">
        <v>100000985</v>
      </c>
      <c r="E1642" s="49">
        <v>44922</v>
      </c>
      <c r="F1642" t="s">
        <v>2866</v>
      </c>
      <c r="G1642" t="s">
        <v>2121</v>
      </c>
      <c r="H1642">
        <v>10</v>
      </c>
      <c r="I1642">
        <v>37.909999999999997</v>
      </c>
      <c r="J1642" s="50">
        <v>379.1</v>
      </c>
      <c r="K1642" t="s">
        <v>1632</v>
      </c>
      <c r="M1642" t="s">
        <v>1627</v>
      </c>
      <c r="N1642">
        <v>20.010000000000002</v>
      </c>
      <c r="O1642" s="49">
        <v>44925</v>
      </c>
      <c r="P1642" s="50">
        <v>170.59500000000003</v>
      </c>
    </row>
    <row r="1643" spans="4:16" x14ac:dyDescent="0.2">
      <c r="D1643">
        <v>100000985</v>
      </c>
      <c r="E1643" s="49">
        <v>45531</v>
      </c>
      <c r="F1643" t="s">
        <v>2866</v>
      </c>
      <c r="G1643" t="s">
        <v>2159</v>
      </c>
      <c r="H1643">
        <v>2</v>
      </c>
      <c r="I1643">
        <v>26.97</v>
      </c>
      <c r="J1643" s="50">
        <v>53.94</v>
      </c>
      <c r="K1643" t="s">
        <v>1632</v>
      </c>
      <c r="M1643" t="s">
        <v>1619</v>
      </c>
      <c r="N1643">
        <v>14.23</v>
      </c>
      <c r="O1643" s="49">
        <v>45533</v>
      </c>
      <c r="P1643" s="50">
        <v>24.273</v>
      </c>
    </row>
    <row r="1644" spans="4:16" x14ac:dyDescent="0.2">
      <c r="D1644">
        <v>100000986</v>
      </c>
      <c r="E1644" s="49">
        <v>44492</v>
      </c>
      <c r="F1644" t="s">
        <v>2867</v>
      </c>
      <c r="G1644" t="s">
        <v>1649</v>
      </c>
      <c r="H1644">
        <v>3</v>
      </c>
      <c r="I1644">
        <v>89.95</v>
      </c>
      <c r="J1644" s="50">
        <v>269.85000000000002</v>
      </c>
      <c r="K1644" t="s">
        <v>1632</v>
      </c>
      <c r="M1644" t="s">
        <v>1619</v>
      </c>
      <c r="N1644">
        <v>47.47</v>
      </c>
      <c r="O1644" s="49">
        <v>44497</v>
      </c>
      <c r="P1644" s="50">
        <v>121.43250000000002</v>
      </c>
    </row>
    <row r="1645" spans="4:16" x14ac:dyDescent="0.2">
      <c r="D1645">
        <v>100000987</v>
      </c>
      <c r="E1645" s="49">
        <v>44624</v>
      </c>
      <c r="F1645" t="s">
        <v>2868</v>
      </c>
      <c r="G1645" t="s">
        <v>1859</v>
      </c>
      <c r="H1645">
        <v>7</v>
      </c>
      <c r="I1645">
        <v>54.6</v>
      </c>
      <c r="J1645" s="50">
        <v>382.2</v>
      </c>
      <c r="K1645" t="s">
        <v>1632</v>
      </c>
      <c r="M1645" t="s">
        <v>1627</v>
      </c>
      <c r="N1645">
        <v>28.82</v>
      </c>
      <c r="O1645" s="49">
        <v>44627</v>
      </c>
      <c r="P1645" s="50">
        <v>171.99</v>
      </c>
    </row>
    <row r="1646" spans="4:16" x14ac:dyDescent="0.2">
      <c r="D1646">
        <v>100000987</v>
      </c>
      <c r="E1646" s="49">
        <v>45652</v>
      </c>
      <c r="F1646" t="s">
        <v>2868</v>
      </c>
      <c r="G1646" t="s">
        <v>1797</v>
      </c>
      <c r="H1646">
        <v>7</v>
      </c>
      <c r="I1646">
        <v>22.91</v>
      </c>
      <c r="J1646" s="50">
        <v>160.37</v>
      </c>
      <c r="K1646" t="s">
        <v>1632</v>
      </c>
      <c r="M1646" t="s">
        <v>1619</v>
      </c>
      <c r="N1646">
        <v>12.09</v>
      </c>
      <c r="O1646" s="49">
        <v>45655</v>
      </c>
      <c r="P1646" s="50">
        <v>72.166499999999999</v>
      </c>
    </row>
    <row r="1647" spans="4:16" x14ac:dyDescent="0.2">
      <c r="D1647">
        <v>100000989</v>
      </c>
      <c r="E1647" s="49">
        <v>44389</v>
      </c>
      <c r="F1647" t="s">
        <v>2869</v>
      </c>
      <c r="G1647" t="s">
        <v>1720</v>
      </c>
      <c r="H1647">
        <v>5</v>
      </c>
      <c r="I1647">
        <v>119.2</v>
      </c>
      <c r="J1647" s="50">
        <v>596</v>
      </c>
      <c r="K1647" t="s">
        <v>1632</v>
      </c>
      <c r="L1647" t="s">
        <v>2870</v>
      </c>
      <c r="M1647" t="s">
        <v>1621</v>
      </c>
      <c r="N1647">
        <v>62.91</v>
      </c>
      <c r="O1647" s="49">
        <v>44392</v>
      </c>
      <c r="P1647" s="50">
        <v>268.2</v>
      </c>
    </row>
    <row r="1648" spans="4:16" x14ac:dyDescent="0.2">
      <c r="D1648">
        <v>100000990</v>
      </c>
      <c r="E1648" s="49">
        <v>44422</v>
      </c>
      <c r="F1648" t="s">
        <v>2871</v>
      </c>
      <c r="G1648" t="s">
        <v>1679</v>
      </c>
      <c r="H1648">
        <v>3</v>
      </c>
      <c r="I1648">
        <v>28.64</v>
      </c>
      <c r="J1648" s="50">
        <v>85.92</v>
      </c>
      <c r="K1648" t="s">
        <v>1618</v>
      </c>
      <c r="M1648" t="s">
        <v>1627</v>
      </c>
      <c r="N1648">
        <v>15.12</v>
      </c>
      <c r="O1648" s="49">
        <v>44426</v>
      </c>
      <c r="P1648" s="50">
        <v>38.664000000000001</v>
      </c>
    </row>
    <row r="1649" spans="4:16" x14ac:dyDescent="0.2">
      <c r="D1649">
        <v>100000991</v>
      </c>
      <c r="E1649" s="49">
        <v>44881</v>
      </c>
      <c r="F1649" t="s">
        <v>2872</v>
      </c>
      <c r="G1649" t="s">
        <v>1729</v>
      </c>
      <c r="H1649">
        <v>3</v>
      </c>
      <c r="I1649">
        <v>78.06</v>
      </c>
      <c r="J1649" s="50">
        <v>234.18</v>
      </c>
      <c r="K1649" t="s">
        <v>1618</v>
      </c>
      <c r="L1649" t="s">
        <v>2055</v>
      </c>
      <c r="M1649" t="s">
        <v>1621</v>
      </c>
      <c r="N1649">
        <v>41.2</v>
      </c>
      <c r="O1649" s="49">
        <v>44883</v>
      </c>
      <c r="P1649" s="50">
        <v>105.381</v>
      </c>
    </row>
    <row r="1650" spans="4:16" x14ac:dyDescent="0.2">
      <c r="D1650">
        <v>100000991</v>
      </c>
      <c r="E1650" s="49">
        <v>45372</v>
      </c>
      <c r="F1650" t="s">
        <v>2872</v>
      </c>
      <c r="G1650" t="s">
        <v>1687</v>
      </c>
      <c r="H1650">
        <v>3</v>
      </c>
      <c r="I1650">
        <v>15.95</v>
      </c>
      <c r="J1650" s="50">
        <v>47.849999999999987</v>
      </c>
      <c r="K1650" t="s">
        <v>1618</v>
      </c>
      <c r="L1650" t="s">
        <v>2055</v>
      </c>
      <c r="M1650" t="s">
        <v>1621</v>
      </c>
      <c r="N1650">
        <v>8.42</v>
      </c>
      <c r="O1650" s="49">
        <v>45376</v>
      </c>
      <c r="P1650" s="50">
        <v>21.532499999999995</v>
      </c>
    </row>
    <row r="1651" spans="4:16" x14ac:dyDescent="0.2">
      <c r="D1651">
        <v>100000991</v>
      </c>
      <c r="E1651" s="49">
        <v>44711</v>
      </c>
      <c r="F1651" t="s">
        <v>2872</v>
      </c>
      <c r="G1651" t="s">
        <v>1695</v>
      </c>
      <c r="H1651">
        <v>1</v>
      </c>
      <c r="I1651">
        <v>103.41</v>
      </c>
      <c r="J1651" s="50">
        <v>103.41</v>
      </c>
      <c r="K1651" t="s">
        <v>1618</v>
      </c>
      <c r="L1651" t="s">
        <v>2055</v>
      </c>
      <c r="M1651" t="s">
        <v>1627</v>
      </c>
      <c r="N1651">
        <v>54.58</v>
      </c>
      <c r="O1651" s="49">
        <v>44714</v>
      </c>
      <c r="P1651" s="50">
        <v>46.534500000000001</v>
      </c>
    </row>
    <row r="1652" spans="4:16" x14ac:dyDescent="0.2">
      <c r="D1652">
        <v>100000991</v>
      </c>
      <c r="E1652" s="49">
        <v>44714</v>
      </c>
      <c r="F1652" t="s">
        <v>2872</v>
      </c>
      <c r="G1652" t="s">
        <v>2658</v>
      </c>
      <c r="H1652">
        <v>6</v>
      </c>
      <c r="I1652">
        <v>33.96</v>
      </c>
      <c r="J1652" s="50">
        <v>203.76</v>
      </c>
      <c r="K1652" t="s">
        <v>1618</v>
      </c>
      <c r="L1652" t="s">
        <v>2055</v>
      </c>
      <c r="M1652" t="s">
        <v>1624</v>
      </c>
      <c r="N1652">
        <v>17.920000000000002</v>
      </c>
      <c r="O1652" s="49">
        <v>44717</v>
      </c>
      <c r="P1652" s="50">
        <v>91.691999999999993</v>
      </c>
    </row>
    <row r="1653" spans="4:16" x14ac:dyDescent="0.2">
      <c r="D1653">
        <v>100000992</v>
      </c>
      <c r="E1653" s="49">
        <v>44252</v>
      </c>
      <c r="F1653" t="s">
        <v>2873</v>
      </c>
      <c r="G1653" t="s">
        <v>1787</v>
      </c>
      <c r="H1653">
        <v>8</v>
      </c>
      <c r="I1653">
        <v>101.57</v>
      </c>
      <c r="J1653" s="50">
        <v>812.56</v>
      </c>
      <c r="K1653" t="s">
        <v>1618</v>
      </c>
      <c r="M1653" t="s">
        <v>1629</v>
      </c>
      <c r="N1653">
        <v>53.61</v>
      </c>
      <c r="O1653" s="49">
        <v>44256</v>
      </c>
      <c r="P1653" s="50">
        <v>365.65199999999999</v>
      </c>
    </row>
    <row r="1654" spans="4:16" x14ac:dyDescent="0.2">
      <c r="D1654">
        <v>100000992</v>
      </c>
      <c r="E1654" s="49">
        <v>44905</v>
      </c>
      <c r="F1654" t="s">
        <v>2873</v>
      </c>
      <c r="G1654" t="s">
        <v>2155</v>
      </c>
      <c r="H1654">
        <v>8</v>
      </c>
      <c r="I1654">
        <v>40.56</v>
      </c>
      <c r="J1654" s="50">
        <v>324.48</v>
      </c>
      <c r="K1654" t="s">
        <v>1618</v>
      </c>
      <c r="M1654" t="s">
        <v>1619</v>
      </c>
      <c r="N1654">
        <v>21.41</v>
      </c>
      <c r="O1654" s="49">
        <v>44910</v>
      </c>
      <c r="P1654" s="50">
        <v>146.01600000000002</v>
      </c>
    </row>
    <row r="1655" spans="4:16" x14ac:dyDescent="0.2">
      <c r="D1655">
        <v>100000993</v>
      </c>
      <c r="E1655" s="49">
        <v>44946</v>
      </c>
      <c r="F1655" t="s">
        <v>2874</v>
      </c>
      <c r="G1655" t="s">
        <v>1973</v>
      </c>
      <c r="H1655">
        <v>7</v>
      </c>
      <c r="I1655">
        <v>110.54</v>
      </c>
      <c r="J1655" s="50">
        <v>773.78000000000009</v>
      </c>
      <c r="K1655" t="s">
        <v>1618</v>
      </c>
      <c r="M1655" t="s">
        <v>1624</v>
      </c>
      <c r="N1655">
        <v>58.34</v>
      </c>
      <c r="O1655" s="49">
        <v>44949</v>
      </c>
      <c r="P1655" s="50">
        <v>348.20100000000002</v>
      </c>
    </row>
    <row r="1656" spans="4:16" x14ac:dyDescent="0.2">
      <c r="D1656">
        <v>100000993</v>
      </c>
      <c r="E1656" s="49">
        <v>45118</v>
      </c>
      <c r="F1656" t="s">
        <v>2874</v>
      </c>
      <c r="G1656" t="s">
        <v>1797</v>
      </c>
      <c r="H1656">
        <v>2</v>
      </c>
      <c r="I1656">
        <v>69.5</v>
      </c>
      <c r="J1656" s="50">
        <v>139</v>
      </c>
      <c r="K1656" t="s">
        <v>1618</v>
      </c>
      <c r="M1656" t="s">
        <v>1627</v>
      </c>
      <c r="N1656">
        <v>36.68</v>
      </c>
      <c r="O1656" s="49">
        <v>45122</v>
      </c>
      <c r="P1656" s="50">
        <v>62.550000000000004</v>
      </c>
    </row>
    <row r="1657" spans="4:16" x14ac:dyDescent="0.2">
      <c r="D1657">
        <v>100000994</v>
      </c>
      <c r="E1657" s="49">
        <v>45488</v>
      </c>
      <c r="F1657" t="s">
        <v>2875</v>
      </c>
      <c r="G1657" t="s">
        <v>1902</v>
      </c>
      <c r="H1657">
        <v>1</v>
      </c>
      <c r="I1657">
        <v>107.23</v>
      </c>
      <c r="J1657" s="50">
        <v>107.23</v>
      </c>
      <c r="K1657" t="s">
        <v>1618</v>
      </c>
      <c r="M1657" t="s">
        <v>1619</v>
      </c>
      <c r="N1657">
        <v>56.59</v>
      </c>
      <c r="O1657" s="49">
        <v>45490</v>
      </c>
      <c r="P1657" s="50">
        <v>48.253500000000003</v>
      </c>
    </row>
    <row r="1658" spans="4:16" x14ac:dyDescent="0.2">
      <c r="D1658">
        <v>100000995</v>
      </c>
      <c r="E1658" s="49">
        <v>45402</v>
      </c>
      <c r="F1658" t="s">
        <v>2876</v>
      </c>
      <c r="G1658" t="s">
        <v>1665</v>
      </c>
      <c r="H1658">
        <v>5</v>
      </c>
      <c r="I1658">
        <v>65.819999999999993</v>
      </c>
      <c r="J1658" s="50">
        <v>329.1</v>
      </c>
      <c r="K1658" t="s">
        <v>1632</v>
      </c>
      <c r="M1658" t="s">
        <v>1619</v>
      </c>
      <c r="N1658">
        <v>34.74</v>
      </c>
      <c r="O1658" s="49">
        <v>45403</v>
      </c>
      <c r="P1658" s="50">
        <v>148.09500000000003</v>
      </c>
    </row>
    <row r="1659" spans="4:16" x14ac:dyDescent="0.2">
      <c r="D1659">
        <v>100000995</v>
      </c>
      <c r="E1659" s="49">
        <v>44945</v>
      </c>
      <c r="F1659" t="s">
        <v>2876</v>
      </c>
      <c r="G1659" t="s">
        <v>1868</v>
      </c>
      <c r="H1659">
        <v>9</v>
      </c>
      <c r="I1659">
        <v>32.56</v>
      </c>
      <c r="J1659" s="50">
        <v>293.04000000000002</v>
      </c>
      <c r="K1659" t="s">
        <v>1632</v>
      </c>
      <c r="M1659" t="s">
        <v>1629</v>
      </c>
      <c r="N1659">
        <v>17.18</v>
      </c>
      <c r="O1659" s="49">
        <v>44949</v>
      </c>
      <c r="P1659" s="50">
        <v>131.86800000000002</v>
      </c>
    </row>
    <row r="1660" spans="4:16" x14ac:dyDescent="0.2">
      <c r="D1660">
        <v>100000998</v>
      </c>
      <c r="E1660" s="49">
        <v>44633</v>
      </c>
      <c r="F1660" t="s">
        <v>2877</v>
      </c>
      <c r="G1660" t="s">
        <v>1805</v>
      </c>
      <c r="H1660">
        <v>10</v>
      </c>
      <c r="I1660">
        <v>110.24</v>
      </c>
      <c r="J1660" s="50">
        <v>1102.4000000000001</v>
      </c>
      <c r="K1660" t="s">
        <v>1632</v>
      </c>
      <c r="M1660" t="s">
        <v>1621</v>
      </c>
      <c r="N1660">
        <v>58.18</v>
      </c>
      <c r="O1660" s="49">
        <v>44635</v>
      </c>
      <c r="P1660" s="50">
        <v>496.08000000000004</v>
      </c>
    </row>
    <row r="1661" spans="4:16" x14ac:dyDescent="0.2">
      <c r="D1661">
        <v>100000998</v>
      </c>
      <c r="E1661" s="49">
        <v>45142</v>
      </c>
      <c r="F1661" t="s">
        <v>2877</v>
      </c>
      <c r="G1661" t="s">
        <v>1728</v>
      </c>
      <c r="H1661">
        <v>6</v>
      </c>
      <c r="I1661">
        <v>78.89</v>
      </c>
      <c r="J1661" s="50">
        <v>473.34</v>
      </c>
      <c r="K1661" t="s">
        <v>1632</v>
      </c>
      <c r="M1661" t="s">
        <v>1627</v>
      </c>
      <c r="N1661">
        <v>41.64</v>
      </c>
      <c r="O1661" s="49">
        <v>45147</v>
      </c>
      <c r="P1661" s="50">
        <v>213.00299999999999</v>
      </c>
    </row>
    <row r="1662" spans="4:16" x14ac:dyDescent="0.2">
      <c r="D1662">
        <v>100000998</v>
      </c>
      <c r="E1662" s="49">
        <v>44927</v>
      </c>
      <c r="F1662" t="s">
        <v>2877</v>
      </c>
      <c r="G1662" t="s">
        <v>1973</v>
      </c>
      <c r="H1662">
        <v>2</v>
      </c>
      <c r="I1662">
        <v>88.25</v>
      </c>
      <c r="J1662" s="50">
        <v>176.5</v>
      </c>
      <c r="K1662" t="s">
        <v>1632</v>
      </c>
      <c r="M1662" t="s">
        <v>1621</v>
      </c>
      <c r="N1662">
        <v>46.58</v>
      </c>
      <c r="O1662" s="49">
        <v>44930</v>
      </c>
      <c r="P1662" s="50">
        <v>79.424999999999997</v>
      </c>
    </row>
    <row r="1663" spans="4:16" x14ac:dyDescent="0.2">
      <c r="D1663">
        <v>100000999</v>
      </c>
      <c r="E1663" s="49">
        <v>44873</v>
      </c>
      <c r="F1663" t="s">
        <v>2878</v>
      </c>
      <c r="G1663" t="s">
        <v>1902</v>
      </c>
      <c r="H1663">
        <v>4</v>
      </c>
      <c r="I1663">
        <v>56.84</v>
      </c>
      <c r="J1663" s="50">
        <v>227.36</v>
      </c>
      <c r="K1663" t="s">
        <v>1632</v>
      </c>
      <c r="M1663" t="s">
        <v>1621</v>
      </c>
      <c r="N1663">
        <v>30</v>
      </c>
      <c r="O1663" s="49">
        <v>44876</v>
      </c>
      <c r="P1663" s="50">
        <v>102.31200000000001</v>
      </c>
    </row>
    <row r="1664" spans="4:16" x14ac:dyDescent="0.2">
      <c r="D1664">
        <v>100000999</v>
      </c>
      <c r="E1664" s="49">
        <v>44982</v>
      </c>
      <c r="F1664" t="s">
        <v>2878</v>
      </c>
      <c r="G1664" t="s">
        <v>1924</v>
      </c>
      <c r="H1664">
        <v>1</v>
      </c>
      <c r="I1664">
        <v>78.819999999999993</v>
      </c>
      <c r="J1664" s="50">
        <v>78.819999999999993</v>
      </c>
      <c r="K1664" t="s">
        <v>1632</v>
      </c>
      <c r="M1664" t="s">
        <v>1629</v>
      </c>
      <c r="N1664">
        <v>41.6</v>
      </c>
      <c r="O1664" s="49">
        <v>44985</v>
      </c>
      <c r="P1664" s="50">
        <v>35.469000000000001</v>
      </c>
    </row>
    <row r="1665" spans="4:16" x14ac:dyDescent="0.2">
      <c r="D1665">
        <v>100000999</v>
      </c>
      <c r="E1665" s="49">
        <v>44935</v>
      </c>
      <c r="F1665" t="s">
        <v>2878</v>
      </c>
      <c r="G1665" t="s">
        <v>2213</v>
      </c>
      <c r="H1665">
        <v>10</v>
      </c>
      <c r="I1665">
        <v>56.1</v>
      </c>
      <c r="J1665" s="50">
        <v>561</v>
      </c>
      <c r="K1665" t="s">
        <v>1632</v>
      </c>
      <c r="M1665" t="s">
        <v>1627</v>
      </c>
      <c r="N1665">
        <v>29.61</v>
      </c>
      <c r="O1665" s="49">
        <v>44936</v>
      </c>
      <c r="P1665" s="50">
        <v>252.45000000000002</v>
      </c>
    </row>
    <row r="1666" spans="4:16" x14ac:dyDescent="0.2">
      <c r="D1666">
        <v>100001000</v>
      </c>
      <c r="E1666" s="49">
        <v>44437</v>
      </c>
      <c r="F1666" t="s">
        <v>2879</v>
      </c>
      <c r="G1666" t="s">
        <v>2202</v>
      </c>
      <c r="H1666">
        <v>3</v>
      </c>
      <c r="I1666">
        <v>72.989999999999995</v>
      </c>
      <c r="J1666" s="50">
        <v>218.97</v>
      </c>
      <c r="K1666" t="s">
        <v>1618</v>
      </c>
      <c r="M1666" t="s">
        <v>1624</v>
      </c>
      <c r="N1666">
        <v>38.520000000000003</v>
      </c>
      <c r="O1666" s="49">
        <v>44442</v>
      </c>
      <c r="P1666" s="50">
        <v>98.536500000000004</v>
      </c>
    </row>
    <row r="1667" spans="4:16" x14ac:dyDescent="0.2">
      <c r="D1667">
        <v>100001001</v>
      </c>
      <c r="E1667" s="49">
        <v>44639</v>
      </c>
      <c r="F1667" t="s">
        <v>2880</v>
      </c>
      <c r="G1667" t="s">
        <v>2003</v>
      </c>
      <c r="H1667">
        <v>3</v>
      </c>
      <c r="I1667">
        <v>115.8</v>
      </c>
      <c r="J1667" s="50">
        <v>347.4</v>
      </c>
      <c r="K1667" t="s">
        <v>1618</v>
      </c>
      <c r="M1667" t="s">
        <v>1621</v>
      </c>
      <c r="N1667">
        <v>61.12</v>
      </c>
      <c r="O1667" s="49">
        <v>44644</v>
      </c>
      <c r="P1667" s="50">
        <v>156.32999999999998</v>
      </c>
    </row>
    <row r="1668" spans="4:16" x14ac:dyDescent="0.2">
      <c r="D1668">
        <v>100001001</v>
      </c>
      <c r="E1668" s="49">
        <v>44942</v>
      </c>
      <c r="F1668" t="s">
        <v>2880</v>
      </c>
      <c r="G1668" t="s">
        <v>1699</v>
      </c>
      <c r="H1668">
        <v>6</v>
      </c>
      <c r="I1668">
        <v>20.41</v>
      </c>
      <c r="J1668" s="50">
        <v>122.46</v>
      </c>
      <c r="K1668" t="s">
        <v>1618</v>
      </c>
      <c r="M1668" t="s">
        <v>1629</v>
      </c>
      <c r="N1668">
        <v>10.77</v>
      </c>
      <c r="O1668" s="49">
        <v>44946</v>
      </c>
      <c r="P1668" s="50">
        <v>55.106999999999999</v>
      </c>
    </row>
    <row r="1669" spans="4:16" x14ac:dyDescent="0.2">
      <c r="D1669">
        <v>100001001</v>
      </c>
      <c r="E1669" s="49">
        <v>44400</v>
      </c>
      <c r="F1669" t="s">
        <v>2880</v>
      </c>
      <c r="G1669" t="s">
        <v>1982</v>
      </c>
      <c r="H1669">
        <v>6</v>
      </c>
      <c r="I1669">
        <v>47.18</v>
      </c>
      <c r="J1669" s="50">
        <v>283.08</v>
      </c>
      <c r="K1669" t="s">
        <v>1618</v>
      </c>
      <c r="M1669" t="s">
        <v>1624</v>
      </c>
      <c r="N1669">
        <v>24.9</v>
      </c>
      <c r="O1669" s="49">
        <v>44404</v>
      </c>
      <c r="P1669" s="50">
        <v>127.386</v>
      </c>
    </row>
    <row r="1670" spans="4:16" x14ac:dyDescent="0.2">
      <c r="D1670">
        <v>100001002</v>
      </c>
      <c r="E1670" s="49">
        <v>45047</v>
      </c>
      <c r="F1670" t="s">
        <v>2881</v>
      </c>
      <c r="G1670" t="s">
        <v>2090</v>
      </c>
      <c r="H1670">
        <v>2</v>
      </c>
      <c r="I1670">
        <v>45.91</v>
      </c>
      <c r="J1670" s="50">
        <v>91.82</v>
      </c>
      <c r="K1670" t="s">
        <v>1632</v>
      </c>
      <c r="L1670" t="s">
        <v>2882</v>
      </c>
      <c r="M1670" t="s">
        <v>1624</v>
      </c>
      <c r="N1670">
        <v>24.23</v>
      </c>
      <c r="O1670" s="49">
        <v>45048</v>
      </c>
      <c r="P1670" s="50">
        <v>41.318999999999996</v>
      </c>
    </row>
    <row r="1671" spans="4:16" x14ac:dyDescent="0.2">
      <c r="D1671">
        <v>100001002</v>
      </c>
      <c r="E1671" s="49">
        <v>45651</v>
      </c>
      <c r="F1671" t="s">
        <v>2881</v>
      </c>
      <c r="G1671" t="s">
        <v>1712</v>
      </c>
      <c r="H1671">
        <v>9</v>
      </c>
      <c r="I1671">
        <v>61.09</v>
      </c>
      <c r="J1671" s="50">
        <v>549.81000000000006</v>
      </c>
      <c r="K1671" t="s">
        <v>1632</v>
      </c>
      <c r="L1671" t="s">
        <v>2882</v>
      </c>
      <c r="M1671" t="s">
        <v>1629</v>
      </c>
      <c r="N1671">
        <v>32.24</v>
      </c>
      <c r="O1671" s="49">
        <v>45656</v>
      </c>
      <c r="P1671" s="50">
        <v>247.41450000000003</v>
      </c>
    </row>
    <row r="1672" spans="4:16" x14ac:dyDescent="0.2">
      <c r="D1672">
        <v>100001004</v>
      </c>
      <c r="E1672" s="49">
        <v>45217</v>
      </c>
      <c r="F1672" t="s">
        <v>2883</v>
      </c>
      <c r="G1672" t="s">
        <v>1691</v>
      </c>
      <c r="H1672">
        <v>7</v>
      </c>
      <c r="I1672">
        <v>50.17</v>
      </c>
      <c r="J1672" s="50">
        <v>351.19</v>
      </c>
      <c r="K1672" t="s">
        <v>1632</v>
      </c>
      <c r="M1672" t="s">
        <v>1621</v>
      </c>
      <c r="N1672">
        <v>26.48</v>
      </c>
      <c r="O1672" s="49">
        <v>45219</v>
      </c>
      <c r="P1672" s="50">
        <v>158.03550000000001</v>
      </c>
    </row>
    <row r="1673" spans="4:16" x14ac:dyDescent="0.2">
      <c r="D1673">
        <v>100001005</v>
      </c>
      <c r="E1673" s="49">
        <v>45171</v>
      </c>
      <c r="F1673" t="s">
        <v>2884</v>
      </c>
      <c r="G1673" t="s">
        <v>2136</v>
      </c>
      <c r="H1673">
        <v>1</v>
      </c>
      <c r="I1673">
        <v>112.87</v>
      </c>
      <c r="J1673" s="50">
        <v>112.87</v>
      </c>
      <c r="K1673" t="s">
        <v>1618</v>
      </c>
      <c r="M1673" t="s">
        <v>1629</v>
      </c>
      <c r="N1673">
        <v>59.57</v>
      </c>
      <c r="O1673" s="49">
        <v>45173</v>
      </c>
      <c r="P1673" s="50">
        <v>50.791500000000006</v>
      </c>
    </row>
    <row r="1674" spans="4:16" x14ac:dyDescent="0.2">
      <c r="D1674">
        <v>100001006</v>
      </c>
      <c r="E1674" s="49">
        <v>44377</v>
      </c>
      <c r="F1674" t="s">
        <v>2885</v>
      </c>
      <c r="G1674" t="s">
        <v>1681</v>
      </c>
      <c r="H1674">
        <v>1</v>
      </c>
      <c r="I1674">
        <v>78.459999999999994</v>
      </c>
      <c r="J1674" s="50">
        <v>78.459999999999994</v>
      </c>
      <c r="K1674" t="s">
        <v>1632</v>
      </c>
      <c r="M1674" t="s">
        <v>1621</v>
      </c>
      <c r="N1674">
        <v>41.41</v>
      </c>
      <c r="O1674" s="49">
        <v>44382</v>
      </c>
      <c r="P1674" s="50">
        <v>35.306999999999995</v>
      </c>
    </row>
    <row r="1675" spans="4:16" x14ac:dyDescent="0.2">
      <c r="D1675">
        <v>100001006</v>
      </c>
      <c r="E1675" s="49">
        <v>44879</v>
      </c>
      <c r="F1675" t="s">
        <v>2885</v>
      </c>
      <c r="G1675" t="s">
        <v>1880</v>
      </c>
      <c r="H1675">
        <v>5</v>
      </c>
      <c r="I1675">
        <v>16.37</v>
      </c>
      <c r="J1675" s="50">
        <v>81.850000000000009</v>
      </c>
      <c r="K1675" t="s">
        <v>1632</v>
      </c>
      <c r="M1675" t="s">
        <v>1621</v>
      </c>
      <c r="N1675">
        <v>8.64</v>
      </c>
      <c r="O1675" s="49">
        <v>44881</v>
      </c>
      <c r="P1675" s="50">
        <v>36.832500000000003</v>
      </c>
    </row>
    <row r="1676" spans="4:16" x14ac:dyDescent="0.2">
      <c r="D1676">
        <v>100001006</v>
      </c>
      <c r="E1676" s="49">
        <v>45227</v>
      </c>
      <c r="F1676" t="s">
        <v>2885</v>
      </c>
      <c r="G1676" t="s">
        <v>2151</v>
      </c>
      <c r="H1676">
        <v>10</v>
      </c>
      <c r="I1676">
        <v>22.16</v>
      </c>
      <c r="J1676" s="50">
        <v>221.6</v>
      </c>
      <c r="K1676" t="s">
        <v>1632</v>
      </c>
      <c r="M1676" t="s">
        <v>1619</v>
      </c>
      <c r="N1676">
        <v>11.7</v>
      </c>
      <c r="O1676" s="49">
        <v>45232</v>
      </c>
      <c r="P1676" s="50">
        <v>99.72</v>
      </c>
    </row>
    <row r="1677" spans="4:16" x14ac:dyDescent="0.2">
      <c r="D1677">
        <v>100001007</v>
      </c>
      <c r="E1677" s="49">
        <v>44269</v>
      </c>
      <c r="F1677" t="s">
        <v>2886</v>
      </c>
      <c r="G1677" t="s">
        <v>2357</v>
      </c>
      <c r="H1677">
        <v>7</v>
      </c>
      <c r="I1677">
        <v>38.479999999999997</v>
      </c>
      <c r="J1677" s="50">
        <v>269.36</v>
      </c>
      <c r="K1677" t="s">
        <v>1618</v>
      </c>
      <c r="M1677" t="s">
        <v>1624</v>
      </c>
      <c r="N1677">
        <v>20.309999999999999</v>
      </c>
      <c r="O1677" s="49">
        <v>44272</v>
      </c>
      <c r="P1677" s="50">
        <v>121.212</v>
      </c>
    </row>
    <row r="1678" spans="4:16" x14ac:dyDescent="0.2">
      <c r="D1678">
        <v>100001008</v>
      </c>
      <c r="E1678" s="49">
        <v>44294</v>
      </c>
      <c r="F1678" t="s">
        <v>2887</v>
      </c>
      <c r="G1678" t="s">
        <v>1918</v>
      </c>
      <c r="H1678">
        <v>9</v>
      </c>
      <c r="I1678">
        <v>32.39</v>
      </c>
      <c r="J1678" s="50">
        <v>291.51</v>
      </c>
      <c r="K1678" t="s">
        <v>1618</v>
      </c>
      <c r="M1678" t="s">
        <v>1619</v>
      </c>
      <c r="N1678">
        <v>17.09</v>
      </c>
      <c r="O1678" s="49">
        <v>44299</v>
      </c>
      <c r="P1678" s="50">
        <v>131.17949999999999</v>
      </c>
    </row>
    <row r="1679" spans="4:16" x14ac:dyDescent="0.2">
      <c r="D1679">
        <v>100001008</v>
      </c>
      <c r="E1679" s="49">
        <v>44686</v>
      </c>
      <c r="F1679" t="s">
        <v>2887</v>
      </c>
      <c r="G1679" t="s">
        <v>1649</v>
      </c>
      <c r="H1679">
        <v>9</v>
      </c>
      <c r="I1679">
        <v>115.26</v>
      </c>
      <c r="J1679" s="50">
        <v>1037.3399999999999</v>
      </c>
      <c r="K1679" t="s">
        <v>1618</v>
      </c>
      <c r="M1679" t="s">
        <v>1621</v>
      </c>
      <c r="N1679">
        <v>60.83</v>
      </c>
      <c r="O1679" s="49">
        <v>44687</v>
      </c>
      <c r="P1679" s="50">
        <v>466.803</v>
      </c>
    </row>
    <row r="1680" spans="4:16" x14ac:dyDescent="0.2">
      <c r="D1680">
        <v>100001008</v>
      </c>
      <c r="E1680" s="49">
        <v>45077</v>
      </c>
      <c r="F1680" t="s">
        <v>2887</v>
      </c>
      <c r="G1680" t="s">
        <v>1670</v>
      </c>
      <c r="H1680">
        <v>5</v>
      </c>
      <c r="I1680">
        <v>95.32</v>
      </c>
      <c r="J1680" s="50">
        <v>476.6</v>
      </c>
      <c r="K1680" t="s">
        <v>1618</v>
      </c>
      <c r="M1680" t="s">
        <v>1624</v>
      </c>
      <c r="N1680">
        <v>50.31</v>
      </c>
      <c r="O1680" s="49">
        <v>45080</v>
      </c>
      <c r="P1680" s="50">
        <v>214.47000000000003</v>
      </c>
    </row>
    <row r="1681" spans="4:16" x14ac:dyDescent="0.2">
      <c r="D1681">
        <v>100001008</v>
      </c>
      <c r="E1681" s="49">
        <v>45564</v>
      </c>
      <c r="F1681" t="s">
        <v>2887</v>
      </c>
      <c r="G1681" t="s">
        <v>1665</v>
      </c>
      <c r="H1681">
        <v>7</v>
      </c>
      <c r="I1681">
        <v>41.94</v>
      </c>
      <c r="J1681" s="50">
        <v>293.58</v>
      </c>
      <c r="K1681" t="s">
        <v>1618</v>
      </c>
      <c r="M1681" t="s">
        <v>1619</v>
      </c>
      <c r="N1681">
        <v>22.13</v>
      </c>
      <c r="O1681" s="49">
        <v>45568</v>
      </c>
      <c r="P1681" s="50">
        <v>132.11099999999999</v>
      </c>
    </row>
    <row r="1682" spans="4:16" x14ac:dyDescent="0.2">
      <c r="D1682">
        <v>100001008</v>
      </c>
      <c r="E1682" s="49">
        <v>45415</v>
      </c>
      <c r="F1682" t="s">
        <v>2887</v>
      </c>
      <c r="G1682" t="s">
        <v>1859</v>
      </c>
      <c r="H1682">
        <v>10</v>
      </c>
      <c r="I1682">
        <v>93.08</v>
      </c>
      <c r="J1682" s="50">
        <v>930.8</v>
      </c>
      <c r="K1682" t="s">
        <v>1618</v>
      </c>
      <c r="M1682" t="s">
        <v>1619</v>
      </c>
      <c r="N1682">
        <v>49.13</v>
      </c>
      <c r="O1682" s="49">
        <v>45419</v>
      </c>
      <c r="P1682" s="50">
        <v>418.86</v>
      </c>
    </row>
    <row r="1683" spans="4:16" x14ac:dyDescent="0.2">
      <c r="D1683">
        <v>100001008</v>
      </c>
      <c r="E1683" s="49">
        <v>44934</v>
      </c>
      <c r="F1683" t="s">
        <v>2887</v>
      </c>
      <c r="G1683" t="s">
        <v>2025</v>
      </c>
      <c r="H1683">
        <v>8</v>
      </c>
      <c r="I1683">
        <v>110.22</v>
      </c>
      <c r="J1683" s="50">
        <v>881.76</v>
      </c>
      <c r="K1683" t="s">
        <v>1618</v>
      </c>
      <c r="M1683" t="s">
        <v>1624</v>
      </c>
      <c r="N1683">
        <v>58.17</v>
      </c>
      <c r="O1683" s="49">
        <v>44939</v>
      </c>
      <c r="P1683" s="50">
        <v>396.79200000000003</v>
      </c>
    </row>
    <row r="1684" spans="4:16" x14ac:dyDescent="0.2">
      <c r="D1684">
        <v>100001010</v>
      </c>
      <c r="E1684" s="49">
        <v>44667</v>
      </c>
      <c r="F1684" t="s">
        <v>2888</v>
      </c>
      <c r="G1684" t="s">
        <v>1676</v>
      </c>
      <c r="H1684">
        <v>7</v>
      </c>
      <c r="I1684">
        <v>68.489999999999995</v>
      </c>
      <c r="J1684" s="50">
        <v>479.42999999999989</v>
      </c>
      <c r="K1684" t="s">
        <v>1618</v>
      </c>
      <c r="M1684" t="s">
        <v>1619</v>
      </c>
      <c r="N1684">
        <v>36.15</v>
      </c>
      <c r="O1684" s="49">
        <v>44669</v>
      </c>
      <c r="P1684" s="50">
        <v>215.74349999999995</v>
      </c>
    </row>
    <row r="1685" spans="4:16" x14ac:dyDescent="0.2">
      <c r="D1685">
        <v>100001014</v>
      </c>
      <c r="E1685" s="49">
        <v>44794</v>
      </c>
      <c r="F1685" t="s">
        <v>2889</v>
      </c>
      <c r="G1685" t="s">
        <v>2191</v>
      </c>
      <c r="H1685">
        <v>8</v>
      </c>
      <c r="I1685">
        <v>100.35</v>
      </c>
      <c r="J1685" s="50">
        <v>802.8</v>
      </c>
      <c r="K1685" t="s">
        <v>1618</v>
      </c>
      <c r="L1685" t="s">
        <v>1684</v>
      </c>
      <c r="M1685" t="s">
        <v>1624</v>
      </c>
      <c r="N1685">
        <v>52.96</v>
      </c>
      <c r="O1685" s="49">
        <v>44796</v>
      </c>
      <c r="P1685" s="50">
        <v>361.26</v>
      </c>
    </row>
    <row r="1686" spans="4:16" x14ac:dyDescent="0.2">
      <c r="D1686">
        <v>100001016</v>
      </c>
      <c r="E1686" s="49">
        <v>44527</v>
      </c>
      <c r="F1686" t="s">
        <v>2890</v>
      </c>
      <c r="G1686" t="s">
        <v>1651</v>
      </c>
      <c r="H1686">
        <v>10</v>
      </c>
      <c r="I1686">
        <v>51.64</v>
      </c>
      <c r="J1686" s="50">
        <v>516.4</v>
      </c>
      <c r="K1686" t="s">
        <v>1618</v>
      </c>
      <c r="M1686" t="s">
        <v>1619</v>
      </c>
      <c r="N1686">
        <v>27.25</v>
      </c>
      <c r="O1686" s="49">
        <v>44529</v>
      </c>
      <c r="P1686" s="50">
        <v>232.38</v>
      </c>
    </row>
    <row r="1687" spans="4:16" x14ac:dyDescent="0.2">
      <c r="D1687">
        <v>100001017</v>
      </c>
      <c r="E1687" s="49">
        <v>44351</v>
      </c>
      <c r="F1687" t="s">
        <v>2891</v>
      </c>
      <c r="G1687" t="s">
        <v>2230</v>
      </c>
      <c r="H1687">
        <v>1</v>
      </c>
      <c r="I1687">
        <v>112</v>
      </c>
      <c r="J1687" s="50">
        <v>112</v>
      </c>
      <c r="K1687" t="s">
        <v>1618</v>
      </c>
      <c r="M1687" t="s">
        <v>1621</v>
      </c>
      <c r="N1687">
        <v>59.11</v>
      </c>
      <c r="O1687" s="49">
        <v>44354</v>
      </c>
      <c r="P1687" s="50">
        <v>50.4</v>
      </c>
    </row>
    <row r="1688" spans="4:16" x14ac:dyDescent="0.2">
      <c r="D1688">
        <v>100001018</v>
      </c>
      <c r="E1688" s="49">
        <v>44845</v>
      </c>
      <c r="F1688" t="s">
        <v>2892</v>
      </c>
      <c r="G1688" t="s">
        <v>1675</v>
      </c>
      <c r="H1688">
        <v>4</v>
      </c>
      <c r="I1688">
        <v>36.26</v>
      </c>
      <c r="J1688" s="50">
        <v>145.04</v>
      </c>
      <c r="K1688" t="s">
        <v>1632</v>
      </c>
      <c r="M1688" t="s">
        <v>1629</v>
      </c>
      <c r="N1688">
        <v>19.14</v>
      </c>
      <c r="O1688" s="49">
        <v>44848</v>
      </c>
      <c r="P1688" s="50">
        <v>65.268000000000001</v>
      </c>
    </row>
    <row r="1689" spans="4:16" x14ac:dyDescent="0.2">
      <c r="D1689">
        <v>100001020</v>
      </c>
      <c r="E1689" s="49">
        <v>44533</v>
      </c>
      <c r="F1689" t="s">
        <v>2893</v>
      </c>
      <c r="G1689" t="s">
        <v>2328</v>
      </c>
      <c r="H1689">
        <v>4</v>
      </c>
      <c r="I1689">
        <v>24.51</v>
      </c>
      <c r="J1689" s="50">
        <v>98.04</v>
      </c>
      <c r="K1689" t="s">
        <v>1632</v>
      </c>
      <c r="L1689" t="s">
        <v>2894</v>
      </c>
      <c r="M1689" t="s">
        <v>1624</v>
      </c>
      <c r="N1689">
        <v>12.94</v>
      </c>
      <c r="O1689" s="49">
        <v>44537</v>
      </c>
      <c r="P1689" s="50">
        <v>44.118000000000002</v>
      </c>
    </row>
    <row r="1690" spans="4:16" x14ac:dyDescent="0.2">
      <c r="D1690">
        <v>100001020</v>
      </c>
      <c r="E1690" s="49">
        <v>45558</v>
      </c>
      <c r="F1690" t="s">
        <v>2893</v>
      </c>
      <c r="G1690" t="s">
        <v>1710</v>
      </c>
      <c r="H1690">
        <v>8</v>
      </c>
      <c r="I1690">
        <v>107.49</v>
      </c>
      <c r="J1690" s="50">
        <v>859.92</v>
      </c>
      <c r="K1690" t="s">
        <v>1632</v>
      </c>
      <c r="L1690" t="s">
        <v>2894</v>
      </c>
      <c r="M1690" t="s">
        <v>1629</v>
      </c>
      <c r="N1690">
        <v>56.73</v>
      </c>
      <c r="O1690" s="49">
        <v>45559</v>
      </c>
      <c r="P1690" s="50">
        <v>386.964</v>
      </c>
    </row>
    <row r="1691" spans="4:16" x14ac:dyDescent="0.2">
      <c r="D1691">
        <v>100001020</v>
      </c>
      <c r="E1691" s="49">
        <v>45006</v>
      </c>
      <c r="F1691" t="s">
        <v>2893</v>
      </c>
      <c r="G1691" t="s">
        <v>1679</v>
      </c>
      <c r="H1691">
        <v>10</v>
      </c>
      <c r="I1691">
        <v>113.12</v>
      </c>
      <c r="J1691" s="50">
        <v>1131.2</v>
      </c>
      <c r="K1691" t="s">
        <v>1632</v>
      </c>
      <c r="L1691" t="s">
        <v>2894</v>
      </c>
      <c r="M1691" t="s">
        <v>1629</v>
      </c>
      <c r="N1691">
        <v>59.7</v>
      </c>
      <c r="O1691" s="49">
        <v>45009</v>
      </c>
      <c r="P1691" s="50">
        <v>509.04</v>
      </c>
    </row>
    <row r="1692" spans="4:16" x14ac:dyDescent="0.2">
      <c r="D1692">
        <v>100001023</v>
      </c>
      <c r="E1692" s="49">
        <v>44686</v>
      </c>
      <c r="F1692" t="s">
        <v>2895</v>
      </c>
      <c r="G1692" t="s">
        <v>2004</v>
      </c>
      <c r="H1692">
        <v>4</v>
      </c>
      <c r="I1692">
        <v>11.81</v>
      </c>
      <c r="J1692" s="50">
        <v>47.24</v>
      </c>
      <c r="K1692" t="s">
        <v>1632</v>
      </c>
      <c r="L1692" t="s">
        <v>2896</v>
      </c>
      <c r="M1692" t="s">
        <v>1619</v>
      </c>
      <c r="N1692">
        <v>6.23</v>
      </c>
      <c r="O1692" s="49">
        <v>44688</v>
      </c>
      <c r="P1692" s="50">
        <v>21.258000000000003</v>
      </c>
    </row>
    <row r="1693" spans="4:16" x14ac:dyDescent="0.2">
      <c r="D1693">
        <v>100001023</v>
      </c>
      <c r="E1693" s="49">
        <v>45462</v>
      </c>
      <c r="F1693" t="s">
        <v>2895</v>
      </c>
      <c r="G1693" t="s">
        <v>1913</v>
      </c>
      <c r="H1693">
        <v>4</v>
      </c>
      <c r="I1693">
        <v>18.48</v>
      </c>
      <c r="J1693" s="50">
        <v>73.92</v>
      </c>
      <c r="K1693" t="s">
        <v>1632</v>
      </c>
      <c r="L1693" t="s">
        <v>2896</v>
      </c>
      <c r="M1693" t="s">
        <v>1621</v>
      </c>
      <c r="N1693">
        <v>9.75</v>
      </c>
      <c r="O1693" s="49">
        <v>45463</v>
      </c>
      <c r="P1693" s="50">
        <v>33.264000000000003</v>
      </c>
    </row>
    <row r="1694" spans="4:16" x14ac:dyDescent="0.2">
      <c r="D1694">
        <v>100001023</v>
      </c>
      <c r="E1694" s="49">
        <v>44222</v>
      </c>
      <c r="F1694" t="s">
        <v>2895</v>
      </c>
      <c r="G1694" t="s">
        <v>2025</v>
      </c>
      <c r="H1694">
        <v>6</v>
      </c>
      <c r="I1694">
        <v>10.29</v>
      </c>
      <c r="J1694" s="50">
        <v>61.739999999999988</v>
      </c>
      <c r="K1694" t="s">
        <v>1632</v>
      </c>
      <c r="L1694" t="s">
        <v>2896</v>
      </c>
      <c r="M1694" t="s">
        <v>1621</v>
      </c>
      <c r="N1694">
        <v>5.43</v>
      </c>
      <c r="O1694" s="49">
        <v>44225</v>
      </c>
      <c r="P1694" s="50">
        <v>27.782999999999994</v>
      </c>
    </row>
    <row r="1695" spans="4:16" x14ac:dyDescent="0.2">
      <c r="D1695">
        <v>100001023</v>
      </c>
      <c r="E1695" s="49">
        <v>45305</v>
      </c>
      <c r="F1695" t="s">
        <v>2895</v>
      </c>
      <c r="G1695" t="s">
        <v>1819</v>
      </c>
      <c r="H1695">
        <v>8</v>
      </c>
      <c r="I1695">
        <v>100.17</v>
      </c>
      <c r="J1695" s="50">
        <v>801.36</v>
      </c>
      <c r="K1695" t="s">
        <v>1632</v>
      </c>
      <c r="L1695" t="s">
        <v>2896</v>
      </c>
      <c r="M1695" t="s">
        <v>1627</v>
      </c>
      <c r="N1695">
        <v>52.87</v>
      </c>
      <c r="O1695" s="49">
        <v>45306</v>
      </c>
      <c r="P1695" s="50">
        <v>360.61200000000002</v>
      </c>
    </row>
    <row r="1696" spans="4:16" x14ac:dyDescent="0.2">
      <c r="D1696">
        <v>100001023</v>
      </c>
      <c r="E1696" s="49">
        <v>45412</v>
      </c>
      <c r="F1696" t="s">
        <v>2895</v>
      </c>
      <c r="G1696" t="s">
        <v>2745</v>
      </c>
      <c r="H1696">
        <v>5</v>
      </c>
      <c r="I1696">
        <v>61.37</v>
      </c>
      <c r="J1696" s="50">
        <v>306.85000000000002</v>
      </c>
      <c r="K1696" t="s">
        <v>1632</v>
      </c>
      <c r="L1696" t="s">
        <v>2896</v>
      </c>
      <c r="M1696" t="s">
        <v>1621</v>
      </c>
      <c r="N1696">
        <v>32.39</v>
      </c>
      <c r="O1696" s="49">
        <v>45415</v>
      </c>
      <c r="P1696" s="50">
        <v>138.08250000000001</v>
      </c>
    </row>
    <row r="1697" spans="4:16" x14ac:dyDescent="0.2">
      <c r="D1697">
        <v>100001023</v>
      </c>
      <c r="E1697" s="49">
        <v>45397</v>
      </c>
      <c r="F1697" t="s">
        <v>2895</v>
      </c>
      <c r="G1697" t="s">
        <v>2048</v>
      </c>
      <c r="H1697">
        <v>2</v>
      </c>
      <c r="I1697">
        <v>104.65</v>
      </c>
      <c r="J1697" s="50">
        <v>209.3</v>
      </c>
      <c r="K1697" t="s">
        <v>1632</v>
      </c>
      <c r="L1697" t="s">
        <v>2896</v>
      </c>
      <c r="M1697" t="s">
        <v>1619</v>
      </c>
      <c r="N1697">
        <v>55.23</v>
      </c>
      <c r="O1697" s="49">
        <v>45401</v>
      </c>
      <c r="P1697" s="50">
        <v>94.185000000000002</v>
      </c>
    </row>
    <row r="1698" spans="4:16" x14ac:dyDescent="0.2">
      <c r="D1698">
        <v>100001024</v>
      </c>
      <c r="E1698" s="49">
        <v>44783</v>
      </c>
      <c r="F1698" t="s">
        <v>2897</v>
      </c>
      <c r="G1698" t="s">
        <v>2762</v>
      </c>
      <c r="H1698">
        <v>8</v>
      </c>
      <c r="I1698">
        <v>108.94</v>
      </c>
      <c r="J1698" s="50">
        <v>871.52</v>
      </c>
      <c r="K1698" t="s">
        <v>1632</v>
      </c>
      <c r="M1698" t="s">
        <v>1629</v>
      </c>
      <c r="N1698">
        <v>57.5</v>
      </c>
      <c r="O1698" s="49">
        <v>44788</v>
      </c>
      <c r="P1698" s="50">
        <v>392.18400000000003</v>
      </c>
    </row>
    <row r="1699" spans="4:16" x14ac:dyDescent="0.2">
      <c r="D1699">
        <v>100001025</v>
      </c>
      <c r="E1699" s="49">
        <v>44807</v>
      </c>
      <c r="F1699" t="s">
        <v>2898</v>
      </c>
      <c r="G1699" t="s">
        <v>1789</v>
      </c>
      <c r="H1699">
        <v>9</v>
      </c>
      <c r="I1699">
        <v>100.45</v>
      </c>
      <c r="J1699" s="50">
        <v>904.05000000000007</v>
      </c>
      <c r="K1699" t="s">
        <v>1632</v>
      </c>
      <c r="M1699" t="s">
        <v>1624</v>
      </c>
      <c r="N1699">
        <v>53.01</v>
      </c>
      <c r="O1699" s="49">
        <v>44812</v>
      </c>
      <c r="P1699" s="50">
        <v>406.82250000000005</v>
      </c>
    </row>
    <row r="1700" spans="4:16" x14ac:dyDescent="0.2">
      <c r="D1700">
        <v>100001025</v>
      </c>
      <c r="E1700" s="49">
        <v>44334</v>
      </c>
      <c r="F1700" t="s">
        <v>2898</v>
      </c>
      <c r="G1700" t="s">
        <v>1943</v>
      </c>
      <c r="H1700">
        <v>6</v>
      </c>
      <c r="I1700">
        <v>29.13</v>
      </c>
      <c r="J1700" s="50">
        <v>174.78</v>
      </c>
      <c r="K1700" t="s">
        <v>1632</v>
      </c>
      <c r="M1700" t="s">
        <v>1624</v>
      </c>
      <c r="N1700">
        <v>15.37</v>
      </c>
      <c r="O1700" s="49">
        <v>44336</v>
      </c>
      <c r="P1700" s="50">
        <v>78.650999999999996</v>
      </c>
    </row>
    <row r="1701" spans="4:16" x14ac:dyDescent="0.2">
      <c r="D1701">
        <v>100001025</v>
      </c>
      <c r="E1701" s="49">
        <v>45087</v>
      </c>
      <c r="F1701" t="s">
        <v>2898</v>
      </c>
      <c r="G1701" t="s">
        <v>2427</v>
      </c>
      <c r="H1701">
        <v>5</v>
      </c>
      <c r="I1701">
        <v>36.86</v>
      </c>
      <c r="J1701" s="50">
        <v>184.3</v>
      </c>
      <c r="K1701" t="s">
        <v>1632</v>
      </c>
      <c r="M1701" t="s">
        <v>1619</v>
      </c>
      <c r="N1701">
        <v>19.45</v>
      </c>
      <c r="O1701" s="49">
        <v>45092</v>
      </c>
      <c r="P1701" s="50">
        <v>82.935000000000002</v>
      </c>
    </row>
    <row r="1702" spans="4:16" x14ac:dyDescent="0.2">
      <c r="D1702">
        <v>100001025</v>
      </c>
      <c r="E1702" s="49">
        <v>44885</v>
      </c>
      <c r="F1702" t="s">
        <v>2898</v>
      </c>
      <c r="G1702" t="s">
        <v>1641</v>
      </c>
      <c r="H1702">
        <v>1</v>
      </c>
      <c r="I1702">
        <v>60.49</v>
      </c>
      <c r="J1702" s="50">
        <v>60.49</v>
      </c>
      <c r="K1702" t="s">
        <v>1632</v>
      </c>
      <c r="M1702" t="s">
        <v>1619</v>
      </c>
      <c r="N1702">
        <v>31.93</v>
      </c>
      <c r="O1702" s="49">
        <v>44888</v>
      </c>
      <c r="P1702" s="50">
        <v>27.220500000000001</v>
      </c>
    </row>
    <row r="1703" spans="4:16" x14ac:dyDescent="0.2">
      <c r="D1703">
        <v>100001025</v>
      </c>
      <c r="E1703" s="49">
        <v>45586</v>
      </c>
      <c r="F1703" t="s">
        <v>2898</v>
      </c>
      <c r="G1703" t="s">
        <v>2581</v>
      </c>
      <c r="H1703">
        <v>10</v>
      </c>
      <c r="I1703">
        <v>77.77</v>
      </c>
      <c r="J1703" s="50">
        <v>777.69999999999993</v>
      </c>
      <c r="K1703" t="s">
        <v>1632</v>
      </c>
      <c r="M1703" t="s">
        <v>1619</v>
      </c>
      <c r="N1703">
        <v>41.04</v>
      </c>
      <c r="O1703" s="49">
        <v>45588</v>
      </c>
      <c r="P1703" s="50">
        <v>349.96499999999997</v>
      </c>
    </row>
    <row r="1704" spans="4:16" x14ac:dyDescent="0.2">
      <c r="D1704">
        <v>100001026</v>
      </c>
      <c r="E1704" s="49">
        <v>44665</v>
      </c>
      <c r="F1704" t="s">
        <v>2899</v>
      </c>
      <c r="G1704" t="s">
        <v>1765</v>
      </c>
      <c r="H1704">
        <v>4</v>
      </c>
      <c r="I1704">
        <v>86.45</v>
      </c>
      <c r="J1704" s="50">
        <v>345.8</v>
      </c>
      <c r="K1704" t="s">
        <v>1632</v>
      </c>
      <c r="L1704" t="s">
        <v>2741</v>
      </c>
      <c r="M1704" t="s">
        <v>1621</v>
      </c>
      <c r="N1704">
        <v>45.63</v>
      </c>
      <c r="O1704" s="49">
        <v>44670</v>
      </c>
      <c r="P1704" s="50">
        <v>155.61000000000001</v>
      </c>
    </row>
    <row r="1705" spans="4:16" x14ac:dyDescent="0.2">
      <c r="D1705">
        <v>100001026</v>
      </c>
      <c r="E1705" s="49">
        <v>45081</v>
      </c>
      <c r="F1705" t="s">
        <v>2899</v>
      </c>
      <c r="G1705" t="s">
        <v>2375</v>
      </c>
      <c r="H1705">
        <v>7</v>
      </c>
      <c r="I1705">
        <v>58.19</v>
      </c>
      <c r="J1705" s="50">
        <v>407.33</v>
      </c>
      <c r="K1705" t="s">
        <v>1632</v>
      </c>
      <c r="L1705" t="s">
        <v>2741</v>
      </c>
      <c r="M1705" t="s">
        <v>1621</v>
      </c>
      <c r="N1705">
        <v>30.71</v>
      </c>
      <c r="O1705" s="49">
        <v>45083</v>
      </c>
      <c r="P1705" s="50">
        <v>183.29849999999999</v>
      </c>
    </row>
    <row r="1706" spans="4:16" x14ac:dyDescent="0.2">
      <c r="D1706">
        <v>100001026</v>
      </c>
      <c r="E1706" s="49">
        <v>44499</v>
      </c>
      <c r="F1706" t="s">
        <v>2899</v>
      </c>
      <c r="G1706" t="s">
        <v>2198</v>
      </c>
      <c r="H1706">
        <v>3</v>
      </c>
      <c r="I1706">
        <v>96.69</v>
      </c>
      <c r="J1706" s="50">
        <v>290.07</v>
      </c>
      <c r="K1706" t="s">
        <v>1632</v>
      </c>
      <c r="L1706" t="s">
        <v>2741</v>
      </c>
      <c r="M1706" t="s">
        <v>1624</v>
      </c>
      <c r="N1706">
        <v>51.03</v>
      </c>
      <c r="O1706" s="49">
        <v>44504</v>
      </c>
      <c r="P1706" s="50">
        <v>130.53149999999999</v>
      </c>
    </row>
    <row r="1707" spans="4:16" x14ac:dyDescent="0.2">
      <c r="D1707">
        <v>100001027</v>
      </c>
      <c r="E1707" s="49">
        <v>44422</v>
      </c>
      <c r="F1707" t="s">
        <v>2900</v>
      </c>
      <c r="G1707" t="s">
        <v>2024</v>
      </c>
      <c r="H1707">
        <v>10</v>
      </c>
      <c r="I1707">
        <v>71.459999999999994</v>
      </c>
      <c r="J1707" s="50">
        <v>714.59999999999991</v>
      </c>
      <c r="K1707" t="s">
        <v>1618</v>
      </c>
      <c r="L1707" t="s">
        <v>2164</v>
      </c>
      <c r="M1707" t="s">
        <v>1629</v>
      </c>
      <c r="N1707">
        <v>37.71</v>
      </c>
      <c r="O1707" s="49">
        <v>44424</v>
      </c>
      <c r="P1707" s="50">
        <v>321.57</v>
      </c>
    </row>
    <row r="1708" spans="4:16" x14ac:dyDescent="0.2">
      <c r="D1708">
        <v>100001028</v>
      </c>
      <c r="E1708" s="49">
        <v>45185</v>
      </c>
      <c r="F1708" t="s">
        <v>2901</v>
      </c>
      <c r="G1708" t="s">
        <v>1749</v>
      </c>
      <c r="H1708">
        <v>10</v>
      </c>
      <c r="I1708">
        <v>96.97</v>
      </c>
      <c r="J1708" s="50">
        <v>969.7</v>
      </c>
      <c r="K1708" t="s">
        <v>1618</v>
      </c>
      <c r="M1708" t="s">
        <v>1624</v>
      </c>
      <c r="N1708">
        <v>51.18</v>
      </c>
      <c r="O1708" s="49">
        <v>45186</v>
      </c>
      <c r="P1708" s="50">
        <v>436.36500000000001</v>
      </c>
    </row>
    <row r="1709" spans="4:16" x14ac:dyDescent="0.2">
      <c r="D1709">
        <v>100001028</v>
      </c>
      <c r="E1709" s="49">
        <v>44541</v>
      </c>
      <c r="F1709" t="s">
        <v>2901</v>
      </c>
      <c r="G1709" t="s">
        <v>2005</v>
      </c>
      <c r="H1709">
        <v>2</v>
      </c>
      <c r="I1709">
        <v>73.13</v>
      </c>
      <c r="J1709" s="50">
        <v>146.26</v>
      </c>
      <c r="K1709" t="s">
        <v>1618</v>
      </c>
      <c r="M1709" t="s">
        <v>1629</v>
      </c>
      <c r="N1709">
        <v>38.6</v>
      </c>
      <c r="O1709" s="49">
        <v>44546</v>
      </c>
      <c r="P1709" s="50">
        <v>65.816999999999993</v>
      </c>
    </row>
    <row r="1710" spans="4:16" x14ac:dyDescent="0.2">
      <c r="D1710">
        <v>100001028</v>
      </c>
      <c r="E1710" s="49">
        <v>44464</v>
      </c>
      <c r="F1710" t="s">
        <v>2901</v>
      </c>
      <c r="G1710" t="s">
        <v>2047</v>
      </c>
      <c r="H1710">
        <v>10</v>
      </c>
      <c r="I1710">
        <v>66.099999999999994</v>
      </c>
      <c r="J1710" s="50">
        <v>661</v>
      </c>
      <c r="K1710" t="s">
        <v>1618</v>
      </c>
      <c r="M1710" t="s">
        <v>1624</v>
      </c>
      <c r="N1710">
        <v>34.89</v>
      </c>
      <c r="O1710" s="49">
        <v>44465</v>
      </c>
      <c r="P1710" s="50">
        <v>297.45</v>
      </c>
    </row>
    <row r="1711" spans="4:16" x14ac:dyDescent="0.2">
      <c r="D1711">
        <v>100001030</v>
      </c>
      <c r="E1711" s="49">
        <v>45028</v>
      </c>
      <c r="F1711" t="s">
        <v>2902</v>
      </c>
      <c r="G1711" t="s">
        <v>1730</v>
      </c>
      <c r="H1711">
        <v>7</v>
      </c>
      <c r="I1711">
        <v>69.89</v>
      </c>
      <c r="J1711" s="50">
        <v>489.23</v>
      </c>
      <c r="K1711" t="s">
        <v>1632</v>
      </c>
      <c r="M1711" t="s">
        <v>1621</v>
      </c>
      <c r="N1711">
        <v>36.89</v>
      </c>
      <c r="O1711" s="49">
        <v>45033</v>
      </c>
      <c r="P1711" s="50">
        <v>220.15350000000001</v>
      </c>
    </row>
    <row r="1712" spans="4:16" x14ac:dyDescent="0.2">
      <c r="D1712">
        <v>100001031</v>
      </c>
      <c r="E1712" s="49">
        <v>45403</v>
      </c>
      <c r="F1712" t="s">
        <v>2903</v>
      </c>
      <c r="G1712" t="s">
        <v>1877</v>
      </c>
      <c r="H1712">
        <v>8</v>
      </c>
      <c r="I1712">
        <v>67.06</v>
      </c>
      <c r="J1712" s="50">
        <v>536.48</v>
      </c>
      <c r="K1712" t="s">
        <v>1632</v>
      </c>
      <c r="M1712" t="s">
        <v>1629</v>
      </c>
      <c r="N1712">
        <v>35.39</v>
      </c>
      <c r="O1712" s="49">
        <v>45408</v>
      </c>
      <c r="P1712" s="50">
        <v>241.41600000000003</v>
      </c>
    </row>
    <row r="1713" spans="4:16" x14ac:dyDescent="0.2">
      <c r="D1713">
        <v>100001032</v>
      </c>
      <c r="E1713" s="49">
        <v>44436</v>
      </c>
      <c r="F1713" t="s">
        <v>2904</v>
      </c>
      <c r="G1713" t="s">
        <v>2348</v>
      </c>
      <c r="H1713">
        <v>3</v>
      </c>
      <c r="I1713">
        <v>113.94</v>
      </c>
      <c r="J1713" s="50">
        <v>341.82</v>
      </c>
      <c r="K1713" t="s">
        <v>1632</v>
      </c>
      <c r="M1713" t="s">
        <v>1624</v>
      </c>
      <c r="N1713">
        <v>60.13</v>
      </c>
      <c r="O1713" s="49">
        <v>44440</v>
      </c>
      <c r="P1713" s="50">
        <v>153.81899999999999</v>
      </c>
    </row>
    <row r="1714" spans="4:16" x14ac:dyDescent="0.2">
      <c r="D1714">
        <v>100001033</v>
      </c>
      <c r="E1714" s="49">
        <v>44707</v>
      </c>
      <c r="F1714" t="s">
        <v>2905</v>
      </c>
      <c r="G1714" t="s">
        <v>1866</v>
      </c>
      <c r="H1714">
        <v>1</v>
      </c>
      <c r="I1714">
        <v>77.05</v>
      </c>
      <c r="J1714" s="50">
        <v>77.05</v>
      </c>
      <c r="K1714" t="s">
        <v>1618</v>
      </c>
      <c r="M1714" t="s">
        <v>1619</v>
      </c>
      <c r="N1714">
        <v>40.659999999999997</v>
      </c>
      <c r="O1714" s="49">
        <v>44712</v>
      </c>
      <c r="P1714" s="50">
        <v>34.672499999999999</v>
      </c>
    </row>
    <row r="1715" spans="4:16" x14ac:dyDescent="0.2">
      <c r="D1715">
        <v>100001034</v>
      </c>
      <c r="E1715" s="49">
        <v>44594</v>
      </c>
      <c r="F1715" t="s">
        <v>2906</v>
      </c>
      <c r="G1715" t="s">
        <v>1978</v>
      </c>
      <c r="H1715">
        <v>1</v>
      </c>
      <c r="I1715">
        <v>18.600000000000001</v>
      </c>
      <c r="J1715" s="50">
        <v>18.600000000000001</v>
      </c>
      <c r="K1715" t="s">
        <v>1632</v>
      </c>
      <c r="M1715" t="s">
        <v>1624</v>
      </c>
      <c r="N1715">
        <v>9.82</v>
      </c>
      <c r="O1715" s="49">
        <v>44597</v>
      </c>
      <c r="P1715" s="50">
        <v>8.370000000000001</v>
      </c>
    </row>
    <row r="1716" spans="4:16" x14ac:dyDescent="0.2">
      <c r="D1716">
        <v>100001034</v>
      </c>
      <c r="E1716" s="49">
        <v>44693</v>
      </c>
      <c r="F1716" t="s">
        <v>2906</v>
      </c>
      <c r="G1716" t="s">
        <v>1695</v>
      </c>
      <c r="H1716">
        <v>7</v>
      </c>
      <c r="I1716">
        <v>71.489999999999995</v>
      </c>
      <c r="J1716" s="50">
        <v>500.42999999999989</v>
      </c>
      <c r="K1716" t="s">
        <v>1632</v>
      </c>
      <c r="M1716" t="s">
        <v>1624</v>
      </c>
      <c r="N1716">
        <v>37.729999999999997</v>
      </c>
      <c r="O1716" s="49">
        <v>44698</v>
      </c>
      <c r="P1716" s="50">
        <v>225.19349999999994</v>
      </c>
    </row>
    <row r="1717" spans="4:16" x14ac:dyDescent="0.2">
      <c r="D1717">
        <v>100001035</v>
      </c>
      <c r="E1717" s="49">
        <v>45338</v>
      </c>
      <c r="F1717" t="s">
        <v>2907</v>
      </c>
      <c r="G1717" t="s">
        <v>1913</v>
      </c>
      <c r="H1717">
        <v>8</v>
      </c>
      <c r="I1717">
        <v>11.16</v>
      </c>
      <c r="J1717" s="50">
        <v>89.28</v>
      </c>
      <c r="K1717" t="s">
        <v>1618</v>
      </c>
      <c r="L1717" t="s">
        <v>2908</v>
      </c>
      <c r="M1717" t="s">
        <v>1629</v>
      </c>
      <c r="N1717">
        <v>5.89</v>
      </c>
      <c r="O1717" s="49">
        <v>45339</v>
      </c>
      <c r="P1717" s="50">
        <v>40.176000000000002</v>
      </c>
    </row>
    <row r="1718" spans="4:16" x14ac:dyDescent="0.2">
      <c r="D1718">
        <v>100001035</v>
      </c>
      <c r="E1718" s="49">
        <v>44555</v>
      </c>
      <c r="F1718" t="s">
        <v>2907</v>
      </c>
      <c r="G1718" t="s">
        <v>2766</v>
      </c>
      <c r="H1718">
        <v>6</v>
      </c>
      <c r="I1718">
        <v>37.520000000000003</v>
      </c>
      <c r="J1718" s="50">
        <v>225.12</v>
      </c>
      <c r="K1718" t="s">
        <v>1618</v>
      </c>
      <c r="L1718" t="s">
        <v>2908</v>
      </c>
      <c r="M1718" t="s">
        <v>1629</v>
      </c>
      <c r="N1718">
        <v>19.8</v>
      </c>
      <c r="O1718" s="49">
        <v>44557</v>
      </c>
      <c r="P1718" s="50">
        <v>101.304</v>
      </c>
    </row>
    <row r="1719" spans="4:16" x14ac:dyDescent="0.2">
      <c r="D1719">
        <v>100001037</v>
      </c>
      <c r="E1719" s="49">
        <v>45033</v>
      </c>
      <c r="F1719" t="s">
        <v>2909</v>
      </c>
      <c r="G1719" t="s">
        <v>2230</v>
      </c>
      <c r="H1719">
        <v>10</v>
      </c>
      <c r="I1719">
        <v>101.4</v>
      </c>
      <c r="J1719" s="50">
        <v>1014</v>
      </c>
      <c r="K1719" t="s">
        <v>1632</v>
      </c>
      <c r="L1719" t="s">
        <v>2910</v>
      </c>
      <c r="M1719" t="s">
        <v>1627</v>
      </c>
      <c r="N1719">
        <v>53.52</v>
      </c>
      <c r="O1719" s="49">
        <v>45037</v>
      </c>
      <c r="P1719" s="50">
        <v>456.3</v>
      </c>
    </row>
    <row r="1720" spans="4:16" x14ac:dyDescent="0.2">
      <c r="D1720">
        <v>100001038</v>
      </c>
      <c r="E1720" s="49">
        <v>45275</v>
      </c>
      <c r="F1720" t="s">
        <v>2911</v>
      </c>
      <c r="G1720" t="s">
        <v>1787</v>
      </c>
      <c r="H1720">
        <v>9</v>
      </c>
      <c r="I1720">
        <v>83.38</v>
      </c>
      <c r="J1720" s="50">
        <v>750.42</v>
      </c>
      <c r="K1720" t="s">
        <v>1618</v>
      </c>
      <c r="M1720" t="s">
        <v>1629</v>
      </c>
      <c r="N1720">
        <v>44.01</v>
      </c>
      <c r="O1720" s="49">
        <v>45279</v>
      </c>
      <c r="P1720" s="50">
        <v>337.68899999999996</v>
      </c>
    </row>
    <row r="1721" spans="4:16" x14ac:dyDescent="0.2">
      <c r="D1721">
        <v>100001039</v>
      </c>
      <c r="E1721" s="49">
        <v>45437</v>
      </c>
      <c r="F1721" t="s">
        <v>2912</v>
      </c>
      <c r="G1721" t="s">
        <v>2465</v>
      </c>
      <c r="H1721">
        <v>7</v>
      </c>
      <c r="I1721">
        <v>56.03</v>
      </c>
      <c r="J1721" s="50">
        <v>392.21</v>
      </c>
      <c r="K1721" t="s">
        <v>1618</v>
      </c>
      <c r="M1721" t="s">
        <v>1629</v>
      </c>
      <c r="N1721">
        <v>29.57</v>
      </c>
      <c r="O1721" s="49">
        <v>45440</v>
      </c>
      <c r="P1721" s="50">
        <v>176.49449999999999</v>
      </c>
    </row>
    <row r="1722" spans="4:16" x14ac:dyDescent="0.2">
      <c r="D1722">
        <v>100001039</v>
      </c>
      <c r="E1722" s="49">
        <v>44572</v>
      </c>
      <c r="F1722" t="s">
        <v>2912</v>
      </c>
      <c r="G1722" t="s">
        <v>1848</v>
      </c>
      <c r="H1722">
        <v>5</v>
      </c>
      <c r="I1722">
        <v>31.7</v>
      </c>
      <c r="J1722" s="50">
        <v>158.5</v>
      </c>
      <c r="K1722" t="s">
        <v>1618</v>
      </c>
      <c r="M1722" t="s">
        <v>1619</v>
      </c>
      <c r="N1722">
        <v>16.73</v>
      </c>
      <c r="O1722" s="49">
        <v>44577</v>
      </c>
      <c r="P1722" s="50">
        <v>71.325000000000003</v>
      </c>
    </row>
    <row r="1723" spans="4:16" x14ac:dyDescent="0.2">
      <c r="D1723">
        <v>100001039</v>
      </c>
      <c r="E1723" s="49">
        <v>44824</v>
      </c>
      <c r="F1723" t="s">
        <v>2912</v>
      </c>
      <c r="G1723" t="s">
        <v>1737</v>
      </c>
      <c r="H1723">
        <v>9</v>
      </c>
      <c r="I1723">
        <v>115.34</v>
      </c>
      <c r="J1723" s="50">
        <v>1038.06</v>
      </c>
      <c r="K1723" t="s">
        <v>1618</v>
      </c>
      <c r="M1723" t="s">
        <v>1624</v>
      </c>
      <c r="N1723">
        <v>60.87</v>
      </c>
      <c r="O1723" s="49">
        <v>44828</v>
      </c>
      <c r="P1723" s="50">
        <v>467.12700000000001</v>
      </c>
    </row>
    <row r="1724" spans="4:16" x14ac:dyDescent="0.2">
      <c r="D1724">
        <v>100001040</v>
      </c>
      <c r="E1724" s="49">
        <v>44526</v>
      </c>
      <c r="F1724" t="s">
        <v>2913</v>
      </c>
      <c r="G1724" t="s">
        <v>1941</v>
      </c>
      <c r="H1724">
        <v>7</v>
      </c>
      <c r="I1724">
        <v>108.46</v>
      </c>
      <c r="J1724" s="50">
        <v>759.21999999999991</v>
      </c>
      <c r="K1724" t="s">
        <v>1618</v>
      </c>
      <c r="M1724" t="s">
        <v>1619</v>
      </c>
      <c r="N1724">
        <v>57.24</v>
      </c>
      <c r="O1724" s="49">
        <v>44530</v>
      </c>
      <c r="P1724" s="50">
        <v>341.64899999999994</v>
      </c>
    </row>
    <row r="1725" spans="4:16" x14ac:dyDescent="0.2">
      <c r="D1725">
        <v>100001041</v>
      </c>
      <c r="E1725" s="49">
        <v>45549</v>
      </c>
      <c r="F1725" t="s">
        <v>2914</v>
      </c>
      <c r="G1725" t="s">
        <v>1789</v>
      </c>
      <c r="H1725">
        <v>10</v>
      </c>
      <c r="I1725">
        <v>91.98</v>
      </c>
      <c r="J1725" s="50">
        <v>919.80000000000007</v>
      </c>
      <c r="K1725" t="s">
        <v>1632</v>
      </c>
      <c r="M1725" t="s">
        <v>1629</v>
      </c>
      <c r="N1725">
        <v>48.54</v>
      </c>
      <c r="O1725" s="49">
        <v>45552</v>
      </c>
      <c r="P1725" s="50">
        <v>413.91</v>
      </c>
    </row>
    <row r="1726" spans="4:16" x14ac:dyDescent="0.2">
      <c r="D1726">
        <v>100001043</v>
      </c>
      <c r="E1726" s="49">
        <v>44200</v>
      </c>
      <c r="F1726" t="s">
        <v>2915</v>
      </c>
      <c r="G1726" t="s">
        <v>2130</v>
      </c>
      <c r="H1726">
        <v>3</v>
      </c>
      <c r="I1726">
        <v>57.82</v>
      </c>
      <c r="J1726" s="50">
        <v>173.46</v>
      </c>
      <c r="K1726" t="s">
        <v>1632</v>
      </c>
      <c r="L1726" t="s">
        <v>2916</v>
      </c>
      <c r="M1726" t="s">
        <v>1621</v>
      </c>
      <c r="N1726">
        <v>30.52</v>
      </c>
      <c r="O1726" s="49">
        <v>44205</v>
      </c>
      <c r="P1726" s="50">
        <v>78.057000000000002</v>
      </c>
    </row>
    <row r="1727" spans="4:16" x14ac:dyDescent="0.2">
      <c r="D1727">
        <v>100001043</v>
      </c>
      <c r="E1727" s="49">
        <v>44274</v>
      </c>
      <c r="F1727" t="s">
        <v>2915</v>
      </c>
      <c r="G1727" t="s">
        <v>2574</v>
      </c>
      <c r="H1727">
        <v>8</v>
      </c>
      <c r="I1727">
        <v>88.52</v>
      </c>
      <c r="J1727" s="50">
        <v>708.16</v>
      </c>
      <c r="K1727" t="s">
        <v>1632</v>
      </c>
      <c r="L1727" t="s">
        <v>2916</v>
      </c>
      <c r="M1727" t="s">
        <v>1629</v>
      </c>
      <c r="N1727">
        <v>46.72</v>
      </c>
      <c r="O1727" s="49">
        <v>44275</v>
      </c>
      <c r="P1727" s="50">
        <v>318.67199999999997</v>
      </c>
    </row>
    <row r="1728" spans="4:16" x14ac:dyDescent="0.2">
      <c r="D1728">
        <v>100001043</v>
      </c>
      <c r="E1728" s="49">
        <v>45055</v>
      </c>
      <c r="F1728" t="s">
        <v>2915</v>
      </c>
      <c r="G1728" t="s">
        <v>1730</v>
      </c>
      <c r="H1728">
        <v>8</v>
      </c>
      <c r="I1728">
        <v>29.39</v>
      </c>
      <c r="J1728" s="50">
        <v>235.12</v>
      </c>
      <c r="K1728" t="s">
        <v>1632</v>
      </c>
      <c r="L1728" t="s">
        <v>2916</v>
      </c>
      <c r="M1728" t="s">
        <v>1621</v>
      </c>
      <c r="N1728">
        <v>15.51</v>
      </c>
      <c r="O1728" s="49">
        <v>45057</v>
      </c>
      <c r="P1728" s="50">
        <v>105.804</v>
      </c>
    </row>
    <row r="1729" spans="4:16" x14ac:dyDescent="0.2">
      <c r="D1729">
        <v>100001043</v>
      </c>
      <c r="E1729" s="49">
        <v>44817</v>
      </c>
      <c r="F1729" t="s">
        <v>2915</v>
      </c>
      <c r="G1729" t="s">
        <v>2038</v>
      </c>
      <c r="H1729">
        <v>8</v>
      </c>
      <c r="I1729">
        <v>35.979999999999997</v>
      </c>
      <c r="J1729" s="50">
        <v>287.83999999999997</v>
      </c>
      <c r="K1729" t="s">
        <v>1632</v>
      </c>
      <c r="L1729" t="s">
        <v>2916</v>
      </c>
      <c r="M1729" t="s">
        <v>1619</v>
      </c>
      <c r="N1729">
        <v>18.989999999999998</v>
      </c>
      <c r="O1729" s="49">
        <v>44821</v>
      </c>
      <c r="P1729" s="50">
        <v>129.52799999999999</v>
      </c>
    </row>
    <row r="1730" spans="4:16" x14ac:dyDescent="0.2">
      <c r="D1730">
        <v>100001043</v>
      </c>
      <c r="E1730" s="49">
        <v>44808</v>
      </c>
      <c r="F1730" t="s">
        <v>2915</v>
      </c>
      <c r="G1730" t="s">
        <v>2062</v>
      </c>
      <c r="H1730">
        <v>1</v>
      </c>
      <c r="I1730">
        <v>99.01</v>
      </c>
      <c r="J1730" s="50">
        <v>99.01</v>
      </c>
      <c r="K1730" t="s">
        <v>1632</v>
      </c>
      <c r="L1730" t="s">
        <v>2916</v>
      </c>
      <c r="M1730" t="s">
        <v>1621</v>
      </c>
      <c r="N1730">
        <v>52.25</v>
      </c>
      <c r="O1730" s="49">
        <v>44812</v>
      </c>
      <c r="P1730" s="50">
        <v>44.554500000000004</v>
      </c>
    </row>
    <row r="1731" spans="4:16" x14ac:dyDescent="0.2">
      <c r="D1731">
        <v>100001043</v>
      </c>
      <c r="E1731" s="49">
        <v>45482</v>
      </c>
      <c r="F1731" t="s">
        <v>2915</v>
      </c>
      <c r="G1731" t="s">
        <v>2628</v>
      </c>
      <c r="H1731">
        <v>4</v>
      </c>
      <c r="I1731">
        <v>35.97</v>
      </c>
      <c r="J1731" s="50">
        <v>143.88</v>
      </c>
      <c r="K1731" t="s">
        <v>1632</v>
      </c>
      <c r="L1731" t="s">
        <v>2916</v>
      </c>
      <c r="M1731" t="s">
        <v>1627</v>
      </c>
      <c r="N1731">
        <v>18.98</v>
      </c>
      <c r="O1731" s="49">
        <v>45486</v>
      </c>
      <c r="P1731" s="50">
        <v>64.745999999999995</v>
      </c>
    </row>
    <row r="1732" spans="4:16" x14ac:dyDescent="0.2">
      <c r="D1732">
        <v>100001043</v>
      </c>
      <c r="E1732" s="49">
        <v>44814</v>
      </c>
      <c r="F1732" t="s">
        <v>2915</v>
      </c>
      <c r="G1732" t="s">
        <v>1760</v>
      </c>
      <c r="H1732">
        <v>1</v>
      </c>
      <c r="I1732">
        <v>16.2</v>
      </c>
      <c r="J1732" s="50">
        <v>16.2</v>
      </c>
      <c r="K1732" t="s">
        <v>1632</v>
      </c>
      <c r="L1732" t="s">
        <v>2916</v>
      </c>
      <c r="M1732" t="s">
        <v>1629</v>
      </c>
      <c r="N1732">
        <v>8.5500000000000007</v>
      </c>
      <c r="O1732" s="49">
        <v>44815</v>
      </c>
      <c r="P1732" s="50">
        <v>7.29</v>
      </c>
    </row>
    <row r="1733" spans="4:16" x14ac:dyDescent="0.2">
      <c r="D1733">
        <v>100001043</v>
      </c>
      <c r="E1733" s="49">
        <v>45275</v>
      </c>
      <c r="F1733" t="s">
        <v>2915</v>
      </c>
      <c r="G1733" t="s">
        <v>2230</v>
      </c>
      <c r="H1733">
        <v>6</v>
      </c>
      <c r="I1733">
        <v>95.78</v>
      </c>
      <c r="J1733" s="50">
        <v>574.68000000000006</v>
      </c>
      <c r="K1733" t="s">
        <v>1632</v>
      </c>
      <c r="L1733" t="s">
        <v>2916</v>
      </c>
      <c r="M1733" t="s">
        <v>1629</v>
      </c>
      <c r="N1733">
        <v>50.55</v>
      </c>
      <c r="O1733" s="49">
        <v>45280</v>
      </c>
      <c r="P1733" s="50">
        <v>258.60600000000005</v>
      </c>
    </row>
    <row r="1734" spans="4:16" x14ac:dyDescent="0.2">
      <c r="D1734">
        <v>100001043</v>
      </c>
      <c r="E1734" s="49">
        <v>45143</v>
      </c>
      <c r="F1734" t="s">
        <v>2915</v>
      </c>
      <c r="G1734" t="s">
        <v>1679</v>
      </c>
      <c r="H1734">
        <v>3</v>
      </c>
      <c r="I1734">
        <v>75.33</v>
      </c>
      <c r="J1734" s="50">
        <v>225.99</v>
      </c>
      <c r="K1734" t="s">
        <v>1632</v>
      </c>
      <c r="L1734" t="s">
        <v>2916</v>
      </c>
      <c r="M1734" t="s">
        <v>1629</v>
      </c>
      <c r="N1734">
        <v>39.76</v>
      </c>
      <c r="O1734" s="49">
        <v>45144</v>
      </c>
      <c r="P1734" s="50">
        <v>101.69550000000001</v>
      </c>
    </row>
    <row r="1735" spans="4:16" x14ac:dyDescent="0.2">
      <c r="D1735">
        <v>100001045</v>
      </c>
      <c r="E1735" s="49">
        <v>44909</v>
      </c>
      <c r="F1735" t="s">
        <v>2917</v>
      </c>
      <c r="G1735" t="s">
        <v>2038</v>
      </c>
      <c r="H1735">
        <v>2</v>
      </c>
      <c r="I1735">
        <v>105.83</v>
      </c>
      <c r="J1735" s="50">
        <v>211.66</v>
      </c>
      <c r="K1735" t="s">
        <v>1632</v>
      </c>
      <c r="L1735" t="s">
        <v>2709</v>
      </c>
      <c r="M1735" t="s">
        <v>1627</v>
      </c>
      <c r="N1735">
        <v>55.85</v>
      </c>
      <c r="O1735" s="49">
        <v>44914</v>
      </c>
      <c r="P1735" s="50">
        <v>95.247</v>
      </c>
    </row>
    <row r="1736" spans="4:16" x14ac:dyDescent="0.2">
      <c r="D1736">
        <v>100001047</v>
      </c>
      <c r="E1736" s="49">
        <v>45215</v>
      </c>
      <c r="F1736" t="s">
        <v>2918</v>
      </c>
      <c r="G1736" t="s">
        <v>1649</v>
      </c>
      <c r="H1736">
        <v>8</v>
      </c>
      <c r="I1736">
        <v>64.7</v>
      </c>
      <c r="J1736" s="50">
        <v>517.6</v>
      </c>
      <c r="K1736" t="s">
        <v>1618</v>
      </c>
      <c r="L1736" t="s">
        <v>2919</v>
      </c>
      <c r="M1736" t="s">
        <v>1627</v>
      </c>
      <c r="N1736">
        <v>34.15</v>
      </c>
      <c r="O1736" s="49">
        <v>45218</v>
      </c>
      <c r="P1736" s="50">
        <v>232.92000000000002</v>
      </c>
    </row>
    <row r="1737" spans="4:16" x14ac:dyDescent="0.2">
      <c r="D1737">
        <v>100001048</v>
      </c>
      <c r="E1737" s="49">
        <v>45617</v>
      </c>
      <c r="F1737" t="s">
        <v>2920</v>
      </c>
      <c r="G1737" t="s">
        <v>2050</v>
      </c>
      <c r="H1737">
        <v>3</v>
      </c>
      <c r="I1737">
        <v>25.12</v>
      </c>
      <c r="J1737" s="50">
        <v>75.36</v>
      </c>
      <c r="K1737" t="s">
        <v>1618</v>
      </c>
      <c r="M1737" t="s">
        <v>1629</v>
      </c>
      <c r="N1737">
        <v>13.26</v>
      </c>
      <c r="O1737" s="49">
        <v>45620</v>
      </c>
      <c r="P1737" s="50">
        <v>33.911999999999999</v>
      </c>
    </row>
    <row r="1738" spans="4:16" x14ac:dyDescent="0.2">
      <c r="D1738">
        <v>100001048</v>
      </c>
      <c r="E1738" s="49">
        <v>45638</v>
      </c>
      <c r="F1738" t="s">
        <v>2920</v>
      </c>
      <c r="G1738" t="s">
        <v>2076</v>
      </c>
      <c r="H1738">
        <v>3</v>
      </c>
      <c r="I1738">
        <v>80.33</v>
      </c>
      <c r="J1738" s="50">
        <v>240.99</v>
      </c>
      <c r="K1738" t="s">
        <v>1618</v>
      </c>
      <c r="M1738" t="s">
        <v>1624</v>
      </c>
      <c r="N1738">
        <v>42.4</v>
      </c>
      <c r="O1738" s="49">
        <v>45642</v>
      </c>
      <c r="P1738" s="50">
        <v>108.44550000000001</v>
      </c>
    </row>
    <row r="1739" spans="4:16" x14ac:dyDescent="0.2">
      <c r="D1739">
        <v>100001049</v>
      </c>
      <c r="E1739" s="49">
        <v>44714</v>
      </c>
      <c r="F1739" t="s">
        <v>2921</v>
      </c>
      <c r="G1739" t="s">
        <v>1877</v>
      </c>
      <c r="H1739">
        <v>6</v>
      </c>
      <c r="I1739">
        <v>20.92</v>
      </c>
      <c r="J1739" s="50">
        <v>125.52</v>
      </c>
      <c r="K1739" t="s">
        <v>1618</v>
      </c>
      <c r="M1739" t="s">
        <v>1627</v>
      </c>
      <c r="N1739">
        <v>11.04</v>
      </c>
      <c r="O1739" s="49">
        <v>44715</v>
      </c>
      <c r="P1739" s="50">
        <v>56.484000000000002</v>
      </c>
    </row>
    <row r="1740" spans="4:16" x14ac:dyDescent="0.2">
      <c r="D1740">
        <v>100001049</v>
      </c>
      <c r="E1740" s="49">
        <v>45320</v>
      </c>
      <c r="F1740" t="s">
        <v>2921</v>
      </c>
      <c r="G1740" t="s">
        <v>2692</v>
      </c>
      <c r="H1740">
        <v>7</v>
      </c>
      <c r="I1740">
        <v>88.81</v>
      </c>
      <c r="J1740" s="50">
        <v>621.67000000000007</v>
      </c>
      <c r="K1740" t="s">
        <v>1618</v>
      </c>
      <c r="M1740" t="s">
        <v>1621</v>
      </c>
      <c r="N1740">
        <v>46.87</v>
      </c>
      <c r="O1740" s="49">
        <v>45323</v>
      </c>
      <c r="P1740" s="50">
        <v>279.75150000000002</v>
      </c>
    </row>
    <row r="1741" spans="4:16" x14ac:dyDescent="0.2">
      <c r="D1741">
        <v>100001049</v>
      </c>
      <c r="E1741" s="49">
        <v>44282</v>
      </c>
      <c r="F1741" t="s">
        <v>2921</v>
      </c>
      <c r="G1741" t="s">
        <v>1693</v>
      </c>
      <c r="H1741">
        <v>1</v>
      </c>
      <c r="I1741">
        <v>15.23</v>
      </c>
      <c r="J1741" s="50">
        <v>15.23</v>
      </c>
      <c r="K1741" t="s">
        <v>1618</v>
      </c>
      <c r="M1741" t="s">
        <v>1629</v>
      </c>
      <c r="N1741">
        <v>8.0399999999999991</v>
      </c>
      <c r="O1741" s="49">
        <v>44284</v>
      </c>
      <c r="P1741" s="50">
        <v>6.8535000000000004</v>
      </c>
    </row>
    <row r="1742" spans="4:16" x14ac:dyDescent="0.2">
      <c r="D1742">
        <v>100001049</v>
      </c>
      <c r="E1742" s="49">
        <v>44628</v>
      </c>
      <c r="F1742" t="s">
        <v>2921</v>
      </c>
      <c r="G1742" t="s">
        <v>2161</v>
      </c>
      <c r="H1742">
        <v>10</v>
      </c>
      <c r="I1742">
        <v>52.09</v>
      </c>
      <c r="J1742" s="50">
        <v>520.90000000000009</v>
      </c>
      <c r="K1742" t="s">
        <v>1618</v>
      </c>
      <c r="M1742" t="s">
        <v>1619</v>
      </c>
      <c r="N1742">
        <v>27.49</v>
      </c>
      <c r="O1742" s="49">
        <v>44633</v>
      </c>
      <c r="P1742" s="50">
        <v>234.40500000000006</v>
      </c>
    </row>
    <row r="1743" spans="4:16" x14ac:dyDescent="0.2">
      <c r="D1743">
        <v>100001050</v>
      </c>
      <c r="E1743" s="49">
        <v>45088</v>
      </c>
      <c r="F1743" t="s">
        <v>2922</v>
      </c>
      <c r="G1743" t="s">
        <v>2306</v>
      </c>
      <c r="H1743">
        <v>7</v>
      </c>
      <c r="I1743">
        <v>65.430000000000007</v>
      </c>
      <c r="J1743" s="50">
        <v>458.01</v>
      </c>
      <c r="K1743" t="s">
        <v>1618</v>
      </c>
      <c r="M1743" t="s">
        <v>1624</v>
      </c>
      <c r="N1743">
        <v>34.53</v>
      </c>
      <c r="O1743" s="49">
        <v>45092</v>
      </c>
      <c r="P1743" s="50">
        <v>206.1045</v>
      </c>
    </row>
    <row r="1744" spans="4:16" x14ac:dyDescent="0.2">
      <c r="D1744">
        <v>100001051</v>
      </c>
      <c r="E1744" s="49">
        <v>45005</v>
      </c>
      <c r="F1744" t="s">
        <v>2923</v>
      </c>
      <c r="G1744" t="s">
        <v>2192</v>
      </c>
      <c r="H1744">
        <v>5</v>
      </c>
      <c r="I1744">
        <v>33.409999999999997</v>
      </c>
      <c r="J1744" s="50">
        <v>167.05</v>
      </c>
      <c r="K1744" t="s">
        <v>1632</v>
      </c>
      <c r="L1744" t="s">
        <v>2924</v>
      </c>
      <c r="M1744" t="s">
        <v>1624</v>
      </c>
      <c r="N1744">
        <v>17.63</v>
      </c>
      <c r="O1744" s="49">
        <v>45009</v>
      </c>
      <c r="P1744" s="50">
        <v>75.172500000000014</v>
      </c>
    </row>
    <row r="1745" spans="4:16" x14ac:dyDescent="0.2">
      <c r="D1745">
        <v>100001052</v>
      </c>
      <c r="E1745" s="49">
        <v>44330</v>
      </c>
      <c r="F1745" t="s">
        <v>2925</v>
      </c>
      <c r="G1745" t="s">
        <v>1937</v>
      </c>
      <c r="H1745">
        <v>7</v>
      </c>
      <c r="I1745">
        <v>26.3</v>
      </c>
      <c r="J1745" s="50">
        <v>184.1</v>
      </c>
      <c r="K1745" t="s">
        <v>1618</v>
      </c>
      <c r="L1745" t="s">
        <v>2926</v>
      </c>
      <c r="M1745" t="s">
        <v>1627</v>
      </c>
      <c r="N1745">
        <v>13.88</v>
      </c>
      <c r="O1745" s="49">
        <v>44335</v>
      </c>
      <c r="P1745" s="50">
        <v>82.844999999999999</v>
      </c>
    </row>
    <row r="1746" spans="4:16" x14ac:dyDescent="0.2">
      <c r="D1746">
        <v>100001052</v>
      </c>
      <c r="E1746" s="49">
        <v>45150</v>
      </c>
      <c r="F1746" t="s">
        <v>2925</v>
      </c>
      <c r="G1746" t="s">
        <v>1838</v>
      </c>
      <c r="H1746">
        <v>9</v>
      </c>
      <c r="I1746">
        <v>119.8</v>
      </c>
      <c r="J1746" s="50">
        <v>1078.2</v>
      </c>
      <c r="K1746" t="s">
        <v>1618</v>
      </c>
      <c r="L1746" t="s">
        <v>2926</v>
      </c>
      <c r="M1746" t="s">
        <v>1624</v>
      </c>
      <c r="N1746">
        <v>63.23</v>
      </c>
      <c r="O1746" s="49">
        <v>45153</v>
      </c>
      <c r="P1746" s="50">
        <v>485.19000000000005</v>
      </c>
    </row>
    <row r="1747" spans="4:16" x14ac:dyDescent="0.2">
      <c r="D1747">
        <v>100001054</v>
      </c>
      <c r="E1747" s="49">
        <v>45192</v>
      </c>
      <c r="F1747" t="s">
        <v>2927</v>
      </c>
      <c r="G1747" t="s">
        <v>2180</v>
      </c>
      <c r="H1747">
        <v>5</v>
      </c>
      <c r="I1747">
        <v>62.18</v>
      </c>
      <c r="J1747" s="50">
        <v>310.89999999999998</v>
      </c>
      <c r="K1747" t="s">
        <v>1618</v>
      </c>
      <c r="M1747" t="s">
        <v>1629</v>
      </c>
      <c r="N1747">
        <v>32.82</v>
      </c>
      <c r="O1747" s="49">
        <v>45194</v>
      </c>
      <c r="P1747" s="50">
        <v>139.905</v>
      </c>
    </row>
    <row r="1748" spans="4:16" x14ac:dyDescent="0.2">
      <c r="D1748">
        <v>100001054</v>
      </c>
      <c r="E1748" s="49">
        <v>45252</v>
      </c>
      <c r="F1748" t="s">
        <v>2927</v>
      </c>
      <c r="G1748" t="s">
        <v>1808</v>
      </c>
      <c r="H1748">
        <v>5</v>
      </c>
      <c r="I1748">
        <v>38.9</v>
      </c>
      <c r="J1748" s="50">
        <v>194.5</v>
      </c>
      <c r="K1748" t="s">
        <v>1618</v>
      </c>
      <c r="M1748" t="s">
        <v>1627</v>
      </c>
      <c r="N1748">
        <v>20.53</v>
      </c>
      <c r="O1748" s="49">
        <v>45257</v>
      </c>
      <c r="P1748" s="50">
        <v>87.525000000000006</v>
      </c>
    </row>
    <row r="1749" spans="4:16" x14ac:dyDescent="0.2">
      <c r="D1749">
        <v>100001054</v>
      </c>
      <c r="E1749" s="49">
        <v>44266</v>
      </c>
      <c r="F1749" t="s">
        <v>2927</v>
      </c>
      <c r="G1749" t="s">
        <v>1721</v>
      </c>
      <c r="H1749">
        <v>3</v>
      </c>
      <c r="I1749">
        <v>41.82</v>
      </c>
      <c r="J1749" s="50">
        <v>125.46</v>
      </c>
      <c r="K1749" t="s">
        <v>1618</v>
      </c>
      <c r="M1749" t="s">
        <v>1627</v>
      </c>
      <c r="N1749">
        <v>22.07</v>
      </c>
      <c r="O1749" s="49">
        <v>44268</v>
      </c>
      <c r="P1749" s="50">
        <v>56.457000000000001</v>
      </c>
    </row>
    <row r="1750" spans="4:16" x14ac:dyDescent="0.2">
      <c r="D1750">
        <v>100001054</v>
      </c>
      <c r="E1750" s="49">
        <v>45241</v>
      </c>
      <c r="F1750" t="s">
        <v>2927</v>
      </c>
      <c r="G1750" t="s">
        <v>2485</v>
      </c>
      <c r="H1750">
        <v>10</v>
      </c>
      <c r="I1750">
        <v>19.36</v>
      </c>
      <c r="J1750" s="50">
        <v>193.6</v>
      </c>
      <c r="K1750" t="s">
        <v>1618</v>
      </c>
      <c r="M1750" t="s">
        <v>1624</v>
      </c>
      <c r="N1750">
        <v>10.220000000000001</v>
      </c>
      <c r="O1750" s="49">
        <v>45245</v>
      </c>
      <c r="P1750" s="50">
        <v>87.12</v>
      </c>
    </row>
    <row r="1751" spans="4:16" x14ac:dyDescent="0.2">
      <c r="D1751">
        <v>100001055</v>
      </c>
      <c r="E1751" s="49">
        <v>44631</v>
      </c>
      <c r="F1751" t="s">
        <v>2928</v>
      </c>
      <c r="G1751" t="s">
        <v>1831</v>
      </c>
      <c r="H1751">
        <v>2</v>
      </c>
      <c r="I1751">
        <v>53.92</v>
      </c>
      <c r="J1751" s="50">
        <v>107.84</v>
      </c>
      <c r="K1751" t="s">
        <v>1618</v>
      </c>
      <c r="M1751" t="s">
        <v>1627</v>
      </c>
      <c r="N1751">
        <v>28.46</v>
      </c>
      <c r="O1751" s="49">
        <v>44632</v>
      </c>
      <c r="P1751" s="50">
        <v>48.528000000000006</v>
      </c>
    </row>
    <row r="1752" spans="4:16" x14ac:dyDescent="0.2">
      <c r="D1752">
        <v>100001055</v>
      </c>
      <c r="E1752" s="49">
        <v>45550</v>
      </c>
      <c r="F1752" t="s">
        <v>2928</v>
      </c>
      <c r="G1752" t="s">
        <v>1831</v>
      </c>
      <c r="H1752">
        <v>7</v>
      </c>
      <c r="I1752">
        <v>42.11</v>
      </c>
      <c r="J1752" s="50">
        <v>294.77</v>
      </c>
      <c r="K1752" t="s">
        <v>1618</v>
      </c>
      <c r="M1752" t="s">
        <v>1624</v>
      </c>
      <c r="N1752">
        <v>22.22</v>
      </c>
      <c r="O1752" s="49">
        <v>45552</v>
      </c>
      <c r="P1752" s="50">
        <v>132.6465</v>
      </c>
    </row>
    <row r="1753" spans="4:16" x14ac:dyDescent="0.2">
      <c r="D1753">
        <v>100001055</v>
      </c>
      <c r="E1753" s="49">
        <v>45361</v>
      </c>
      <c r="F1753" t="s">
        <v>2928</v>
      </c>
      <c r="G1753" t="s">
        <v>1704</v>
      </c>
      <c r="H1753">
        <v>9</v>
      </c>
      <c r="I1753">
        <v>10.91</v>
      </c>
      <c r="J1753" s="50">
        <v>98.19</v>
      </c>
      <c r="K1753" t="s">
        <v>1618</v>
      </c>
      <c r="M1753" t="s">
        <v>1627</v>
      </c>
      <c r="N1753">
        <v>5.76</v>
      </c>
      <c r="O1753" s="49">
        <v>45365</v>
      </c>
      <c r="P1753" s="50">
        <v>44.185499999999998</v>
      </c>
    </row>
    <row r="1754" spans="4:16" x14ac:dyDescent="0.2">
      <c r="D1754">
        <v>100001056</v>
      </c>
      <c r="E1754" s="49">
        <v>44261</v>
      </c>
      <c r="F1754" t="s">
        <v>2929</v>
      </c>
      <c r="G1754" t="s">
        <v>2050</v>
      </c>
      <c r="H1754">
        <v>10</v>
      </c>
      <c r="I1754">
        <v>50.7</v>
      </c>
      <c r="J1754" s="50">
        <v>507</v>
      </c>
      <c r="K1754" t="s">
        <v>1632</v>
      </c>
      <c r="M1754" t="s">
        <v>1629</v>
      </c>
      <c r="N1754">
        <v>26.76</v>
      </c>
      <c r="O1754" s="49">
        <v>44266</v>
      </c>
      <c r="P1754" s="50">
        <v>228.15</v>
      </c>
    </row>
    <row r="1755" spans="4:16" x14ac:dyDescent="0.2">
      <c r="D1755">
        <v>100001060</v>
      </c>
      <c r="E1755" s="49">
        <v>45021</v>
      </c>
      <c r="F1755" t="s">
        <v>2930</v>
      </c>
      <c r="G1755" t="s">
        <v>2093</v>
      </c>
      <c r="H1755">
        <v>7</v>
      </c>
      <c r="I1755">
        <v>116.61</v>
      </c>
      <c r="J1755" s="50">
        <v>816.27</v>
      </c>
      <c r="K1755" t="s">
        <v>1618</v>
      </c>
      <c r="M1755" t="s">
        <v>1627</v>
      </c>
      <c r="N1755">
        <v>61.54</v>
      </c>
      <c r="O1755" s="49">
        <v>45022</v>
      </c>
      <c r="P1755" s="50">
        <v>367.32150000000001</v>
      </c>
    </row>
    <row r="1756" spans="4:16" x14ac:dyDescent="0.2">
      <c r="D1756">
        <v>100001060</v>
      </c>
      <c r="E1756" s="49">
        <v>45549</v>
      </c>
      <c r="F1756" t="s">
        <v>2930</v>
      </c>
      <c r="G1756" t="s">
        <v>1948</v>
      </c>
      <c r="H1756">
        <v>9</v>
      </c>
      <c r="I1756">
        <v>57.09</v>
      </c>
      <c r="J1756" s="50">
        <v>513.81000000000006</v>
      </c>
      <c r="K1756" t="s">
        <v>1618</v>
      </c>
      <c r="M1756" t="s">
        <v>1619</v>
      </c>
      <c r="N1756">
        <v>30.13</v>
      </c>
      <c r="O1756" s="49">
        <v>45552</v>
      </c>
      <c r="P1756" s="50">
        <v>231.21450000000004</v>
      </c>
    </row>
    <row r="1757" spans="4:16" x14ac:dyDescent="0.2">
      <c r="D1757">
        <v>100001061</v>
      </c>
      <c r="E1757" s="49">
        <v>44499</v>
      </c>
      <c r="F1757" t="s">
        <v>2931</v>
      </c>
      <c r="G1757" t="s">
        <v>2733</v>
      </c>
      <c r="H1757">
        <v>9</v>
      </c>
      <c r="I1757">
        <v>19.03</v>
      </c>
      <c r="J1757" s="50">
        <v>171.27</v>
      </c>
      <c r="K1757" t="s">
        <v>1618</v>
      </c>
      <c r="L1757" t="s">
        <v>2932</v>
      </c>
      <c r="M1757" t="s">
        <v>1621</v>
      </c>
      <c r="N1757">
        <v>10.039999999999999</v>
      </c>
      <c r="O1757" s="49">
        <v>44501</v>
      </c>
      <c r="P1757" s="50">
        <v>77.0715</v>
      </c>
    </row>
    <row r="1758" spans="4:16" x14ac:dyDescent="0.2">
      <c r="D1758">
        <v>100001062</v>
      </c>
      <c r="E1758" s="49">
        <v>44459</v>
      </c>
      <c r="F1758" t="s">
        <v>2933</v>
      </c>
      <c r="G1758" t="s">
        <v>1918</v>
      </c>
      <c r="H1758">
        <v>5</v>
      </c>
      <c r="I1758">
        <v>56.15</v>
      </c>
      <c r="J1758" s="50">
        <v>280.75</v>
      </c>
      <c r="K1758" t="s">
        <v>1618</v>
      </c>
      <c r="M1758" t="s">
        <v>1627</v>
      </c>
      <c r="N1758">
        <v>29.63</v>
      </c>
      <c r="O1758" s="49">
        <v>44461</v>
      </c>
      <c r="P1758" s="50">
        <v>126.33750000000001</v>
      </c>
    </row>
    <row r="1759" spans="4:16" x14ac:dyDescent="0.2">
      <c r="D1759">
        <v>100001063</v>
      </c>
      <c r="E1759" s="49">
        <v>45285</v>
      </c>
      <c r="F1759" t="s">
        <v>2934</v>
      </c>
      <c r="G1759" t="s">
        <v>1958</v>
      </c>
      <c r="H1759">
        <v>6</v>
      </c>
      <c r="I1759">
        <v>111.68</v>
      </c>
      <c r="J1759" s="50">
        <v>670.08</v>
      </c>
      <c r="K1759" t="s">
        <v>1618</v>
      </c>
      <c r="M1759" t="s">
        <v>1619</v>
      </c>
      <c r="N1759">
        <v>58.94</v>
      </c>
      <c r="O1759" s="49">
        <v>45288</v>
      </c>
      <c r="P1759" s="50">
        <v>301.536</v>
      </c>
    </row>
    <row r="1760" spans="4:16" x14ac:dyDescent="0.2">
      <c r="D1760">
        <v>100001063</v>
      </c>
      <c r="E1760" s="49">
        <v>44625</v>
      </c>
      <c r="F1760" t="s">
        <v>2934</v>
      </c>
      <c r="G1760" t="s">
        <v>2050</v>
      </c>
      <c r="H1760">
        <v>5</v>
      </c>
      <c r="I1760">
        <v>111.76</v>
      </c>
      <c r="J1760" s="50">
        <v>558.80000000000007</v>
      </c>
      <c r="K1760" t="s">
        <v>1618</v>
      </c>
      <c r="M1760" t="s">
        <v>1624</v>
      </c>
      <c r="N1760">
        <v>58.98</v>
      </c>
      <c r="O1760" s="49">
        <v>44628</v>
      </c>
      <c r="P1760" s="50">
        <v>251.46000000000004</v>
      </c>
    </row>
    <row r="1761" spans="4:16" x14ac:dyDescent="0.2">
      <c r="D1761">
        <v>100001066</v>
      </c>
      <c r="E1761" s="49">
        <v>44278</v>
      </c>
      <c r="F1761" t="s">
        <v>2935</v>
      </c>
      <c r="G1761" t="s">
        <v>1723</v>
      </c>
      <c r="H1761">
        <v>3</v>
      </c>
      <c r="I1761">
        <v>12.78</v>
      </c>
      <c r="J1761" s="50">
        <v>38.340000000000003</v>
      </c>
      <c r="K1761" t="s">
        <v>1618</v>
      </c>
      <c r="M1761" t="s">
        <v>1624</v>
      </c>
      <c r="N1761">
        <v>6.74</v>
      </c>
      <c r="O1761" s="49">
        <v>44280</v>
      </c>
      <c r="P1761" s="50">
        <v>17.253000000000004</v>
      </c>
    </row>
    <row r="1762" spans="4:16" x14ac:dyDescent="0.2">
      <c r="D1762">
        <v>100001066</v>
      </c>
      <c r="E1762" s="49">
        <v>44548</v>
      </c>
      <c r="F1762" t="s">
        <v>2935</v>
      </c>
      <c r="G1762" t="s">
        <v>2210</v>
      </c>
      <c r="H1762">
        <v>9</v>
      </c>
      <c r="I1762">
        <v>55.74</v>
      </c>
      <c r="J1762" s="50">
        <v>501.66</v>
      </c>
      <c r="K1762" t="s">
        <v>1618</v>
      </c>
      <c r="M1762" t="s">
        <v>1624</v>
      </c>
      <c r="N1762">
        <v>29.42</v>
      </c>
      <c r="O1762" s="49">
        <v>44552</v>
      </c>
      <c r="P1762" s="50">
        <v>225.74700000000001</v>
      </c>
    </row>
    <row r="1763" spans="4:16" x14ac:dyDescent="0.2">
      <c r="D1763">
        <v>100001066</v>
      </c>
      <c r="E1763" s="49">
        <v>44789</v>
      </c>
      <c r="F1763" t="s">
        <v>2935</v>
      </c>
      <c r="G1763" t="s">
        <v>1697</v>
      </c>
      <c r="H1763">
        <v>7</v>
      </c>
      <c r="I1763">
        <v>42.28</v>
      </c>
      <c r="J1763" s="50">
        <v>295.95999999999998</v>
      </c>
      <c r="K1763" t="s">
        <v>1618</v>
      </c>
      <c r="M1763" t="s">
        <v>1627</v>
      </c>
      <c r="N1763">
        <v>22.31</v>
      </c>
      <c r="O1763" s="49">
        <v>44790</v>
      </c>
      <c r="P1763" s="50">
        <v>133.18199999999999</v>
      </c>
    </row>
    <row r="1764" spans="4:16" x14ac:dyDescent="0.2">
      <c r="D1764">
        <v>100001066</v>
      </c>
      <c r="E1764" s="49">
        <v>44663</v>
      </c>
      <c r="F1764" t="s">
        <v>2935</v>
      </c>
      <c r="G1764" t="s">
        <v>1900</v>
      </c>
      <c r="H1764">
        <v>3</v>
      </c>
      <c r="I1764">
        <v>18.32</v>
      </c>
      <c r="J1764" s="50">
        <v>54.96</v>
      </c>
      <c r="K1764" t="s">
        <v>1618</v>
      </c>
      <c r="M1764" t="s">
        <v>1621</v>
      </c>
      <c r="N1764">
        <v>9.67</v>
      </c>
      <c r="O1764" s="49">
        <v>44666</v>
      </c>
      <c r="P1764" s="50">
        <v>24.731999999999999</v>
      </c>
    </row>
    <row r="1765" spans="4:16" x14ac:dyDescent="0.2">
      <c r="D1765">
        <v>100001067</v>
      </c>
      <c r="E1765" s="49">
        <v>44873</v>
      </c>
      <c r="F1765" t="s">
        <v>2936</v>
      </c>
      <c r="G1765" t="s">
        <v>2613</v>
      </c>
      <c r="H1765">
        <v>6</v>
      </c>
      <c r="I1765">
        <v>118.23</v>
      </c>
      <c r="J1765" s="50">
        <v>709.38</v>
      </c>
      <c r="K1765" t="s">
        <v>1618</v>
      </c>
      <c r="L1765" t="s">
        <v>2937</v>
      </c>
      <c r="M1765" t="s">
        <v>1621</v>
      </c>
      <c r="N1765">
        <v>62.4</v>
      </c>
      <c r="O1765" s="49">
        <v>44875</v>
      </c>
      <c r="P1765" s="50">
        <v>319.221</v>
      </c>
    </row>
    <row r="1766" spans="4:16" x14ac:dyDescent="0.2">
      <c r="D1766">
        <v>100001067</v>
      </c>
      <c r="E1766" s="49">
        <v>45165</v>
      </c>
      <c r="F1766" t="s">
        <v>2936</v>
      </c>
      <c r="G1766" t="s">
        <v>1679</v>
      </c>
      <c r="H1766">
        <v>9</v>
      </c>
      <c r="I1766">
        <v>101.25</v>
      </c>
      <c r="J1766" s="50">
        <v>911.25</v>
      </c>
      <c r="K1766" t="s">
        <v>1618</v>
      </c>
      <c r="L1766" t="s">
        <v>2937</v>
      </c>
      <c r="M1766" t="s">
        <v>1624</v>
      </c>
      <c r="N1766">
        <v>53.44</v>
      </c>
      <c r="O1766" s="49">
        <v>45166</v>
      </c>
      <c r="P1766" s="50">
        <v>410.0625</v>
      </c>
    </row>
    <row r="1767" spans="4:16" x14ac:dyDescent="0.2">
      <c r="D1767">
        <v>100001068</v>
      </c>
      <c r="E1767" s="49">
        <v>44302</v>
      </c>
      <c r="F1767" t="s">
        <v>2938</v>
      </c>
      <c r="G1767" t="s">
        <v>1999</v>
      </c>
      <c r="H1767">
        <v>5</v>
      </c>
      <c r="I1767">
        <v>105.24</v>
      </c>
      <c r="J1767" s="50">
        <v>526.19999999999993</v>
      </c>
      <c r="K1767" t="s">
        <v>1618</v>
      </c>
      <c r="L1767" t="s">
        <v>2939</v>
      </c>
      <c r="M1767" t="s">
        <v>1629</v>
      </c>
      <c r="N1767">
        <v>55.54</v>
      </c>
      <c r="O1767" s="49">
        <v>44305</v>
      </c>
      <c r="P1767" s="50">
        <v>236.78999999999996</v>
      </c>
    </row>
    <row r="1768" spans="4:16" x14ac:dyDescent="0.2">
      <c r="D1768">
        <v>100001069</v>
      </c>
      <c r="E1768" s="49">
        <v>45177</v>
      </c>
      <c r="F1768" t="s">
        <v>2940</v>
      </c>
      <c r="G1768" t="s">
        <v>2301</v>
      </c>
      <c r="H1768">
        <v>9</v>
      </c>
      <c r="I1768">
        <v>62.12</v>
      </c>
      <c r="J1768" s="50">
        <v>559.07999999999993</v>
      </c>
      <c r="K1768" t="s">
        <v>1632</v>
      </c>
      <c r="M1768" t="s">
        <v>1621</v>
      </c>
      <c r="N1768">
        <v>32.79</v>
      </c>
      <c r="O1768" s="49">
        <v>45178</v>
      </c>
      <c r="P1768" s="50">
        <v>251.58599999999998</v>
      </c>
    </row>
    <row r="1769" spans="4:16" x14ac:dyDescent="0.2">
      <c r="D1769">
        <v>100001069</v>
      </c>
      <c r="E1769" s="49">
        <v>44583</v>
      </c>
      <c r="F1769" t="s">
        <v>2940</v>
      </c>
      <c r="G1769" t="s">
        <v>2039</v>
      </c>
      <c r="H1769">
        <v>10</v>
      </c>
      <c r="I1769">
        <v>95.9</v>
      </c>
      <c r="J1769" s="50">
        <v>959</v>
      </c>
      <c r="K1769" t="s">
        <v>1632</v>
      </c>
      <c r="M1769" t="s">
        <v>1624</v>
      </c>
      <c r="N1769">
        <v>50.61</v>
      </c>
      <c r="O1769" s="49">
        <v>44588</v>
      </c>
      <c r="P1769" s="50">
        <v>431.55</v>
      </c>
    </row>
    <row r="1770" spans="4:16" x14ac:dyDescent="0.2">
      <c r="D1770">
        <v>100001070</v>
      </c>
      <c r="E1770" s="49">
        <v>45464</v>
      </c>
      <c r="F1770" t="s">
        <v>2941</v>
      </c>
      <c r="G1770" t="s">
        <v>2138</v>
      </c>
      <c r="H1770">
        <v>2</v>
      </c>
      <c r="I1770">
        <v>100.67</v>
      </c>
      <c r="J1770" s="50">
        <v>201.34</v>
      </c>
      <c r="K1770" t="s">
        <v>1632</v>
      </c>
      <c r="M1770" t="s">
        <v>1619</v>
      </c>
      <c r="N1770">
        <v>53.13</v>
      </c>
      <c r="O1770" s="49">
        <v>45465</v>
      </c>
      <c r="P1770" s="50">
        <v>90.603000000000009</v>
      </c>
    </row>
    <row r="1771" spans="4:16" x14ac:dyDescent="0.2">
      <c r="D1771">
        <v>100001070</v>
      </c>
      <c r="E1771" s="49">
        <v>45522</v>
      </c>
      <c r="F1771" t="s">
        <v>2941</v>
      </c>
      <c r="G1771" t="s">
        <v>1795</v>
      </c>
      <c r="H1771">
        <v>1</v>
      </c>
      <c r="I1771">
        <v>22.05</v>
      </c>
      <c r="J1771" s="50">
        <v>22.05</v>
      </c>
      <c r="K1771" t="s">
        <v>1632</v>
      </c>
      <c r="M1771" t="s">
        <v>1627</v>
      </c>
      <c r="N1771">
        <v>11.64</v>
      </c>
      <c r="O1771" s="49">
        <v>45525</v>
      </c>
      <c r="P1771" s="50">
        <v>9.9225000000000012</v>
      </c>
    </row>
    <row r="1772" spans="4:16" x14ac:dyDescent="0.2">
      <c r="D1772">
        <v>100001070</v>
      </c>
      <c r="E1772" s="49">
        <v>45489</v>
      </c>
      <c r="F1772" t="s">
        <v>2941</v>
      </c>
      <c r="G1772" t="s">
        <v>1701</v>
      </c>
      <c r="H1772">
        <v>6</v>
      </c>
      <c r="I1772">
        <v>10.210000000000001</v>
      </c>
      <c r="J1772" s="50">
        <v>61.260000000000012</v>
      </c>
      <c r="K1772" t="s">
        <v>1632</v>
      </c>
      <c r="M1772" t="s">
        <v>1619</v>
      </c>
      <c r="N1772">
        <v>5.39</v>
      </c>
      <c r="O1772" s="49">
        <v>45493</v>
      </c>
      <c r="P1772" s="50">
        <v>27.567000000000007</v>
      </c>
    </row>
    <row r="1773" spans="4:16" x14ac:dyDescent="0.2">
      <c r="D1773">
        <v>100001070</v>
      </c>
      <c r="E1773" s="49">
        <v>44265</v>
      </c>
      <c r="F1773" t="s">
        <v>2941</v>
      </c>
      <c r="G1773" t="s">
        <v>2553</v>
      </c>
      <c r="H1773">
        <v>6</v>
      </c>
      <c r="I1773">
        <v>13.2</v>
      </c>
      <c r="J1773" s="50">
        <v>79.199999999999989</v>
      </c>
      <c r="K1773" t="s">
        <v>1632</v>
      </c>
      <c r="M1773" t="s">
        <v>1627</v>
      </c>
      <c r="N1773">
        <v>6.97</v>
      </c>
      <c r="O1773" s="49">
        <v>44269</v>
      </c>
      <c r="P1773" s="50">
        <v>35.639999999999993</v>
      </c>
    </row>
    <row r="1774" spans="4:16" x14ac:dyDescent="0.2">
      <c r="D1774">
        <v>100001071</v>
      </c>
      <c r="E1774" s="49">
        <v>45493</v>
      </c>
      <c r="F1774" t="s">
        <v>2942</v>
      </c>
      <c r="G1774" t="s">
        <v>1950</v>
      </c>
      <c r="H1774">
        <v>8</v>
      </c>
      <c r="I1774">
        <v>98.28</v>
      </c>
      <c r="J1774" s="50">
        <v>786.24</v>
      </c>
      <c r="K1774" t="s">
        <v>1632</v>
      </c>
      <c r="M1774" t="s">
        <v>1621</v>
      </c>
      <c r="N1774">
        <v>51.87</v>
      </c>
      <c r="O1774" s="49">
        <v>45497</v>
      </c>
      <c r="P1774" s="50">
        <v>353.80799999999999</v>
      </c>
    </row>
    <row r="1775" spans="4:16" x14ac:dyDescent="0.2">
      <c r="D1775">
        <v>100001071</v>
      </c>
      <c r="E1775" s="49">
        <v>45305</v>
      </c>
      <c r="F1775" t="s">
        <v>2942</v>
      </c>
      <c r="G1775" t="s">
        <v>2202</v>
      </c>
      <c r="H1775">
        <v>7</v>
      </c>
      <c r="I1775">
        <v>20.68</v>
      </c>
      <c r="J1775" s="50">
        <v>144.76</v>
      </c>
      <c r="K1775" t="s">
        <v>1632</v>
      </c>
      <c r="M1775" t="s">
        <v>1621</v>
      </c>
      <c r="N1775">
        <v>10.91</v>
      </c>
      <c r="O1775" s="49">
        <v>45307</v>
      </c>
      <c r="P1775" s="50">
        <v>65.141999999999996</v>
      </c>
    </row>
    <row r="1776" spans="4:16" x14ac:dyDescent="0.2">
      <c r="D1776">
        <v>100001071</v>
      </c>
      <c r="E1776" s="49">
        <v>44612</v>
      </c>
      <c r="F1776" t="s">
        <v>2942</v>
      </c>
      <c r="G1776" t="s">
        <v>1751</v>
      </c>
      <c r="H1776">
        <v>6</v>
      </c>
      <c r="I1776">
        <v>29.2</v>
      </c>
      <c r="J1776" s="50">
        <v>175.2</v>
      </c>
      <c r="K1776" t="s">
        <v>1632</v>
      </c>
      <c r="M1776" t="s">
        <v>1629</v>
      </c>
      <c r="N1776">
        <v>15.41</v>
      </c>
      <c r="O1776" s="49">
        <v>44613</v>
      </c>
      <c r="P1776" s="50">
        <v>78.84</v>
      </c>
    </row>
    <row r="1777" spans="4:16" x14ac:dyDescent="0.2">
      <c r="D1777">
        <v>100001071</v>
      </c>
      <c r="E1777" s="49">
        <v>45347</v>
      </c>
      <c r="F1777" t="s">
        <v>2942</v>
      </c>
      <c r="G1777" t="s">
        <v>1691</v>
      </c>
      <c r="H1777">
        <v>6</v>
      </c>
      <c r="I1777">
        <v>61.74</v>
      </c>
      <c r="J1777" s="50">
        <v>370.44</v>
      </c>
      <c r="K1777" t="s">
        <v>1632</v>
      </c>
      <c r="M1777" t="s">
        <v>1624</v>
      </c>
      <c r="N1777">
        <v>32.58</v>
      </c>
      <c r="O1777" s="49">
        <v>45350</v>
      </c>
      <c r="P1777" s="50">
        <v>166.69800000000001</v>
      </c>
    </row>
    <row r="1778" spans="4:16" x14ac:dyDescent="0.2">
      <c r="D1778">
        <v>100001071</v>
      </c>
      <c r="E1778" s="49">
        <v>45495</v>
      </c>
      <c r="F1778" t="s">
        <v>2942</v>
      </c>
      <c r="G1778" t="s">
        <v>1628</v>
      </c>
      <c r="H1778">
        <v>7</v>
      </c>
      <c r="I1778">
        <v>19.88</v>
      </c>
      <c r="J1778" s="50">
        <v>139.16</v>
      </c>
      <c r="K1778" t="s">
        <v>1632</v>
      </c>
      <c r="M1778" t="s">
        <v>1619</v>
      </c>
      <c r="N1778">
        <v>10.49</v>
      </c>
      <c r="O1778" s="49">
        <v>45496</v>
      </c>
      <c r="P1778" s="50">
        <v>62.622</v>
      </c>
    </row>
    <row r="1779" spans="4:16" x14ac:dyDescent="0.2">
      <c r="D1779">
        <v>100001071</v>
      </c>
      <c r="E1779" s="49">
        <v>44454</v>
      </c>
      <c r="F1779" t="s">
        <v>2942</v>
      </c>
      <c r="G1779" t="s">
        <v>2418</v>
      </c>
      <c r="H1779">
        <v>5</v>
      </c>
      <c r="I1779">
        <v>66.05</v>
      </c>
      <c r="J1779" s="50">
        <v>330.25</v>
      </c>
      <c r="K1779" t="s">
        <v>1632</v>
      </c>
      <c r="M1779" t="s">
        <v>1629</v>
      </c>
      <c r="N1779">
        <v>34.86</v>
      </c>
      <c r="O1779" s="49">
        <v>44457</v>
      </c>
      <c r="P1779" s="50">
        <v>148.61250000000001</v>
      </c>
    </row>
    <row r="1780" spans="4:16" x14ac:dyDescent="0.2">
      <c r="D1780">
        <v>100001071</v>
      </c>
      <c r="E1780" s="49">
        <v>44546</v>
      </c>
      <c r="F1780" t="s">
        <v>2942</v>
      </c>
      <c r="G1780" t="s">
        <v>1792</v>
      </c>
      <c r="H1780">
        <v>10</v>
      </c>
      <c r="I1780">
        <v>34.340000000000003</v>
      </c>
      <c r="J1780" s="50">
        <v>343.4</v>
      </c>
      <c r="K1780" t="s">
        <v>1632</v>
      </c>
      <c r="M1780" t="s">
        <v>1621</v>
      </c>
      <c r="N1780">
        <v>18.12</v>
      </c>
      <c r="O1780" s="49">
        <v>44551</v>
      </c>
      <c r="P1780" s="50">
        <v>154.53</v>
      </c>
    </row>
    <row r="1781" spans="4:16" x14ac:dyDescent="0.2">
      <c r="D1781">
        <v>100001071</v>
      </c>
      <c r="E1781" s="49">
        <v>44857</v>
      </c>
      <c r="F1781" t="s">
        <v>2942</v>
      </c>
      <c r="G1781" t="s">
        <v>2003</v>
      </c>
      <c r="H1781">
        <v>10</v>
      </c>
      <c r="I1781">
        <v>64.55</v>
      </c>
      <c r="J1781" s="50">
        <v>645.5</v>
      </c>
      <c r="K1781" t="s">
        <v>1632</v>
      </c>
      <c r="M1781" t="s">
        <v>1624</v>
      </c>
      <c r="N1781">
        <v>34.07</v>
      </c>
      <c r="O1781" s="49">
        <v>44861</v>
      </c>
      <c r="P1781" s="50">
        <v>290.47500000000002</v>
      </c>
    </row>
    <row r="1782" spans="4:16" x14ac:dyDescent="0.2">
      <c r="D1782">
        <v>100001071</v>
      </c>
      <c r="E1782" s="49">
        <v>45420</v>
      </c>
      <c r="F1782" t="s">
        <v>2942</v>
      </c>
      <c r="G1782" t="s">
        <v>1783</v>
      </c>
      <c r="H1782">
        <v>1</v>
      </c>
      <c r="I1782">
        <v>21.14</v>
      </c>
      <c r="J1782" s="50">
        <v>21.14</v>
      </c>
      <c r="K1782" t="s">
        <v>1632</v>
      </c>
      <c r="M1782" t="s">
        <v>1629</v>
      </c>
      <c r="N1782">
        <v>11.16</v>
      </c>
      <c r="O1782" s="49">
        <v>45423</v>
      </c>
      <c r="P1782" s="50">
        <v>9.5129999999999999</v>
      </c>
    </row>
    <row r="1783" spans="4:16" x14ac:dyDescent="0.2">
      <c r="D1783">
        <v>100001071</v>
      </c>
      <c r="E1783" s="49">
        <v>45122</v>
      </c>
      <c r="F1783" t="s">
        <v>2942</v>
      </c>
      <c r="G1783" t="s">
        <v>1856</v>
      </c>
      <c r="H1783">
        <v>9</v>
      </c>
      <c r="I1783">
        <v>34.56</v>
      </c>
      <c r="J1783" s="50">
        <v>311.04000000000002</v>
      </c>
      <c r="K1783" t="s">
        <v>1632</v>
      </c>
      <c r="M1783" t="s">
        <v>1627</v>
      </c>
      <c r="N1783">
        <v>18.239999999999998</v>
      </c>
      <c r="O1783" s="49">
        <v>45126</v>
      </c>
      <c r="P1783" s="50">
        <v>139.96800000000002</v>
      </c>
    </row>
    <row r="1784" spans="4:16" x14ac:dyDescent="0.2">
      <c r="D1784">
        <v>100001072</v>
      </c>
      <c r="E1784" s="49">
        <v>45378</v>
      </c>
      <c r="F1784" t="s">
        <v>2943</v>
      </c>
      <c r="G1784" t="s">
        <v>2213</v>
      </c>
      <c r="H1784">
        <v>5</v>
      </c>
      <c r="I1784">
        <v>66.900000000000006</v>
      </c>
      <c r="J1784" s="50">
        <v>334.5</v>
      </c>
      <c r="K1784" t="s">
        <v>1618</v>
      </c>
      <c r="L1784" t="s">
        <v>2944</v>
      </c>
      <c r="M1784" t="s">
        <v>1627</v>
      </c>
      <c r="N1784">
        <v>35.31</v>
      </c>
      <c r="O1784" s="49">
        <v>45379</v>
      </c>
      <c r="P1784" s="50">
        <v>150.52500000000001</v>
      </c>
    </row>
    <row r="1785" spans="4:16" x14ac:dyDescent="0.2">
      <c r="D1785">
        <v>100001072</v>
      </c>
      <c r="E1785" s="49">
        <v>44618</v>
      </c>
      <c r="F1785" t="s">
        <v>2943</v>
      </c>
      <c r="G1785" t="s">
        <v>1857</v>
      </c>
      <c r="H1785">
        <v>2</v>
      </c>
      <c r="I1785">
        <v>108.4</v>
      </c>
      <c r="J1785" s="50">
        <v>216.8</v>
      </c>
      <c r="K1785" t="s">
        <v>1618</v>
      </c>
      <c r="L1785" t="s">
        <v>2944</v>
      </c>
      <c r="M1785" t="s">
        <v>1621</v>
      </c>
      <c r="N1785">
        <v>57.21</v>
      </c>
      <c r="O1785" s="49">
        <v>44622</v>
      </c>
      <c r="P1785" s="50">
        <v>97.56</v>
      </c>
    </row>
    <row r="1786" spans="4:16" x14ac:dyDescent="0.2">
      <c r="D1786">
        <v>100001073</v>
      </c>
      <c r="E1786" s="49">
        <v>45623</v>
      </c>
      <c r="F1786" t="s">
        <v>2945</v>
      </c>
      <c r="G1786" t="s">
        <v>1628</v>
      </c>
      <c r="H1786">
        <v>10</v>
      </c>
      <c r="I1786">
        <v>35.909999999999997</v>
      </c>
      <c r="J1786" s="50">
        <v>359.1</v>
      </c>
      <c r="K1786" t="s">
        <v>1632</v>
      </c>
      <c r="M1786" t="s">
        <v>1629</v>
      </c>
      <c r="N1786">
        <v>18.95</v>
      </c>
      <c r="O1786" s="49">
        <v>45628</v>
      </c>
      <c r="P1786" s="50">
        <v>161.59500000000003</v>
      </c>
    </row>
    <row r="1787" spans="4:16" x14ac:dyDescent="0.2">
      <c r="D1787">
        <v>100001074</v>
      </c>
      <c r="E1787" s="49">
        <v>44916</v>
      </c>
      <c r="F1787" t="s">
        <v>2946</v>
      </c>
      <c r="G1787" t="s">
        <v>2096</v>
      </c>
      <c r="H1787">
        <v>9</v>
      </c>
      <c r="I1787">
        <v>82.69</v>
      </c>
      <c r="J1787" s="50">
        <v>744.21</v>
      </c>
      <c r="K1787" t="s">
        <v>1618</v>
      </c>
      <c r="M1787" t="s">
        <v>1629</v>
      </c>
      <c r="N1787">
        <v>43.64</v>
      </c>
      <c r="O1787" s="49">
        <v>44918</v>
      </c>
      <c r="P1787" s="50">
        <v>334.89450000000005</v>
      </c>
    </row>
    <row r="1788" spans="4:16" x14ac:dyDescent="0.2">
      <c r="D1788">
        <v>100001075</v>
      </c>
      <c r="E1788" s="49">
        <v>45400</v>
      </c>
      <c r="F1788" t="s">
        <v>2947</v>
      </c>
      <c r="G1788" t="s">
        <v>1737</v>
      </c>
      <c r="H1788">
        <v>1</v>
      </c>
      <c r="I1788">
        <v>116.52</v>
      </c>
      <c r="J1788" s="50">
        <v>116.52</v>
      </c>
      <c r="K1788" t="s">
        <v>1618</v>
      </c>
      <c r="L1788" t="s">
        <v>2948</v>
      </c>
      <c r="M1788" t="s">
        <v>1627</v>
      </c>
      <c r="N1788">
        <v>61.5</v>
      </c>
      <c r="O1788" s="49">
        <v>45403</v>
      </c>
      <c r="P1788" s="50">
        <v>52.433999999999997</v>
      </c>
    </row>
    <row r="1789" spans="4:16" x14ac:dyDescent="0.2">
      <c r="D1789">
        <v>100001075</v>
      </c>
      <c r="E1789" s="49">
        <v>45540</v>
      </c>
      <c r="F1789" t="s">
        <v>2947</v>
      </c>
      <c r="G1789" t="s">
        <v>2692</v>
      </c>
      <c r="H1789">
        <v>1</v>
      </c>
      <c r="I1789">
        <v>30.94</v>
      </c>
      <c r="J1789" s="50">
        <v>30.94</v>
      </c>
      <c r="K1789" t="s">
        <v>1618</v>
      </c>
      <c r="L1789" t="s">
        <v>2948</v>
      </c>
      <c r="M1789" t="s">
        <v>1621</v>
      </c>
      <c r="N1789">
        <v>16.329999999999998</v>
      </c>
      <c r="O1789" s="49">
        <v>45542</v>
      </c>
      <c r="P1789" s="50">
        <v>13.923</v>
      </c>
    </row>
    <row r="1790" spans="4:16" x14ac:dyDescent="0.2">
      <c r="D1790">
        <v>100001076</v>
      </c>
      <c r="E1790" s="49">
        <v>45304</v>
      </c>
      <c r="F1790" t="s">
        <v>2949</v>
      </c>
      <c r="G1790" t="s">
        <v>1704</v>
      </c>
      <c r="H1790">
        <v>2</v>
      </c>
      <c r="I1790">
        <v>61.27</v>
      </c>
      <c r="J1790" s="50">
        <v>122.54</v>
      </c>
      <c r="K1790" t="s">
        <v>1632</v>
      </c>
      <c r="L1790" t="s">
        <v>2950</v>
      </c>
      <c r="M1790" t="s">
        <v>1621</v>
      </c>
      <c r="N1790">
        <v>32.340000000000003</v>
      </c>
      <c r="O1790" s="49">
        <v>45305</v>
      </c>
      <c r="P1790" s="50">
        <v>55.143000000000001</v>
      </c>
    </row>
    <row r="1791" spans="4:16" x14ac:dyDescent="0.2">
      <c r="D1791">
        <v>100001076</v>
      </c>
      <c r="E1791" s="49">
        <v>45176</v>
      </c>
      <c r="F1791" t="s">
        <v>2949</v>
      </c>
      <c r="G1791" t="s">
        <v>2064</v>
      </c>
      <c r="H1791">
        <v>7</v>
      </c>
      <c r="I1791">
        <v>20.18</v>
      </c>
      <c r="J1791" s="50">
        <v>141.26</v>
      </c>
      <c r="K1791" t="s">
        <v>1632</v>
      </c>
      <c r="L1791" t="s">
        <v>2950</v>
      </c>
      <c r="M1791" t="s">
        <v>1624</v>
      </c>
      <c r="N1791">
        <v>10.65</v>
      </c>
      <c r="O1791" s="49">
        <v>45178</v>
      </c>
      <c r="P1791" s="50">
        <v>63.567</v>
      </c>
    </row>
    <row r="1792" spans="4:16" x14ac:dyDescent="0.2">
      <c r="D1792">
        <v>100001076</v>
      </c>
      <c r="E1792" s="49">
        <v>45412</v>
      </c>
      <c r="F1792" t="s">
        <v>2949</v>
      </c>
      <c r="G1792" t="s">
        <v>2278</v>
      </c>
      <c r="H1792">
        <v>7</v>
      </c>
      <c r="I1792">
        <v>29.69</v>
      </c>
      <c r="J1792" s="50">
        <v>207.83</v>
      </c>
      <c r="K1792" t="s">
        <v>1632</v>
      </c>
      <c r="L1792" t="s">
        <v>2950</v>
      </c>
      <c r="M1792" t="s">
        <v>1629</v>
      </c>
      <c r="N1792">
        <v>15.67</v>
      </c>
      <c r="O1792" s="49">
        <v>45413</v>
      </c>
      <c r="P1792" s="50">
        <v>93.523500000000013</v>
      </c>
    </row>
    <row r="1793" spans="4:16" x14ac:dyDescent="0.2">
      <c r="D1793">
        <v>100001077</v>
      </c>
      <c r="E1793" s="49">
        <v>44638</v>
      </c>
      <c r="F1793" t="s">
        <v>2951</v>
      </c>
      <c r="G1793" t="s">
        <v>1841</v>
      </c>
      <c r="H1793">
        <v>5</v>
      </c>
      <c r="I1793">
        <v>27.87</v>
      </c>
      <c r="J1793" s="50">
        <v>139.35</v>
      </c>
      <c r="K1793" t="s">
        <v>1632</v>
      </c>
      <c r="L1793" t="s">
        <v>2952</v>
      </c>
      <c r="M1793" t="s">
        <v>1629</v>
      </c>
      <c r="N1793">
        <v>14.71</v>
      </c>
      <c r="O1793" s="49">
        <v>44643</v>
      </c>
      <c r="P1793" s="50">
        <v>62.707499999999996</v>
      </c>
    </row>
    <row r="1794" spans="4:16" x14ac:dyDescent="0.2">
      <c r="D1794">
        <v>100001078</v>
      </c>
      <c r="E1794" s="49">
        <v>45463</v>
      </c>
      <c r="F1794" t="s">
        <v>2953</v>
      </c>
      <c r="G1794" t="s">
        <v>1971</v>
      </c>
      <c r="H1794">
        <v>8</v>
      </c>
      <c r="I1794">
        <v>80.959999999999994</v>
      </c>
      <c r="J1794" s="50">
        <v>647.67999999999995</v>
      </c>
      <c r="K1794" t="s">
        <v>1618</v>
      </c>
      <c r="M1794" t="s">
        <v>1629</v>
      </c>
      <c r="N1794">
        <v>42.73</v>
      </c>
      <c r="O1794" s="49">
        <v>45465</v>
      </c>
      <c r="P1794" s="50">
        <v>291.45599999999996</v>
      </c>
    </row>
    <row r="1795" spans="4:16" x14ac:dyDescent="0.2">
      <c r="D1795">
        <v>100001078</v>
      </c>
      <c r="E1795" s="49">
        <v>45568</v>
      </c>
      <c r="F1795" t="s">
        <v>2953</v>
      </c>
      <c r="G1795" t="s">
        <v>1687</v>
      </c>
      <c r="H1795">
        <v>1</v>
      </c>
      <c r="I1795">
        <v>20.63</v>
      </c>
      <c r="J1795" s="50">
        <v>20.63</v>
      </c>
      <c r="K1795" t="s">
        <v>1618</v>
      </c>
      <c r="M1795" t="s">
        <v>1621</v>
      </c>
      <c r="N1795">
        <v>10.89</v>
      </c>
      <c r="O1795" s="49">
        <v>45572</v>
      </c>
      <c r="P1795" s="50">
        <v>9.2835000000000001</v>
      </c>
    </row>
    <row r="1796" spans="4:16" x14ac:dyDescent="0.2">
      <c r="D1796">
        <v>100001078</v>
      </c>
      <c r="E1796" s="49">
        <v>44614</v>
      </c>
      <c r="F1796" t="s">
        <v>2953</v>
      </c>
      <c r="G1796" t="s">
        <v>2192</v>
      </c>
      <c r="H1796">
        <v>2</v>
      </c>
      <c r="I1796">
        <v>25.38</v>
      </c>
      <c r="J1796" s="50">
        <v>50.76</v>
      </c>
      <c r="K1796" t="s">
        <v>1618</v>
      </c>
      <c r="M1796" t="s">
        <v>1629</v>
      </c>
      <c r="N1796">
        <v>13.39</v>
      </c>
      <c r="O1796" s="49">
        <v>44617</v>
      </c>
      <c r="P1796" s="50">
        <v>22.841999999999999</v>
      </c>
    </row>
    <row r="1797" spans="4:16" x14ac:dyDescent="0.2">
      <c r="D1797">
        <v>100001078</v>
      </c>
      <c r="E1797" s="49">
        <v>44735</v>
      </c>
      <c r="F1797" t="s">
        <v>2953</v>
      </c>
      <c r="G1797" t="s">
        <v>2024</v>
      </c>
      <c r="H1797">
        <v>5</v>
      </c>
      <c r="I1797">
        <v>35.880000000000003</v>
      </c>
      <c r="J1797" s="50">
        <v>179.4</v>
      </c>
      <c r="K1797" t="s">
        <v>1618</v>
      </c>
      <c r="M1797" t="s">
        <v>1629</v>
      </c>
      <c r="N1797">
        <v>18.940000000000001</v>
      </c>
      <c r="O1797" s="49">
        <v>44739</v>
      </c>
      <c r="P1797" s="50">
        <v>80.73</v>
      </c>
    </row>
    <row r="1798" spans="4:16" x14ac:dyDescent="0.2">
      <c r="D1798">
        <v>100001078</v>
      </c>
      <c r="E1798" s="49">
        <v>45109</v>
      </c>
      <c r="F1798" t="s">
        <v>2953</v>
      </c>
      <c r="G1798" t="s">
        <v>1947</v>
      </c>
      <c r="H1798">
        <v>8</v>
      </c>
      <c r="I1798">
        <v>45.93</v>
      </c>
      <c r="J1798" s="50">
        <v>367.44</v>
      </c>
      <c r="K1798" t="s">
        <v>1618</v>
      </c>
      <c r="M1798" t="s">
        <v>1624</v>
      </c>
      <c r="N1798">
        <v>24.24</v>
      </c>
      <c r="O1798" s="49">
        <v>45113</v>
      </c>
      <c r="P1798" s="50">
        <v>165.34800000000001</v>
      </c>
    </row>
    <row r="1799" spans="4:16" x14ac:dyDescent="0.2">
      <c r="D1799">
        <v>100001078</v>
      </c>
      <c r="E1799" s="49">
        <v>45044</v>
      </c>
      <c r="F1799" t="s">
        <v>2953</v>
      </c>
      <c r="G1799" t="s">
        <v>2733</v>
      </c>
      <c r="H1799">
        <v>10</v>
      </c>
      <c r="I1799">
        <v>23.21</v>
      </c>
      <c r="J1799" s="50">
        <v>232.1</v>
      </c>
      <c r="K1799" t="s">
        <v>1618</v>
      </c>
      <c r="M1799" t="s">
        <v>1621</v>
      </c>
      <c r="N1799">
        <v>12.25</v>
      </c>
      <c r="O1799" s="49">
        <v>45049</v>
      </c>
      <c r="P1799" s="50">
        <v>104.44499999999999</v>
      </c>
    </row>
    <row r="1800" spans="4:16" x14ac:dyDescent="0.2">
      <c r="D1800">
        <v>100001078</v>
      </c>
      <c r="E1800" s="49">
        <v>44496</v>
      </c>
      <c r="F1800" t="s">
        <v>2953</v>
      </c>
      <c r="G1800" t="s">
        <v>1848</v>
      </c>
      <c r="H1800">
        <v>6</v>
      </c>
      <c r="I1800">
        <v>118.41</v>
      </c>
      <c r="J1800" s="50">
        <v>710.46</v>
      </c>
      <c r="K1800" t="s">
        <v>1618</v>
      </c>
      <c r="M1800" t="s">
        <v>1619</v>
      </c>
      <c r="N1800">
        <v>62.49</v>
      </c>
      <c r="O1800" s="49">
        <v>44499</v>
      </c>
      <c r="P1800" s="50">
        <v>319.70700000000005</v>
      </c>
    </row>
    <row r="1801" spans="4:16" x14ac:dyDescent="0.2">
      <c r="D1801">
        <v>100001080</v>
      </c>
      <c r="E1801" s="49">
        <v>44294</v>
      </c>
      <c r="F1801" t="s">
        <v>2954</v>
      </c>
      <c r="G1801" t="s">
        <v>1724</v>
      </c>
      <c r="H1801">
        <v>3</v>
      </c>
      <c r="I1801">
        <v>92.96</v>
      </c>
      <c r="J1801" s="50">
        <v>278.88</v>
      </c>
      <c r="K1801" t="s">
        <v>1618</v>
      </c>
      <c r="L1801" t="s">
        <v>2955</v>
      </c>
      <c r="M1801" t="s">
        <v>1629</v>
      </c>
      <c r="N1801">
        <v>49.06</v>
      </c>
      <c r="O1801" s="49">
        <v>44295</v>
      </c>
      <c r="P1801" s="50">
        <v>125.496</v>
      </c>
    </row>
    <row r="1802" spans="4:16" x14ac:dyDescent="0.2">
      <c r="D1802">
        <v>100001080</v>
      </c>
      <c r="E1802" s="49">
        <v>44209</v>
      </c>
      <c r="F1802" t="s">
        <v>2954</v>
      </c>
      <c r="G1802" t="s">
        <v>1842</v>
      </c>
      <c r="H1802">
        <v>3</v>
      </c>
      <c r="I1802">
        <v>108.8</v>
      </c>
      <c r="J1802" s="50">
        <v>326.39999999999998</v>
      </c>
      <c r="K1802" t="s">
        <v>1618</v>
      </c>
      <c r="L1802" t="s">
        <v>2955</v>
      </c>
      <c r="M1802" t="s">
        <v>1629</v>
      </c>
      <c r="N1802">
        <v>57.42</v>
      </c>
      <c r="O1802" s="49">
        <v>44213</v>
      </c>
      <c r="P1802" s="50">
        <v>146.88</v>
      </c>
    </row>
    <row r="1803" spans="4:16" x14ac:dyDescent="0.2">
      <c r="D1803">
        <v>100001080</v>
      </c>
      <c r="E1803" s="49">
        <v>44822</v>
      </c>
      <c r="F1803" t="s">
        <v>2954</v>
      </c>
      <c r="G1803" t="s">
        <v>2025</v>
      </c>
      <c r="H1803">
        <v>7</v>
      </c>
      <c r="I1803">
        <v>24.54</v>
      </c>
      <c r="J1803" s="50">
        <v>171.78</v>
      </c>
      <c r="K1803" t="s">
        <v>1618</v>
      </c>
      <c r="L1803" t="s">
        <v>2955</v>
      </c>
      <c r="M1803" t="s">
        <v>1627</v>
      </c>
      <c r="N1803">
        <v>12.95</v>
      </c>
      <c r="O1803" s="49">
        <v>44825</v>
      </c>
      <c r="P1803" s="50">
        <v>77.301000000000002</v>
      </c>
    </row>
    <row r="1804" spans="4:16" x14ac:dyDescent="0.2">
      <c r="D1804">
        <v>100001080</v>
      </c>
      <c r="E1804" s="49">
        <v>44319</v>
      </c>
      <c r="F1804" t="s">
        <v>2954</v>
      </c>
      <c r="G1804" t="s">
        <v>1929</v>
      </c>
      <c r="H1804">
        <v>7</v>
      </c>
      <c r="I1804">
        <v>33.659999999999997</v>
      </c>
      <c r="J1804" s="50">
        <v>235.62</v>
      </c>
      <c r="K1804" t="s">
        <v>1618</v>
      </c>
      <c r="L1804" t="s">
        <v>2955</v>
      </c>
      <c r="M1804" t="s">
        <v>1621</v>
      </c>
      <c r="N1804">
        <v>17.760000000000002</v>
      </c>
      <c r="O1804" s="49">
        <v>44320</v>
      </c>
      <c r="P1804" s="50">
        <v>106.02900000000001</v>
      </c>
    </row>
    <row r="1805" spans="4:16" x14ac:dyDescent="0.2">
      <c r="D1805">
        <v>100001081</v>
      </c>
      <c r="E1805" s="49">
        <v>45559</v>
      </c>
      <c r="F1805" t="s">
        <v>2956</v>
      </c>
      <c r="G1805" t="s">
        <v>2380</v>
      </c>
      <c r="H1805">
        <v>7</v>
      </c>
      <c r="I1805">
        <v>92.03</v>
      </c>
      <c r="J1805" s="50">
        <v>644.21</v>
      </c>
      <c r="K1805" t="s">
        <v>1618</v>
      </c>
      <c r="M1805" t="s">
        <v>1629</v>
      </c>
      <c r="N1805">
        <v>48.57</v>
      </c>
      <c r="O1805" s="49">
        <v>45560</v>
      </c>
      <c r="P1805" s="50">
        <v>289.89450000000005</v>
      </c>
    </row>
    <row r="1806" spans="4:16" x14ac:dyDescent="0.2">
      <c r="D1806">
        <v>100001081</v>
      </c>
      <c r="E1806" s="49">
        <v>45657</v>
      </c>
      <c r="F1806" t="s">
        <v>2956</v>
      </c>
      <c r="G1806" t="s">
        <v>1693</v>
      </c>
      <c r="H1806">
        <v>4</v>
      </c>
      <c r="I1806">
        <v>110.9</v>
      </c>
      <c r="J1806" s="50">
        <v>443.6</v>
      </c>
      <c r="K1806" t="s">
        <v>1618</v>
      </c>
      <c r="M1806" t="s">
        <v>1624</v>
      </c>
      <c r="N1806">
        <v>58.53</v>
      </c>
      <c r="O1806" s="49">
        <v>45658</v>
      </c>
      <c r="P1806" s="50">
        <v>199.62</v>
      </c>
    </row>
    <row r="1807" spans="4:16" x14ac:dyDescent="0.2">
      <c r="D1807">
        <v>100001081</v>
      </c>
      <c r="E1807" s="49">
        <v>44722</v>
      </c>
      <c r="F1807" t="s">
        <v>2956</v>
      </c>
      <c r="G1807" t="s">
        <v>1712</v>
      </c>
      <c r="H1807">
        <v>5</v>
      </c>
      <c r="I1807">
        <v>62.1</v>
      </c>
      <c r="J1807" s="50">
        <v>310.5</v>
      </c>
      <c r="K1807" t="s">
        <v>1618</v>
      </c>
      <c r="M1807" t="s">
        <v>1624</v>
      </c>
      <c r="N1807">
        <v>32.770000000000003</v>
      </c>
      <c r="O1807" s="49">
        <v>44725</v>
      </c>
      <c r="P1807" s="50">
        <v>139.72499999999999</v>
      </c>
    </row>
    <row r="1808" spans="4:16" x14ac:dyDescent="0.2">
      <c r="D1808">
        <v>100001081</v>
      </c>
      <c r="E1808" s="49">
        <v>45603</v>
      </c>
      <c r="F1808" t="s">
        <v>2956</v>
      </c>
      <c r="G1808" t="s">
        <v>1717</v>
      </c>
      <c r="H1808">
        <v>10</v>
      </c>
      <c r="I1808">
        <v>68.61</v>
      </c>
      <c r="J1808" s="50">
        <v>686.1</v>
      </c>
      <c r="K1808" t="s">
        <v>1618</v>
      </c>
      <c r="M1808" t="s">
        <v>1624</v>
      </c>
      <c r="N1808">
        <v>36.21</v>
      </c>
      <c r="O1808" s="49">
        <v>45606</v>
      </c>
      <c r="P1808" s="50">
        <v>308.745</v>
      </c>
    </row>
    <row r="1809" spans="4:16" x14ac:dyDescent="0.2">
      <c r="D1809">
        <v>100001081</v>
      </c>
      <c r="E1809" s="49">
        <v>44328</v>
      </c>
      <c r="F1809" t="s">
        <v>2956</v>
      </c>
      <c r="G1809" t="s">
        <v>2194</v>
      </c>
      <c r="H1809">
        <v>7</v>
      </c>
      <c r="I1809">
        <v>43.37</v>
      </c>
      <c r="J1809" s="50">
        <v>303.58999999999997</v>
      </c>
      <c r="K1809" t="s">
        <v>1618</v>
      </c>
      <c r="M1809" t="s">
        <v>1627</v>
      </c>
      <c r="N1809">
        <v>22.89</v>
      </c>
      <c r="O1809" s="49">
        <v>44330</v>
      </c>
      <c r="P1809" s="50">
        <v>136.6155</v>
      </c>
    </row>
    <row r="1810" spans="4:16" x14ac:dyDescent="0.2">
      <c r="D1810">
        <v>100001081</v>
      </c>
      <c r="E1810" s="49">
        <v>44953</v>
      </c>
      <c r="F1810" t="s">
        <v>2956</v>
      </c>
      <c r="G1810" t="s">
        <v>1738</v>
      </c>
      <c r="H1810">
        <v>6</v>
      </c>
      <c r="I1810">
        <v>52.5</v>
      </c>
      <c r="J1810" s="50">
        <v>315</v>
      </c>
      <c r="K1810" t="s">
        <v>1618</v>
      </c>
      <c r="M1810" t="s">
        <v>1629</v>
      </c>
      <c r="N1810">
        <v>27.71</v>
      </c>
      <c r="O1810" s="49">
        <v>44957</v>
      </c>
      <c r="P1810" s="50">
        <v>141.75</v>
      </c>
    </row>
    <row r="1811" spans="4:16" x14ac:dyDescent="0.2">
      <c r="D1811">
        <v>100001081</v>
      </c>
      <c r="E1811" s="49">
        <v>44310</v>
      </c>
      <c r="F1811" t="s">
        <v>2956</v>
      </c>
      <c r="G1811" t="s">
        <v>2278</v>
      </c>
      <c r="H1811">
        <v>9</v>
      </c>
      <c r="I1811">
        <v>57.93</v>
      </c>
      <c r="J1811" s="50">
        <v>521.37</v>
      </c>
      <c r="K1811" t="s">
        <v>1618</v>
      </c>
      <c r="M1811" t="s">
        <v>1629</v>
      </c>
      <c r="N1811">
        <v>30.57</v>
      </c>
      <c r="O1811" s="49">
        <v>44315</v>
      </c>
      <c r="P1811" s="50">
        <v>234.6165</v>
      </c>
    </row>
    <row r="1812" spans="4:16" x14ac:dyDescent="0.2">
      <c r="D1812">
        <v>100001081</v>
      </c>
      <c r="E1812" s="49">
        <v>44459</v>
      </c>
      <c r="F1812" t="s">
        <v>2956</v>
      </c>
      <c r="G1812" t="s">
        <v>2240</v>
      </c>
      <c r="H1812">
        <v>7</v>
      </c>
      <c r="I1812">
        <v>94.61</v>
      </c>
      <c r="J1812" s="50">
        <v>662.27</v>
      </c>
      <c r="K1812" t="s">
        <v>1618</v>
      </c>
      <c r="M1812" t="s">
        <v>1621</v>
      </c>
      <c r="N1812">
        <v>49.93</v>
      </c>
      <c r="O1812" s="49">
        <v>44460</v>
      </c>
      <c r="P1812" s="50">
        <v>298.0215</v>
      </c>
    </row>
    <row r="1813" spans="4:16" x14ac:dyDescent="0.2">
      <c r="D1813">
        <v>100001082</v>
      </c>
      <c r="E1813" s="49">
        <v>45576</v>
      </c>
      <c r="F1813" t="s">
        <v>2957</v>
      </c>
      <c r="G1813" t="s">
        <v>2706</v>
      </c>
      <c r="H1813">
        <v>5</v>
      </c>
      <c r="I1813">
        <v>16.47</v>
      </c>
      <c r="J1813" s="50">
        <v>82.35</v>
      </c>
      <c r="K1813" t="s">
        <v>1632</v>
      </c>
      <c r="L1813" t="s">
        <v>2958</v>
      </c>
      <c r="M1813" t="s">
        <v>1619</v>
      </c>
      <c r="N1813">
        <v>8.69</v>
      </c>
      <c r="O1813" s="49">
        <v>45579</v>
      </c>
      <c r="P1813" s="50">
        <v>37.057499999999997</v>
      </c>
    </row>
    <row r="1814" spans="4:16" x14ac:dyDescent="0.2">
      <c r="D1814">
        <v>100001082</v>
      </c>
      <c r="E1814" s="49">
        <v>45127</v>
      </c>
      <c r="F1814" t="s">
        <v>2957</v>
      </c>
      <c r="G1814" t="s">
        <v>1637</v>
      </c>
      <c r="H1814">
        <v>3</v>
      </c>
      <c r="I1814">
        <v>49.58</v>
      </c>
      <c r="J1814" s="50">
        <v>148.74</v>
      </c>
      <c r="K1814" t="s">
        <v>1632</v>
      </c>
      <c r="L1814" t="s">
        <v>2958</v>
      </c>
      <c r="M1814" t="s">
        <v>1624</v>
      </c>
      <c r="N1814">
        <v>26.17</v>
      </c>
      <c r="O1814" s="49">
        <v>45131</v>
      </c>
      <c r="P1814" s="50">
        <v>66.933000000000007</v>
      </c>
    </row>
    <row r="1815" spans="4:16" x14ac:dyDescent="0.2">
      <c r="D1815">
        <v>100001082</v>
      </c>
      <c r="E1815" s="49">
        <v>45623</v>
      </c>
      <c r="F1815" t="s">
        <v>2957</v>
      </c>
      <c r="G1815" t="s">
        <v>2163</v>
      </c>
      <c r="H1815">
        <v>5</v>
      </c>
      <c r="I1815">
        <v>31.94</v>
      </c>
      <c r="J1815" s="50">
        <v>159.69999999999999</v>
      </c>
      <c r="K1815" t="s">
        <v>1632</v>
      </c>
      <c r="L1815" t="s">
        <v>2958</v>
      </c>
      <c r="M1815" t="s">
        <v>1621</v>
      </c>
      <c r="N1815">
        <v>16.86</v>
      </c>
      <c r="O1815" s="49">
        <v>45627</v>
      </c>
      <c r="P1815" s="50">
        <v>71.864999999999995</v>
      </c>
    </row>
    <row r="1816" spans="4:16" x14ac:dyDescent="0.2">
      <c r="D1816">
        <v>100001086</v>
      </c>
      <c r="E1816" s="49">
        <v>44325</v>
      </c>
      <c r="F1816" t="s">
        <v>2959</v>
      </c>
      <c r="G1816" t="s">
        <v>2707</v>
      </c>
      <c r="H1816">
        <v>1</v>
      </c>
      <c r="I1816">
        <v>35.549999999999997</v>
      </c>
      <c r="J1816" s="50">
        <v>35.549999999999997</v>
      </c>
      <c r="K1816" t="s">
        <v>1632</v>
      </c>
      <c r="M1816" t="s">
        <v>1629</v>
      </c>
      <c r="N1816">
        <v>18.760000000000002</v>
      </c>
      <c r="O1816" s="49">
        <v>44330</v>
      </c>
      <c r="P1816" s="50">
        <v>15.997499999999999</v>
      </c>
    </row>
    <row r="1817" spans="4:16" x14ac:dyDescent="0.2">
      <c r="D1817">
        <v>100001086</v>
      </c>
      <c r="E1817" s="49">
        <v>44460</v>
      </c>
      <c r="F1817" t="s">
        <v>2959</v>
      </c>
      <c r="G1817" t="s">
        <v>2420</v>
      </c>
      <c r="H1817">
        <v>9</v>
      </c>
      <c r="I1817">
        <v>36.53</v>
      </c>
      <c r="J1817" s="50">
        <v>328.77</v>
      </c>
      <c r="K1817" t="s">
        <v>1632</v>
      </c>
      <c r="M1817" t="s">
        <v>1624</v>
      </c>
      <c r="N1817">
        <v>19.28</v>
      </c>
      <c r="O1817" s="49">
        <v>44463</v>
      </c>
      <c r="P1817" s="50">
        <v>147.94649999999999</v>
      </c>
    </row>
    <row r="1818" spans="4:16" x14ac:dyDescent="0.2">
      <c r="D1818">
        <v>100001086</v>
      </c>
      <c r="E1818" s="49">
        <v>45292</v>
      </c>
      <c r="F1818" t="s">
        <v>2959</v>
      </c>
      <c r="G1818" t="s">
        <v>2447</v>
      </c>
      <c r="H1818">
        <v>1</v>
      </c>
      <c r="I1818">
        <v>34.479999999999997</v>
      </c>
      <c r="J1818" s="50">
        <v>34.479999999999997</v>
      </c>
      <c r="K1818" t="s">
        <v>1632</v>
      </c>
      <c r="M1818" t="s">
        <v>1629</v>
      </c>
      <c r="N1818">
        <v>18.2</v>
      </c>
      <c r="O1818" s="49">
        <v>45296</v>
      </c>
      <c r="P1818" s="50">
        <v>15.515999999999998</v>
      </c>
    </row>
    <row r="1819" spans="4:16" x14ac:dyDescent="0.2">
      <c r="D1819">
        <v>100001087</v>
      </c>
      <c r="E1819" s="49">
        <v>44441</v>
      </c>
      <c r="F1819" t="s">
        <v>2960</v>
      </c>
      <c r="G1819" t="s">
        <v>1639</v>
      </c>
      <c r="H1819">
        <v>1</v>
      </c>
      <c r="I1819">
        <v>27.79</v>
      </c>
      <c r="J1819" s="50">
        <v>27.79</v>
      </c>
      <c r="K1819" t="s">
        <v>1618</v>
      </c>
      <c r="M1819" t="s">
        <v>1624</v>
      </c>
      <c r="N1819">
        <v>14.67</v>
      </c>
      <c r="O1819" s="49">
        <v>44446</v>
      </c>
      <c r="P1819" s="50">
        <v>12.5055</v>
      </c>
    </row>
    <row r="1820" spans="4:16" x14ac:dyDescent="0.2">
      <c r="D1820">
        <v>100001088</v>
      </c>
      <c r="E1820" s="49">
        <v>44595</v>
      </c>
      <c r="F1820" t="s">
        <v>2961</v>
      </c>
      <c r="G1820" t="s">
        <v>1805</v>
      </c>
      <c r="H1820">
        <v>10</v>
      </c>
      <c r="I1820">
        <v>110.12</v>
      </c>
      <c r="J1820" s="50">
        <v>1101.2</v>
      </c>
      <c r="K1820" t="s">
        <v>1618</v>
      </c>
      <c r="L1820" t="s">
        <v>2962</v>
      </c>
      <c r="M1820" t="s">
        <v>1621</v>
      </c>
      <c r="N1820">
        <v>58.12</v>
      </c>
      <c r="O1820" s="49">
        <v>44600</v>
      </c>
      <c r="P1820" s="50">
        <v>495.54</v>
      </c>
    </row>
    <row r="1821" spans="4:16" x14ac:dyDescent="0.2">
      <c r="D1821">
        <v>100001088</v>
      </c>
      <c r="E1821" s="49">
        <v>44595</v>
      </c>
      <c r="F1821" t="s">
        <v>2961</v>
      </c>
      <c r="G1821" t="s">
        <v>2514</v>
      </c>
      <c r="H1821">
        <v>2</v>
      </c>
      <c r="I1821">
        <v>114.78</v>
      </c>
      <c r="J1821" s="50">
        <v>229.56</v>
      </c>
      <c r="K1821" t="s">
        <v>1618</v>
      </c>
      <c r="L1821" t="s">
        <v>2962</v>
      </c>
      <c r="M1821" t="s">
        <v>1621</v>
      </c>
      <c r="N1821">
        <v>60.58</v>
      </c>
      <c r="O1821" s="49">
        <v>44596</v>
      </c>
      <c r="P1821" s="50">
        <v>103.30200000000001</v>
      </c>
    </row>
    <row r="1822" spans="4:16" x14ac:dyDescent="0.2">
      <c r="D1822">
        <v>100001088</v>
      </c>
      <c r="E1822" s="49">
        <v>44729</v>
      </c>
      <c r="F1822" t="s">
        <v>2961</v>
      </c>
      <c r="G1822" t="s">
        <v>1676</v>
      </c>
      <c r="H1822">
        <v>5</v>
      </c>
      <c r="I1822">
        <v>67.7</v>
      </c>
      <c r="J1822" s="50">
        <v>338.5</v>
      </c>
      <c r="K1822" t="s">
        <v>1618</v>
      </c>
      <c r="L1822" t="s">
        <v>2962</v>
      </c>
      <c r="M1822" t="s">
        <v>1624</v>
      </c>
      <c r="N1822">
        <v>35.729999999999997</v>
      </c>
      <c r="O1822" s="49">
        <v>44731</v>
      </c>
      <c r="P1822" s="50">
        <v>152.32500000000002</v>
      </c>
    </row>
    <row r="1823" spans="4:16" x14ac:dyDescent="0.2">
      <c r="D1823">
        <v>100001089</v>
      </c>
      <c r="E1823" s="49">
        <v>44759</v>
      </c>
      <c r="F1823" t="s">
        <v>2963</v>
      </c>
      <c r="G1823" t="s">
        <v>2016</v>
      </c>
      <c r="H1823">
        <v>10</v>
      </c>
      <c r="I1823">
        <v>113.23</v>
      </c>
      <c r="J1823" s="50">
        <v>1132.3</v>
      </c>
      <c r="K1823" t="s">
        <v>1632</v>
      </c>
      <c r="M1823" t="s">
        <v>1619</v>
      </c>
      <c r="N1823">
        <v>59.76</v>
      </c>
      <c r="O1823" s="49">
        <v>44764</v>
      </c>
      <c r="P1823" s="50">
        <v>509.53499999999997</v>
      </c>
    </row>
    <row r="1824" spans="4:16" x14ac:dyDescent="0.2">
      <c r="D1824">
        <v>100001089</v>
      </c>
      <c r="E1824" s="49">
        <v>44492</v>
      </c>
      <c r="F1824" t="s">
        <v>2963</v>
      </c>
      <c r="G1824" t="s">
        <v>1637</v>
      </c>
      <c r="H1824">
        <v>8</v>
      </c>
      <c r="I1824">
        <v>101.41</v>
      </c>
      <c r="J1824" s="50">
        <v>811.28</v>
      </c>
      <c r="K1824" t="s">
        <v>1632</v>
      </c>
      <c r="M1824" t="s">
        <v>1627</v>
      </c>
      <c r="N1824">
        <v>53.52</v>
      </c>
      <c r="O1824" s="49">
        <v>44497</v>
      </c>
      <c r="P1824" s="50">
        <v>365.07600000000002</v>
      </c>
    </row>
    <row r="1825" spans="4:16" x14ac:dyDescent="0.2">
      <c r="D1825">
        <v>100001090</v>
      </c>
      <c r="E1825" s="49">
        <v>44609</v>
      </c>
      <c r="F1825" t="s">
        <v>2964</v>
      </c>
      <c r="G1825" t="s">
        <v>1754</v>
      </c>
      <c r="H1825">
        <v>6</v>
      </c>
      <c r="I1825">
        <v>49.05</v>
      </c>
      <c r="J1825" s="50">
        <v>294.3</v>
      </c>
      <c r="K1825" t="s">
        <v>1632</v>
      </c>
      <c r="M1825" t="s">
        <v>1619</v>
      </c>
      <c r="N1825">
        <v>25.89</v>
      </c>
      <c r="O1825" s="49">
        <v>44614</v>
      </c>
      <c r="P1825" s="50">
        <v>132.435</v>
      </c>
    </row>
    <row r="1826" spans="4:16" x14ac:dyDescent="0.2">
      <c r="D1826">
        <v>100001091</v>
      </c>
      <c r="E1826" s="49">
        <v>44869</v>
      </c>
      <c r="F1826" t="s">
        <v>2478</v>
      </c>
      <c r="G1826" t="s">
        <v>1664</v>
      </c>
      <c r="H1826">
        <v>10</v>
      </c>
      <c r="I1826">
        <v>69.83</v>
      </c>
      <c r="J1826" s="50">
        <v>698.3</v>
      </c>
      <c r="K1826" t="s">
        <v>1618</v>
      </c>
      <c r="L1826" t="s">
        <v>2965</v>
      </c>
      <c r="M1826" t="s">
        <v>1619</v>
      </c>
      <c r="N1826">
        <v>36.85</v>
      </c>
      <c r="O1826" s="49">
        <v>44874</v>
      </c>
      <c r="P1826" s="50">
        <v>314.23500000000001</v>
      </c>
    </row>
    <row r="1827" spans="4:16" x14ac:dyDescent="0.2">
      <c r="D1827">
        <v>100001092</v>
      </c>
      <c r="E1827" s="49">
        <v>44356</v>
      </c>
      <c r="F1827" t="s">
        <v>2966</v>
      </c>
      <c r="G1827" t="s">
        <v>1700</v>
      </c>
      <c r="H1827">
        <v>3</v>
      </c>
      <c r="I1827">
        <v>44.87</v>
      </c>
      <c r="J1827" s="50">
        <v>134.61000000000001</v>
      </c>
      <c r="K1827" t="s">
        <v>1632</v>
      </c>
      <c r="M1827" t="s">
        <v>1627</v>
      </c>
      <c r="N1827">
        <v>23.68</v>
      </c>
      <c r="O1827" s="49">
        <v>44357</v>
      </c>
      <c r="P1827" s="50">
        <v>60.574500000000008</v>
      </c>
    </row>
    <row r="1828" spans="4:16" x14ac:dyDescent="0.2">
      <c r="D1828">
        <v>100001093</v>
      </c>
      <c r="E1828" s="49">
        <v>44576</v>
      </c>
      <c r="F1828" t="s">
        <v>2967</v>
      </c>
      <c r="G1828" t="s">
        <v>1880</v>
      </c>
      <c r="H1828">
        <v>10</v>
      </c>
      <c r="I1828">
        <v>16.260000000000002</v>
      </c>
      <c r="J1828" s="50">
        <v>162.6</v>
      </c>
      <c r="K1828" t="s">
        <v>1618</v>
      </c>
      <c r="M1828" t="s">
        <v>1619</v>
      </c>
      <c r="N1828">
        <v>8.58</v>
      </c>
      <c r="O1828" s="49">
        <v>44579</v>
      </c>
      <c r="P1828" s="50">
        <v>73.17</v>
      </c>
    </row>
    <row r="1829" spans="4:16" x14ac:dyDescent="0.2">
      <c r="D1829">
        <v>100001095</v>
      </c>
      <c r="E1829" s="49">
        <v>45047</v>
      </c>
      <c r="F1829" t="s">
        <v>2968</v>
      </c>
      <c r="G1829" t="s">
        <v>1661</v>
      </c>
      <c r="H1829">
        <v>10</v>
      </c>
      <c r="I1829">
        <v>98.93</v>
      </c>
      <c r="J1829" s="50">
        <v>989.30000000000007</v>
      </c>
      <c r="K1829" t="s">
        <v>1632</v>
      </c>
      <c r="M1829" t="s">
        <v>1629</v>
      </c>
      <c r="N1829">
        <v>52.21</v>
      </c>
      <c r="O1829" s="49">
        <v>45051</v>
      </c>
      <c r="P1829" s="50">
        <v>445.18500000000006</v>
      </c>
    </row>
    <row r="1830" spans="4:16" x14ac:dyDescent="0.2">
      <c r="D1830">
        <v>100001096</v>
      </c>
      <c r="E1830" s="49">
        <v>44319</v>
      </c>
      <c r="F1830" t="s">
        <v>2969</v>
      </c>
      <c r="G1830" t="s">
        <v>2766</v>
      </c>
      <c r="H1830">
        <v>9</v>
      </c>
      <c r="I1830">
        <v>119.1</v>
      </c>
      <c r="J1830" s="50">
        <v>1071.9000000000001</v>
      </c>
      <c r="K1830" t="s">
        <v>1632</v>
      </c>
      <c r="L1830" t="s">
        <v>2584</v>
      </c>
      <c r="M1830" t="s">
        <v>1619</v>
      </c>
      <c r="N1830">
        <v>62.86</v>
      </c>
      <c r="O1830" s="49">
        <v>44322</v>
      </c>
      <c r="P1830" s="50">
        <v>482.35500000000008</v>
      </c>
    </row>
    <row r="1831" spans="4:16" x14ac:dyDescent="0.2">
      <c r="D1831">
        <v>100001096</v>
      </c>
      <c r="E1831" s="49">
        <v>45077</v>
      </c>
      <c r="F1831" t="s">
        <v>2969</v>
      </c>
      <c r="G1831" t="s">
        <v>1727</v>
      </c>
      <c r="H1831">
        <v>6</v>
      </c>
      <c r="I1831">
        <v>22.74</v>
      </c>
      <c r="J1831" s="50">
        <v>136.44</v>
      </c>
      <c r="K1831" t="s">
        <v>1632</v>
      </c>
      <c r="L1831" t="s">
        <v>2584</v>
      </c>
      <c r="M1831" t="s">
        <v>1621</v>
      </c>
      <c r="N1831">
        <v>12</v>
      </c>
      <c r="O1831" s="49">
        <v>45081</v>
      </c>
      <c r="P1831" s="50">
        <v>61.398000000000003</v>
      </c>
    </row>
    <row r="1832" spans="4:16" x14ac:dyDescent="0.2">
      <c r="D1832">
        <v>100001096</v>
      </c>
      <c r="E1832" s="49">
        <v>45601</v>
      </c>
      <c r="F1832" t="s">
        <v>2969</v>
      </c>
      <c r="G1832" t="s">
        <v>2291</v>
      </c>
      <c r="H1832">
        <v>3</v>
      </c>
      <c r="I1832">
        <v>75.75</v>
      </c>
      <c r="J1832" s="50">
        <v>227.25</v>
      </c>
      <c r="K1832" t="s">
        <v>1632</v>
      </c>
      <c r="L1832" t="s">
        <v>2584</v>
      </c>
      <c r="M1832" t="s">
        <v>1624</v>
      </c>
      <c r="N1832">
        <v>39.979999999999997</v>
      </c>
      <c r="O1832" s="49">
        <v>45604</v>
      </c>
      <c r="P1832" s="50">
        <v>102.2625</v>
      </c>
    </row>
    <row r="1833" spans="4:16" x14ac:dyDescent="0.2">
      <c r="D1833">
        <v>100001097</v>
      </c>
      <c r="E1833" s="49">
        <v>44758</v>
      </c>
      <c r="F1833" t="s">
        <v>2970</v>
      </c>
      <c r="G1833" t="s">
        <v>1795</v>
      </c>
      <c r="H1833">
        <v>1</v>
      </c>
      <c r="I1833">
        <v>14.44</v>
      </c>
      <c r="J1833" s="50">
        <v>14.44</v>
      </c>
      <c r="K1833" t="s">
        <v>1632</v>
      </c>
      <c r="L1833" t="s">
        <v>2971</v>
      </c>
      <c r="M1833" t="s">
        <v>1629</v>
      </c>
      <c r="N1833">
        <v>7.62</v>
      </c>
      <c r="O1833" s="49">
        <v>44763</v>
      </c>
      <c r="P1833" s="50">
        <v>6.4980000000000002</v>
      </c>
    </row>
    <row r="1834" spans="4:16" x14ac:dyDescent="0.2">
      <c r="D1834">
        <v>100001097</v>
      </c>
      <c r="E1834" s="49">
        <v>44682</v>
      </c>
      <c r="F1834" t="s">
        <v>2970</v>
      </c>
      <c r="G1834" t="s">
        <v>1807</v>
      </c>
      <c r="H1834">
        <v>3</v>
      </c>
      <c r="I1834">
        <v>32.99</v>
      </c>
      <c r="J1834" s="50">
        <v>98.97</v>
      </c>
      <c r="K1834" t="s">
        <v>1632</v>
      </c>
      <c r="L1834" t="s">
        <v>2971</v>
      </c>
      <c r="M1834" t="s">
        <v>1627</v>
      </c>
      <c r="N1834">
        <v>17.41</v>
      </c>
      <c r="O1834" s="49">
        <v>44685</v>
      </c>
      <c r="P1834" s="50">
        <v>44.536500000000004</v>
      </c>
    </row>
    <row r="1835" spans="4:16" x14ac:dyDescent="0.2">
      <c r="D1835">
        <v>100001097</v>
      </c>
      <c r="E1835" s="49">
        <v>44870</v>
      </c>
      <c r="F1835" t="s">
        <v>2970</v>
      </c>
      <c r="G1835" t="s">
        <v>2230</v>
      </c>
      <c r="H1835">
        <v>4</v>
      </c>
      <c r="I1835">
        <v>50.07</v>
      </c>
      <c r="J1835" s="50">
        <v>200.28</v>
      </c>
      <c r="K1835" t="s">
        <v>1632</v>
      </c>
      <c r="L1835" t="s">
        <v>2971</v>
      </c>
      <c r="M1835" t="s">
        <v>1624</v>
      </c>
      <c r="N1835">
        <v>26.43</v>
      </c>
      <c r="O1835" s="49">
        <v>44871</v>
      </c>
      <c r="P1835" s="50">
        <v>90.126000000000005</v>
      </c>
    </row>
    <row r="1836" spans="4:16" x14ac:dyDescent="0.2">
      <c r="D1836">
        <v>100001098</v>
      </c>
      <c r="E1836" s="49">
        <v>44246</v>
      </c>
      <c r="F1836" t="s">
        <v>2972</v>
      </c>
      <c r="G1836" t="s">
        <v>1857</v>
      </c>
      <c r="H1836">
        <v>9</v>
      </c>
      <c r="I1836">
        <v>116.24</v>
      </c>
      <c r="J1836" s="50">
        <v>1046.1600000000001</v>
      </c>
      <c r="K1836" t="s">
        <v>1618</v>
      </c>
      <c r="M1836" t="s">
        <v>1624</v>
      </c>
      <c r="N1836">
        <v>61.35</v>
      </c>
      <c r="O1836" s="49">
        <v>44249</v>
      </c>
      <c r="P1836" s="50">
        <v>470.77200000000005</v>
      </c>
    </row>
    <row r="1837" spans="4:16" x14ac:dyDescent="0.2">
      <c r="D1837">
        <v>100001099</v>
      </c>
      <c r="E1837" s="49">
        <v>44644</v>
      </c>
      <c r="F1837" t="s">
        <v>2973</v>
      </c>
      <c r="G1837" t="s">
        <v>2207</v>
      </c>
      <c r="H1837">
        <v>8</v>
      </c>
      <c r="I1837">
        <v>20.079999999999998</v>
      </c>
      <c r="J1837" s="50">
        <v>160.63999999999999</v>
      </c>
      <c r="K1837" t="s">
        <v>1618</v>
      </c>
      <c r="L1837" t="s">
        <v>2974</v>
      </c>
      <c r="M1837" t="s">
        <v>1627</v>
      </c>
      <c r="N1837">
        <v>10.6</v>
      </c>
      <c r="O1837" s="49">
        <v>44646</v>
      </c>
      <c r="P1837" s="50">
        <v>72.287999999999997</v>
      </c>
    </row>
    <row r="1838" spans="4:16" x14ac:dyDescent="0.2">
      <c r="D1838">
        <v>100001099</v>
      </c>
      <c r="E1838" s="49">
        <v>44349</v>
      </c>
      <c r="F1838" t="s">
        <v>2973</v>
      </c>
      <c r="G1838" t="s">
        <v>1651</v>
      </c>
      <c r="H1838">
        <v>5</v>
      </c>
      <c r="I1838">
        <v>13.18</v>
      </c>
      <c r="J1838" s="50">
        <v>65.900000000000006</v>
      </c>
      <c r="K1838" t="s">
        <v>1618</v>
      </c>
      <c r="L1838" t="s">
        <v>2974</v>
      </c>
      <c r="M1838" t="s">
        <v>1619</v>
      </c>
      <c r="N1838">
        <v>6.96</v>
      </c>
      <c r="O1838" s="49">
        <v>44350</v>
      </c>
      <c r="P1838" s="50">
        <v>29.655000000000005</v>
      </c>
    </row>
    <row r="1839" spans="4:16" x14ac:dyDescent="0.2">
      <c r="D1839">
        <v>100001099</v>
      </c>
      <c r="E1839" s="49">
        <v>44898</v>
      </c>
      <c r="F1839" t="s">
        <v>2973</v>
      </c>
      <c r="G1839" t="s">
        <v>2416</v>
      </c>
      <c r="H1839">
        <v>3</v>
      </c>
      <c r="I1839">
        <v>18.47</v>
      </c>
      <c r="J1839" s="50">
        <v>55.41</v>
      </c>
      <c r="K1839" t="s">
        <v>1618</v>
      </c>
      <c r="L1839" t="s">
        <v>2974</v>
      </c>
      <c r="M1839" t="s">
        <v>1621</v>
      </c>
      <c r="N1839">
        <v>9.75</v>
      </c>
      <c r="O1839" s="49">
        <v>44903</v>
      </c>
      <c r="P1839" s="50">
        <v>24.9345</v>
      </c>
    </row>
    <row r="1840" spans="4:16" x14ac:dyDescent="0.2">
      <c r="D1840">
        <v>100001099</v>
      </c>
      <c r="E1840" s="49">
        <v>44394</v>
      </c>
      <c r="F1840" t="s">
        <v>2973</v>
      </c>
      <c r="G1840" t="s">
        <v>2074</v>
      </c>
      <c r="H1840">
        <v>7</v>
      </c>
      <c r="I1840">
        <v>29.95</v>
      </c>
      <c r="J1840" s="50">
        <v>209.65</v>
      </c>
      <c r="K1840" t="s">
        <v>1618</v>
      </c>
      <c r="L1840" t="s">
        <v>2974</v>
      </c>
      <c r="M1840" t="s">
        <v>1629</v>
      </c>
      <c r="N1840">
        <v>15.81</v>
      </c>
      <c r="O1840" s="49">
        <v>44395</v>
      </c>
      <c r="P1840" s="50">
        <v>94.342500000000001</v>
      </c>
    </row>
    <row r="1841" spans="4:16" x14ac:dyDescent="0.2">
      <c r="D1841">
        <v>100001100</v>
      </c>
      <c r="E1841" s="49">
        <v>44659</v>
      </c>
      <c r="F1841" t="s">
        <v>2975</v>
      </c>
      <c r="G1841" t="s">
        <v>2023</v>
      </c>
      <c r="H1841">
        <v>7</v>
      </c>
      <c r="I1841">
        <v>79.38</v>
      </c>
      <c r="J1841" s="50">
        <v>555.66</v>
      </c>
      <c r="K1841" t="s">
        <v>1632</v>
      </c>
      <c r="M1841" t="s">
        <v>1627</v>
      </c>
      <c r="N1841">
        <v>41.89</v>
      </c>
      <c r="O1841" s="49">
        <v>44663</v>
      </c>
      <c r="P1841" s="50">
        <v>250.047</v>
      </c>
    </row>
    <row r="1842" spans="4:16" x14ac:dyDescent="0.2">
      <c r="D1842">
        <v>100001101</v>
      </c>
      <c r="E1842" s="49">
        <v>44485</v>
      </c>
      <c r="F1842" t="s">
        <v>2976</v>
      </c>
      <c r="G1842" t="s">
        <v>2269</v>
      </c>
      <c r="H1842">
        <v>3</v>
      </c>
      <c r="I1842">
        <v>95.53</v>
      </c>
      <c r="J1842" s="50">
        <v>286.58999999999997</v>
      </c>
      <c r="K1842" t="s">
        <v>1618</v>
      </c>
      <c r="M1842" t="s">
        <v>1619</v>
      </c>
      <c r="N1842">
        <v>50.42</v>
      </c>
      <c r="O1842" s="49">
        <v>44489</v>
      </c>
      <c r="P1842" s="50">
        <v>128.96549999999999</v>
      </c>
    </row>
    <row r="1843" spans="4:16" x14ac:dyDescent="0.2">
      <c r="D1843">
        <v>100001101</v>
      </c>
      <c r="E1843" s="49">
        <v>45338</v>
      </c>
      <c r="F1843" t="s">
        <v>2976</v>
      </c>
      <c r="G1843" t="s">
        <v>1866</v>
      </c>
      <c r="H1843">
        <v>10</v>
      </c>
      <c r="I1843">
        <v>90.16</v>
      </c>
      <c r="J1843" s="50">
        <v>901.59999999999991</v>
      </c>
      <c r="K1843" t="s">
        <v>1618</v>
      </c>
      <c r="M1843" t="s">
        <v>1627</v>
      </c>
      <c r="N1843">
        <v>47.58</v>
      </c>
      <c r="O1843" s="49">
        <v>45343</v>
      </c>
      <c r="P1843" s="50">
        <v>405.71999999999997</v>
      </c>
    </row>
    <row r="1844" spans="4:16" x14ac:dyDescent="0.2">
      <c r="D1844">
        <v>100001101</v>
      </c>
      <c r="E1844" s="49">
        <v>44677</v>
      </c>
      <c r="F1844" t="s">
        <v>2976</v>
      </c>
      <c r="G1844" t="s">
        <v>1620</v>
      </c>
      <c r="H1844">
        <v>8</v>
      </c>
      <c r="I1844">
        <v>98.3</v>
      </c>
      <c r="J1844" s="50">
        <v>786.4</v>
      </c>
      <c r="K1844" t="s">
        <v>1618</v>
      </c>
      <c r="M1844" t="s">
        <v>1629</v>
      </c>
      <c r="N1844">
        <v>51.88</v>
      </c>
      <c r="O1844" s="49">
        <v>44681</v>
      </c>
      <c r="P1844" s="50">
        <v>353.88</v>
      </c>
    </row>
    <row r="1845" spans="4:16" x14ac:dyDescent="0.2">
      <c r="D1845">
        <v>100001103</v>
      </c>
      <c r="E1845" s="49">
        <v>44877</v>
      </c>
      <c r="F1845" t="s">
        <v>2977</v>
      </c>
      <c r="G1845" t="s">
        <v>2047</v>
      </c>
      <c r="H1845">
        <v>4</v>
      </c>
      <c r="I1845">
        <v>82.35</v>
      </c>
      <c r="J1845" s="50">
        <v>329.4</v>
      </c>
      <c r="K1845" t="s">
        <v>1618</v>
      </c>
      <c r="M1845" t="s">
        <v>1629</v>
      </c>
      <c r="N1845">
        <v>43.46</v>
      </c>
      <c r="O1845" s="49">
        <v>44879</v>
      </c>
      <c r="P1845" s="50">
        <v>148.22999999999999</v>
      </c>
    </row>
    <row r="1846" spans="4:16" x14ac:dyDescent="0.2">
      <c r="D1846">
        <v>100001105</v>
      </c>
      <c r="E1846" s="49">
        <v>45346</v>
      </c>
      <c r="F1846" t="s">
        <v>2978</v>
      </c>
      <c r="G1846" t="s">
        <v>2291</v>
      </c>
      <c r="H1846">
        <v>6</v>
      </c>
      <c r="I1846">
        <v>39.06</v>
      </c>
      <c r="J1846" s="50">
        <v>234.36</v>
      </c>
      <c r="K1846" t="s">
        <v>1632</v>
      </c>
      <c r="M1846" t="s">
        <v>1621</v>
      </c>
      <c r="N1846">
        <v>20.61</v>
      </c>
      <c r="O1846" s="49">
        <v>45351</v>
      </c>
      <c r="P1846" s="50">
        <v>105.462</v>
      </c>
    </row>
    <row r="1847" spans="4:16" x14ac:dyDescent="0.2">
      <c r="D1847">
        <v>100001105</v>
      </c>
      <c r="E1847" s="49">
        <v>45562</v>
      </c>
      <c r="F1847" t="s">
        <v>2978</v>
      </c>
      <c r="G1847" t="s">
        <v>1830</v>
      </c>
      <c r="H1847">
        <v>7</v>
      </c>
      <c r="I1847">
        <v>65.84</v>
      </c>
      <c r="J1847" s="50">
        <v>460.88</v>
      </c>
      <c r="K1847" t="s">
        <v>1632</v>
      </c>
      <c r="M1847" t="s">
        <v>1619</v>
      </c>
      <c r="N1847">
        <v>34.75</v>
      </c>
      <c r="O1847" s="49">
        <v>45567</v>
      </c>
      <c r="P1847" s="50">
        <v>207.39600000000002</v>
      </c>
    </row>
    <row r="1848" spans="4:16" x14ac:dyDescent="0.2">
      <c r="D1848">
        <v>100001105</v>
      </c>
      <c r="E1848" s="49">
        <v>44902</v>
      </c>
      <c r="F1848" t="s">
        <v>2978</v>
      </c>
      <c r="G1848" t="s">
        <v>1641</v>
      </c>
      <c r="H1848">
        <v>6</v>
      </c>
      <c r="I1848">
        <v>28.11</v>
      </c>
      <c r="J1848" s="50">
        <v>168.66</v>
      </c>
      <c r="K1848" t="s">
        <v>1632</v>
      </c>
      <c r="M1848" t="s">
        <v>1621</v>
      </c>
      <c r="N1848">
        <v>14.84</v>
      </c>
      <c r="O1848" s="49">
        <v>44907</v>
      </c>
      <c r="P1848" s="50">
        <v>75.897000000000006</v>
      </c>
    </row>
    <row r="1849" spans="4:16" x14ac:dyDescent="0.2">
      <c r="D1849">
        <v>100001106</v>
      </c>
      <c r="E1849" s="49">
        <v>45481</v>
      </c>
      <c r="F1849" t="s">
        <v>2979</v>
      </c>
      <c r="G1849" t="s">
        <v>1975</v>
      </c>
      <c r="H1849">
        <v>4</v>
      </c>
      <c r="I1849">
        <v>104.27</v>
      </c>
      <c r="J1849" s="50">
        <v>417.08</v>
      </c>
      <c r="K1849" t="s">
        <v>1618</v>
      </c>
      <c r="M1849" t="s">
        <v>1621</v>
      </c>
      <c r="N1849">
        <v>55.03</v>
      </c>
      <c r="O1849" s="49">
        <v>45486</v>
      </c>
      <c r="P1849" s="50">
        <v>187.68600000000001</v>
      </c>
    </row>
    <row r="1850" spans="4:16" x14ac:dyDescent="0.2">
      <c r="D1850">
        <v>100001107</v>
      </c>
      <c r="E1850" s="49">
        <v>44199</v>
      </c>
      <c r="F1850" t="s">
        <v>2980</v>
      </c>
      <c r="G1850" t="s">
        <v>1672</v>
      </c>
      <c r="H1850">
        <v>3</v>
      </c>
      <c r="I1850">
        <v>46.51</v>
      </c>
      <c r="J1850" s="50">
        <v>139.53</v>
      </c>
      <c r="K1850" t="s">
        <v>1632</v>
      </c>
      <c r="M1850" t="s">
        <v>1619</v>
      </c>
      <c r="N1850">
        <v>24.55</v>
      </c>
      <c r="O1850" s="49">
        <v>44203</v>
      </c>
      <c r="P1850" s="50">
        <v>62.788499999999999</v>
      </c>
    </row>
    <row r="1851" spans="4:16" x14ac:dyDescent="0.2">
      <c r="D1851">
        <v>100001109</v>
      </c>
      <c r="E1851" s="49">
        <v>44601</v>
      </c>
      <c r="F1851" t="s">
        <v>2981</v>
      </c>
      <c r="G1851" t="s">
        <v>1904</v>
      </c>
      <c r="H1851">
        <v>10</v>
      </c>
      <c r="I1851">
        <v>27.77</v>
      </c>
      <c r="J1851" s="50">
        <v>277.7</v>
      </c>
      <c r="K1851" t="s">
        <v>1632</v>
      </c>
      <c r="M1851" t="s">
        <v>1619</v>
      </c>
      <c r="N1851">
        <v>14.66</v>
      </c>
      <c r="O1851" s="49">
        <v>44604</v>
      </c>
      <c r="P1851" s="50">
        <v>124.965</v>
      </c>
    </row>
    <row r="1852" spans="4:16" x14ac:dyDescent="0.2">
      <c r="D1852">
        <v>100001110</v>
      </c>
      <c r="E1852" s="49">
        <v>44586</v>
      </c>
      <c r="F1852" t="s">
        <v>2982</v>
      </c>
      <c r="G1852" t="s">
        <v>2628</v>
      </c>
      <c r="H1852">
        <v>4</v>
      </c>
      <c r="I1852">
        <v>84.48</v>
      </c>
      <c r="J1852" s="50">
        <v>337.92</v>
      </c>
      <c r="K1852" t="s">
        <v>1618</v>
      </c>
      <c r="M1852" t="s">
        <v>1627</v>
      </c>
      <c r="N1852">
        <v>44.59</v>
      </c>
      <c r="O1852" s="49">
        <v>44588</v>
      </c>
      <c r="P1852" s="50">
        <v>152.06400000000002</v>
      </c>
    </row>
    <row r="1853" spans="4:16" x14ac:dyDescent="0.2">
      <c r="D1853">
        <v>100001112</v>
      </c>
      <c r="E1853" s="49">
        <v>45167</v>
      </c>
      <c r="F1853" t="s">
        <v>2983</v>
      </c>
      <c r="G1853" t="s">
        <v>2019</v>
      </c>
      <c r="H1853">
        <v>8</v>
      </c>
      <c r="I1853">
        <v>50.57</v>
      </c>
      <c r="J1853" s="50">
        <v>404.56</v>
      </c>
      <c r="K1853" t="s">
        <v>1618</v>
      </c>
      <c r="M1853" t="s">
        <v>1627</v>
      </c>
      <c r="N1853">
        <v>26.69</v>
      </c>
      <c r="O1853" s="49">
        <v>45169</v>
      </c>
      <c r="P1853" s="50">
        <v>182.05199999999999</v>
      </c>
    </row>
    <row r="1854" spans="4:16" x14ac:dyDescent="0.2">
      <c r="D1854">
        <v>100001112</v>
      </c>
      <c r="E1854" s="49">
        <v>45653</v>
      </c>
      <c r="F1854" t="s">
        <v>2983</v>
      </c>
      <c r="G1854" t="s">
        <v>2698</v>
      </c>
      <c r="H1854">
        <v>9</v>
      </c>
      <c r="I1854">
        <v>33.65</v>
      </c>
      <c r="J1854" s="50">
        <v>302.85000000000002</v>
      </c>
      <c r="K1854" t="s">
        <v>1618</v>
      </c>
      <c r="M1854" t="s">
        <v>1624</v>
      </c>
      <c r="N1854">
        <v>17.760000000000002</v>
      </c>
      <c r="O1854" s="49">
        <v>45654</v>
      </c>
      <c r="P1854" s="50">
        <v>136.28250000000003</v>
      </c>
    </row>
    <row r="1855" spans="4:16" x14ac:dyDescent="0.2">
      <c r="D1855">
        <v>100001112</v>
      </c>
      <c r="E1855" s="49">
        <v>45502</v>
      </c>
      <c r="F1855" t="s">
        <v>2983</v>
      </c>
      <c r="G1855" t="s">
        <v>1636</v>
      </c>
      <c r="H1855">
        <v>9</v>
      </c>
      <c r="I1855">
        <v>40.51</v>
      </c>
      <c r="J1855" s="50">
        <v>364.59</v>
      </c>
      <c r="K1855" t="s">
        <v>1618</v>
      </c>
      <c r="M1855" t="s">
        <v>1629</v>
      </c>
      <c r="N1855">
        <v>21.38</v>
      </c>
      <c r="O1855" s="49">
        <v>45504</v>
      </c>
      <c r="P1855" s="50">
        <v>164.06549999999999</v>
      </c>
    </row>
    <row r="1856" spans="4:16" x14ac:dyDescent="0.2">
      <c r="D1856">
        <v>100001115</v>
      </c>
      <c r="E1856" s="49">
        <v>44839</v>
      </c>
      <c r="F1856" t="s">
        <v>2984</v>
      </c>
      <c r="G1856" t="s">
        <v>1702</v>
      </c>
      <c r="H1856">
        <v>7</v>
      </c>
      <c r="I1856">
        <v>39.04</v>
      </c>
      <c r="J1856" s="50">
        <v>273.27999999999997</v>
      </c>
      <c r="K1856" t="s">
        <v>1618</v>
      </c>
      <c r="L1856" t="s">
        <v>2985</v>
      </c>
      <c r="M1856" t="s">
        <v>1624</v>
      </c>
      <c r="N1856">
        <v>20.6</v>
      </c>
      <c r="O1856" s="49">
        <v>44844</v>
      </c>
      <c r="P1856" s="50">
        <v>122.97599999999998</v>
      </c>
    </row>
    <row r="1857" spans="4:16" x14ac:dyDescent="0.2">
      <c r="D1857">
        <v>100001116</v>
      </c>
      <c r="E1857" s="49">
        <v>45241</v>
      </c>
      <c r="F1857" t="s">
        <v>2986</v>
      </c>
      <c r="G1857" t="s">
        <v>2330</v>
      </c>
      <c r="H1857">
        <v>1</v>
      </c>
      <c r="I1857">
        <v>18.97</v>
      </c>
      <c r="J1857" s="50">
        <v>18.97</v>
      </c>
      <c r="K1857" t="s">
        <v>1618</v>
      </c>
      <c r="M1857" t="s">
        <v>1629</v>
      </c>
      <c r="N1857">
        <v>10.01</v>
      </c>
      <c r="O1857" s="49">
        <v>45242</v>
      </c>
      <c r="P1857" s="50">
        <v>8.5365000000000002</v>
      </c>
    </row>
    <row r="1858" spans="4:16" x14ac:dyDescent="0.2">
      <c r="D1858">
        <v>100001116</v>
      </c>
      <c r="E1858" s="49">
        <v>44471</v>
      </c>
      <c r="F1858" t="s">
        <v>2986</v>
      </c>
      <c r="G1858" t="s">
        <v>2028</v>
      </c>
      <c r="H1858">
        <v>7</v>
      </c>
      <c r="I1858">
        <v>78.06</v>
      </c>
      <c r="J1858" s="50">
        <v>546.42000000000007</v>
      </c>
      <c r="K1858" t="s">
        <v>1618</v>
      </c>
      <c r="M1858" t="s">
        <v>1624</v>
      </c>
      <c r="N1858">
        <v>41.2</v>
      </c>
      <c r="O1858" s="49">
        <v>44475</v>
      </c>
      <c r="P1858" s="50">
        <v>245.88900000000004</v>
      </c>
    </row>
    <row r="1859" spans="4:16" x14ac:dyDescent="0.2">
      <c r="D1859">
        <v>100001116</v>
      </c>
      <c r="E1859" s="49">
        <v>44618</v>
      </c>
      <c r="F1859" t="s">
        <v>2986</v>
      </c>
      <c r="G1859" t="s">
        <v>1775</v>
      </c>
      <c r="H1859">
        <v>7</v>
      </c>
      <c r="I1859">
        <v>97.67</v>
      </c>
      <c r="J1859" s="50">
        <v>683.69</v>
      </c>
      <c r="K1859" t="s">
        <v>1618</v>
      </c>
      <c r="M1859" t="s">
        <v>1627</v>
      </c>
      <c r="N1859">
        <v>51.55</v>
      </c>
      <c r="O1859" s="49">
        <v>44622</v>
      </c>
      <c r="P1859" s="50">
        <v>307.66050000000001</v>
      </c>
    </row>
    <row r="1860" spans="4:16" x14ac:dyDescent="0.2">
      <c r="D1860">
        <v>100001116</v>
      </c>
      <c r="E1860" s="49">
        <v>45345</v>
      </c>
      <c r="F1860" t="s">
        <v>2986</v>
      </c>
      <c r="G1860" t="s">
        <v>1647</v>
      </c>
      <c r="H1860">
        <v>10</v>
      </c>
      <c r="I1860">
        <v>100.49</v>
      </c>
      <c r="J1860" s="50">
        <v>1004.9</v>
      </c>
      <c r="K1860" t="s">
        <v>1618</v>
      </c>
      <c r="M1860" t="s">
        <v>1627</v>
      </c>
      <c r="N1860">
        <v>53.04</v>
      </c>
      <c r="O1860" s="49">
        <v>45347</v>
      </c>
      <c r="P1860" s="50">
        <v>452.20499999999998</v>
      </c>
    </row>
    <row r="1861" spans="4:16" x14ac:dyDescent="0.2">
      <c r="D1861">
        <v>100001117</v>
      </c>
      <c r="E1861" s="49">
        <v>44450</v>
      </c>
      <c r="F1861" t="s">
        <v>2987</v>
      </c>
      <c r="G1861" t="s">
        <v>1675</v>
      </c>
      <c r="H1861">
        <v>6</v>
      </c>
      <c r="I1861">
        <v>103.05</v>
      </c>
      <c r="J1861" s="50">
        <v>618.29999999999995</v>
      </c>
      <c r="K1861" t="s">
        <v>1618</v>
      </c>
      <c r="M1861" t="s">
        <v>1627</v>
      </c>
      <c r="N1861">
        <v>54.39</v>
      </c>
      <c r="O1861" s="49">
        <v>44455</v>
      </c>
      <c r="P1861" s="50">
        <v>278.23500000000001</v>
      </c>
    </row>
    <row r="1862" spans="4:16" x14ac:dyDescent="0.2">
      <c r="D1862">
        <v>100001118</v>
      </c>
      <c r="E1862" s="49">
        <v>45324</v>
      </c>
      <c r="F1862" t="s">
        <v>2988</v>
      </c>
      <c r="G1862" t="s">
        <v>1649</v>
      </c>
      <c r="H1862">
        <v>8</v>
      </c>
      <c r="I1862">
        <v>104.42</v>
      </c>
      <c r="J1862" s="50">
        <v>835.36</v>
      </c>
      <c r="K1862" t="s">
        <v>1632</v>
      </c>
      <c r="L1862" t="s">
        <v>2989</v>
      </c>
      <c r="M1862" t="s">
        <v>1629</v>
      </c>
      <c r="N1862">
        <v>55.11</v>
      </c>
      <c r="O1862" s="49">
        <v>45327</v>
      </c>
      <c r="P1862" s="50">
        <v>375.91200000000003</v>
      </c>
    </row>
    <row r="1863" spans="4:16" x14ac:dyDescent="0.2">
      <c r="D1863">
        <v>100001119</v>
      </c>
      <c r="E1863" s="49">
        <v>45645</v>
      </c>
      <c r="F1863" t="s">
        <v>2990</v>
      </c>
      <c r="G1863" t="s">
        <v>1866</v>
      </c>
      <c r="H1863">
        <v>7</v>
      </c>
      <c r="I1863">
        <v>40.71</v>
      </c>
      <c r="J1863" s="50">
        <v>284.97000000000003</v>
      </c>
      <c r="K1863" t="s">
        <v>1632</v>
      </c>
      <c r="L1863" t="s">
        <v>2991</v>
      </c>
      <c r="M1863" t="s">
        <v>1624</v>
      </c>
      <c r="N1863">
        <v>21.49</v>
      </c>
      <c r="O1863" s="49">
        <v>45649</v>
      </c>
      <c r="P1863" s="50">
        <v>128.23650000000001</v>
      </c>
    </row>
    <row r="1864" spans="4:16" x14ac:dyDescent="0.2">
      <c r="D1864">
        <v>100001120</v>
      </c>
      <c r="E1864" s="49">
        <v>45447</v>
      </c>
      <c r="F1864" t="s">
        <v>2992</v>
      </c>
      <c r="G1864" t="s">
        <v>2048</v>
      </c>
      <c r="H1864">
        <v>3</v>
      </c>
      <c r="I1864">
        <v>62.68</v>
      </c>
      <c r="J1864" s="50">
        <v>188.04</v>
      </c>
      <c r="K1864" t="s">
        <v>1618</v>
      </c>
      <c r="M1864" t="s">
        <v>1621</v>
      </c>
      <c r="N1864">
        <v>33.08</v>
      </c>
      <c r="O1864" s="49">
        <v>45449</v>
      </c>
      <c r="P1864" s="50">
        <v>84.617999999999995</v>
      </c>
    </row>
    <row r="1865" spans="4:16" x14ac:dyDescent="0.2">
      <c r="D1865">
        <v>100001121</v>
      </c>
      <c r="E1865" s="49">
        <v>45579</v>
      </c>
      <c r="F1865" t="s">
        <v>2993</v>
      </c>
      <c r="G1865" t="s">
        <v>1856</v>
      </c>
      <c r="H1865">
        <v>3</v>
      </c>
      <c r="I1865">
        <v>110.29</v>
      </c>
      <c r="J1865" s="50">
        <v>330.87</v>
      </c>
      <c r="K1865" t="s">
        <v>1618</v>
      </c>
      <c r="M1865" t="s">
        <v>1619</v>
      </c>
      <c r="N1865">
        <v>58.21</v>
      </c>
      <c r="O1865" s="49">
        <v>45584</v>
      </c>
      <c r="P1865" s="50">
        <v>148.89150000000001</v>
      </c>
    </row>
    <row r="1866" spans="4:16" x14ac:dyDescent="0.2">
      <c r="D1866">
        <v>100001121</v>
      </c>
      <c r="E1866" s="49">
        <v>45495</v>
      </c>
      <c r="F1866" t="s">
        <v>2993</v>
      </c>
      <c r="G1866" t="s">
        <v>2151</v>
      </c>
      <c r="H1866">
        <v>8</v>
      </c>
      <c r="I1866">
        <v>81.7</v>
      </c>
      <c r="J1866" s="50">
        <v>653.6</v>
      </c>
      <c r="K1866" t="s">
        <v>1618</v>
      </c>
      <c r="M1866" t="s">
        <v>1621</v>
      </c>
      <c r="N1866">
        <v>43.12</v>
      </c>
      <c r="O1866" s="49">
        <v>45498</v>
      </c>
      <c r="P1866" s="50">
        <v>294.12</v>
      </c>
    </row>
    <row r="1867" spans="4:16" x14ac:dyDescent="0.2">
      <c r="D1867">
        <v>100001123</v>
      </c>
      <c r="E1867" s="49">
        <v>45540</v>
      </c>
      <c r="F1867" t="s">
        <v>2994</v>
      </c>
      <c r="G1867" t="s">
        <v>2416</v>
      </c>
      <c r="H1867">
        <v>10</v>
      </c>
      <c r="I1867">
        <v>112.99</v>
      </c>
      <c r="J1867" s="50">
        <v>1129.9000000000001</v>
      </c>
      <c r="K1867" t="s">
        <v>1618</v>
      </c>
      <c r="L1867" t="s">
        <v>2995</v>
      </c>
      <c r="M1867" t="s">
        <v>1619</v>
      </c>
      <c r="N1867">
        <v>59.63</v>
      </c>
      <c r="O1867" s="49">
        <v>45545</v>
      </c>
      <c r="P1867" s="50">
        <v>508.45500000000004</v>
      </c>
    </row>
    <row r="1868" spans="4:16" x14ac:dyDescent="0.2">
      <c r="D1868">
        <v>100001126</v>
      </c>
      <c r="E1868" s="49">
        <v>44905</v>
      </c>
      <c r="F1868" t="s">
        <v>2996</v>
      </c>
      <c r="G1868" t="s">
        <v>2194</v>
      </c>
      <c r="H1868">
        <v>6</v>
      </c>
      <c r="I1868">
        <v>93.21</v>
      </c>
      <c r="J1868" s="50">
        <v>559.26</v>
      </c>
      <c r="K1868" t="s">
        <v>1632</v>
      </c>
      <c r="M1868" t="s">
        <v>1624</v>
      </c>
      <c r="N1868">
        <v>49.19</v>
      </c>
      <c r="O1868" s="49">
        <v>44909</v>
      </c>
      <c r="P1868" s="50">
        <v>251.667</v>
      </c>
    </row>
    <row r="1869" spans="4:16" x14ac:dyDescent="0.2">
      <c r="D1869">
        <v>100001126</v>
      </c>
      <c r="E1869" s="49">
        <v>45446</v>
      </c>
      <c r="F1869" t="s">
        <v>2996</v>
      </c>
      <c r="G1869" t="s">
        <v>2041</v>
      </c>
      <c r="H1869">
        <v>8</v>
      </c>
      <c r="I1869">
        <v>23.75</v>
      </c>
      <c r="J1869" s="50">
        <v>190</v>
      </c>
      <c r="K1869" t="s">
        <v>1632</v>
      </c>
      <c r="M1869" t="s">
        <v>1627</v>
      </c>
      <c r="N1869">
        <v>12.53</v>
      </c>
      <c r="O1869" s="49">
        <v>45451</v>
      </c>
      <c r="P1869" s="50">
        <v>85.5</v>
      </c>
    </row>
    <row r="1870" spans="4:16" x14ac:dyDescent="0.2">
      <c r="D1870">
        <v>100001126</v>
      </c>
      <c r="E1870" s="49">
        <v>44657</v>
      </c>
      <c r="F1870" t="s">
        <v>2996</v>
      </c>
      <c r="G1870" t="s">
        <v>2603</v>
      </c>
      <c r="H1870">
        <v>10</v>
      </c>
      <c r="I1870">
        <v>15.4</v>
      </c>
      <c r="J1870" s="50">
        <v>154</v>
      </c>
      <c r="K1870" t="s">
        <v>1632</v>
      </c>
      <c r="M1870" t="s">
        <v>1627</v>
      </c>
      <c r="N1870">
        <v>8.1300000000000008</v>
      </c>
      <c r="O1870" s="49">
        <v>44662</v>
      </c>
      <c r="P1870" s="50">
        <v>69.3</v>
      </c>
    </row>
    <row r="1871" spans="4:16" x14ac:dyDescent="0.2">
      <c r="D1871">
        <v>100001126</v>
      </c>
      <c r="E1871" s="49">
        <v>44635</v>
      </c>
      <c r="F1871" t="s">
        <v>2996</v>
      </c>
      <c r="G1871" t="s">
        <v>2213</v>
      </c>
      <c r="H1871">
        <v>10</v>
      </c>
      <c r="I1871">
        <v>57.24</v>
      </c>
      <c r="J1871" s="50">
        <v>572.4</v>
      </c>
      <c r="K1871" t="s">
        <v>1632</v>
      </c>
      <c r="M1871" t="s">
        <v>1629</v>
      </c>
      <c r="N1871">
        <v>30.21</v>
      </c>
      <c r="O1871" s="49">
        <v>44638</v>
      </c>
      <c r="P1871" s="50">
        <v>257.58</v>
      </c>
    </row>
    <row r="1872" spans="4:16" x14ac:dyDescent="0.2">
      <c r="D1872">
        <v>100001128</v>
      </c>
      <c r="E1872" s="49">
        <v>44788</v>
      </c>
      <c r="F1872" t="s">
        <v>2997</v>
      </c>
      <c r="G1872" t="s">
        <v>1833</v>
      </c>
      <c r="H1872">
        <v>4</v>
      </c>
      <c r="I1872">
        <v>15.39</v>
      </c>
      <c r="J1872" s="50">
        <v>61.56</v>
      </c>
      <c r="K1872" t="s">
        <v>1618</v>
      </c>
      <c r="M1872" t="s">
        <v>1627</v>
      </c>
      <c r="N1872">
        <v>8.1199999999999992</v>
      </c>
      <c r="O1872" s="49">
        <v>44792</v>
      </c>
      <c r="P1872" s="50">
        <v>27.702000000000002</v>
      </c>
    </row>
    <row r="1873" spans="4:16" x14ac:dyDescent="0.2">
      <c r="D1873">
        <v>100001128</v>
      </c>
      <c r="E1873" s="49">
        <v>45013</v>
      </c>
      <c r="F1873" t="s">
        <v>2997</v>
      </c>
      <c r="G1873" t="s">
        <v>2192</v>
      </c>
      <c r="H1873">
        <v>4</v>
      </c>
      <c r="I1873">
        <v>112.72</v>
      </c>
      <c r="J1873" s="50">
        <v>450.88</v>
      </c>
      <c r="K1873" t="s">
        <v>1618</v>
      </c>
      <c r="M1873" t="s">
        <v>1621</v>
      </c>
      <c r="N1873">
        <v>59.49</v>
      </c>
      <c r="O1873" s="49">
        <v>45017</v>
      </c>
      <c r="P1873" s="50">
        <v>202.89600000000002</v>
      </c>
    </row>
    <row r="1874" spans="4:16" x14ac:dyDescent="0.2">
      <c r="D1874">
        <v>100001129</v>
      </c>
      <c r="E1874" s="49">
        <v>44683</v>
      </c>
      <c r="F1874" t="s">
        <v>2998</v>
      </c>
      <c r="G1874" t="s">
        <v>1955</v>
      </c>
      <c r="H1874">
        <v>6</v>
      </c>
      <c r="I1874">
        <v>93.12</v>
      </c>
      <c r="J1874" s="50">
        <v>558.72</v>
      </c>
      <c r="K1874" t="s">
        <v>1618</v>
      </c>
      <c r="L1874" t="s">
        <v>2999</v>
      </c>
      <c r="M1874" t="s">
        <v>1629</v>
      </c>
      <c r="N1874">
        <v>49.15</v>
      </c>
      <c r="O1874" s="49">
        <v>44685</v>
      </c>
      <c r="P1874" s="50">
        <v>251.42400000000001</v>
      </c>
    </row>
    <row r="1875" spans="4:16" x14ac:dyDescent="0.2">
      <c r="D1875">
        <v>100001129</v>
      </c>
      <c r="E1875" s="49">
        <v>45602</v>
      </c>
      <c r="F1875" t="s">
        <v>2998</v>
      </c>
      <c r="G1875" t="s">
        <v>2372</v>
      </c>
      <c r="H1875">
        <v>3</v>
      </c>
      <c r="I1875">
        <v>82.93</v>
      </c>
      <c r="J1875" s="50">
        <v>248.79</v>
      </c>
      <c r="K1875" t="s">
        <v>1618</v>
      </c>
      <c r="L1875" t="s">
        <v>2999</v>
      </c>
      <c r="M1875" t="s">
        <v>1621</v>
      </c>
      <c r="N1875">
        <v>43.77</v>
      </c>
      <c r="O1875" s="49">
        <v>45603</v>
      </c>
      <c r="P1875" s="50">
        <v>111.9555</v>
      </c>
    </row>
    <row r="1876" spans="4:16" x14ac:dyDescent="0.2">
      <c r="D1876">
        <v>100001129</v>
      </c>
      <c r="E1876" s="49">
        <v>44424</v>
      </c>
      <c r="F1876" t="s">
        <v>2998</v>
      </c>
      <c r="G1876" t="s">
        <v>2042</v>
      </c>
      <c r="H1876">
        <v>8</v>
      </c>
      <c r="I1876">
        <v>38.33</v>
      </c>
      <c r="J1876" s="50">
        <v>306.64</v>
      </c>
      <c r="K1876" t="s">
        <v>1618</v>
      </c>
      <c r="L1876" t="s">
        <v>2999</v>
      </c>
      <c r="M1876" t="s">
        <v>1624</v>
      </c>
      <c r="N1876">
        <v>20.23</v>
      </c>
      <c r="O1876" s="49">
        <v>44425</v>
      </c>
      <c r="P1876" s="50">
        <v>137.988</v>
      </c>
    </row>
    <row r="1877" spans="4:16" x14ac:dyDescent="0.2">
      <c r="D1877">
        <v>100001130</v>
      </c>
      <c r="E1877" s="49">
        <v>45546</v>
      </c>
      <c r="F1877" t="s">
        <v>3000</v>
      </c>
      <c r="G1877" t="s">
        <v>1651</v>
      </c>
      <c r="H1877">
        <v>10</v>
      </c>
      <c r="I1877">
        <v>76.72</v>
      </c>
      <c r="J1877" s="50">
        <v>767.2</v>
      </c>
      <c r="K1877" t="s">
        <v>1618</v>
      </c>
      <c r="M1877" t="s">
        <v>1627</v>
      </c>
      <c r="N1877">
        <v>40.49</v>
      </c>
      <c r="O1877" s="49">
        <v>45547</v>
      </c>
      <c r="P1877" s="50">
        <v>345.24</v>
      </c>
    </row>
    <row r="1878" spans="4:16" x14ac:dyDescent="0.2">
      <c r="D1878">
        <v>100001131</v>
      </c>
      <c r="E1878" s="49">
        <v>44486</v>
      </c>
      <c r="F1878" t="s">
        <v>3001</v>
      </c>
      <c r="G1878" t="s">
        <v>1963</v>
      </c>
      <c r="H1878">
        <v>4</v>
      </c>
      <c r="I1878">
        <v>70.87</v>
      </c>
      <c r="J1878" s="50">
        <v>283.48</v>
      </c>
      <c r="K1878" t="s">
        <v>1618</v>
      </c>
      <c r="M1878" t="s">
        <v>1624</v>
      </c>
      <c r="N1878">
        <v>37.4</v>
      </c>
      <c r="O1878" s="49">
        <v>44490</v>
      </c>
      <c r="P1878" s="50">
        <v>127.56600000000002</v>
      </c>
    </row>
    <row r="1879" spans="4:16" x14ac:dyDescent="0.2">
      <c r="D1879">
        <v>100001131</v>
      </c>
      <c r="E1879" s="49">
        <v>45346</v>
      </c>
      <c r="F1879" t="s">
        <v>3001</v>
      </c>
      <c r="G1879" t="s">
        <v>2416</v>
      </c>
      <c r="H1879">
        <v>7</v>
      </c>
      <c r="I1879">
        <v>58.55</v>
      </c>
      <c r="J1879" s="50">
        <v>409.85</v>
      </c>
      <c r="K1879" t="s">
        <v>1618</v>
      </c>
      <c r="M1879" t="s">
        <v>1629</v>
      </c>
      <c r="N1879">
        <v>30.9</v>
      </c>
      <c r="O1879" s="49">
        <v>45348</v>
      </c>
      <c r="P1879" s="50">
        <v>184.4325</v>
      </c>
    </row>
    <row r="1880" spans="4:16" x14ac:dyDescent="0.2">
      <c r="D1880">
        <v>100001132</v>
      </c>
      <c r="E1880" s="49">
        <v>44850</v>
      </c>
      <c r="F1880" t="s">
        <v>3002</v>
      </c>
      <c r="G1880" t="s">
        <v>1807</v>
      </c>
      <c r="H1880">
        <v>3</v>
      </c>
      <c r="I1880">
        <v>38.78</v>
      </c>
      <c r="J1880" s="50">
        <v>116.34</v>
      </c>
      <c r="K1880" t="s">
        <v>1618</v>
      </c>
      <c r="M1880" t="s">
        <v>1629</v>
      </c>
      <c r="N1880">
        <v>20.47</v>
      </c>
      <c r="O1880" s="49">
        <v>44853</v>
      </c>
      <c r="P1880" s="50">
        <v>52.353000000000002</v>
      </c>
    </row>
    <row r="1881" spans="4:16" x14ac:dyDescent="0.2">
      <c r="D1881">
        <v>100001133</v>
      </c>
      <c r="E1881" s="49">
        <v>45106</v>
      </c>
      <c r="F1881" t="s">
        <v>3003</v>
      </c>
      <c r="G1881" t="s">
        <v>1775</v>
      </c>
      <c r="H1881">
        <v>5</v>
      </c>
      <c r="I1881">
        <v>72.77</v>
      </c>
      <c r="J1881" s="50">
        <v>363.85</v>
      </c>
      <c r="K1881" t="s">
        <v>1632</v>
      </c>
      <c r="M1881" t="s">
        <v>1624</v>
      </c>
      <c r="N1881">
        <v>38.409999999999997</v>
      </c>
      <c r="O1881" s="49">
        <v>45111</v>
      </c>
      <c r="P1881" s="50">
        <v>163.73250000000002</v>
      </c>
    </row>
    <row r="1882" spans="4:16" x14ac:dyDescent="0.2">
      <c r="D1882">
        <v>100001133</v>
      </c>
      <c r="E1882" s="49">
        <v>45505</v>
      </c>
      <c r="F1882" t="s">
        <v>3003</v>
      </c>
      <c r="G1882" t="s">
        <v>1728</v>
      </c>
      <c r="H1882">
        <v>3</v>
      </c>
      <c r="I1882">
        <v>85.61</v>
      </c>
      <c r="J1882" s="50">
        <v>256.83</v>
      </c>
      <c r="K1882" t="s">
        <v>1632</v>
      </c>
      <c r="M1882" t="s">
        <v>1629</v>
      </c>
      <c r="N1882">
        <v>45.18</v>
      </c>
      <c r="O1882" s="49">
        <v>45508</v>
      </c>
      <c r="P1882" s="50">
        <v>115.5735</v>
      </c>
    </row>
    <row r="1883" spans="4:16" x14ac:dyDescent="0.2">
      <c r="D1883">
        <v>100001134</v>
      </c>
      <c r="E1883" s="49">
        <v>44402</v>
      </c>
      <c r="F1883" t="s">
        <v>3004</v>
      </c>
      <c r="G1883" t="s">
        <v>1897</v>
      </c>
      <c r="H1883">
        <v>6</v>
      </c>
      <c r="I1883">
        <v>80.81</v>
      </c>
      <c r="J1883" s="50">
        <v>484.86</v>
      </c>
      <c r="K1883" t="s">
        <v>1618</v>
      </c>
      <c r="L1883" t="s">
        <v>3005</v>
      </c>
      <c r="M1883" t="s">
        <v>1619</v>
      </c>
      <c r="N1883">
        <v>42.65</v>
      </c>
      <c r="O1883" s="49">
        <v>44405</v>
      </c>
      <c r="P1883" s="50">
        <v>218.18700000000001</v>
      </c>
    </row>
    <row r="1884" spans="4:16" x14ac:dyDescent="0.2">
      <c r="D1884">
        <v>100001134</v>
      </c>
      <c r="E1884" s="49">
        <v>45415</v>
      </c>
      <c r="F1884" t="s">
        <v>3004</v>
      </c>
      <c r="G1884" t="s">
        <v>2447</v>
      </c>
      <c r="H1884">
        <v>9</v>
      </c>
      <c r="I1884">
        <v>23.85</v>
      </c>
      <c r="J1884" s="50">
        <v>214.65</v>
      </c>
      <c r="K1884" t="s">
        <v>1618</v>
      </c>
      <c r="L1884" t="s">
        <v>3005</v>
      </c>
      <c r="M1884" t="s">
        <v>1629</v>
      </c>
      <c r="N1884">
        <v>12.59</v>
      </c>
      <c r="O1884" s="49">
        <v>45416</v>
      </c>
      <c r="P1884" s="50">
        <v>96.592500000000001</v>
      </c>
    </row>
    <row r="1885" spans="4:16" x14ac:dyDescent="0.2">
      <c r="D1885">
        <v>100001134</v>
      </c>
      <c r="E1885" s="49">
        <v>44997</v>
      </c>
      <c r="F1885" t="s">
        <v>3004</v>
      </c>
      <c r="G1885" t="s">
        <v>1963</v>
      </c>
      <c r="H1885">
        <v>7</v>
      </c>
      <c r="I1885">
        <v>110.59</v>
      </c>
      <c r="J1885" s="50">
        <v>774.13</v>
      </c>
      <c r="K1885" t="s">
        <v>1618</v>
      </c>
      <c r="L1885" t="s">
        <v>3005</v>
      </c>
      <c r="M1885" t="s">
        <v>1619</v>
      </c>
      <c r="N1885">
        <v>58.37</v>
      </c>
      <c r="O1885" s="49">
        <v>44998</v>
      </c>
      <c r="P1885" s="50">
        <v>348.35849999999999</v>
      </c>
    </row>
    <row r="1886" spans="4:16" x14ac:dyDescent="0.2">
      <c r="D1886">
        <v>100001135</v>
      </c>
      <c r="E1886" s="49">
        <v>44473</v>
      </c>
      <c r="F1886" t="s">
        <v>3006</v>
      </c>
      <c r="G1886" t="s">
        <v>1955</v>
      </c>
      <c r="H1886">
        <v>5</v>
      </c>
      <c r="I1886">
        <v>119.08</v>
      </c>
      <c r="J1886" s="50">
        <v>595.4</v>
      </c>
      <c r="K1886" t="s">
        <v>1618</v>
      </c>
      <c r="M1886" t="s">
        <v>1624</v>
      </c>
      <c r="N1886">
        <v>62.85</v>
      </c>
      <c r="O1886" s="49">
        <v>44474</v>
      </c>
      <c r="P1886" s="50">
        <v>267.93</v>
      </c>
    </row>
    <row r="1887" spans="4:16" x14ac:dyDescent="0.2">
      <c r="D1887">
        <v>100001135</v>
      </c>
      <c r="E1887" s="49">
        <v>44489</v>
      </c>
      <c r="F1887" t="s">
        <v>3006</v>
      </c>
      <c r="G1887" t="s">
        <v>1691</v>
      </c>
      <c r="H1887">
        <v>5</v>
      </c>
      <c r="I1887">
        <v>102.62</v>
      </c>
      <c r="J1887" s="50">
        <v>513.1</v>
      </c>
      <c r="K1887" t="s">
        <v>1618</v>
      </c>
      <c r="M1887" t="s">
        <v>1621</v>
      </c>
      <c r="N1887">
        <v>54.16</v>
      </c>
      <c r="O1887" s="49">
        <v>44490</v>
      </c>
      <c r="P1887" s="50">
        <v>230.89500000000001</v>
      </c>
    </row>
    <row r="1888" spans="4:16" x14ac:dyDescent="0.2">
      <c r="D1888">
        <v>100001135</v>
      </c>
      <c r="E1888" s="49">
        <v>45270</v>
      </c>
      <c r="F1888" t="s">
        <v>3006</v>
      </c>
      <c r="G1888" t="s">
        <v>1752</v>
      </c>
      <c r="H1888">
        <v>3</v>
      </c>
      <c r="I1888">
        <v>69.819999999999993</v>
      </c>
      <c r="J1888" s="50">
        <v>209.46</v>
      </c>
      <c r="K1888" t="s">
        <v>1618</v>
      </c>
      <c r="M1888" t="s">
        <v>1629</v>
      </c>
      <c r="N1888">
        <v>36.85</v>
      </c>
      <c r="O1888" s="49">
        <v>45274</v>
      </c>
      <c r="P1888" s="50">
        <v>94.257000000000005</v>
      </c>
    </row>
    <row r="1889" spans="4:16" x14ac:dyDescent="0.2">
      <c r="D1889">
        <v>100001136</v>
      </c>
      <c r="E1889" s="49">
        <v>45020</v>
      </c>
      <c r="F1889" t="s">
        <v>3007</v>
      </c>
      <c r="G1889" t="s">
        <v>1651</v>
      </c>
      <c r="H1889">
        <v>10</v>
      </c>
      <c r="I1889">
        <v>12.31</v>
      </c>
      <c r="J1889" s="50">
        <v>123.1</v>
      </c>
      <c r="K1889" t="s">
        <v>1618</v>
      </c>
      <c r="M1889" t="s">
        <v>1624</v>
      </c>
      <c r="N1889">
        <v>6.5</v>
      </c>
      <c r="O1889" s="49">
        <v>45025</v>
      </c>
      <c r="P1889" s="50">
        <v>55.394999999999996</v>
      </c>
    </row>
    <row r="1890" spans="4:16" x14ac:dyDescent="0.2">
      <c r="D1890">
        <v>100001136</v>
      </c>
      <c r="E1890" s="49">
        <v>44557</v>
      </c>
      <c r="F1890" t="s">
        <v>3007</v>
      </c>
      <c r="G1890" t="s">
        <v>2198</v>
      </c>
      <c r="H1890">
        <v>5</v>
      </c>
      <c r="I1890">
        <v>25.92</v>
      </c>
      <c r="J1890" s="50">
        <v>129.6</v>
      </c>
      <c r="K1890" t="s">
        <v>1618</v>
      </c>
      <c r="M1890" t="s">
        <v>1621</v>
      </c>
      <c r="N1890">
        <v>13.68</v>
      </c>
      <c r="O1890" s="49">
        <v>44558</v>
      </c>
      <c r="P1890" s="50">
        <v>58.32</v>
      </c>
    </row>
    <row r="1891" spans="4:16" x14ac:dyDescent="0.2">
      <c r="D1891">
        <v>100001136</v>
      </c>
      <c r="E1891" s="49">
        <v>44306</v>
      </c>
      <c r="F1891" t="s">
        <v>3007</v>
      </c>
      <c r="G1891" t="s">
        <v>1943</v>
      </c>
      <c r="H1891">
        <v>4</v>
      </c>
      <c r="I1891">
        <v>13.51</v>
      </c>
      <c r="J1891" s="50">
        <v>54.04</v>
      </c>
      <c r="K1891" t="s">
        <v>1618</v>
      </c>
      <c r="M1891" t="s">
        <v>1629</v>
      </c>
      <c r="N1891">
        <v>7.13</v>
      </c>
      <c r="O1891" s="49">
        <v>44308</v>
      </c>
      <c r="P1891" s="50">
        <v>24.318000000000001</v>
      </c>
    </row>
    <row r="1892" spans="4:16" x14ac:dyDescent="0.2">
      <c r="D1892">
        <v>100001137</v>
      </c>
      <c r="E1892" s="49">
        <v>44802</v>
      </c>
      <c r="F1892" t="s">
        <v>3008</v>
      </c>
      <c r="G1892" t="s">
        <v>2060</v>
      </c>
      <c r="H1892">
        <v>5</v>
      </c>
      <c r="I1892">
        <v>55.78</v>
      </c>
      <c r="J1892" s="50">
        <v>278.89999999999998</v>
      </c>
      <c r="K1892" t="s">
        <v>1618</v>
      </c>
      <c r="M1892" t="s">
        <v>1621</v>
      </c>
      <c r="N1892">
        <v>29.44</v>
      </c>
      <c r="O1892" s="49">
        <v>44807</v>
      </c>
      <c r="P1892" s="50">
        <v>125.505</v>
      </c>
    </row>
    <row r="1893" spans="4:16" x14ac:dyDescent="0.2">
      <c r="D1893">
        <v>100001137</v>
      </c>
      <c r="E1893" s="49">
        <v>44336</v>
      </c>
      <c r="F1893" t="s">
        <v>3008</v>
      </c>
      <c r="G1893" t="s">
        <v>2093</v>
      </c>
      <c r="H1893">
        <v>9</v>
      </c>
      <c r="I1893">
        <v>31.87</v>
      </c>
      <c r="J1893" s="50">
        <v>286.83</v>
      </c>
      <c r="K1893" t="s">
        <v>1618</v>
      </c>
      <c r="M1893" t="s">
        <v>1621</v>
      </c>
      <c r="N1893">
        <v>16.82</v>
      </c>
      <c r="O1893" s="49">
        <v>44338</v>
      </c>
      <c r="P1893" s="50">
        <v>129.0735</v>
      </c>
    </row>
    <row r="1894" spans="4:16" x14ac:dyDescent="0.2">
      <c r="D1894">
        <v>100001138</v>
      </c>
      <c r="E1894" s="49">
        <v>45318</v>
      </c>
      <c r="F1894" t="s">
        <v>3009</v>
      </c>
      <c r="G1894" t="s">
        <v>1712</v>
      </c>
      <c r="H1894">
        <v>6</v>
      </c>
      <c r="I1894">
        <v>99.38</v>
      </c>
      <c r="J1894" s="50">
        <v>596.28</v>
      </c>
      <c r="K1894" t="s">
        <v>1632</v>
      </c>
      <c r="M1894" t="s">
        <v>1627</v>
      </c>
      <c r="N1894">
        <v>52.45</v>
      </c>
      <c r="O1894" s="49">
        <v>45320</v>
      </c>
      <c r="P1894" s="50">
        <v>268.32600000000002</v>
      </c>
    </row>
    <row r="1895" spans="4:16" x14ac:dyDescent="0.2">
      <c r="D1895">
        <v>100001140</v>
      </c>
      <c r="E1895" s="49">
        <v>44645</v>
      </c>
      <c r="F1895" t="s">
        <v>3010</v>
      </c>
      <c r="G1895" t="s">
        <v>2302</v>
      </c>
      <c r="H1895">
        <v>5</v>
      </c>
      <c r="I1895">
        <v>115.24</v>
      </c>
      <c r="J1895" s="50">
        <v>576.19999999999993</v>
      </c>
      <c r="K1895" t="s">
        <v>1618</v>
      </c>
      <c r="M1895" t="s">
        <v>1627</v>
      </c>
      <c r="N1895">
        <v>60.82</v>
      </c>
      <c r="O1895" s="49">
        <v>44648</v>
      </c>
      <c r="P1895" s="50">
        <v>259.28999999999996</v>
      </c>
    </row>
    <row r="1896" spans="4:16" x14ac:dyDescent="0.2">
      <c r="D1896">
        <v>100001140</v>
      </c>
      <c r="E1896" s="49">
        <v>44235</v>
      </c>
      <c r="F1896" t="s">
        <v>3010</v>
      </c>
      <c r="G1896" t="s">
        <v>1641</v>
      </c>
      <c r="H1896">
        <v>2</v>
      </c>
      <c r="I1896">
        <v>19.809999999999999</v>
      </c>
      <c r="J1896" s="50">
        <v>39.619999999999997</v>
      </c>
      <c r="K1896" t="s">
        <v>1618</v>
      </c>
      <c r="M1896" t="s">
        <v>1624</v>
      </c>
      <c r="N1896">
        <v>10.46</v>
      </c>
      <c r="O1896" s="49">
        <v>44238</v>
      </c>
      <c r="P1896" s="50">
        <v>17.829000000000001</v>
      </c>
    </row>
    <row r="1897" spans="4:16" x14ac:dyDescent="0.2">
      <c r="D1897">
        <v>100001141</v>
      </c>
      <c r="E1897" s="49">
        <v>44970</v>
      </c>
      <c r="F1897" t="s">
        <v>3011</v>
      </c>
      <c r="G1897" t="s">
        <v>1928</v>
      </c>
      <c r="H1897">
        <v>10</v>
      </c>
      <c r="I1897">
        <v>22.91</v>
      </c>
      <c r="J1897" s="50">
        <v>229.1</v>
      </c>
      <c r="K1897" t="s">
        <v>1632</v>
      </c>
      <c r="M1897" t="s">
        <v>1621</v>
      </c>
      <c r="N1897">
        <v>12.09</v>
      </c>
      <c r="O1897" s="49">
        <v>44971</v>
      </c>
      <c r="P1897" s="50">
        <v>103.095</v>
      </c>
    </row>
    <row r="1898" spans="4:16" x14ac:dyDescent="0.2">
      <c r="D1898">
        <v>100001141</v>
      </c>
      <c r="E1898" s="49">
        <v>44499</v>
      </c>
      <c r="F1898" t="s">
        <v>3011</v>
      </c>
      <c r="G1898" t="s">
        <v>2217</v>
      </c>
      <c r="H1898">
        <v>2</v>
      </c>
      <c r="I1898">
        <v>38.14</v>
      </c>
      <c r="J1898" s="50">
        <v>76.28</v>
      </c>
      <c r="K1898" t="s">
        <v>1632</v>
      </c>
      <c r="M1898" t="s">
        <v>1627</v>
      </c>
      <c r="N1898">
        <v>20.13</v>
      </c>
      <c r="O1898" s="49">
        <v>44504</v>
      </c>
      <c r="P1898" s="50">
        <v>34.326000000000001</v>
      </c>
    </row>
    <row r="1899" spans="4:16" x14ac:dyDescent="0.2">
      <c r="D1899">
        <v>100001141</v>
      </c>
      <c r="E1899" s="49">
        <v>45397</v>
      </c>
      <c r="F1899" t="s">
        <v>3011</v>
      </c>
      <c r="G1899" t="s">
        <v>1975</v>
      </c>
      <c r="H1899">
        <v>1</v>
      </c>
      <c r="I1899">
        <v>71.37</v>
      </c>
      <c r="J1899" s="50">
        <v>71.37</v>
      </c>
      <c r="K1899" t="s">
        <v>1632</v>
      </c>
      <c r="M1899" t="s">
        <v>1629</v>
      </c>
      <c r="N1899">
        <v>37.67</v>
      </c>
      <c r="O1899" s="49">
        <v>45398</v>
      </c>
      <c r="P1899" s="50">
        <v>32.116500000000002</v>
      </c>
    </row>
    <row r="1900" spans="4:16" x14ac:dyDescent="0.2">
      <c r="D1900">
        <v>100001142</v>
      </c>
      <c r="E1900" s="49">
        <v>45239</v>
      </c>
      <c r="F1900" t="s">
        <v>3012</v>
      </c>
      <c r="G1900" t="s">
        <v>1904</v>
      </c>
      <c r="H1900">
        <v>1</v>
      </c>
      <c r="I1900">
        <v>38.39</v>
      </c>
      <c r="J1900" s="50">
        <v>38.39</v>
      </c>
      <c r="K1900" t="s">
        <v>1632</v>
      </c>
      <c r="M1900" t="s">
        <v>1629</v>
      </c>
      <c r="N1900">
        <v>20.260000000000002</v>
      </c>
      <c r="O1900" s="49">
        <v>45242</v>
      </c>
      <c r="P1900" s="50">
        <v>17.275500000000001</v>
      </c>
    </row>
    <row r="1901" spans="4:16" x14ac:dyDescent="0.2">
      <c r="D1901">
        <v>100001142</v>
      </c>
      <c r="E1901" s="49">
        <v>45228</v>
      </c>
      <c r="F1901" t="s">
        <v>3012</v>
      </c>
      <c r="G1901" t="s">
        <v>2330</v>
      </c>
      <c r="H1901">
        <v>7</v>
      </c>
      <c r="I1901">
        <v>10.47</v>
      </c>
      <c r="J1901" s="50">
        <v>73.290000000000006</v>
      </c>
      <c r="K1901" t="s">
        <v>1632</v>
      </c>
      <c r="M1901" t="s">
        <v>1619</v>
      </c>
      <c r="N1901">
        <v>5.53</v>
      </c>
      <c r="O1901" s="49">
        <v>45231</v>
      </c>
      <c r="P1901" s="50">
        <v>32.980500000000006</v>
      </c>
    </row>
    <row r="1902" spans="4:16" x14ac:dyDescent="0.2">
      <c r="D1902">
        <v>100001143</v>
      </c>
      <c r="E1902" s="49">
        <v>44540</v>
      </c>
      <c r="F1902" t="s">
        <v>3013</v>
      </c>
      <c r="G1902" t="s">
        <v>1953</v>
      </c>
      <c r="H1902">
        <v>5</v>
      </c>
      <c r="I1902">
        <v>90.35</v>
      </c>
      <c r="J1902" s="50">
        <v>451.75</v>
      </c>
      <c r="K1902" t="s">
        <v>1632</v>
      </c>
      <c r="L1902" t="s">
        <v>2916</v>
      </c>
      <c r="M1902" t="s">
        <v>1627</v>
      </c>
      <c r="N1902">
        <v>47.68</v>
      </c>
      <c r="O1902" s="49">
        <v>44543</v>
      </c>
      <c r="P1902" s="50">
        <v>203.28749999999999</v>
      </c>
    </row>
    <row r="1903" spans="4:16" x14ac:dyDescent="0.2">
      <c r="D1903">
        <v>100001143</v>
      </c>
      <c r="E1903" s="49">
        <v>45179</v>
      </c>
      <c r="F1903" t="s">
        <v>3013</v>
      </c>
      <c r="G1903" t="s">
        <v>2204</v>
      </c>
      <c r="H1903">
        <v>8</v>
      </c>
      <c r="I1903">
        <v>72.069999999999993</v>
      </c>
      <c r="J1903" s="50">
        <v>576.55999999999995</v>
      </c>
      <c r="K1903" t="s">
        <v>1632</v>
      </c>
      <c r="L1903" t="s">
        <v>2916</v>
      </c>
      <c r="M1903" t="s">
        <v>1627</v>
      </c>
      <c r="N1903">
        <v>38.04</v>
      </c>
      <c r="O1903" s="49">
        <v>45184</v>
      </c>
      <c r="P1903" s="50">
        <v>259.452</v>
      </c>
    </row>
    <row r="1904" spans="4:16" x14ac:dyDescent="0.2">
      <c r="D1904">
        <v>100001144</v>
      </c>
      <c r="E1904" s="49">
        <v>44470</v>
      </c>
      <c r="F1904" t="s">
        <v>3014</v>
      </c>
      <c r="G1904" t="s">
        <v>2150</v>
      </c>
      <c r="H1904">
        <v>8</v>
      </c>
      <c r="I1904">
        <v>69.23</v>
      </c>
      <c r="J1904" s="50">
        <v>553.84</v>
      </c>
      <c r="K1904" t="s">
        <v>1618</v>
      </c>
      <c r="M1904" t="s">
        <v>1627</v>
      </c>
      <c r="N1904">
        <v>36.54</v>
      </c>
      <c r="O1904" s="49">
        <v>44472</v>
      </c>
      <c r="P1904" s="50">
        <v>249.22800000000001</v>
      </c>
    </row>
    <row r="1905" spans="4:16" x14ac:dyDescent="0.2">
      <c r="D1905">
        <v>100001144</v>
      </c>
      <c r="E1905" s="49">
        <v>44845</v>
      </c>
      <c r="F1905" t="s">
        <v>3014</v>
      </c>
      <c r="G1905" t="s">
        <v>1652</v>
      </c>
      <c r="H1905">
        <v>7</v>
      </c>
      <c r="I1905">
        <v>106.71</v>
      </c>
      <c r="J1905" s="50">
        <v>746.96999999999991</v>
      </c>
      <c r="K1905" t="s">
        <v>1618</v>
      </c>
      <c r="M1905" t="s">
        <v>1619</v>
      </c>
      <c r="N1905">
        <v>56.32</v>
      </c>
      <c r="O1905" s="49">
        <v>44847</v>
      </c>
      <c r="P1905" s="50">
        <v>336.13649999999996</v>
      </c>
    </row>
    <row r="1906" spans="4:16" x14ac:dyDescent="0.2">
      <c r="D1906">
        <v>100001145</v>
      </c>
      <c r="E1906" s="49">
        <v>44527</v>
      </c>
      <c r="F1906" t="s">
        <v>3015</v>
      </c>
      <c r="G1906" t="s">
        <v>1724</v>
      </c>
      <c r="H1906">
        <v>3</v>
      </c>
      <c r="I1906">
        <v>82.15</v>
      </c>
      <c r="J1906" s="50">
        <v>246.45</v>
      </c>
      <c r="K1906" t="s">
        <v>1618</v>
      </c>
      <c r="M1906" t="s">
        <v>1619</v>
      </c>
      <c r="N1906">
        <v>43.36</v>
      </c>
      <c r="O1906" s="49">
        <v>44531</v>
      </c>
      <c r="P1906" s="50">
        <v>110.9025</v>
      </c>
    </row>
    <row r="1907" spans="4:16" x14ac:dyDescent="0.2">
      <c r="D1907">
        <v>100001145</v>
      </c>
      <c r="E1907" s="49">
        <v>45395</v>
      </c>
      <c r="F1907" t="s">
        <v>3015</v>
      </c>
      <c r="G1907" t="s">
        <v>1655</v>
      </c>
      <c r="H1907">
        <v>6</v>
      </c>
      <c r="I1907">
        <v>73.069999999999993</v>
      </c>
      <c r="J1907" s="50">
        <v>438.42</v>
      </c>
      <c r="K1907" t="s">
        <v>1618</v>
      </c>
      <c r="M1907" t="s">
        <v>1629</v>
      </c>
      <c r="N1907">
        <v>38.56</v>
      </c>
      <c r="O1907" s="49">
        <v>45398</v>
      </c>
      <c r="P1907" s="50">
        <v>197.28900000000002</v>
      </c>
    </row>
    <row r="1908" spans="4:16" x14ac:dyDescent="0.2">
      <c r="D1908">
        <v>100001147</v>
      </c>
      <c r="E1908" s="49">
        <v>44887</v>
      </c>
      <c r="F1908" t="s">
        <v>3016</v>
      </c>
      <c r="G1908" t="s">
        <v>2427</v>
      </c>
      <c r="H1908">
        <v>8</v>
      </c>
      <c r="I1908">
        <v>78.17</v>
      </c>
      <c r="J1908" s="50">
        <v>625.36</v>
      </c>
      <c r="K1908" t="s">
        <v>1618</v>
      </c>
      <c r="M1908" t="s">
        <v>1629</v>
      </c>
      <c r="N1908">
        <v>41.26</v>
      </c>
      <c r="O1908" s="49">
        <v>44892</v>
      </c>
      <c r="P1908" s="50">
        <v>281.41200000000003</v>
      </c>
    </row>
    <row r="1909" spans="4:16" x14ac:dyDescent="0.2">
      <c r="D1909">
        <v>100001147</v>
      </c>
      <c r="E1909" s="49">
        <v>45218</v>
      </c>
      <c r="F1909" t="s">
        <v>3016</v>
      </c>
      <c r="G1909" t="s">
        <v>1817</v>
      </c>
      <c r="H1909">
        <v>10</v>
      </c>
      <c r="I1909">
        <v>44.27</v>
      </c>
      <c r="J1909" s="50">
        <v>442.7</v>
      </c>
      <c r="K1909" t="s">
        <v>1618</v>
      </c>
      <c r="M1909" t="s">
        <v>1627</v>
      </c>
      <c r="N1909">
        <v>23.36</v>
      </c>
      <c r="O1909" s="49">
        <v>45222</v>
      </c>
      <c r="P1909" s="50">
        <v>199.215</v>
      </c>
    </row>
    <row r="1910" spans="4:16" x14ac:dyDescent="0.2">
      <c r="D1910">
        <v>100001147</v>
      </c>
      <c r="E1910" s="49">
        <v>45343</v>
      </c>
      <c r="F1910" t="s">
        <v>3016</v>
      </c>
      <c r="G1910" t="s">
        <v>1781</v>
      </c>
      <c r="H1910">
        <v>5</v>
      </c>
      <c r="I1910">
        <v>99.19</v>
      </c>
      <c r="J1910" s="50">
        <v>495.95</v>
      </c>
      <c r="K1910" t="s">
        <v>1618</v>
      </c>
      <c r="M1910" t="s">
        <v>1627</v>
      </c>
      <c r="N1910">
        <v>52.35</v>
      </c>
      <c r="O1910" s="49">
        <v>45344</v>
      </c>
      <c r="P1910" s="50">
        <v>223.17750000000001</v>
      </c>
    </row>
    <row r="1911" spans="4:16" x14ac:dyDescent="0.2">
      <c r="D1911">
        <v>100001151</v>
      </c>
      <c r="E1911" s="49">
        <v>44737</v>
      </c>
      <c r="F1911" t="s">
        <v>3017</v>
      </c>
      <c r="G1911" t="s">
        <v>1733</v>
      </c>
      <c r="H1911">
        <v>10</v>
      </c>
      <c r="I1911">
        <v>109.94</v>
      </c>
      <c r="J1911" s="50">
        <v>1099.4000000000001</v>
      </c>
      <c r="K1911" t="s">
        <v>1632</v>
      </c>
      <c r="M1911" t="s">
        <v>1624</v>
      </c>
      <c r="N1911">
        <v>58.02</v>
      </c>
      <c r="O1911" s="49">
        <v>44740</v>
      </c>
      <c r="P1911" s="50">
        <v>494.73000000000008</v>
      </c>
    </row>
    <row r="1912" spans="4:16" x14ac:dyDescent="0.2">
      <c r="D1912">
        <v>100001153</v>
      </c>
      <c r="E1912" s="49">
        <v>45309</v>
      </c>
      <c r="F1912" t="s">
        <v>3018</v>
      </c>
      <c r="G1912" t="s">
        <v>1856</v>
      </c>
      <c r="H1912">
        <v>3</v>
      </c>
      <c r="I1912">
        <v>93.93</v>
      </c>
      <c r="J1912" s="50">
        <v>281.79000000000002</v>
      </c>
      <c r="K1912" t="s">
        <v>1618</v>
      </c>
      <c r="M1912" t="s">
        <v>1619</v>
      </c>
      <c r="N1912">
        <v>49.57</v>
      </c>
      <c r="O1912" s="49">
        <v>45313</v>
      </c>
      <c r="P1912" s="50">
        <v>126.80550000000001</v>
      </c>
    </row>
    <row r="1913" spans="4:16" x14ac:dyDescent="0.2">
      <c r="D1913">
        <v>100001153</v>
      </c>
      <c r="E1913" s="49">
        <v>44946</v>
      </c>
      <c r="F1913" t="s">
        <v>3018</v>
      </c>
      <c r="G1913" t="s">
        <v>1705</v>
      </c>
      <c r="H1913">
        <v>3</v>
      </c>
      <c r="I1913">
        <v>95.25</v>
      </c>
      <c r="J1913" s="50">
        <v>285.75</v>
      </c>
      <c r="K1913" t="s">
        <v>1618</v>
      </c>
      <c r="M1913" t="s">
        <v>1624</v>
      </c>
      <c r="N1913">
        <v>50.27</v>
      </c>
      <c r="O1913" s="49">
        <v>44950</v>
      </c>
      <c r="P1913" s="50">
        <v>128.58750000000001</v>
      </c>
    </row>
    <row r="1914" spans="4:16" x14ac:dyDescent="0.2">
      <c r="D1914">
        <v>100001153</v>
      </c>
      <c r="E1914" s="49">
        <v>44364</v>
      </c>
      <c r="F1914" t="s">
        <v>3018</v>
      </c>
      <c r="G1914" t="s">
        <v>1842</v>
      </c>
      <c r="H1914">
        <v>4</v>
      </c>
      <c r="I1914">
        <v>83.87</v>
      </c>
      <c r="J1914" s="50">
        <v>335.48</v>
      </c>
      <c r="K1914" t="s">
        <v>1618</v>
      </c>
      <c r="M1914" t="s">
        <v>1629</v>
      </c>
      <c r="N1914">
        <v>44.26</v>
      </c>
      <c r="O1914" s="49">
        <v>44367</v>
      </c>
      <c r="P1914" s="50">
        <v>150.96600000000001</v>
      </c>
    </row>
    <row r="1915" spans="4:16" x14ac:dyDescent="0.2">
      <c r="D1915">
        <v>100001153</v>
      </c>
      <c r="E1915" s="49">
        <v>44448</v>
      </c>
      <c r="F1915" t="s">
        <v>3018</v>
      </c>
      <c r="G1915" t="s">
        <v>1705</v>
      </c>
      <c r="H1915">
        <v>6</v>
      </c>
      <c r="I1915">
        <v>37.61</v>
      </c>
      <c r="J1915" s="50">
        <v>225.66</v>
      </c>
      <c r="K1915" t="s">
        <v>1618</v>
      </c>
      <c r="M1915" t="s">
        <v>1624</v>
      </c>
      <c r="N1915">
        <v>19.850000000000001</v>
      </c>
      <c r="O1915" s="49">
        <v>44449</v>
      </c>
      <c r="P1915" s="50">
        <v>101.547</v>
      </c>
    </row>
    <row r="1916" spans="4:16" x14ac:dyDescent="0.2">
      <c r="D1916">
        <v>100001153</v>
      </c>
      <c r="E1916" s="49">
        <v>44684</v>
      </c>
      <c r="F1916" t="s">
        <v>3018</v>
      </c>
      <c r="G1916" t="s">
        <v>1976</v>
      </c>
      <c r="H1916">
        <v>6</v>
      </c>
      <c r="I1916">
        <v>105.44</v>
      </c>
      <c r="J1916" s="50">
        <v>632.64</v>
      </c>
      <c r="K1916" t="s">
        <v>1618</v>
      </c>
      <c r="M1916" t="s">
        <v>1619</v>
      </c>
      <c r="N1916">
        <v>55.65</v>
      </c>
      <c r="O1916" s="49">
        <v>44687</v>
      </c>
      <c r="P1916" s="50">
        <v>284.68799999999999</v>
      </c>
    </row>
    <row r="1917" spans="4:16" x14ac:dyDescent="0.2">
      <c r="D1917">
        <v>100001153</v>
      </c>
      <c r="E1917" s="49">
        <v>45446</v>
      </c>
      <c r="F1917" t="s">
        <v>3018</v>
      </c>
      <c r="G1917" t="s">
        <v>2174</v>
      </c>
      <c r="H1917">
        <v>7</v>
      </c>
      <c r="I1917">
        <v>99.86</v>
      </c>
      <c r="J1917" s="50">
        <v>699.02</v>
      </c>
      <c r="K1917" t="s">
        <v>1618</v>
      </c>
      <c r="M1917" t="s">
        <v>1621</v>
      </c>
      <c r="N1917">
        <v>52.7</v>
      </c>
      <c r="O1917" s="49">
        <v>45449</v>
      </c>
      <c r="P1917" s="50">
        <v>314.55900000000003</v>
      </c>
    </row>
    <row r="1918" spans="4:16" x14ac:dyDescent="0.2">
      <c r="D1918">
        <v>100001153</v>
      </c>
      <c r="E1918" s="49">
        <v>45307</v>
      </c>
      <c r="F1918" t="s">
        <v>3018</v>
      </c>
      <c r="G1918" t="s">
        <v>1792</v>
      </c>
      <c r="H1918">
        <v>5</v>
      </c>
      <c r="I1918">
        <v>58.65</v>
      </c>
      <c r="J1918" s="50">
        <v>293.25</v>
      </c>
      <c r="K1918" t="s">
        <v>1618</v>
      </c>
      <c r="M1918" t="s">
        <v>1619</v>
      </c>
      <c r="N1918">
        <v>30.95</v>
      </c>
      <c r="O1918" s="49">
        <v>45311</v>
      </c>
      <c r="P1918" s="50">
        <v>131.96250000000001</v>
      </c>
    </row>
    <row r="1919" spans="4:16" x14ac:dyDescent="0.2">
      <c r="D1919">
        <v>100001153</v>
      </c>
      <c r="E1919" s="49">
        <v>45261</v>
      </c>
      <c r="F1919" t="s">
        <v>3018</v>
      </c>
      <c r="G1919" t="s">
        <v>1830</v>
      </c>
      <c r="H1919">
        <v>9</v>
      </c>
      <c r="I1919">
        <v>83.23</v>
      </c>
      <c r="J1919" s="50">
        <v>749.07</v>
      </c>
      <c r="K1919" t="s">
        <v>1618</v>
      </c>
      <c r="M1919" t="s">
        <v>1621</v>
      </c>
      <c r="N1919">
        <v>43.93</v>
      </c>
      <c r="O1919" s="49">
        <v>45266</v>
      </c>
      <c r="P1919" s="50">
        <v>337.08150000000001</v>
      </c>
    </row>
    <row r="1920" spans="4:16" x14ac:dyDescent="0.2">
      <c r="D1920">
        <v>100001157</v>
      </c>
      <c r="E1920" s="49">
        <v>44438</v>
      </c>
      <c r="F1920" t="s">
        <v>3019</v>
      </c>
      <c r="G1920" t="s">
        <v>1770</v>
      </c>
      <c r="H1920">
        <v>5</v>
      </c>
      <c r="I1920">
        <v>13.56</v>
      </c>
      <c r="J1920" s="50">
        <v>67.8</v>
      </c>
      <c r="K1920" t="s">
        <v>1632</v>
      </c>
      <c r="M1920" t="s">
        <v>1621</v>
      </c>
      <c r="N1920">
        <v>7.16</v>
      </c>
      <c r="O1920" s="49">
        <v>44441</v>
      </c>
      <c r="P1920" s="50">
        <v>30.509999999999998</v>
      </c>
    </row>
    <row r="1921" spans="4:16" x14ac:dyDescent="0.2">
      <c r="D1921">
        <v>100001158</v>
      </c>
      <c r="E1921" s="49">
        <v>44787</v>
      </c>
      <c r="F1921" t="s">
        <v>3020</v>
      </c>
      <c r="G1921" t="s">
        <v>1953</v>
      </c>
      <c r="H1921">
        <v>10</v>
      </c>
      <c r="I1921">
        <v>53.21</v>
      </c>
      <c r="J1921" s="50">
        <v>532.1</v>
      </c>
      <c r="K1921" t="s">
        <v>1618</v>
      </c>
      <c r="L1921" t="s">
        <v>2272</v>
      </c>
      <c r="M1921" t="s">
        <v>1629</v>
      </c>
      <c r="N1921">
        <v>28.08</v>
      </c>
      <c r="O1921" s="49">
        <v>44791</v>
      </c>
      <c r="P1921" s="50">
        <v>239.44500000000002</v>
      </c>
    </row>
    <row r="1922" spans="4:16" x14ac:dyDescent="0.2">
      <c r="D1922">
        <v>100001158</v>
      </c>
      <c r="E1922" s="49">
        <v>45029</v>
      </c>
      <c r="F1922" t="s">
        <v>3020</v>
      </c>
      <c r="G1922" t="s">
        <v>2707</v>
      </c>
      <c r="H1922">
        <v>2</v>
      </c>
      <c r="I1922">
        <v>46.06</v>
      </c>
      <c r="J1922" s="50">
        <v>92.12</v>
      </c>
      <c r="K1922" t="s">
        <v>1618</v>
      </c>
      <c r="L1922" t="s">
        <v>2272</v>
      </c>
      <c r="M1922" t="s">
        <v>1624</v>
      </c>
      <c r="N1922">
        <v>24.31</v>
      </c>
      <c r="O1922" s="49">
        <v>45030</v>
      </c>
      <c r="P1922" s="50">
        <v>41.454000000000001</v>
      </c>
    </row>
    <row r="1923" spans="4:16" x14ac:dyDescent="0.2">
      <c r="D1923">
        <v>100001158</v>
      </c>
      <c r="E1923" s="49">
        <v>44651</v>
      </c>
      <c r="F1923" t="s">
        <v>3020</v>
      </c>
      <c r="G1923" t="s">
        <v>1672</v>
      </c>
      <c r="H1923">
        <v>2</v>
      </c>
      <c r="I1923">
        <v>40.700000000000003</v>
      </c>
      <c r="J1923" s="50">
        <v>81.400000000000006</v>
      </c>
      <c r="K1923" t="s">
        <v>1618</v>
      </c>
      <c r="L1923" t="s">
        <v>2272</v>
      </c>
      <c r="M1923" t="s">
        <v>1621</v>
      </c>
      <c r="N1923">
        <v>21.48</v>
      </c>
      <c r="O1923" s="49">
        <v>44652</v>
      </c>
      <c r="P1923" s="50">
        <v>36.630000000000003</v>
      </c>
    </row>
    <row r="1924" spans="4:16" x14ac:dyDescent="0.2">
      <c r="D1924">
        <v>100001159</v>
      </c>
      <c r="E1924" s="49">
        <v>44552</v>
      </c>
      <c r="F1924" t="s">
        <v>3021</v>
      </c>
      <c r="G1924" t="s">
        <v>1963</v>
      </c>
      <c r="H1924">
        <v>6</v>
      </c>
      <c r="I1924">
        <v>86.38</v>
      </c>
      <c r="J1924" s="50">
        <v>518.28</v>
      </c>
      <c r="K1924" t="s">
        <v>1618</v>
      </c>
      <c r="M1924" t="s">
        <v>1627</v>
      </c>
      <c r="N1924">
        <v>45.59</v>
      </c>
      <c r="O1924" s="49">
        <v>44556</v>
      </c>
      <c r="P1924" s="50">
        <v>233.226</v>
      </c>
    </row>
    <row r="1925" spans="4:16" x14ac:dyDescent="0.2">
      <c r="D1925">
        <v>100001159</v>
      </c>
      <c r="E1925" s="49">
        <v>45633</v>
      </c>
      <c r="F1925" t="s">
        <v>3021</v>
      </c>
      <c r="G1925" t="s">
        <v>1758</v>
      </c>
      <c r="H1925">
        <v>8</v>
      </c>
      <c r="I1925">
        <v>54.67</v>
      </c>
      <c r="J1925" s="50">
        <v>437.36</v>
      </c>
      <c r="K1925" t="s">
        <v>1618</v>
      </c>
      <c r="M1925" t="s">
        <v>1621</v>
      </c>
      <c r="N1925">
        <v>28.85</v>
      </c>
      <c r="O1925" s="49">
        <v>45635</v>
      </c>
      <c r="P1925" s="50">
        <v>196.81200000000001</v>
      </c>
    </row>
    <row r="1926" spans="4:16" x14ac:dyDescent="0.2">
      <c r="D1926">
        <v>100001159</v>
      </c>
      <c r="E1926" s="49">
        <v>44964</v>
      </c>
      <c r="F1926" t="s">
        <v>3021</v>
      </c>
      <c r="G1926" t="s">
        <v>1768</v>
      </c>
      <c r="H1926">
        <v>7</v>
      </c>
      <c r="I1926">
        <v>57.97</v>
      </c>
      <c r="J1926" s="50">
        <v>405.79</v>
      </c>
      <c r="K1926" t="s">
        <v>1618</v>
      </c>
      <c r="M1926" t="s">
        <v>1619</v>
      </c>
      <c r="N1926">
        <v>30.6</v>
      </c>
      <c r="O1926" s="49">
        <v>44967</v>
      </c>
      <c r="P1926" s="50">
        <v>182.60550000000001</v>
      </c>
    </row>
    <row r="1927" spans="4:16" x14ac:dyDescent="0.2">
      <c r="D1927">
        <v>100001159</v>
      </c>
      <c r="E1927" s="49">
        <v>45396</v>
      </c>
      <c r="F1927" t="s">
        <v>3021</v>
      </c>
      <c r="G1927" t="s">
        <v>1733</v>
      </c>
      <c r="H1927">
        <v>9</v>
      </c>
      <c r="I1927">
        <v>12.91</v>
      </c>
      <c r="J1927" s="50">
        <v>116.19</v>
      </c>
      <c r="K1927" t="s">
        <v>1618</v>
      </c>
      <c r="M1927" t="s">
        <v>1619</v>
      </c>
      <c r="N1927">
        <v>6.81</v>
      </c>
      <c r="O1927" s="49">
        <v>45399</v>
      </c>
      <c r="P1927" s="50">
        <v>52.285499999999999</v>
      </c>
    </row>
    <row r="1928" spans="4:16" x14ac:dyDescent="0.2">
      <c r="D1928">
        <v>100001160</v>
      </c>
      <c r="E1928" s="49">
        <v>45319</v>
      </c>
      <c r="F1928" t="s">
        <v>3022</v>
      </c>
      <c r="G1928" t="s">
        <v>1700</v>
      </c>
      <c r="H1928">
        <v>1</v>
      </c>
      <c r="I1928">
        <v>55.33</v>
      </c>
      <c r="J1928" s="50">
        <v>55.33</v>
      </c>
      <c r="K1928" t="s">
        <v>1632</v>
      </c>
      <c r="M1928" t="s">
        <v>1624</v>
      </c>
      <c r="N1928">
        <v>29.2</v>
      </c>
      <c r="O1928" s="49">
        <v>45321</v>
      </c>
      <c r="P1928" s="50">
        <v>24.898499999999999</v>
      </c>
    </row>
    <row r="1929" spans="4:16" x14ac:dyDescent="0.2">
      <c r="D1929">
        <v>100001160</v>
      </c>
      <c r="E1929" s="49">
        <v>45105</v>
      </c>
      <c r="F1929" t="s">
        <v>3022</v>
      </c>
      <c r="G1929" t="s">
        <v>2079</v>
      </c>
      <c r="H1929">
        <v>1</v>
      </c>
      <c r="I1929">
        <v>75.260000000000005</v>
      </c>
      <c r="J1929" s="50">
        <v>75.260000000000005</v>
      </c>
      <c r="K1929" t="s">
        <v>1632</v>
      </c>
      <c r="M1929" t="s">
        <v>1627</v>
      </c>
      <c r="N1929">
        <v>39.72</v>
      </c>
      <c r="O1929" s="49">
        <v>45108</v>
      </c>
      <c r="P1929" s="50">
        <v>33.867000000000004</v>
      </c>
    </row>
    <row r="1930" spans="4:16" x14ac:dyDescent="0.2">
      <c r="D1930">
        <v>100001160</v>
      </c>
      <c r="E1930" s="49">
        <v>44729</v>
      </c>
      <c r="F1930" t="s">
        <v>3022</v>
      </c>
      <c r="G1930" t="s">
        <v>1729</v>
      </c>
      <c r="H1930">
        <v>1</v>
      </c>
      <c r="I1930">
        <v>43.76</v>
      </c>
      <c r="J1930" s="50">
        <v>43.76</v>
      </c>
      <c r="K1930" t="s">
        <v>1632</v>
      </c>
      <c r="M1930" t="s">
        <v>1629</v>
      </c>
      <c r="N1930">
        <v>23.1</v>
      </c>
      <c r="O1930" s="49">
        <v>44734</v>
      </c>
      <c r="P1930" s="50">
        <v>19.692</v>
      </c>
    </row>
    <row r="1931" spans="4:16" x14ac:dyDescent="0.2">
      <c r="D1931">
        <v>100001161</v>
      </c>
      <c r="E1931" s="49">
        <v>44864</v>
      </c>
      <c r="F1931" t="s">
        <v>3023</v>
      </c>
      <c r="G1931" t="s">
        <v>1704</v>
      </c>
      <c r="H1931">
        <v>9</v>
      </c>
      <c r="I1931">
        <v>55.27</v>
      </c>
      <c r="J1931" s="50">
        <v>497.43</v>
      </c>
      <c r="K1931" t="s">
        <v>1618</v>
      </c>
      <c r="M1931" t="s">
        <v>1619</v>
      </c>
      <c r="N1931">
        <v>29.17</v>
      </c>
      <c r="O1931" s="49">
        <v>44869</v>
      </c>
      <c r="P1931" s="50">
        <v>223.84350000000001</v>
      </c>
    </row>
    <row r="1932" spans="4:16" x14ac:dyDescent="0.2">
      <c r="D1932">
        <v>100001161</v>
      </c>
      <c r="E1932" s="49">
        <v>45081</v>
      </c>
      <c r="F1932" t="s">
        <v>3023</v>
      </c>
      <c r="G1932" t="s">
        <v>1902</v>
      </c>
      <c r="H1932">
        <v>7</v>
      </c>
      <c r="I1932">
        <v>105.28</v>
      </c>
      <c r="J1932" s="50">
        <v>736.96</v>
      </c>
      <c r="K1932" t="s">
        <v>1618</v>
      </c>
      <c r="M1932" t="s">
        <v>1619</v>
      </c>
      <c r="N1932">
        <v>55.56</v>
      </c>
      <c r="O1932" s="49">
        <v>45083</v>
      </c>
      <c r="P1932" s="50">
        <v>331.63200000000001</v>
      </c>
    </row>
    <row r="1933" spans="4:16" x14ac:dyDescent="0.2">
      <c r="D1933">
        <v>100001161</v>
      </c>
      <c r="E1933" s="49">
        <v>45329</v>
      </c>
      <c r="F1933" t="s">
        <v>3023</v>
      </c>
      <c r="G1933" t="s">
        <v>1644</v>
      </c>
      <c r="H1933">
        <v>4</v>
      </c>
      <c r="I1933">
        <v>67.510000000000005</v>
      </c>
      <c r="J1933" s="50">
        <v>270.04000000000002</v>
      </c>
      <c r="K1933" t="s">
        <v>1618</v>
      </c>
      <c r="M1933" t="s">
        <v>1621</v>
      </c>
      <c r="N1933">
        <v>35.630000000000003</v>
      </c>
      <c r="O1933" s="49">
        <v>45332</v>
      </c>
      <c r="P1933" s="50">
        <v>121.51800000000001</v>
      </c>
    </row>
    <row r="1934" spans="4:16" x14ac:dyDescent="0.2">
      <c r="D1934">
        <v>100001163</v>
      </c>
      <c r="E1934" s="49">
        <v>44544</v>
      </c>
      <c r="F1934" t="s">
        <v>3024</v>
      </c>
      <c r="G1934" t="s">
        <v>2261</v>
      </c>
      <c r="H1934">
        <v>8</v>
      </c>
      <c r="I1934">
        <v>31.97</v>
      </c>
      <c r="J1934" s="50">
        <v>255.76</v>
      </c>
      <c r="K1934" t="s">
        <v>1632</v>
      </c>
      <c r="L1934" t="s">
        <v>3025</v>
      </c>
      <c r="M1934" t="s">
        <v>1627</v>
      </c>
      <c r="N1934">
        <v>16.87</v>
      </c>
      <c r="O1934" s="49">
        <v>44546</v>
      </c>
      <c r="P1934" s="50">
        <v>115.092</v>
      </c>
    </row>
    <row r="1935" spans="4:16" x14ac:dyDescent="0.2">
      <c r="D1935">
        <v>100001164</v>
      </c>
      <c r="E1935" s="49">
        <v>45228</v>
      </c>
      <c r="F1935" t="s">
        <v>3026</v>
      </c>
      <c r="G1935" t="s">
        <v>2060</v>
      </c>
      <c r="H1935">
        <v>5</v>
      </c>
      <c r="I1935">
        <v>24.09</v>
      </c>
      <c r="J1935" s="50">
        <v>120.45</v>
      </c>
      <c r="K1935" t="s">
        <v>1632</v>
      </c>
      <c r="M1935" t="s">
        <v>1624</v>
      </c>
      <c r="N1935">
        <v>12.71</v>
      </c>
      <c r="O1935" s="49">
        <v>45231</v>
      </c>
      <c r="P1935" s="50">
        <v>54.202500000000001</v>
      </c>
    </row>
    <row r="1936" spans="4:16" x14ac:dyDescent="0.2">
      <c r="D1936">
        <v>100001164</v>
      </c>
      <c r="E1936" s="49">
        <v>45152</v>
      </c>
      <c r="F1936" t="s">
        <v>3026</v>
      </c>
      <c r="G1936" t="s">
        <v>1789</v>
      </c>
      <c r="H1936">
        <v>7</v>
      </c>
      <c r="I1936">
        <v>99.77</v>
      </c>
      <c r="J1936" s="50">
        <v>698.39</v>
      </c>
      <c r="K1936" t="s">
        <v>1632</v>
      </c>
      <c r="M1936" t="s">
        <v>1627</v>
      </c>
      <c r="N1936">
        <v>52.66</v>
      </c>
      <c r="O1936" s="49">
        <v>45156</v>
      </c>
      <c r="P1936" s="50">
        <v>314.27550000000002</v>
      </c>
    </row>
    <row r="1937" spans="4:16" x14ac:dyDescent="0.2">
      <c r="D1937">
        <v>100001165</v>
      </c>
      <c r="E1937" s="49">
        <v>45013</v>
      </c>
      <c r="F1937" t="s">
        <v>1997</v>
      </c>
      <c r="G1937" t="s">
        <v>2255</v>
      </c>
      <c r="H1937">
        <v>4</v>
      </c>
      <c r="I1937">
        <v>23.48</v>
      </c>
      <c r="J1937" s="50">
        <v>93.92</v>
      </c>
      <c r="K1937" t="s">
        <v>1632</v>
      </c>
      <c r="M1937" t="s">
        <v>1619</v>
      </c>
      <c r="N1937">
        <v>12.39</v>
      </c>
      <c r="O1937" s="49">
        <v>45014</v>
      </c>
      <c r="P1937" s="50">
        <v>42.264000000000003</v>
      </c>
    </row>
    <row r="1938" spans="4:16" x14ac:dyDescent="0.2">
      <c r="D1938">
        <v>100001166</v>
      </c>
      <c r="E1938" s="49">
        <v>44429</v>
      </c>
      <c r="F1938" t="s">
        <v>3027</v>
      </c>
      <c r="G1938" t="s">
        <v>1719</v>
      </c>
      <c r="H1938">
        <v>2</v>
      </c>
      <c r="I1938">
        <v>10.199999999999999</v>
      </c>
      <c r="J1938" s="50">
        <v>20.399999999999999</v>
      </c>
      <c r="K1938" t="s">
        <v>1618</v>
      </c>
      <c r="M1938" t="s">
        <v>1627</v>
      </c>
      <c r="N1938">
        <v>5.38</v>
      </c>
      <c r="O1938" s="49">
        <v>44430</v>
      </c>
      <c r="P1938" s="50">
        <v>9.18</v>
      </c>
    </row>
    <row r="1939" spans="4:16" x14ac:dyDescent="0.2">
      <c r="D1939">
        <v>100001167</v>
      </c>
      <c r="E1939" s="49">
        <v>45238</v>
      </c>
      <c r="F1939" t="s">
        <v>3028</v>
      </c>
      <c r="G1939" t="s">
        <v>1910</v>
      </c>
      <c r="H1939">
        <v>6</v>
      </c>
      <c r="I1939">
        <v>51.5</v>
      </c>
      <c r="J1939" s="50">
        <v>309</v>
      </c>
      <c r="K1939" t="s">
        <v>1618</v>
      </c>
      <c r="M1939" t="s">
        <v>1621</v>
      </c>
      <c r="N1939">
        <v>27.18</v>
      </c>
      <c r="O1939" s="49">
        <v>45239</v>
      </c>
      <c r="P1939" s="50">
        <v>139.05000000000001</v>
      </c>
    </row>
    <row r="1940" spans="4:16" x14ac:dyDescent="0.2">
      <c r="D1940">
        <v>100001169</v>
      </c>
      <c r="E1940" s="49">
        <v>44652</v>
      </c>
      <c r="F1940" t="s">
        <v>3029</v>
      </c>
      <c r="G1940" t="s">
        <v>1880</v>
      </c>
      <c r="H1940">
        <v>7</v>
      </c>
      <c r="I1940">
        <v>57.11</v>
      </c>
      <c r="J1940" s="50">
        <v>399.77</v>
      </c>
      <c r="K1940" t="s">
        <v>1618</v>
      </c>
      <c r="M1940" t="s">
        <v>1629</v>
      </c>
      <c r="N1940">
        <v>30.14</v>
      </c>
      <c r="O1940" s="49">
        <v>44656</v>
      </c>
      <c r="P1940" s="50">
        <v>179.8965</v>
      </c>
    </row>
    <row r="1941" spans="4:16" x14ac:dyDescent="0.2">
      <c r="D1941">
        <v>100001169</v>
      </c>
      <c r="E1941" s="49">
        <v>44661</v>
      </c>
      <c r="F1941" t="s">
        <v>3029</v>
      </c>
      <c r="G1941" t="s">
        <v>1733</v>
      </c>
      <c r="H1941">
        <v>8</v>
      </c>
      <c r="I1941">
        <v>99.47</v>
      </c>
      <c r="J1941" s="50">
        <v>795.76</v>
      </c>
      <c r="K1941" t="s">
        <v>1618</v>
      </c>
      <c r="M1941" t="s">
        <v>1624</v>
      </c>
      <c r="N1941">
        <v>52.5</v>
      </c>
      <c r="O1941" s="49">
        <v>44662</v>
      </c>
      <c r="P1941" s="50">
        <v>358.09199999999998</v>
      </c>
    </row>
    <row r="1942" spans="4:16" x14ac:dyDescent="0.2">
      <c r="D1942">
        <v>100001172</v>
      </c>
      <c r="E1942" s="49">
        <v>45041</v>
      </c>
      <c r="F1942" t="s">
        <v>3030</v>
      </c>
      <c r="G1942" t="s">
        <v>1874</v>
      </c>
      <c r="H1942">
        <v>1</v>
      </c>
      <c r="I1942">
        <v>66.83</v>
      </c>
      <c r="J1942" s="50">
        <v>66.83</v>
      </c>
      <c r="K1942" t="s">
        <v>1618</v>
      </c>
      <c r="M1942" t="s">
        <v>1621</v>
      </c>
      <c r="N1942">
        <v>35.270000000000003</v>
      </c>
      <c r="O1942" s="49">
        <v>45042</v>
      </c>
      <c r="P1942" s="50">
        <v>30.073499999999999</v>
      </c>
    </row>
    <row r="1943" spans="4:16" x14ac:dyDescent="0.2">
      <c r="D1943">
        <v>100001172</v>
      </c>
      <c r="E1943" s="49">
        <v>44554</v>
      </c>
      <c r="F1943" t="s">
        <v>3030</v>
      </c>
      <c r="G1943" t="s">
        <v>2380</v>
      </c>
      <c r="H1943">
        <v>10</v>
      </c>
      <c r="I1943">
        <v>100.98</v>
      </c>
      <c r="J1943" s="50">
        <v>1009.8</v>
      </c>
      <c r="K1943" t="s">
        <v>1618</v>
      </c>
      <c r="M1943" t="s">
        <v>1621</v>
      </c>
      <c r="N1943">
        <v>53.29</v>
      </c>
      <c r="O1943" s="49">
        <v>44557</v>
      </c>
      <c r="P1943" s="50">
        <v>454.40999999999997</v>
      </c>
    </row>
    <row r="1944" spans="4:16" x14ac:dyDescent="0.2">
      <c r="D1944">
        <v>100001173</v>
      </c>
      <c r="E1944" s="49">
        <v>44915</v>
      </c>
      <c r="F1944" t="s">
        <v>3031</v>
      </c>
      <c r="G1944" t="s">
        <v>2390</v>
      </c>
      <c r="H1944">
        <v>9</v>
      </c>
      <c r="I1944">
        <v>76.819999999999993</v>
      </c>
      <c r="J1944" s="50">
        <v>691.37999999999988</v>
      </c>
      <c r="K1944" t="s">
        <v>1632</v>
      </c>
      <c r="M1944" t="s">
        <v>1619</v>
      </c>
      <c r="N1944">
        <v>40.54</v>
      </c>
      <c r="O1944" s="49">
        <v>44919</v>
      </c>
      <c r="P1944" s="50">
        <v>311.12099999999998</v>
      </c>
    </row>
    <row r="1945" spans="4:16" x14ac:dyDescent="0.2">
      <c r="D1945">
        <v>100001173</v>
      </c>
      <c r="E1945" s="49">
        <v>45440</v>
      </c>
      <c r="F1945" t="s">
        <v>3031</v>
      </c>
      <c r="G1945" t="s">
        <v>1866</v>
      </c>
      <c r="H1945">
        <v>9</v>
      </c>
      <c r="I1945">
        <v>28.62</v>
      </c>
      <c r="J1945" s="50">
        <v>257.58</v>
      </c>
      <c r="K1945" t="s">
        <v>1632</v>
      </c>
      <c r="M1945" t="s">
        <v>1629</v>
      </c>
      <c r="N1945">
        <v>15.1</v>
      </c>
      <c r="O1945" s="49">
        <v>45441</v>
      </c>
      <c r="P1945" s="50">
        <v>115.911</v>
      </c>
    </row>
    <row r="1946" spans="4:16" x14ac:dyDescent="0.2">
      <c r="D1946">
        <v>100001173</v>
      </c>
      <c r="E1946" s="49">
        <v>44296</v>
      </c>
      <c r="F1946" t="s">
        <v>3031</v>
      </c>
      <c r="G1946" t="s">
        <v>1704</v>
      </c>
      <c r="H1946">
        <v>4</v>
      </c>
      <c r="I1946">
        <v>10.7</v>
      </c>
      <c r="J1946" s="50">
        <v>42.8</v>
      </c>
      <c r="K1946" t="s">
        <v>1632</v>
      </c>
      <c r="M1946" t="s">
        <v>1629</v>
      </c>
      <c r="N1946">
        <v>5.65</v>
      </c>
      <c r="O1946" s="49">
        <v>44300</v>
      </c>
      <c r="P1946" s="50">
        <v>19.259999999999998</v>
      </c>
    </row>
    <row r="1947" spans="4:16" x14ac:dyDescent="0.2">
      <c r="D1947">
        <v>100001173</v>
      </c>
      <c r="E1947" s="49">
        <v>44405</v>
      </c>
      <c r="F1947" t="s">
        <v>3031</v>
      </c>
      <c r="G1947" t="s">
        <v>1868</v>
      </c>
      <c r="H1947">
        <v>1</v>
      </c>
      <c r="I1947">
        <v>98.08</v>
      </c>
      <c r="J1947" s="50">
        <v>98.08</v>
      </c>
      <c r="K1947" t="s">
        <v>1632</v>
      </c>
      <c r="M1947" t="s">
        <v>1621</v>
      </c>
      <c r="N1947">
        <v>51.76</v>
      </c>
      <c r="O1947" s="49">
        <v>44408</v>
      </c>
      <c r="P1947" s="50">
        <v>44.136000000000003</v>
      </c>
    </row>
    <row r="1948" spans="4:16" x14ac:dyDescent="0.2">
      <c r="D1948">
        <v>100001175</v>
      </c>
      <c r="E1948" s="49">
        <v>44649</v>
      </c>
      <c r="F1948" t="s">
        <v>3032</v>
      </c>
      <c r="G1948" t="s">
        <v>1900</v>
      </c>
      <c r="H1948">
        <v>10</v>
      </c>
      <c r="I1948">
        <v>83.71</v>
      </c>
      <c r="J1948" s="50">
        <v>837.09999999999991</v>
      </c>
      <c r="K1948" t="s">
        <v>1632</v>
      </c>
      <c r="M1948" t="s">
        <v>1619</v>
      </c>
      <c r="N1948">
        <v>44.18</v>
      </c>
      <c r="O1948" s="49">
        <v>44650</v>
      </c>
      <c r="P1948" s="50">
        <v>376.69499999999999</v>
      </c>
    </row>
    <row r="1949" spans="4:16" x14ac:dyDescent="0.2">
      <c r="D1949">
        <v>100001177</v>
      </c>
      <c r="E1949" s="49">
        <v>44304</v>
      </c>
      <c r="F1949" t="s">
        <v>3033</v>
      </c>
      <c r="G1949" t="s">
        <v>2093</v>
      </c>
      <c r="H1949">
        <v>8</v>
      </c>
      <c r="I1949">
        <v>47.79</v>
      </c>
      <c r="J1949" s="50">
        <v>382.32</v>
      </c>
      <c r="K1949" t="s">
        <v>1618</v>
      </c>
      <c r="M1949" t="s">
        <v>1624</v>
      </c>
      <c r="N1949">
        <v>25.22</v>
      </c>
      <c r="O1949" s="49">
        <v>44306</v>
      </c>
      <c r="P1949" s="50">
        <v>172.04400000000001</v>
      </c>
    </row>
    <row r="1950" spans="4:16" x14ac:dyDescent="0.2">
      <c r="D1950">
        <v>100001180</v>
      </c>
      <c r="E1950" s="49">
        <v>44722</v>
      </c>
      <c r="F1950" t="s">
        <v>3034</v>
      </c>
      <c r="G1950" t="s">
        <v>1681</v>
      </c>
      <c r="H1950">
        <v>10</v>
      </c>
      <c r="I1950">
        <v>52.7</v>
      </c>
      <c r="J1950" s="50">
        <v>527</v>
      </c>
      <c r="K1950" t="s">
        <v>1632</v>
      </c>
      <c r="M1950" t="s">
        <v>1624</v>
      </c>
      <c r="N1950">
        <v>27.81</v>
      </c>
      <c r="O1950" s="49">
        <v>44726</v>
      </c>
      <c r="P1950" s="50">
        <v>237.15</v>
      </c>
    </row>
    <row r="1951" spans="4:16" x14ac:dyDescent="0.2">
      <c r="D1951">
        <v>100001181</v>
      </c>
      <c r="E1951" s="49">
        <v>45608</v>
      </c>
      <c r="F1951" t="s">
        <v>3035</v>
      </c>
      <c r="G1951" t="s">
        <v>2585</v>
      </c>
      <c r="H1951">
        <v>8</v>
      </c>
      <c r="I1951">
        <v>51.07</v>
      </c>
      <c r="J1951" s="50">
        <v>408.56</v>
      </c>
      <c r="K1951" t="s">
        <v>1632</v>
      </c>
      <c r="L1951" t="s">
        <v>3036</v>
      </c>
      <c r="M1951" t="s">
        <v>1621</v>
      </c>
      <c r="N1951">
        <v>26.95</v>
      </c>
      <c r="O1951" s="49">
        <v>45610</v>
      </c>
      <c r="P1951" s="50">
        <v>183.852</v>
      </c>
    </row>
    <row r="1952" spans="4:16" x14ac:dyDescent="0.2">
      <c r="D1952">
        <v>100001181</v>
      </c>
      <c r="E1952" s="49">
        <v>44731</v>
      </c>
      <c r="F1952" t="s">
        <v>3035</v>
      </c>
      <c r="G1952" t="s">
        <v>1939</v>
      </c>
      <c r="H1952">
        <v>8</v>
      </c>
      <c r="I1952">
        <v>17.62</v>
      </c>
      <c r="J1952" s="50">
        <v>140.96</v>
      </c>
      <c r="K1952" t="s">
        <v>1632</v>
      </c>
      <c r="L1952" t="s">
        <v>3036</v>
      </c>
      <c r="M1952" t="s">
        <v>1624</v>
      </c>
      <c r="N1952">
        <v>9.3000000000000007</v>
      </c>
      <c r="O1952" s="49">
        <v>44734</v>
      </c>
      <c r="P1952" s="50">
        <v>63.432000000000002</v>
      </c>
    </row>
    <row r="1953" spans="4:16" x14ac:dyDescent="0.2">
      <c r="D1953">
        <v>100001181</v>
      </c>
      <c r="E1953" s="49">
        <v>44779</v>
      </c>
      <c r="F1953" t="s">
        <v>3035</v>
      </c>
      <c r="G1953" t="s">
        <v>2071</v>
      </c>
      <c r="H1953">
        <v>6</v>
      </c>
      <c r="I1953">
        <v>55.09</v>
      </c>
      <c r="J1953" s="50">
        <v>330.54</v>
      </c>
      <c r="K1953" t="s">
        <v>1632</v>
      </c>
      <c r="L1953" t="s">
        <v>3036</v>
      </c>
      <c r="M1953" t="s">
        <v>1627</v>
      </c>
      <c r="N1953">
        <v>29.08</v>
      </c>
      <c r="O1953" s="49">
        <v>44784</v>
      </c>
      <c r="P1953" s="50">
        <v>148.74300000000002</v>
      </c>
    </row>
    <row r="1954" spans="4:16" x14ac:dyDescent="0.2">
      <c r="D1954">
        <v>100001182</v>
      </c>
      <c r="E1954" s="49">
        <v>44223</v>
      </c>
      <c r="F1954" t="s">
        <v>3037</v>
      </c>
      <c r="G1954" t="s">
        <v>1715</v>
      </c>
      <c r="H1954">
        <v>5</v>
      </c>
      <c r="I1954">
        <v>56.58</v>
      </c>
      <c r="J1954" s="50">
        <v>282.89999999999998</v>
      </c>
      <c r="K1954" t="s">
        <v>1618</v>
      </c>
      <c r="L1954" t="s">
        <v>2298</v>
      </c>
      <c r="M1954" t="s">
        <v>1629</v>
      </c>
      <c r="N1954">
        <v>29.86</v>
      </c>
      <c r="O1954" s="49">
        <v>44225</v>
      </c>
      <c r="P1954" s="50">
        <v>127.30499999999999</v>
      </c>
    </row>
    <row r="1955" spans="4:16" x14ac:dyDescent="0.2">
      <c r="D1955">
        <v>100001183</v>
      </c>
      <c r="E1955" s="49">
        <v>45541</v>
      </c>
      <c r="F1955" t="s">
        <v>3038</v>
      </c>
      <c r="G1955" t="s">
        <v>1623</v>
      </c>
      <c r="H1955">
        <v>10</v>
      </c>
      <c r="I1955">
        <v>47.07</v>
      </c>
      <c r="J1955" s="50">
        <v>470.7</v>
      </c>
      <c r="K1955" t="s">
        <v>1618</v>
      </c>
      <c r="M1955" t="s">
        <v>1627</v>
      </c>
      <c r="N1955">
        <v>24.84</v>
      </c>
      <c r="O1955" s="49">
        <v>45542</v>
      </c>
      <c r="P1955" s="50">
        <v>211.815</v>
      </c>
    </row>
    <row r="1956" spans="4:16" x14ac:dyDescent="0.2">
      <c r="D1956">
        <v>100001183</v>
      </c>
      <c r="E1956" s="49">
        <v>45596</v>
      </c>
      <c r="F1956" t="s">
        <v>3038</v>
      </c>
      <c r="G1956" t="s">
        <v>1653</v>
      </c>
      <c r="H1956">
        <v>2</v>
      </c>
      <c r="I1956">
        <v>95.55</v>
      </c>
      <c r="J1956" s="50">
        <v>191.1</v>
      </c>
      <c r="K1956" t="s">
        <v>1618</v>
      </c>
      <c r="M1956" t="s">
        <v>1629</v>
      </c>
      <c r="N1956">
        <v>50.43</v>
      </c>
      <c r="O1956" s="49">
        <v>45601</v>
      </c>
      <c r="P1956" s="50">
        <v>85.995000000000005</v>
      </c>
    </row>
    <row r="1957" spans="4:16" x14ac:dyDescent="0.2">
      <c r="D1957">
        <v>100001183</v>
      </c>
      <c r="E1957" s="49">
        <v>44885</v>
      </c>
      <c r="F1957" t="s">
        <v>3038</v>
      </c>
      <c r="G1957" t="s">
        <v>1691</v>
      </c>
      <c r="H1957">
        <v>3</v>
      </c>
      <c r="I1957">
        <v>75.760000000000005</v>
      </c>
      <c r="J1957" s="50">
        <v>227.28</v>
      </c>
      <c r="K1957" t="s">
        <v>1618</v>
      </c>
      <c r="M1957" t="s">
        <v>1624</v>
      </c>
      <c r="N1957">
        <v>39.979999999999997</v>
      </c>
      <c r="O1957" s="49">
        <v>44890</v>
      </c>
      <c r="P1957" s="50">
        <v>102.276</v>
      </c>
    </row>
    <row r="1958" spans="4:16" x14ac:dyDescent="0.2">
      <c r="D1958">
        <v>100001186</v>
      </c>
      <c r="E1958" s="49">
        <v>44210</v>
      </c>
      <c r="F1958" t="s">
        <v>3039</v>
      </c>
      <c r="G1958" t="s">
        <v>1729</v>
      </c>
      <c r="H1958">
        <v>1</v>
      </c>
      <c r="I1958">
        <v>105.38</v>
      </c>
      <c r="J1958" s="50">
        <v>105.38</v>
      </c>
      <c r="K1958" t="s">
        <v>1632</v>
      </c>
      <c r="L1958" t="s">
        <v>3040</v>
      </c>
      <c r="M1958" t="s">
        <v>1624</v>
      </c>
      <c r="N1958">
        <v>55.62</v>
      </c>
      <c r="O1958" s="49">
        <v>44214</v>
      </c>
      <c r="P1958" s="50">
        <v>47.420999999999999</v>
      </c>
    </row>
    <row r="1959" spans="4:16" x14ac:dyDescent="0.2">
      <c r="D1959">
        <v>100001187</v>
      </c>
      <c r="E1959" s="49">
        <v>45272</v>
      </c>
      <c r="F1959" t="s">
        <v>3041</v>
      </c>
      <c r="G1959" t="s">
        <v>2136</v>
      </c>
      <c r="H1959">
        <v>5</v>
      </c>
      <c r="I1959">
        <v>85.1</v>
      </c>
      <c r="J1959" s="50">
        <v>425.5</v>
      </c>
      <c r="K1959" t="s">
        <v>1632</v>
      </c>
      <c r="L1959" t="s">
        <v>3042</v>
      </c>
      <c r="M1959" t="s">
        <v>1621</v>
      </c>
      <c r="N1959">
        <v>44.91</v>
      </c>
      <c r="O1959" s="49">
        <v>45273</v>
      </c>
      <c r="P1959" s="50">
        <v>191.47499999999999</v>
      </c>
    </row>
    <row r="1960" spans="4:16" x14ac:dyDescent="0.2">
      <c r="D1960">
        <v>100001187</v>
      </c>
      <c r="E1960" s="49">
        <v>45211</v>
      </c>
      <c r="F1960" t="s">
        <v>3041</v>
      </c>
      <c r="G1960" t="s">
        <v>1676</v>
      </c>
      <c r="H1960">
        <v>2</v>
      </c>
      <c r="I1960">
        <v>30.14</v>
      </c>
      <c r="J1960" s="50">
        <v>60.28</v>
      </c>
      <c r="K1960" t="s">
        <v>1632</v>
      </c>
      <c r="L1960" t="s">
        <v>3042</v>
      </c>
      <c r="M1960" t="s">
        <v>1619</v>
      </c>
      <c r="N1960">
        <v>15.91</v>
      </c>
      <c r="O1960" s="49">
        <v>45212</v>
      </c>
      <c r="P1960" s="50">
        <v>27.126000000000001</v>
      </c>
    </row>
    <row r="1961" spans="4:16" x14ac:dyDescent="0.2">
      <c r="D1961">
        <v>100001187</v>
      </c>
      <c r="E1961" s="49">
        <v>44588</v>
      </c>
      <c r="F1961" t="s">
        <v>3041</v>
      </c>
      <c r="G1961" t="s">
        <v>1963</v>
      </c>
      <c r="H1961">
        <v>1</v>
      </c>
      <c r="I1961">
        <v>56.6</v>
      </c>
      <c r="J1961" s="50">
        <v>56.6</v>
      </c>
      <c r="K1961" t="s">
        <v>1632</v>
      </c>
      <c r="L1961" t="s">
        <v>3042</v>
      </c>
      <c r="M1961" t="s">
        <v>1619</v>
      </c>
      <c r="N1961">
        <v>29.87</v>
      </c>
      <c r="O1961" s="49">
        <v>44591</v>
      </c>
      <c r="P1961" s="50">
        <v>25.470000000000002</v>
      </c>
    </row>
    <row r="1962" spans="4:16" x14ac:dyDescent="0.2">
      <c r="D1962">
        <v>100001188</v>
      </c>
      <c r="E1962" s="49">
        <v>45495</v>
      </c>
      <c r="F1962" t="s">
        <v>3043</v>
      </c>
      <c r="G1962" t="s">
        <v>2328</v>
      </c>
      <c r="H1962">
        <v>1</v>
      </c>
      <c r="I1962">
        <v>56.74</v>
      </c>
      <c r="J1962" s="50">
        <v>56.74</v>
      </c>
      <c r="K1962" t="s">
        <v>1632</v>
      </c>
      <c r="M1962" t="s">
        <v>1624</v>
      </c>
      <c r="N1962">
        <v>29.95</v>
      </c>
      <c r="O1962" s="49">
        <v>45498</v>
      </c>
      <c r="P1962" s="50">
        <v>25.533000000000001</v>
      </c>
    </row>
    <row r="1963" spans="4:16" x14ac:dyDescent="0.2">
      <c r="D1963">
        <v>100001190</v>
      </c>
      <c r="E1963" s="49">
        <v>44878</v>
      </c>
      <c r="F1963" t="s">
        <v>3044</v>
      </c>
      <c r="G1963" t="s">
        <v>1963</v>
      </c>
      <c r="H1963">
        <v>9</v>
      </c>
      <c r="I1963">
        <v>103.21</v>
      </c>
      <c r="J1963" s="50">
        <v>928.89</v>
      </c>
      <c r="K1963" t="s">
        <v>1618</v>
      </c>
      <c r="M1963" t="s">
        <v>1619</v>
      </c>
      <c r="N1963">
        <v>54.47</v>
      </c>
      <c r="O1963" s="49">
        <v>44882</v>
      </c>
      <c r="P1963" s="50">
        <v>418.00049999999999</v>
      </c>
    </row>
    <row r="1964" spans="4:16" x14ac:dyDescent="0.2">
      <c r="D1964">
        <v>100001190</v>
      </c>
      <c r="E1964" s="49">
        <v>45592</v>
      </c>
      <c r="F1964" t="s">
        <v>3044</v>
      </c>
      <c r="G1964" t="s">
        <v>2068</v>
      </c>
      <c r="H1964">
        <v>4</v>
      </c>
      <c r="I1964">
        <v>72.3</v>
      </c>
      <c r="J1964" s="50">
        <v>289.2</v>
      </c>
      <c r="K1964" t="s">
        <v>1618</v>
      </c>
      <c r="M1964" t="s">
        <v>1629</v>
      </c>
      <c r="N1964">
        <v>38.159999999999997</v>
      </c>
      <c r="O1964" s="49">
        <v>45597</v>
      </c>
      <c r="P1964" s="50">
        <v>130.13999999999999</v>
      </c>
    </row>
    <row r="1965" spans="4:16" x14ac:dyDescent="0.2">
      <c r="D1965">
        <v>100001193</v>
      </c>
      <c r="E1965" s="49">
        <v>45132</v>
      </c>
      <c r="F1965" t="s">
        <v>3045</v>
      </c>
      <c r="G1965" t="s">
        <v>1710</v>
      </c>
      <c r="H1965">
        <v>9</v>
      </c>
      <c r="I1965">
        <v>32.11</v>
      </c>
      <c r="J1965" s="50">
        <v>288.99</v>
      </c>
      <c r="K1965" t="s">
        <v>1618</v>
      </c>
      <c r="L1965" t="s">
        <v>3046</v>
      </c>
      <c r="M1965" t="s">
        <v>1627</v>
      </c>
      <c r="N1965">
        <v>16.95</v>
      </c>
      <c r="O1965" s="49">
        <v>45137</v>
      </c>
      <c r="P1965" s="50">
        <v>130.0455</v>
      </c>
    </row>
    <row r="1966" spans="4:16" x14ac:dyDescent="0.2">
      <c r="D1966">
        <v>100001193</v>
      </c>
      <c r="E1966" s="49">
        <v>44263</v>
      </c>
      <c r="F1966" t="s">
        <v>3045</v>
      </c>
      <c r="G1966" t="s">
        <v>1699</v>
      </c>
      <c r="H1966">
        <v>8</v>
      </c>
      <c r="I1966">
        <v>82.56</v>
      </c>
      <c r="J1966" s="50">
        <v>660.48</v>
      </c>
      <c r="K1966" t="s">
        <v>1618</v>
      </c>
      <c r="L1966" t="s">
        <v>3046</v>
      </c>
      <c r="M1966" t="s">
        <v>1629</v>
      </c>
      <c r="N1966">
        <v>43.57</v>
      </c>
      <c r="O1966" s="49">
        <v>44264</v>
      </c>
      <c r="P1966" s="50">
        <v>297.21600000000001</v>
      </c>
    </row>
    <row r="1967" spans="4:16" x14ac:dyDescent="0.2">
      <c r="D1967">
        <v>100001194</v>
      </c>
      <c r="E1967" s="49">
        <v>44893</v>
      </c>
      <c r="F1967" t="s">
        <v>3047</v>
      </c>
      <c r="G1967" t="s">
        <v>2581</v>
      </c>
      <c r="H1967">
        <v>6</v>
      </c>
      <c r="I1967">
        <v>11.6</v>
      </c>
      <c r="J1967" s="50">
        <v>69.599999999999994</v>
      </c>
      <c r="K1967" t="s">
        <v>1632</v>
      </c>
      <c r="M1967" t="s">
        <v>1627</v>
      </c>
      <c r="N1967">
        <v>6.12</v>
      </c>
      <c r="O1967" s="49">
        <v>44896</v>
      </c>
      <c r="P1967" s="50">
        <v>31.319999999999997</v>
      </c>
    </row>
    <row r="1968" spans="4:16" x14ac:dyDescent="0.2">
      <c r="D1968">
        <v>100001194</v>
      </c>
      <c r="E1968" s="49">
        <v>45034</v>
      </c>
      <c r="F1968" t="s">
        <v>3047</v>
      </c>
      <c r="G1968" t="s">
        <v>2180</v>
      </c>
      <c r="H1968">
        <v>7</v>
      </c>
      <c r="I1968">
        <v>118.63</v>
      </c>
      <c r="J1968" s="50">
        <v>830.41</v>
      </c>
      <c r="K1968" t="s">
        <v>1632</v>
      </c>
      <c r="M1968" t="s">
        <v>1627</v>
      </c>
      <c r="N1968">
        <v>62.61</v>
      </c>
      <c r="O1968" s="49">
        <v>45035</v>
      </c>
      <c r="P1968" s="50">
        <v>373.68450000000001</v>
      </c>
    </row>
    <row r="1969" spans="4:16" x14ac:dyDescent="0.2">
      <c r="D1969">
        <v>100001194</v>
      </c>
      <c r="E1969" s="49">
        <v>44528</v>
      </c>
      <c r="F1969" t="s">
        <v>3047</v>
      </c>
      <c r="G1969" t="s">
        <v>2217</v>
      </c>
      <c r="H1969">
        <v>8</v>
      </c>
      <c r="I1969">
        <v>15.87</v>
      </c>
      <c r="J1969" s="50">
        <v>126.96</v>
      </c>
      <c r="K1969" t="s">
        <v>1632</v>
      </c>
      <c r="M1969" t="s">
        <v>1627</v>
      </c>
      <c r="N1969">
        <v>8.3800000000000008</v>
      </c>
      <c r="O1969" s="49">
        <v>44529</v>
      </c>
      <c r="P1969" s="50">
        <v>57.131999999999998</v>
      </c>
    </row>
    <row r="1970" spans="4:16" x14ac:dyDescent="0.2">
      <c r="D1970">
        <v>100001195</v>
      </c>
      <c r="E1970" s="49">
        <v>44358</v>
      </c>
      <c r="F1970" t="s">
        <v>3048</v>
      </c>
      <c r="G1970" t="s">
        <v>2005</v>
      </c>
      <c r="H1970">
        <v>3</v>
      </c>
      <c r="I1970">
        <v>49.11</v>
      </c>
      <c r="J1970" s="50">
        <v>147.33000000000001</v>
      </c>
      <c r="K1970" t="s">
        <v>1618</v>
      </c>
      <c r="M1970" t="s">
        <v>1624</v>
      </c>
      <c r="N1970">
        <v>25.92</v>
      </c>
      <c r="O1970" s="49">
        <v>44361</v>
      </c>
      <c r="P1970" s="50">
        <v>66.298500000000004</v>
      </c>
    </row>
    <row r="1971" spans="4:16" x14ac:dyDescent="0.2">
      <c r="D1971">
        <v>100001196</v>
      </c>
      <c r="E1971" s="49">
        <v>44306</v>
      </c>
      <c r="F1971" t="s">
        <v>3049</v>
      </c>
      <c r="G1971" t="s">
        <v>2213</v>
      </c>
      <c r="H1971">
        <v>1</v>
      </c>
      <c r="I1971">
        <v>44.23</v>
      </c>
      <c r="J1971" s="50">
        <v>44.23</v>
      </c>
      <c r="K1971" t="s">
        <v>1618</v>
      </c>
      <c r="L1971" t="s">
        <v>3050</v>
      </c>
      <c r="M1971" t="s">
        <v>1629</v>
      </c>
      <c r="N1971">
        <v>23.34</v>
      </c>
      <c r="O1971" s="49">
        <v>44310</v>
      </c>
      <c r="P1971" s="50">
        <v>19.903499999999998</v>
      </c>
    </row>
    <row r="1972" spans="4:16" x14ac:dyDescent="0.2">
      <c r="D1972">
        <v>100001196</v>
      </c>
      <c r="E1972" s="49">
        <v>45474</v>
      </c>
      <c r="F1972" t="s">
        <v>3049</v>
      </c>
      <c r="G1972" t="s">
        <v>2427</v>
      </c>
      <c r="H1972">
        <v>4</v>
      </c>
      <c r="I1972">
        <v>20.48</v>
      </c>
      <c r="J1972" s="50">
        <v>81.92</v>
      </c>
      <c r="K1972" t="s">
        <v>1618</v>
      </c>
      <c r="L1972" t="s">
        <v>3050</v>
      </c>
      <c r="M1972" t="s">
        <v>1627</v>
      </c>
      <c r="N1972">
        <v>10.81</v>
      </c>
      <c r="O1972" s="49">
        <v>45476</v>
      </c>
      <c r="P1972" s="50">
        <v>36.864000000000004</v>
      </c>
    </row>
    <row r="1973" spans="4:16" x14ac:dyDescent="0.2">
      <c r="D1973">
        <v>100001197</v>
      </c>
      <c r="E1973" s="49">
        <v>44212</v>
      </c>
      <c r="F1973" t="s">
        <v>3051</v>
      </c>
      <c r="G1973" t="s">
        <v>2174</v>
      </c>
      <c r="H1973">
        <v>2</v>
      </c>
      <c r="I1973">
        <v>76.91</v>
      </c>
      <c r="J1973" s="50">
        <v>153.82</v>
      </c>
      <c r="K1973" t="s">
        <v>1618</v>
      </c>
      <c r="M1973" t="s">
        <v>1621</v>
      </c>
      <c r="N1973">
        <v>40.590000000000003</v>
      </c>
      <c r="O1973" s="49">
        <v>44215</v>
      </c>
      <c r="P1973" s="50">
        <v>69.218999999999994</v>
      </c>
    </row>
    <row r="1974" spans="4:16" x14ac:dyDescent="0.2">
      <c r="D1974">
        <v>100001197</v>
      </c>
      <c r="E1974" s="49">
        <v>45435</v>
      </c>
      <c r="F1974" t="s">
        <v>3051</v>
      </c>
      <c r="G1974" t="s">
        <v>1666</v>
      </c>
      <c r="H1974">
        <v>9</v>
      </c>
      <c r="I1974">
        <v>115.84</v>
      </c>
      <c r="J1974" s="50">
        <v>1042.56</v>
      </c>
      <c r="K1974" t="s">
        <v>1618</v>
      </c>
      <c r="M1974" t="s">
        <v>1619</v>
      </c>
      <c r="N1974">
        <v>61.14</v>
      </c>
      <c r="O1974" s="49">
        <v>45439</v>
      </c>
      <c r="P1974" s="50">
        <v>469.15199999999999</v>
      </c>
    </row>
    <row r="1975" spans="4:16" x14ac:dyDescent="0.2">
      <c r="D1975">
        <v>100001197</v>
      </c>
      <c r="E1975" s="49">
        <v>45545</v>
      </c>
      <c r="F1975" t="s">
        <v>3051</v>
      </c>
      <c r="G1975" t="s">
        <v>2065</v>
      </c>
      <c r="H1975">
        <v>8</v>
      </c>
      <c r="I1975">
        <v>72.56</v>
      </c>
      <c r="J1975" s="50">
        <v>580.48</v>
      </c>
      <c r="K1975" t="s">
        <v>1618</v>
      </c>
      <c r="M1975" t="s">
        <v>1619</v>
      </c>
      <c r="N1975">
        <v>38.299999999999997</v>
      </c>
      <c r="O1975" s="49">
        <v>45546</v>
      </c>
      <c r="P1975" s="50">
        <v>261.21600000000001</v>
      </c>
    </row>
    <row r="1976" spans="4:16" x14ac:dyDescent="0.2">
      <c r="D1976">
        <v>100001197</v>
      </c>
      <c r="E1976" s="49">
        <v>45060</v>
      </c>
      <c r="F1976" t="s">
        <v>3051</v>
      </c>
      <c r="G1976" t="s">
        <v>1947</v>
      </c>
      <c r="H1976">
        <v>8</v>
      </c>
      <c r="I1976">
        <v>105.53</v>
      </c>
      <c r="J1976" s="50">
        <v>844.24</v>
      </c>
      <c r="K1976" t="s">
        <v>1618</v>
      </c>
      <c r="M1976" t="s">
        <v>1627</v>
      </c>
      <c r="N1976">
        <v>55.7</v>
      </c>
      <c r="O1976" s="49">
        <v>45061</v>
      </c>
      <c r="P1976" s="50">
        <v>379.90800000000002</v>
      </c>
    </row>
    <row r="1977" spans="4:16" x14ac:dyDescent="0.2">
      <c r="D1977">
        <v>100001198</v>
      </c>
      <c r="E1977" s="49">
        <v>44568</v>
      </c>
      <c r="F1977" t="s">
        <v>3052</v>
      </c>
      <c r="G1977" t="s">
        <v>2301</v>
      </c>
      <c r="H1977">
        <v>7</v>
      </c>
      <c r="I1977">
        <v>29.95</v>
      </c>
      <c r="J1977" s="50">
        <v>209.65</v>
      </c>
      <c r="K1977" t="s">
        <v>1618</v>
      </c>
      <c r="M1977" t="s">
        <v>1619</v>
      </c>
      <c r="N1977">
        <v>15.81</v>
      </c>
      <c r="O1977" s="49">
        <v>44571</v>
      </c>
      <c r="P1977" s="50">
        <v>94.342500000000001</v>
      </c>
    </row>
    <row r="1978" spans="4:16" x14ac:dyDescent="0.2">
      <c r="D1978">
        <v>100001199</v>
      </c>
      <c r="E1978" s="49">
        <v>44539</v>
      </c>
      <c r="F1978" t="s">
        <v>3053</v>
      </c>
      <c r="G1978" t="s">
        <v>2733</v>
      </c>
      <c r="H1978">
        <v>10</v>
      </c>
      <c r="I1978">
        <v>118.37</v>
      </c>
      <c r="J1978" s="50">
        <v>1183.7</v>
      </c>
      <c r="K1978" t="s">
        <v>1618</v>
      </c>
      <c r="M1978" t="s">
        <v>1629</v>
      </c>
      <c r="N1978">
        <v>62.47</v>
      </c>
      <c r="O1978" s="49">
        <v>44543</v>
      </c>
      <c r="P1978" s="50">
        <v>532.66500000000008</v>
      </c>
    </row>
    <row r="1979" spans="4:16" x14ac:dyDescent="0.2">
      <c r="D1979">
        <v>100001200</v>
      </c>
      <c r="E1979" s="49">
        <v>44520</v>
      </c>
      <c r="F1979" t="s">
        <v>3054</v>
      </c>
      <c r="G1979" t="s">
        <v>2213</v>
      </c>
      <c r="H1979">
        <v>7</v>
      </c>
      <c r="I1979">
        <v>62.5</v>
      </c>
      <c r="J1979" s="50">
        <v>437.5</v>
      </c>
      <c r="K1979" t="s">
        <v>1618</v>
      </c>
      <c r="M1979" t="s">
        <v>1627</v>
      </c>
      <c r="N1979">
        <v>32.99</v>
      </c>
      <c r="O1979" s="49">
        <v>44521</v>
      </c>
      <c r="P1979" s="50">
        <v>196.875</v>
      </c>
    </row>
    <row r="1980" spans="4:16" x14ac:dyDescent="0.2">
      <c r="D1980">
        <v>100001201</v>
      </c>
      <c r="E1980" s="49">
        <v>45626</v>
      </c>
      <c r="F1980" t="s">
        <v>3055</v>
      </c>
      <c r="G1980" t="s">
        <v>2039</v>
      </c>
      <c r="H1980">
        <v>9</v>
      </c>
      <c r="I1980">
        <v>34.78</v>
      </c>
      <c r="J1980" s="50">
        <v>313.02</v>
      </c>
      <c r="K1980" t="s">
        <v>1618</v>
      </c>
      <c r="M1980" t="s">
        <v>1629</v>
      </c>
      <c r="N1980">
        <v>18.36</v>
      </c>
      <c r="O1980" s="49">
        <v>45630</v>
      </c>
      <c r="P1980" s="50">
        <v>140.85900000000001</v>
      </c>
    </row>
    <row r="1981" spans="4:16" x14ac:dyDescent="0.2">
      <c r="D1981">
        <v>100001203</v>
      </c>
      <c r="E1981" s="49">
        <v>45150</v>
      </c>
      <c r="F1981" t="s">
        <v>3056</v>
      </c>
      <c r="G1981" t="s">
        <v>1756</v>
      </c>
      <c r="H1981">
        <v>10</v>
      </c>
      <c r="I1981">
        <v>99.5</v>
      </c>
      <c r="J1981" s="50">
        <v>995</v>
      </c>
      <c r="K1981" t="s">
        <v>1632</v>
      </c>
      <c r="L1981" t="s">
        <v>2176</v>
      </c>
      <c r="M1981" t="s">
        <v>1629</v>
      </c>
      <c r="N1981">
        <v>52.51</v>
      </c>
      <c r="O1981" s="49">
        <v>45155</v>
      </c>
      <c r="P1981" s="50">
        <v>447.75</v>
      </c>
    </row>
    <row r="1982" spans="4:16" x14ac:dyDescent="0.2">
      <c r="D1982">
        <v>100001204</v>
      </c>
      <c r="E1982" s="49">
        <v>44274</v>
      </c>
      <c r="F1982" t="s">
        <v>3057</v>
      </c>
      <c r="G1982" t="s">
        <v>1921</v>
      </c>
      <c r="H1982">
        <v>4</v>
      </c>
      <c r="I1982">
        <v>33.54</v>
      </c>
      <c r="J1982" s="50">
        <v>134.16</v>
      </c>
      <c r="K1982" t="s">
        <v>1632</v>
      </c>
      <c r="M1982" t="s">
        <v>1627</v>
      </c>
      <c r="N1982">
        <v>17.7</v>
      </c>
      <c r="O1982" s="49">
        <v>44279</v>
      </c>
      <c r="P1982" s="50">
        <v>60.372</v>
      </c>
    </row>
    <row r="1983" spans="4:16" x14ac:dyDescent="0.2">
      <c r="D1983">
        <v>100001205</v>
      </c>
      <c r="E1983" s="49">
        <v>44778</v>
      </c>
      <c r="F1983" t="s">
        <v>3058</v>
      </c>
      <c r="G1983" t="s">
        <v>1866</v>
      </c>
      <c r="H1983">
        <v>9</v>
      </c>
      <c r="I1983">
        <v>37.619999999999997</v>
      </c>
      <c r="J1983" s="50">
        <v>338.58</v>
      </c>
      <c r="K1983" t="s">
        <v>1632</v>
      </c>
      <c r="M1983" t="s">
        <v>1619</v>
      </c>
      <c r="N1983">
        <v>19.850000000000001</v>
      </c>
      <c r="O1983" s="49">
        <v>44783</v>
      </c>
      <c r="P1983" s="50">
        <v>152.36099999999999</v>
      </c>
    </row>
    <row r="1984" spans="4:16" x14ac:dyDescent="0.2">
      <c r="D1984">
        <v>100001205</v>
      </c>
      <c r="E1984" s="49">
        <v>44422</v>
      </c>
      <c r="F1984" t="s">
        <v>3058</v>
      </c>
      <c r="G1984" t="s">
        <v>2230</v>
      </c>
      <c r="H1984">
        <v>4</v>
      </c>
      <c r="I1984">
        <v>29.84</v>
      </c>
      <c r="J1984" s="50">
        <v>119.36</v>
      </c>
      <c r="K1984" t="s">
        <v>1632</v>
      </c>
      <c r="M1984" t="s">
        <v>1621</v>
      </c>
      <c r="N1984">
        <v>15.75</v>
      </c>
      <c r="O1984" s="49">
        <v>44424</v>
      </c>
      <c r="P1984" s="50">
        <v>53.712000000000003</v>
      </c>
    </row>
    <row r="1985" spans="4:16" x14ac:dyDescent="0.2">
      <c r="D1985">
        <v>100001206</v>
      </c>
      <c r="E1985" s="49">
        <v>44902</v>
      </c>
      <c r="F1985" t="s">
        <v>3059</v>
      </c>
      <c r="G1985" t="s">
        <v>1626</v>
      </c>
      <c r="H1985">
        <v>8</v>
      </c>
      <c r="I1985">
        <v>52.83</v>
      </c>
      <c r="J1985" s="50">
        <v>422.64</v>
      </c>
      <c r="K1985" t="s">
        <v>1632</v>
      </c>
      <c r="M1985" t="s">
        <v>1629</v>
      </c>
      <c r="N1985">
        <v>27.88</v>
      </c>
      <c r="O1985" s="49">
        <v>44903</v>
      </c>
      <c r="P1985" s="50">
        <v>190.18799999999999</v>
      </c>
    </row>
    <row r="1986" spans="4:16" x14ac:dyDescent="0.2">
      <c r="D1986">
        <v>100001206</v>
      </c>
      <c r="E1986" s="49">
        <v>44520</v>
      </c>
      <c r="F1986" t="s">
        <v>3059</v>
      </c>
      <c r="G1986" t="s">
        <v>2145</v>
      </c>
      <c r="H1986">
        <v>10</v>
      </c>
      <c r="I1986">
        <v>17.510000000000002</v>
      </c>
      <c r="J1986" s="50">
        <v>175.1</v>
      </c>
      <c r="K1986" t="s">
        <v>1632</v>
      </c>
      <c r="M1986" t="s">
        <v>1624</v>
      </c>
      <c r="N1986">
        <v>9.24</v>
      </c>
      <c r="O1986" s="49">
        <v>44523</v>
      </c>
      <c r="P1986" s="50">
        <v>78.795000000000002</v>
      </c>
    </row>
    <row r="1987" spans="4:16" x14ac:dyDescent="0.2">
      <c r="D1987">
        <v>100001206</v>
      </c>
      <c r="E1987" s="49">
        <v>44980</v>
      </c>
      <c r="F1987" t="s">
        <v>3059</v>
      </c>
      <c r="G1987" t="s">
        <v>2090</v>
      </c>
      <c r="H1987">
        <v>6</v>
      </c>
      <c r="I1987">
        <v>53.73</v>
      </c>
      <c r="J1987" s="50">
        <v>322.38</v>
      </c>
      <c r="K1987" t="s">
        <v>1632</v>
      </c>
      <c r="M1987" t="s">
        <v>1621</v>
      </c>
      <c r="N1987">
        <v>28.36</v>
      </c>
      <c r="O1987" s="49">
        <v>44983</v>
      </c>
      <c r="P1987" s="50">
        <v>145.071</v>
      </c>
    </row>
    <row r="1988" spans="4:16" x14ac:dyDescent="0.2">
      <c r="D1988">
        <v>100001207</v>
      </c>
      <c r="E1988" s="49">
        <v>45379</v>
      </c>
      <c r="F1988" t="s">
        <v>3060</v>
      </c>
      <c r="G1988" t="s">
        <v>1943</v>
      </c>
      <c r="H1988">
        <v>2</v>
      </c>
      <c r="I1988">
        <v>10.85</v>
      </c>
      <c r="J1988" s="50">
        <v>21.7</v>
      </c>
      <c r="K1988" t="s">
        <v>1618</v>
      </c>
      <c r="L1988" t="s">
        <v>3061</v>
      </c>
      <c r="M1988" t="s">
        <v>1629</v>
      </c>
      <c r="N1988">
        <v>5.73</v>
      </c>
      <c r="O1988" s="49">
        <v>45382</v>
      </c>
      <c r="P1988" s="50">
        <v>9.7650000000000006</v>
      </c>
    </row>
    <row r="1989" spans="4:16" x14ac:dyDescent="0.2">
      <c r="D1989">
        <v>100001207</v>
      </c>
      <c r="E1989" s="49">
        <v>44333</v>
      </c>
      <c r="F1989" t="s">
        <v>3060</v>
      </c>
      <c r="G1989" t="s">
        <v>1712</v>
      </c>
      <c r="H1989">
        <v>2</v>
      </c>
      <c r="I1989">
        <v>96.22</v>
      </c>
      <c r="J1989" s="50">
        <v>192.44</v>
      </c>
      <c r="K1989" t="s">
        <v>1618</v>
      </c>
      <c r="L1989" t="s">
        <v>3061</v>
      </c>
      <c r="M1989" t="s">
        <v>1627</v>
      </c>
      <c r="N1989">
        <v>50.78</v>
      </c>
      <c r="O1989" s="49">
        <v>44338</v>
      </c>
      <c r="P1989" s="50">
        <v>86.597999999999999</v>
      </c>
    </row>
    <row r="1990" spans="4:16" x14ac:dyDescent="0.2">
      <c r="D1990">
        <v>100001207</v>
      </c>
      <c r="E1990" s="49">
        <v>45161</v>
      </c>
      <c r="F1990" t="s">
        <v>3060</v>
      </c>
      <c r="G1990" t="s">
        <v>2003</v>
      </c>
      <c r="H1990">
        <v>10</v>
      </c>
      <c r="I1990">
        <v>33.79</v>
      </c>
      <c r="J1990" s="50">
        <v>337.9</v>
      </c>
      <c r="K1990" t="s">
        <v>1618</v>
      </c>
      <c r="L1990" t="s">
        <v>3061</v>
      </c>
      <c r="M1990" t="s">
        <v>1621</v>
      </c>
      <c r="N1990">
        <v>17.829999999999998</v>
      </c>
      <c r="O1990" s="49">
        <v>45164</v>
      </c>
      <c r="P1990" s="50">
        <v>152.05500000000001</v>
      </c>
    </row>
    <row r="1991" spans="4:16" x14ac:dyDescent="0.2">
      <c r="D1991">
        <v>100001207</v>
      </c>
      <c r="E1991" s="49">
        <v>45450</v>
      </c>
      <c r="F1991" t="s">
        <v>3060</v>
      </c>
      <c r="G1991" t="s">
        <v>1865</v>
      </c>
      <c r="H1991">
        <v>2</v>
      </c>
      <c r="I1991">
        <v>117.23</v>
      </c>
      <c r="J1991" s="50">
        <v>234.46</v>
      </c>
      <c r="K1991" t="s">
        <v>1618</v>
      </c>
      <c r="L1991" t="s">
        <v>3061</v>
      </c>
      <c r="M1991" t="s">
        <v>1621</v>
      </c>
      <c r="N1991">
        <v>61.87</v>
      </c>
      <c r="O1991" s="49">
        <v>45454</v>
      </c>
      <c r="P1991" s="50">
        <v>105.50700000000001</v>
      </c>
    </row>
    <row r="1992" spans="4:16" x14ac:dyDescent="0.2">
      <c r="D1992">
        <v>100001208</v>
      </c>
      <c r="E1992" s="49">
        <v>44364</v>
      </c>
      <c r="F1992" t="s">
        <v>3062</v>
      </c>
      <c r="G1992" t="s">
        <v>2016</v>
      </c>
      <c r="H1992">
        <v>1</v>
      </c>
      <c r="I1992">
        <v>60.63</v>
      </c>
      <c r="J1992" s="50">
        <v>60.63</v>
      </c>
      <c r="K1992" t="s">
        <v>1618</v>
      </c>
      <c r="M1992" t="s">
        <v>1619</v>
      </c>
      <c r="N1992">
        <v>32</v>
      </c>
      <c r="O1992" s="49">
        <v>44366</v>
      </c>
      <c r="P1992" s="50">
        <v>27.2835</v>
      </c>
    </row>
    <row r="1993" spans="4:16" x14ac:dyDescent="0.2">
      <c r="D1993">
        <v>100001208</v>
      </c>
      <c r="E1993" s="49">
        <v>45199</v>
      </c>
      <c r="F1993" t="s">
        <v>3062</v>
      </c>
      <c r="G1993" t="s">
        <v>1973</v>
      </c>
      <c r="H1993">
        <v>1</v>
      </c>
      <c r="I1993">
        <v>85.68</v>
      </c>
      <c r="J1993" s="50">
        <v>85.68</v>
      </c>
      <c r="K1993" t="s">
        <v>1618</v>
      </c>
      <c r="M1993" t="s">
        <v>1629</v>
      </c>
      <c r="N1993">
        <v>45.22</v>
      </c>
      <c r="O1993" s="49">
        <v>45200</v>
      </c>
      <c r="P1993" s="50">
        <v>38.556000000000004</v>
      </c>
    </row>
    <row r="1994" spans="4:16" x14ac:dyDescent="0.2">
      <c r="D1994">
        <v>100001208</v>
      </c>
      <c r="E1994" s="49">
        <v>44272</v>
      </c>
      <c r="F1994" t="s">
        <v>3062</v>
      </c>
      <c r="G1994" t="s">
        <v>2348</v>
      </c>
      <c r="H1994">
        <v>2</v>
      </c>
      <c r="I1994">
        <v>45.44</v>
      </c>
      <c r="J1994" s="50">
        <v>90.88</v>
      </c>
      <c r="K1994" t="s">
        <v>1618</v>
      </c>
      <c r="M1994" t="s">
        <v>1624</v>
      </c>
      <c r="N1994">
        <v>23.98</v>
      </c>
      <c r="O1994" s="49">
        <v>44274</v>
      </c>
      <c r="P1994" s="50">
        <v>40.896000000000001</v>
      </c>
    </row>
    <row r="1995" spans="4:16" x14ac:dyDescent="0.2">
      <c r="D1995">
        <v>100001208</v>
      </c>
      <c r="E1995" s="49">
        <v>44622</v>
      </c>
      <c r="F1995" t="s">
        <v>3062</v>
      </c>
      <c r="G1995" t="s">
        <v>2447</v>
      </c>
      <c r="H1995">
        <v>3</v>
      </c>
      <c r="I1995">
        <v>113.58</v>
      </c>
      <c r="J1995" s="50">
        <v>340.74</v>
      </c>
      <c r="K1995" t="s">
        <v>1618</v>
      </c>
      <c r="M1995" t="s">
        <v>1621</v>
      </c>
      <c r="N1995">
        <v>59.94</v>
      </c>
      <c r="O1995" s="49">
        <v>44627</v>
      </c>
      <c r="P1995" s="50">
        <v>153.333</v>
      </c>
    </row>
    <row r="1996" spans="4:16" x14ac:dyDescent="0.2">
      <c r="D1996">
        <v>100001209</v>
      </c>
      <c r="E1996" s="49">
        <v>44713</v>
      </c>
      <c r="F1996" t="s">
        <v>3063</v>
      </c>
      <c r="G1996" t="s">
        <v>2766</v>
      </c>
      <c r="H1996">
        <v>6</v>
      </c>
      <c r="I1996">
        <v>114.18</v>
      </c>
      <c r="J1996" s="50">
        <v>685.08</v>
      </c>
      <c r="K1996" t="s">
        <v>1632</v>
      </c>
      <c r="M1996" t="s">
        <v>1624</v>
      </c>
      <c r="N1996">
        <v>60.26</v>
      </c>
      <c r="O1996" s="49">
        <v>44716</v>
      </c>
      <c r="P1996" s="50">
        <v>308.286</v>
      </c>
    </row>
    <row r="1997" spans="4:16" x14ac:dyDescent="0.2">
      <c r="D1997">
        <v>100001209</v>
      </c>
      <c r="E1997" s="49">
        <v>44460</v>
      </c>
      <c r="F1997" t="s">
        <v>3063</v>
      </c>
      <c r="G1997" t="s">
        <v>2019</v>
      </c>
      <c r="H1997">
        <v>8</v>
      </c>
      <c r="I1997">
        <v>36.68</v>
      </c>
      <c r="J1997" s="50">
        <v>293.44</v>
      </c>
      <c r="K1997" t="s">
        <v>1632</v>
      </c>
      <c r="M1997" t="s">
        <v>1619</v>
      </c>
      <c r="N1997">
        <v>19.36</v>
      </c>
      <c r="O1997" s="49">
        <v>44464</v>
      </c>
      <c r="P1997" s="50">
        <v>132.048</v>
      </c>
    </row>
    <row r="1998" spans="4:16" x14ac:dyDescent="0.2">
      <c r="D1998">
        <v>100001209</v>
      </c>
      <c r="E1998" s="49">
        <v>44489</v>
      </c>
      <c r="F1998" t="s">
        <v>3063</v>
      </c>
      <c r="G1998" t="s">
        <v>1848</v>
      </c>
      <c r="H1998">
        <v>4</v>
      </c>
      <c r="I1998">
        <v>103.38</v>
      </c>
      <c r="J1998" s="50">
        <v>413.52</v>
      </c>
      <c r="K1998" t="s">
        <v>1632</v>
      </c>
      <c r="M1998" t="s">
        <v>1629</v>
      </c>
      <c r="N1998">
        <v>54.56</v>
      </c>
      <c r="O1998" s="49">
        <v>44492</v>
      </c>
      <c r="P1998" s="50">
        <v>186.084</v>
      </c>
    </row>
    <row r="1999" spans="4:16" x14ac:dyDescent="0.2">
      <c r="D1999">
        <v>100001209</v>
      </c>
      <c r="E1999" s="49">
        <v>45599</v>
      </c>
      <c r="F1999" t="s">
        <v>3063</v>
      </c>
      <c r="G1999" t="s">
        <v>1939</v>
      </c>
      <c r="H1999">
        <v>1</v>
      </c>
      <c r="I1999">
        <v>67.7</v>
      </c>
      <c r="J1999" s="50">
        <v>67.7</v>
      </c>
      <c r="K1999" t="s">
        <v>1632</v>
      </c>
      <c r="M1999" t="s">
        <v>1621</v>
      </c>
      <c r="N1999">
        <v>35.729999999999997</v>
      </c>
      <c r="O1999" s="49">
        <v>45603</v>
      </c>
      <c r="P1999" s="50">
        <v>30.465000000000003</v>
      </c>
    </row>
    <row r="2000" spans="4:16" x14ac:dyDescent="0.2">
      <c r="D2000">
        <v>100001210</v>
      </c>
      <c r="E2000" s="49">
        <v>44475</v>
      </c>
      <c r="F2000" t="s">
        <v>3064</v>
      </c>
      <c r="G2000" t="s">
        <v>1653</v>
      </c>
      <c r="H2000">
        <v>9</v>
      </c>
      <c r="I2000">
        <v>40.53</v>
      </c>
      <c r="J2000" s="50">
        <v>364.77</v>
      </c>
      <c r="K2000" t="s">
        <v>1632</v>
      </c>
      <c r="M2000" t="s">
        <v>1629</v>
      </c>
      <c r="N2000">
        <v>21.39</v>
      </c>
      <c r="O2000" s="49">
        <v>44477</v>
      </c>
      <c r="P2000" s="50">
        <v>164.1465</v>
      </c>
    </row>
    <row r="2001" spans="4:16" x14ac:dyDescent="0.2">
      <c r="D2001">
        <v>100001210</v>
      </c>
      <c r="E2001" s="49">
        <v>44843</v>
      </c>
      <c r="F2001" t="s">
        <v>3064</v>
      </c>
      <c r="G2001" t="s">
        <v>2263</v>
      </c>
      <c r="H2001">
        <v>10</v>
      </c>
      <c r="I2001">
        <v>65.849999999999994</v>
      </c>
      <c r="J2001" s="50">
        <v>658.5</v>
      </c>
      <c r="K2001" t="s">
        <v>1632</v>
      </c>
      <c r="M2001" t="s">
        <v>1619</v>
      </c>
      <c r="N2001">
        <v>34.75</v>
      </c>
      <c r="O2001" s="49">
        <v>44845</v>
      </c>
      <c r="P2001" s="50">
        <v>296.32499999999999</v>
      </c>
    </row>
    <row r="2002" spans="4:16" x14ac:dyDescent="0.2">
      <c r="D2002">
        <v>100001211</v>
      </c>
      <c r="E2002" s="49">
        <v>45366</v>
      </c>
      <c r="F2002" t="s">
        <v>3065</v>
      </c>
      <c r="G2002" t="s">
        <v>2025</v>
      </c>
      <c r="H2002">
        <v>1</v>
      </c>
      <c r="I2002">
        <v>35.29</v>
      </c>
      <c r="J2002" s="50">
        <v>35.29</v>
      </c>
      <c r="K2002" t="s">
        <v>1632</v>
      </c>
      <c r="M2002" t="s">
        <v>1619</v>
      </c>
      <c r="N2002">
        <v>18.63</v>
      </c>
      <c r="O2002" s="49">
        <v>45369</v>
      </c>
      <c r="P2002" s="50">
        <v>15.8805</v>
      </c>
    </row>
    <row r="2003" spans="4:16" x14ac:dyDescent="0.2">
      <c r="D2003">
        <v>100001211</v>
      </c>
      <c r="E2003" s="49">
        <v>45354</v>
      </c>
      <c r="F2003" t="s">
        <v>3065</v>
      </c>
      <c r="G2003" t="s">
        <v>2071</v>
      </c>
      <c r="H2003">
        <v>4</v>
      </c>
      <c r="I2003">
        <v>30.38</v>
      </c>
      <c r="J2003" s="50">
        <v>121.52</v>
      </c>
      <c r="K2003" t="s">
        <v>1632</v>
      </c>
      <c r="M2003" t="s">
        <v>1627</v>
      </c>
      <c r="N2003">
        <v>16.03</v>
      </c>
      <c r="O2003" s="49">
        <v>45357</v>
      </c>
      <c r="P2003" s="50">
        <v>54.683999999999997</v>
      </c>
    </row>
    <row r="2004" spans="4:16" x14ac:dyDescent="0.2">
      <c r="D2004">
        <v>100001211</v>
      </c>
      <c r="E2004" s="49">
        <v>45569</v>
      </c>
      <c r="F2004" t="s">
        <v>3065</v>
      </c>
      <c r="G2004" t="s">
        <v>2692</v>
      </c>
      <c r="H2004">
        <v>7</v>
      </c>
      <c r="I2004">
        <v>35.950000000000003</v>
      </c>
      <c r="J2004" s="50">
        <v>251.65</v>
      </c>
      <c r="K2004" t="s">
        <v>1632</v>
      </c>
      <c r="M2004" t="s">
        <v>1621</v>
      </c>
      <c r="N2004">
        <v>18.97</v>
      </c>
      <c r="O2004" s="49">
        <v>45574</v>
      </c>
      <c r="P2004" s="50">
        <v>113.24250000000001</v>
      </c>
    </row>
    <row r="2005" spans="4:16" x14ac:dyDescent="0.2">
      <c r="D2005">
        <v>100001211</v>
      </c>
      <c r="E2005" s="49">
        <v>44881</v>
      </c>
      <c r="F2005" t="s">
        <v>3065</v>
      </c>
      <c r="G2005" t="s">
        <v>1639</v>
      </c>
      <c r="H2005">
        <v>5</v>
      </c>
      <c r="I2005">
        <v>12.97</v>
      </c>
      <c r="J2005" s="50">
        <v>64.850000000000009</v>
      </c>
      <c r="K2005" t="s">
        <v>1632</v>
      </c>
      <c r="M2005" t="s">
        <v>1619</v>
      </c>
      <c r="N2005">
        <v>6.85</v>
      </c>
      <c r="O2005" s="49">
        <v>44885</v>
      </c>
      <c r="P2005" s="50">
        <v>29.182500000000005</v>
      </c>
    </row>
    <row r="2006" spans="4:16" x14ac:dyDescent="0.2">
      <c r="D2006">
        <v>100001211</v>
      </c>
      <c r="E2006" s="49">
        <v>44873</v>
      </c>
      <c r="F2006" t="s">
        <v>3065</v>
      </c>
      <c r="G2006" t="s">
        <v>1801</v>
      </c>
      <c r="H2006">
        <v>1</v>
      </c>
      <c r="I2006">
        <v>99.26</v>
      </c>
      <c r="J2006" s="50">
        <v>99.26</v>
      </c>
      <c r="K2006" t="s">
        <v>1632</v>
      </c>
      <c r="M2006" t="s">
        <v>1619</v>
      </c>
      <c r="N2006">
        <v>52.39</v>
      </c>
      <c r="O2006" s="49">
        <v>44877</v>
      </c>
      <c r="P2006" s="50">
        <v>44.667000000000002</v>
      </c>
    </row>
    <row r="2007" spans="4:16" x14ac:dyDescent="0.2">
      <c r="D2007">
        <v>100001211</v>
      </c>
      <c r="E2007" s="49">
        <v>44454</v>
      </c>
      <c r="F2007" t="s">
        <v>3065</v>
      </c>
      <c r="G2007" t="s">
        <v>1705</v>
      </c>
      <c r="H2007">
        <v>10</v>
      </c>
      <c r="I2007">
        <v>66.98</v>
      </c>
      <c r="J2007" s="50">
        <v>669.80000000000007</v>
      </c>
      <c r="K2007" t="s">
        <v>1632</v>
      </c>
      <c r="M2007" t="s">
        <v>1621</v>
      </c>
      <c r="N2007">
        <v>35.35</v>
      </c>
      <c r="O2007" s="49">
        <v>44456</v>
      </c>
      <c r="P2007" s="50">
        <v>301.41000000000003</v>
      </c>
    </row>
    <row r="2008" spans="4:16" x14ac:dyDescent="0.2">
      <c r="D2008">
        <v>100001211</v>
      </c>
      <c r="E2008" s="49">
        <v>45461</v>
      </c>
      <c r="F2008" t="s">
        <v>3065</v>
      </c>
      <c r="G2008" t="s">
        <v>1877</v>
      </c>
      <c r="H2008">
        <v>8</v>
      </c>
      <c r="I2008">
        <v>72.2</v>
      </c>
      <c r="J2008" s="50">
        <v>577.6</v>
      </c>
      <c r="K2008" t="s">
        <v>1632</v>
      </c>
      <c r="M2008" t="s">
        <v>1621</v>
      </c>
      <c r="N2008">
        <v>38.11</v>
      </c>
      <c r="O2008" s="49">
        <v>45463</v>
      </c>
      <c r="P2008" s="50">
        <v>259.92</v>
      </c>
    </row>
    <row r="2009" spans="4:16" x14ac:dyDescent="0.2">
      <c r="D2009">
        <v>100001211</v>
      </c>
      <c r="E2009" s="49">
        <v>44644</v>
      </c>
      <c r="F2009" t="s">
        <v>3065</v>
      </c>
      <c r="G2009" t="s">
        <v>1676</v>
      </c>
      <c r="H2009">
        <v>4</v>
      </c>
      <c r="I2009">
        <v>50.53</v>
      </c>
      <c r="J2009" s="50">
        <v>202.12</v>
      </c>
      <c r="K2009" t="s">
        <v>1632</v>
      </c>
      <c r="M2009" t="s">
        <v>1627</v>
      </c>
      <c r="N2009">
        <v>26.67</v>
      </c>
      <c r="O2009" s="49">
        <v>44649</v>
      </c>
      <c r="P2009" s="50">
        <v>90.954000000000008</v>
      </c>
    </row>
    <row r="2010" spans="4:16" x14ac:dyDescent="0.2">
      <c r="D2010">
        <v>100001212</v>
      </c>
      <c r="E2010" s="49">
        <v>44691</v>
      </c>
      <c r="F2010" t="s">
        <v>3066</v>
      </c>
      <c r="G2010" t="s">
        <v>1648</v>
      </c>
      <c r="H2010">
        <v>8</v>
      </c>
      <c r="I2010">
        <v>37.83</v>
      </c>
      <c r="J2010" s="50">
        <v>302.64</v>
      </c>
      <c r="K2010" t="s">
        <v>1632</v>
      </c>
      <c r="L2010" t="s">
        <v>3067</v>
      </c>
      <c r="M2010" t="s">
        <v>1627</v>
      </c>
      <c r="N2010">
        <v>19.97</v>
      </c>
      <c r="O2010" s="49">
        <v>44692</v>
      </c>
      <c r="P2010" s="50">
        <v>136.18799999999999</v>
      </c>
    </row>
    <row r="2011" spans="4:16" x14ac:dyDescent="0.2">
      <c r="D2011">
        <v>100001212</v>
      </c>
      <c r="E2011" s="49">
        <v>45069</v>
      </c>
      <c r="F2011" t="s">
        <v>3066</v>
      </c>
      <c r="G2011" t="s">
        <v>2062</v>
      </c>
      <c r="H2011">
        <v>2</v>
      </c>
      <c r="I2011">
        <v>18.02</v>
      </c>
      <c r="J2011" s="50">
        <v>36.04</v>
      </c>
      <c r="K2011" t="s">
        <v>1632</v>
      </c>
      <c r="L2011" t="s">
        <v>3067</v>
      </c>
      <c r="M2011" t="s">
        <v>1627</v>
      </c>
      <c r="N2011">
        <v>9.51</v>
      </c>
      <c r="O2011" s="49">
        <v>45073</v>
      </c>
      <c r="P2011" s="50">
        <v>16.218</v>
      </c>
    </row>
    <row r="2012" spans="4:16" x14ac:dyDescent="0.2">
      <c r="D2012">
        <v>100001212</v>
      </c>
      <c r="E2012" s="49">
        <v>45554</v>
      </c>
      <c r="F2012" t="s">
        <v>3066</v>
      </c>
      <c r="G2012" t="s">
        <v>1736</v>
      </c>
      <c r="H2012">
        <v>10</v>
      </c>
      <c r="I2012">
        <v>79.89</v>
      </c>
      <c r="J2012" s="50">
        <v>798.9</v>
      </c>
      <c r="K2012" t="s">
        <v>1632</v>
      </c>
      <c r="L2012" t="s">
        <v>3067</v>
      </c>
      <c r="M2012" t="s">
        <v>1621</v>
      </c>
      <c r="N2012">
        <v>42.16</v>
      </c>
      <c r="O2012" s="49">
        <v>45555</v>
      </c>
      <c r="P2012" s="50">
        <v>359.505</v>
      </c>
    </row>
    <row r="2013" spans="4:16" x14ac:dyDescent="0.2">
      <c r="D2013">
        <v>100001212</v>
      </c>
      <c r="E2013" s="49">
        <v>44620</v>
      </c>
      <c r="F2013" t="s">
        <v>3066</v>
      </c>
      <c r="G2013" t="s">
        <v>1948</v>
      </c>
      <c r="H2013">
        <v>3</v>
      </c>
      <c r="I2013">
        <v>55.52</v>
      </c>
      <c r="J2013" s="50">
        <v>166.56</v>
      </c>
      <c r="K2013" t="s">
        <v>1632</v>
      </c>
      <c r="L2013" t="s">
        <v>3067</v>
      </c>
      <c r="M2013" t="s">
        <v>1629</v>
      </c>
      <c r="N2013">
        <v>29.3</v>
      </c>
      <c r="O2013" s="49">
        <v>44624</v>
      </c>
      <c r="P2013" s="50">
        <v>74.951999999999998</v>
      </c>
    </row>
    <row r="2014" spans="4:16" x14ac:dyDescent="0.2">
      <c r="D2014">
        <v>100001212</v>
      </c>
      <c r="E2014" s="49">
        <v>44544</v>
      </c>
      <c r="F2014" t="s">
        <v>3066</v>
      </c>
      <c r="G2014" t="s">
        <v>1691</v>
      </c>
      <c r="H2014">
        <v>10</v>
      </c>
      <c r="I2014">
        <v>58.12</v>
      </c>
      <c r="J2014" s="50">
        <v>581.19999999999993</v>
      </c>
      <c r="K2014" t="s">
        <v>1632</v>
      </c>
      <c r="L2014" t="s">
        <v>3067</v>
      </c>
      <c r="M2014" t="s">
        <v>1621</v>
      </c>
      <c r="N2014">
        <v>30.67</v>
      </c>
      <c r="O2014" s="49">
        <v>44549</v>
      </c>
      <c r="P2014" s="50">
        <v>261.53999999999996</v>
      </c>
    </row>
    <row r="2015" spans="4:16" x14ac:dyDescent="0.2">
      <c r="D2015">
        <v>100001214</v>
      </c>
      <c r="E2015" s="49">
        <v>44898</v>
      </c>
      <c r="F2015" t="s">
        <v>3068</v>
      </c>
      <c r="G2015" t="s">
        <v>1679</v>
      </c>
      <c r="H2015">
        <v>9</v>
      </c>
      <c r="I2015">
        <v>13.47</v>
      </c>
      <c r="J2015" s="50">
        <v>121.23</v>
      </c>
      <c r="K2015" t="s">
        <v>1632</v>
      </c>
      <c r="M2015" t="s">
        <v>1624</v>
      </c>
      <c r="N2015">
        <v>7.11</v>
      </c>
      <c r="O2015" s="49">
        <v>44903</v>
      </c>
      <c r="P2015" s="50">
        <v>54.5535</v>
      </c>
    </row>
    <row r="2016" spans="4:16" x14ac:dyDescent="0.2">
      <c r="D2016">
        <v>100001215</v>
      </c>
      <c r="E2016" s="49">
        <v>44291</v>
      </c>
      <c r="F2016" t="s">
        <v>3069</v>
      </c>
      <c r="G2016" t="s">
        <v>2145</v>
      </c>
      <c r="H2016">
        <v>10</v>
      </c>
      <c r="I2016">
        <v>61.99</v>
      </c>
      <c r="J2016" s="50">
        <v>619.9</v>
      </c>
      <c r="K2016" t="s">
        <v>1618</v>
      </c>
      <c r="M2016" t="s">
        <v>1624</v>
      </c>
      <c r="N2016">
        <v>32.72</v>
      </c>
      <c r="O2016" s="49">
        <v>44293</v>
      </c>
      <c r="P2016" s="50">
        <v>278.95499999999998</v>
      </c>
    </row>
    <row r="2017" spans="4:16" x14ac:dyDescent="0.2">
      <c r="D2017">
        <v>100001216</v>
      </c>
      <c r="E2017" s="49">
        <v>45113</v>
      </c>
      <c r="F2017" t="s">
        <v>1896</v>
      </c>
      <c r="G2017" t="s">
        <v>1652</v>
      </c>
      <c r="H2017">
        <v>7</v>
      </c>
      <c r="I2017">
        <v>109.56</v>
      </c>
      <c r="J2017" s="50">
        <v>766.92000000000007</v>
      </c>
      <c r="K2017" t="s">
        <v>1618</v>
      </c>
      <c r="M2017" t="s">
        <v>1629</v>
      </c>
      <c r="N2017">
        <v>57.82</v>
      </c>
      <c r="O2017" s="49">
        <v>45116</v>
      </c>
      <c r="P2017" s="50">
        <v>345.11400000000003</v>
      </c>
    </row>
    <row r="2018" spans="4:16" x14ac:dyDescent="0.2">
      <c r="D2018">
        <v>100001216</v>
      </c>
      <c r="E2018" s="49">
        <v>45549</v>
      </c>
      <c r="F2018" t="s">
        <v>1896</v>
      </c>
      <c r="G2018" t="s">
        <v>2112</v>
      </c>
      <c r="H2018">
        <v>1</v>
      </c>
      <c r="I2018">
        <v>98.58</v>
      </c>
      <c r="J2018" s="50">
        <v>98.58</v>
      </c>
      <c r="K2018" t="s">
        <v>1618</v>
      </c>
      <c r="M2018" t="s">
        <v>1619</v>
      </c>
      <c r="N2018">
        <v>52.03</v>
      </c>
      <c r="O2018" s="49">
        <v>45550</v>
      </c>
      <c r="P2018" s="50">
        <v>44.360999999999997</v>
      </c>
    </row>
    <row r="2019" spans="4:16" x14ac:dyDescent="0.2">
      <c r="D2019">
        <v>100001218</v>
      </c>
      <c r="E2019" s="49">
        <v>44410</v>
      </c>
      <c r="F2019" t="s">
        <v>2087</v>
      </c>
      <c r="G2019" t="s">
        <v>2210</v>
      </c>
      <c r="H2019">
        <v>7</v>
      </c>
      <c r="I2019">
        <v>43.44</v>
      </c>
      <c r="J2019" s="50">
        <v>304.08</v>
      </c>
      <c r="K2019" t="s">
        <v>1618</v>
      </c>
      <c r="M2019" t="s">
        <v>1629</v>
      </c>
      <c r="N2019">
        <v>22.93</v>
      </c>
      <c r="O2019" s="49">
        <v>44411</v>
      </c>
      <c r="P2019" s="50">
        <v>136.83599999999998</v>
      </c>
    </row>
    <row r="2020" spans="4:16" x14ac:dyDescent="0.2">
      <c r="D2020">
        <v>100001219</v>
      </c>
      <c r="E2020" s="49">
        <v>44275</v>
      </c>
      <c r="F2020" t="s">
        <v>3070</v>
      </c>
      <c r="G2020" t="s">
        <v>1652</v>
      </c>
      <c r="H2020">
        <v>2</v>
      </c>
      <c r="I2020">
        <v>83.45</v>
      </c>
      <c r="J2020" s="50">
        <v>166.9</v>
      </c>
      <c r="K2020" t="s">
        <v>1618</v>
      </c>
      <c r="M2020" t="s">
        <v>1619</v>
      </c>
      <c r="N2020">
        <v>44.04</v>
      </c>
      <c r="O2020" s="49">
        <v>44276</v>
      </c>
      <c r="P2020" s="50">
        <v>75.105000000000004</v>
      </c>
    </row>
    <row r="2021" spans="4:16" x14ac:dyDescent="0.2">
      <c r="D2021">
        <v>100001219</v>
      </c>
      <c r="E2021" s="49">
        <v>45235</v>
      </c>
      <c r="F2021" t="s">
        <v>3070</v>
      </c>
      <c r="G2021" t="s">
        <v>1827</v>
      </c>
      <c r="H2021">
        <v>8</v>
      </c>
      <c r="I2021">
        <v>44.89</v>
      </c>
      <c r="J2021" s="50">
        <v>359.12</v>
      </c>
      <c r="K2021" t="s">
        <v>1618</v>
      </c>
      <c r="M2021" t="s">
        <v>1627</v>
      </c>
      <c r="N2021">
        <v>23.69</v>
      </c>
      <c r="O2021" s="49">
        <v>45237</v>
      </c>
      <c r="P2021" s="50">
        <v>161.60400000000001</v>
      </c>
    </row>
    <row r="2022" spans="4:16" x14ac:dyDescent="0.2">
      <c r="D2022">
        <v>100001222</v>
      </c>
      <c r="E2022" s="49">
        <v>44976</v>
      </c>
      <c r="F2022" t="s">
        <v>3071</v>
      </c>
      <c r="G2022" t="s">
        <v>1851</v>
      </c>
      <c r="H2022">
        <v>2</v>
      </c>
      <c r="I2022">
        <v>23.09</v>
      </c>
      <c r="J2022" s="50">
        <v>46.18</v>
      </c>
      <c r="K2022" t="s">
        <v>1618</v>
      </c>
      <c r="M2022" t="s">
        <v>1619</v>
      </c>
      <c r="N2022">
        <v>12.19</v>
      </c>
      <c r="O2022" s="49">
        <v>44981</v>
      </c>
      <c r="P2022" s="50">
        <v>20.780999999999999</v>
      </c>
    </row>
    <row r="2023" spans="4:16" x14ac:dyDescent="0.2">
      <c r="D2023">
        <v>100001222</v>
      </c>
      <c r="E2023" s="49">
        <v>45084</v>
      </c>
      <c r="F2023" t="s">
        <v>3071</v>
      </c>
      <c r="G2023" t="s">
        <v>2111</v>
      </c>
      <c r="H2023">
        <v>2</v>
      </c>
      <c r="I2023">
        <v>29.88</v>
      </c>
      <c r="J2023" s="50">
        <v>59.76</v>
      </c>
      <c r="K2023" t="s">
        <v>1618</v>
      </c>
      <c r="M2023" t="s">
        <v>1627</v>
      </c>
      <c r="N2023">
        <v>15.77</v>
      </c>
      <c r="O2023" s="49">
        <v>45088</v>
      </c>
      <c r="P2023" s="50">
        <v>26.891999999999999</v>
      </c>
    </row>
    <row r="2024" spans="4:16" x14ac:dyDescent="0.2">
      <c r="D2024">
        <v>100001222</v>
      </c>
      <c r="E2024" s="49">
        <v>44564</v>
      </c>
      <c r="F2024" t="s">
        <v>3071</v>
      </c>
      <c r="G2024" t="s">
        <v>1823</v>
      </c>
      <c r="H2024">
        <v>6</v>
      </c>
      <c r="I2024">
        <v>116.64</v>
      </c>
      <c r="J2024" s="50">
        <v>699.84</v>
      </c>
      <c r="K2024" t="s">
        <v>1618</v>
      </c>
      <c r="M2024" t="s">
        <v>1624</v>
      </c>
      <c r="N2024">
        <v>61.56</v>
      </c>
      <c r="O2024" s="49">
        <v>44569</v>
      </c>
      <c r="P2024" s="50">
        <v>314.928</v>
      </c>
    </row>
    <row r="2025" spans="4:16" x14ac:dyDescent="0.2">
      <c r="D2025">
        <v>100001223</v>
      </c>
      <c r="E2025" s="49">
        <v>45072</v>
      </c>
      <c r="F2025" t="s">
        <v>3072</v>
      </c>
      <c r="G2025" t="s">
        <v>1636</v>
      </c>
      <c r="H2025">
        <v>8</v>
      </c>
      <c r="I2025">
        <v>90.15</v>
      </c>
      <c r="J2025" s="50">
        <v>721.2</v>
      </c>
      <c r="K2025" t="s">
        <v>1618</v>
      </c>
      <c r="M2025" t="s">
        <v>1627</v>
      </c>
      <c r="N2025">
        <v>47.58</v>
      </c>
      <c r="O2025" s="49">
        <v>45073</v>
      </c>
      <c r="P2025" s="50">
        <v>324.54000000000002</v>
      </c>
    </row>
    <row r="2026" spans="4:16" x14ac:dyDescent="0.2">
      <c r="D2026">
        <v>100001223</v>
      </c>
      <c r="E2026" s="49">
        <v>44376</v>
      </c>
      <c r="F2026" t="s">
        <v>3072</v>
      </c>
      <c r="G2026" t="s">
        <v>1762</v>
      </c>
      <c r="H2026">
        <v>3</v>
      </c>
      <c r="I2026">
        <v>59.07</v>
      </c>
      <c r="J2026" s="50">
        <v>177.21</v>
      </c>
      <c r="K2026" t="s">
        <v>1618</v>
      </c>
      <c r="M2026" t="s">
        <v>1629</v>
      </c>
      <c r="N2026">
        <v>31.18</v>
      </c>
      <c r="O2026" s="49">
        <v>44377</v>
      </c>
      <c r="P2026" s="50">
        <v>79.744500000000002</v>
      </c>
    </row>
    <row r="2027" spans="4:16" x14ac:dyDescent="0.2">
      <c r="D2027">
        <v>100001225</v>
      </c>
      <c r="E2027" s="49">
        <v>45092</v>
      </c>
      <c r="F2027" t="s">
        <v>3073</v>
      </c>
      <c r="G2027" t="s">
        <v>2692</v>
      </c>
      <c r="H2027">
        <v>7</v>
      </c>
      <c r="I2027">
        <v>43.11</v>
      </c>
      <c r="J2027" s="50">
        <v>301.77</v>
      </c>
      <c r="K2027" t="s">
        <v>1618</v>
      </c>
      <c r="M2027" t="s">
        <v>1619</v>
      </c>
      <c r="N2027">
        <v>22.75</v>
      </c>
      <c r="O2027" s="49">
        <v>45096</v>
      </c>
      <c r="P2027" s="50">
        <v>135.79650000000001</v>
      </c>
    </row>
    <row r="2028" spans="4:16" x14ac:dyDescent="0.2">
      <c r="D2028">
        <v>100001225</v>
      </c>
      <c r="E2028" s="49">
        <v>45613</v>
      </c>
      <c r="F2028" t="s">
        <v>3073</v>
      </c>
      <c r="G2028" t="s">
        <v>1775</v>
      </c>
      <c r="H2028">
        <v>3</v>
      </c>
      <c r="I2028">
        <v>35.409999999999997</v>
      </c>
      <c r="J2028" s="50">
        <v>106.23</v>
      </c>
      <c r="K2028" t="s">
        <v>1618</v>
      </c>
      <c r="M2028" t="s">
        <v>1621</v>
      </c>
      <c r="N2028">
        <v>18.690000000000001</v>
      </c>
      <c r="O2028" s="49">
        <v>45614</v>
      </c>
      <c r="P2028" s="50">
        <v>47.8035</v>
      </c>
    </row>
    <row r="2029" spans="4:16" x14ac:dyDescent="0.2">
      <c r="D2029">
        <v>100001225</v>
      </c>
      <c r="E2029" s="49">
        <v>44539</v>
      </c>
      <c r="F2029" t="s">
        <v>3073</v>
      </c>
      <c r="G2029" t="s">
        <v>1922</v>
      </c>
      <c r="H2029">
        <v>5</v>
      </c>
      <c r="I2029">
        <v>84.85</v>
      </c>
      <c r="J2029" s="50">
        <v>424.25</v>
      </c>
      <c r="K2029" t="s">
        <v>1618</v>
      </c>
      <c r="M2029" t="s">
        <v>1629</v>
      </c>
      <c r="N2029">
        <v>44.78</v>
      </c>
      <c r="O2029" s="49">
        <v>44542</v>
      </c>
      <c r="P2029" s="50">
        <v>190.91249999999999</v>
      </c>
    </row>
    <row r="2030" spans="4:16" x14ac:dyDescent="0.2">
      <c r="D2030">
        <v>100001227</v>
      </c>
      <c r="E2030" s="49">
        <v>44996</v>
      </c>
      <c r="F2030" t="s">
        <v>3074</v>
      </c>
      <c r="G2030" t="s">
        <v>1950</v>
      </c>
      <c r="H2030">
        <v>4</v>
      </c>
      <c r="I2030">
        <v>62.51</v>
      </c>
      <c r="J2030" s="50">
        <v>250.04</v>
      </c>
      <c r="K2030" t="s">
        <v>1618</v>
      </c>
      <c r="M2030" t="s">
        <v>1624</v>
      </c>
      <c r="N2030">
        <v>32.99</v>
      </c>
      <c r="O2030" s="49">
        <v>44997</v>
      </c>
      <c r="P2030" s="50">
        <v>112.518</v>
      </c>
    </row>
    <row r="2031" spans="4:16" x14ac:dyDescent="0.2">
      <c r="D2031">
        <v>100001227</v>
      </c>
      <c r="E2031" s="49">
        <v>44405</v>
      </c>
      <c r="F2031" t="s">
        <v>3074</v>
      </c>
      <c r="G2031" t="s">
        <v>3075</v>
      </c>
      <c r="H2031">
        <v>1</v>
      </c>
      <c r="I2031">
        <v>115.46</v>
      </c>
      <c r="J2031" s="50">
        <v>115.46</v>
      </c>
      <c r="K2031" t="s">
        <v>1618</v>
      </c>
      <c r="M2031" t="s">
        <v>1629</v>
      </c>
      <c r="N2031">
        <v>60.94</v>
      </c>
      <c r="O2031" s="49">
        <v>44406</v>
      </c>
      <c r="P2031" s="50">
        <v>51.957000000000001</v>
      </c>
    </row>
    <row r="2032" spans="4:16" x14ac:dyDescent="0.2">
      <c r="D2032">
        <v>100001228</v>
      </c>
      <c r="E2032" s="49">
        <v>44607</v>
      </c>
      <c r="F2032" t="s">
        <v>3076</v>
      </c>
      <c r="G2032" t="s">
        <v>1856</v>
      </c>
      <c r="H2032">
        <v>4</v>
      </c>
      <c r="I2032">
        <v>80.8</v>
      </c>
      <c r="J2032" s="50">
        <v>323.2</v>
      </c>
      <c r="K2032" t="s">
        <v>1632</v>
      </c>
      <c r="M2032" t="s">
        <v>1629</v>
      </c>
      <c r="N2032">
        <v>42.64</v>
      </c>
      <c r="O2032" s="49">
        <v>44611</v>
      </c>
      <c r="P2032" s="50">
        <v>145.44</v>
      </c>
    </row>
    <row r="2033" spans="4:16" x14ac:dyDescent="0.2">
      <c r="D2033">
        <v>100001228</v>
      </c>
      <c r="E2033" s="49">
        <v>45242</v>
      </c>
      <c r="F2033" t="s">
        <v>3076</v>
      </c>
      <c r="G2033" t="s">
        <v>2375</v>
      </c>
      <c r="H2033">
        <v>10</v>
      </c>
      <c r="I2033">
        <v>118.46</v>
      </c>
      <c r="J2033" s="50">
        <v>1184.5999999999999</v>
      </c>
      <c r="K2033" t="s">
        <v>1632</v>
      </c>
      <c r="M2033" t="s">
        <v>1619</v>
      </c>
      <c r="N2033">
        <v>62.52</v>
      </c>
      <c r="O2033" s="49">
        <v>45245</v>
      </c>
      <c r="P2033" s="50">
        <v>533.06999999999994</v>
      </c>
    </row>
    <row r="2034" spans="4:16" x14ac:dyDescent="0.2">
      <c r="D2034">
        <v>100001228</v>
      </c>
      <c r="E2034" s="49">
        <v>44919</v>
      </c>
      <c r="F2034" t="s">
        <v>3076</v>
      </c>
      <c r="G2034" t="s">
        <v>1744</v>
      </c>
      <c r="H2034">
        <v>4</v>
      </c>
      <c r="I2034">
        <v>86.91</v>
      </c>
      <c r="J2034" s="50">
        <v>347.64</v>
      </c>
      <c r="K2034" t="s">
        <v>1632</v>
      </c>
      <c r="M2034" t="s">
        <v>1624</v>
      </c>
      <c r="N2034">
        <v>45.87</v>
      </c>
      <c r="O2034" s="49">
        <v>44924</v>
      </c>
      <c r="P2034" s="50">
        <v>156.43799999999999</v>
      </c>
    </row>
    <row r="2035" spans="4:16" x14ac:dyDescent="0.2">
      <c r="D2035">
        <v>100001229</v>
      </c>
      <c r="E2035" s="49">
        <v>45441</v>
      </c>
      <c r="F2035" t="s">
        <v>3077</v>
      </c>
      <c r="G2035" t="s">
        <v>1672</v>
      </c>
      <c r="H2035">
        <v>7</v>
      </c>
      <c r="I2035">
        <v>36.99</v>
      </c>
      <c r="J2035" s="50">
        <v>258.93</v>
      </c>
      <c r="K2035" t="s">
        <v>1632</v>
      </c>
      <c r="M2035" t="s">
        <v>1629</v>
      </c>
      <c r="N2035">
        <v>19.52</v>
      </c>
      <c r="O2035" s="49">
        <v>45444</v>
      </c>
      <c r="P2035" s="50">
        <v>116.5185</v>
      </c>
    </row>
    <row r="2036" spans="4:16" x14ac:dyDescent="0.2">
      <c r="D2036">
        <v>100001229</v>
      </c>
      <c r="E2036" s="49">
        <v>44844</v>
      </c>
      <c r="F2036" t="s">
        <v>3077</v>
      </c>
      <c r="G2036" t="s">
        <v>1645</v>
      </c>
      <c r="H2036">
        <v>2</v>
      </c>
      <c r="I2036">
        <v>98.25</v>
      </c>
      <c r="J2036" s="50">
        <v>196.5</v>
      </c>
      <c r="K2036" t="s">
        <v>1632</v>
      </c>
      <c r="M2036" t="s">
        <v>1624</v>
      </c>
      <c r="N2036">
        <v>51.85</v>
      </c>
      <c r="O2036" s="49">
        <v>44849</v>
      </c>
      <c r="P2036" s="50">
        <v>88.424999999999997</v>
      </c>
    </row>
    <row r="2037" spans="4:16" x14ac:dyDescent="0.2">
      <c r="D2037">
        <v>100001230</v>
      </c>
      <c r="E2037" s="49">
        <v>45053</v>
      </c>
      <c r="F2037" t="s">
        <v>3078</v>
      </c>
      <c r="G2037" t="s">
        <v>2344</v>
      </c>
      <c r="H2037">
        <v>4</v>
      </c>
      <c r="I2037">
        <v>45.36</v>
      </c>
      <c r="J2037" s="50">
        <v>181.44</v>
      </c>
      <c r="K2037" t="s">
        <v>1632</v>
      </c>
      <c r="L2037" t="s">
        <v>3079</v>
      </c>
      <c r="M2037" t="s">
        <v>1627</v>
      </c>
      <c r="N2037">
        <v>23.94</v>
      </c>
      <c r="O2037" s="49">
        <v>45057</v>
      </c>
      <c r="P2037" s="50">
        <v>81.647999999999996</v>
      </c>
    </row>
    <row r="2038" spans="4:16" x14ac:dyDescent="0.2">
      <c r="D2038">
        <v>100001230</v>
      </c>
      <c r="E2038" s="49">
        <v>45105</v>
      </c>
      <c r="F2038" t="s">
        <v>3078</v>
      </c>
      <c r="G2038" t="s">
        <v>1671</v>
      </c>
      <c r="H2038">
        <v>6</v>
      </c>
      <c r="I2038">
        <v>72.28</v>
      </c>
      <c r="J2038" s="50">
        <v>433.68</v>
      </c>
      <c r="K2038" t="s">
        <v>1632</v>
      </c>
      <c r="L2038" t="s">
        <v>3079</v>
      </c>
      <c r="M2038" t="s">
        <v>1627</v>
      </c>
      <c r="N2038">
        <v>38.15</v>
      </c>
      <c r="O2038" s="49">
        <v>45109</v>
      </c>
      <c r="P2038" s="50">
        <v>195.15600000000001</v>
      </c>
    </row>
    <row r="2039" spans="4:16" x14ac:dyDescent="0.2">
      <c r="D2039">
        <v>100001232</v>
      </c>
      <c r="E2039" s="49">
        <v>44531</v>
      </c>
      <c r="F2039" t="s">
        <v>3080</v>
      </c>
      <c r="G2039" t="s">
        <v>1855</v>
      </c>
      <c r="H2039">
        <v>1</v>
      </c>
      <c r="I2039">
        <v>89.55</v>
      </c>
      <c r="J2039" s="50">
        <v>89.55</v>
      </c>
      <c r="K2039" t="s">
        <v>1618</v>
      </c>
      <c r="M2039" t="s">
        <v>1627</v>
      </c>
      <c r="N2039">
        <v>47.26</v>
      </c>
      <c r="O2039" s="49">
        <v>44532</v>
      </c>
      <c r="P2039" s="50">
        <v>40.297499999999999</v>
      </c>
    </row>
    <row r="2040" spans="4:16" x14ac:dyDescent="0.2">
      <c r="D2040">
        <v>100001232</v>
      </c>
      <c r="E2040" s="49">
        <v>44832</v>
      </c>
      <c r="F2040" t="s">
        <v>3080</v>
      </c>
      <c r="G2040" t="s">
        <v>2658</v>
      </c>
      <c r="H2040">
        <v>6</v>
      </c>
      <c r="I2040">
        <v>72.400000000000006</v>
      </c>
      <c r="J2040" s="50">
        <v>434.4</v>
      </c>
      <c r="K2040" t="s">
        <v>1618</v>
      </c>
      <c r="M2040" t="s">
        <v>1619</v>
      </c>
      <c r="N2040">
        <v>38.21</v>
      </c>
      <c r="O2040" s="49">
        <v>44833</v>
      </c>
      <c r="P2040" s="50">
        <v>195.48</v>
      </c>
    </row>
    <row r="2041" spans="4:16" x14ac:dyDescent="0.2">
      <c r="D2041">
        <v>100001233</v>
      </c>
      <c r="E2041" s="49">
        <v>44370</v>
      </c>
      <c r="F2041" t="s">
        <v>3081</v>
      </c>
      <c r="G2041" t="s">
        <v>2090</v>
      </c>
      <c r="H2041">
        <v>4</v>
      </c>
      <c r="I2041">
        <v>74.19</v>
      </c>
      <c r="J2041" s="50">
        <v>296.76</v>
      </c>
      <c r="K2041" t="s">
        <v>1618</v>
      </c>
      <c r="M2041" t="s">
        <v>1624</v>
      </c>
      <c r="N2041">
        <v>39.159999999999997</v>
      </c>
      <c r="O2041" s="49">
        <v>44375</v>
      </c>
      <c r="P2041" s="50">
        <v>133.542</v>
      </c>
    </row>
    <row r="2042" spans="4:16" x14ac:dyDescent="0.2">
      <c r="D2042">
        <v>100001233</v>
      </c>
      <c r="E2042" s="49">
        <v>45475</v>
      </c>
      <c r="F2042" t="s">
        <v>3081</v>
      </c>
      <c r="G2042" t="s">
        <v>1723</v>
      </c>
      <c r="H2042">
        <v>5</v>
      </c>
      <c r="I2042">
        <v>67.27</v>
      </c>
      <c r="J2042" s="50">
        <v>336.35</v>
      </c>
      <c r="K2042" t="s">
        <v>1618</v>
      </c>
      <c r="M2042" t="s">
        <v>1624</v>
      </c>
      <c r="N2042">
        <v>35.5</v>
      </c>
      <c r="O2042" s="49">
        <v>45477</v>
      </c>
      <c r="P2042" s="50">
        <v>151.35750000000002</v>
      </c>
    </row>
    <row r="2043" spans="4:16" x14ac:dyDescent="0.2">
      <c r="D2043">
        <v>100001233</v>
      </c>
      <c r="E2043" s="49">
        <v>44208</v>
      </c>
      <c r="F2043" t="s">
        <v>3081</v>
      </c>
      <c r="G2043" t="s">
        <v>1831</v>
      </c>
      <c r="H2043">
        <v>9</v>
      </c>
      <c r="I2043">
        <v>106.22</v>
      </c>
      <c r="J2043" s="50">
        <v>955.98</v>
      </c>
      <c r="K2043" t="s">
        <v>1618</v>
      </c>
      <c r="M2043" t="s">
        <v>1627</v>
      </c>
      <c r="N2043">
        <v>56.06</v>
      </c>
      <c r="O2043" s="49">
        <v>44211</v>
      </c>
      <c r="P2043" s="50">
        <v>430.19100000000003</v>
      </c>
    </row>
    <row r="2044" spans="4:16" x14ac:dyDescent="0.2">
      <c r="D2044">
        <v>100001235</v>
      </c>
      <c r="E2044" s="49">
        <v>44480</v>
      </c>
      <c r="F2044" t="s">
        <v>3082</v>
      </c>
      <c r="G2044" t="s">
        <v>1700</v>
      </c>
      <c r="H2044">
        <v>7</v>
      </c>
      <c r="I2044">
        <v>117.51</v>
      </c>
      <c r="J2044" s="50">
        <v>822.57</v>
      </c>
      <c r="K2044" t="s">
        <v>1618</v>
      </c>
      <c r="M2044" t="s">
        <v>1629</v>
      </c>
      <c r="N2044">
        <v>62.02</v>
      </c>
      <c r="O2044" s="49">
        <v>44482</v>
      </c>
      <c r="P2044" s="50">
        <v>370.15650000000005</v>
      </c>
    </row>
    <row r="2045" spans="4:16" x14ac:dyDescent="0.2">
      <c r="D2045">
        <v>100001235</v>
      </c>
      <c r="E2045" s="49">
        <v>45070</v>
      </c>
      <c r="F2045" t="s">
        <v>3082</v>
      </c>
      <c r="G2045" t="s">
        <v>1838</v>
      </c>
      <c r="H2045">
        <v>10</v>
      </c>
      <c r="I2045">
        <v>86.06</v>
      </c>
      <c r="J2045" s="50">
        <v>860.6</v>
      </c>
      <c r="K2045" t="s">
        <v>1618</v>
      </c>
      <c r="M2045" t="s">
        <v>1619</v>
      </c>
      <c r="N2045">
        <v>45.42</v>
      </c>
      <c r="O2045" s="49">
        <v>45071</v>
      </c>
      <c r="P2045" s="50">
        <v>387.27000000000004</v>
      </c>
    </row>
    <row r="2046" spans="4:16" x14ac:dyDescent="0.2">
      <c r="D2046">
        <v>100001236</v>
      </c>
      <c r="E2046" s="49">
        <v>44430</v>
      </c>
      <c r="F2046" t="s">
        <v>3083</v>
      </c>
      <c r="G2046" t="s">
        <v>2484</v>
      </c>
      <c r="H2046">
        <v>10</v>
      </c>
      <c r="I2046">
        <v>43.25</v>
      </c>
      <c r="J2046" s="50">
        <v>432.5</v>
      </c>
      <c r="K2046" t="s">
        <v>1632</v>
      </c>
      <c r="M2046" t="s">
        <v>1619</v>
      </c>
      <c r="N2046">
        <v>22.83</v>
      </c>
      <c r="O2046" s="49">
        <v>44435</v>
      </c>
      <c r="P2046" s="50">
        <v>194.625</v>
      </c>
    </row>
    <row r="2047" spans="4:16" x14ac:dyDescent="0.2">
      <c r="D2047">
        <v>100001236</v>
      </c>
      <c r="E2047" s="49">
        <v>45370</v>
      </c>
      <c r="F2047" t="s">
        <v>3083</v>
      </c>
      <c r="G2047" t="s">
        <v>1740</v>
      </c>
      <c r="H2047">
        <v>2</v>
      </c>
      <c r="I2047">
        <v>32.82</v>
      </c>
      <c r="J2047" s="50">
        <v>65.64</v>
      </c>
      <c r="K2047" t="s">
        <v>1632</v>
      </c>
      <c r="M2047" t="s">
        <v>1619</v>
      </c>
      <c r="N2047">
        <v>17.32</v>
      </c>
      <c r="O2047" s="49">
        <v>45371</v>
      </c>
      <c r="P2047" s="50">
        <v>29.538</v>
      </c>
    </row>
    <row r="2048" spans="4:16" x14ac:dyDescent="0.2">
      <c r="D2048">
        <v>100001236</v>
      </c>
      <c r="E2048" s="49">
        <v>44890</v>
      </c>
      <c r="F2048" t="s">
        <v>3083</v>
      </c>
      <c r="G2048" t="s">
        <v>1939</v>
      </c>
      <c r="H2048">
        <v>1</v>
      </c>
      <c r="I2048">
        <v>24</v>
      </c>
      <c r="J2048" s="50">
        <v>24</v>
      </c>
      <c r="K2048" t="s">
        <v>1632</v>
      </c>
      <c r="M2048" t="s">
        <v>1627</v>
      </c>
      <c r="N2048">
        <v>12.67</v>
      </c>
      <c r="O2048" s="49">
        <v>44895</v>
      </c>
      <c r="P2048" s="50">
        <v>10.8</v>
      </c>
    </row>
    <row r="2049" spans="4:16" x14ac:dyDescent="0.2">
      <c r="D2049">
        <v>100001237</v>
      </c>
      <c r="E2049" s="49">
        <v>45316</v>
      </c>
      <c r="F2049" t="s">
        <v>3084</v>
      </c>
      <c r="G2049" t="s">
        <v>1817</v>
      </c>
      <c r="H2049">
        <v>9</v>
      </c>
      <c r="I2049">
        <v>104.28</v>
      </c>
      <c r="J2049" s="50">
        <v>938.52</v>
      </c>
      <c r="K2049" t="s">
        <v>1632</v>
      </c>
      <c r="L2049" t="s">
        <v>3085</v>
      </c>
      <c r="M2049" t="s">
        <v>1627</v>
      </c>
      <c r="N2049">
        <v>55.04</v>
      </c>
      <c r="O2049" s="49">
        <v>45319</v>
      </c>
      <c r="P2049" s="50">
        <v>422.334</v>
      </c>
    </row>
    <row r="2050" spans="4:16" x14ac:dyDescent="0.2">
      <c r="D2050">
        <v>100001237</v>
      </c>
      <c r="E2050" s="49">
        <v>44907</v>
      </c>
      <c r="F2050" t="s">
        <v>3084</v>
      </c>
      <c r="G2050" t="s">
        <v>2344</v>
      </c>
      <c r="H2050">
        <v>6</v>
      </c>
      <c r="I2050">
        <v>77.08</v>
      </c>
      <c r="J2050" s="50">
        <v>462.48</v>
      </c>
      <c r="K2050" t="s">
        <v>1632</v>
      </c>
      <c r="L2050" t="s">
        <v>3085</v>
      </c>
      <c r="M2050" t="s">
        <v>1619</v>
      </c>
      <c r="N2050">
        <v>40.68</v>
      </c>
      <c r="O2050" s="49">
        <v>44910</v>
      </c>
      <c r="P2050" s="50">
        <v>208.11600000000001</v>
      </c>
    </row>
    <row r="2051" spans="4:16" x14ac:dyDescent="0.2">
      <c r="D2051">
        <v>100001237</v>
      </c>
      <c r="E2051" s="49">
        <v>44441</v>
      </c>
      <c r="F2051" t="s">
        <v>3084</v>
      </c>
      <c r="G2051" t="s">
        <v>2745</v>
      </c>
      <c r="H2051">
        <v>6</v>
      </c>
      <c r="I2051">
        <v>47.19</v>
      </c>
      <c r="J2051" s="50">
        <v>283.14</v>
      </c>
      <c r="K2051" t="s">
        <v>1632</v>
      </c>
      <c r="L2051" t="s">
        <v>3085</v>
      </c>
      <c r="M2051" t="s">
        <v>1627</v>
      </c>
      <c r="N2051">
        <v>24.91</v>
      </c>
      <c r="O2051" s="49">
        <v>44446</v>
      </c>
      <c r="P2051" s="50">
        <v>127.413</v>
      </c>
    </row>
    <row r="2052" spans="4:16" x14ac:dyDescent="0.2">
      <c r="D2052">
        <v>100001237</v>
      </c>
      <c r="E2052" s="49">
        <v>44876</v>
      </c>
      <c r="F2052" t="s">
        <v>3084</v>
      </c>
      <c r="G2052" t="s">
        <v>1742</v>
      </c>
      <c r="H2052">
        <v>3</v>
      </c>
      <c r="I2052">
        <v>59.03</v>
      </c>
      <c r="J2052" s="50">
        <v>177.09</v>
      </c>
      <c r="K2052" t="s">
        <v>1632</v>
      </c>
      <c r="L2052" t="s">
        <v>3085</v>
      </c>
      <c r="M2052" t="s">
        <v>1619</v>
      </c>
      <c r="N2052">
        <v>31.15</v>
      </c>
      <c r="O2052" s="49">
        <v>44879</v>
      </c>
      <c r="P2052" s="50">
        <v>79.6905</v>
      </c>
    </row>
    <row r="2053" spans="4:16" x14ac:dyDescent="0.2">
      <c r="D2053">
        <v>100001237</v>
      </c>
      <c r="E2053" s="49">
        <v>45043</v>
      </c>
      <c r="F2053" t="s">
        <v>3084</v>
      </c>
      <c r="G2053" t="s">
        <v>2096</v>
      </c>
      <c r="H2053">
        <v>7</v>
      </c>
      <c r="I2053">
        <v>43.76</v>
      </c>
      <c r="J2053" s="50">
        <v>306.32</v>
      </c>
      <c r="K2053" t="s">
        <v>1632</v>
      </c>
      <c r="L2053" t="s">
        <v>3085</v>
      </c>
      <c r="M2053" t="s">
        <v>1627</v>
      </c>
      <c r="N2053">
        <v>23.1</v>
      </c>
      <c r="O2053" s="49">
        <v>45045</v>
      </c>
      <c r="P2053" s="50">
        <v>137.84399999999999</v>
      </c>
    </row>
    <row r="2054" spans="4:16" x14ac:dyDescent="0.2">
      <c r="D2054">
        <v>100001237</v>
      </c>
      <c r="E2054" s="49">
        <v>45148</v>
      </c>
      <c r="F2054" t="s">
        <v>3084</v>
      </c>
      <c r="G2054" t="s">
        <v>2192</v>
      </c>
      <c r="H2054">
        <v>6</v>
      </c>
      <c r="I2054">
        <v>114.26</v>
      </c>
      <c r="J2054" s="50">
        <v>685.56000000000006</v>
      </c>
      <c r="K2054" t="s">
        <v>1632</v>
      </c>
      <c r="L2054" t="s">
        <v>3085</v>
      </c>
      <c r="M2054" t="s">
        <v>1619</v>
      </c>
      <c r="N2054">
        <v>60.3</v>
      </c>
      <c r="O2054" s="49">
        <v>45149</v>
      </c>
      <c r="P2054" s="50">
        <v>308.50200000000001</v>
      </c>
    </row>
    <row r="2055" spans="4:16" x14ac:dyDescent="0.2">
      <c r="D2055">
        <v>100001237</v>
      </c>
      <c r="E2055" s="49">
        <v>44492</v>
      </c>
      <c r="F2055" t="s">
        <v>3084</v>
      </c>
      <c r="G2055" t="s">
        <v>1918</v>
      </c>
      <c r="H2055">
        <v>5</v>
      </c>
      <c r="I2055">
        <v>117.6</v>
      </c>
      <c r="J2055" s="50">
        <v>588</v>
      </c>
      <c r="K2055" t="s">
        <v>1632</v>
      </c>
      <c r="L2055" t="s">
        <v>3085</v>
      </c>
      <c r="M2055" t="s">
        <v>1619</v>
      </c>
      <c r="N2055">
        <v>62.07</v>
      </c>
      <c r="O2055" s="49">
        <v>44494</v>
      </c>
      <c r="P2055" s="50">
        <v>264.60000000000002</v>
      </c>
    </row>
    <row r="2056" spans="4:16" x14ac:dyDescent="0.2">
      <c r="D2056">
        <v>100001237</v>
      </c>
      <c r="E2056" s="49">
        <v>44845</v>
      </c>
      <c r="F2056" t="s">
        <v>3084</v>
      </c>
      <c r="G2056" t="s">
        <v>1823</v>
      </c>
      <c r="H2056">
        <v>9</v>
      </c>
      <c r="I2056">
        <v>33.479999999999997</v>
      </c>
      <c r="J2056" s="50">
        <v>301.32</v>
      </c>
      <c r="K2056" t="s">
        <v>1632</v>
      </c>
      <c r="L2056" t="s">
        <v>3085</v>
      </c>
      <c r="M2056" t="s">
        <v>1627</v>
      </c>
      <c r="N2056">
        <v>17.670000000000002</v>
      </c>
      <c r="O2056" s="49">
        <v>44848</v>
      </c>
      <c r="P2056" s="50">
        <v>135.59399999999999</v>
      </c>
    </row>
    <row r="2057" spans="4:16" x14ac:dyDescent="0.2">
      <c r="D2057">
        <v>100001238</v>
      </c>
      <c r="E2057" s="49">
        <v>44363</v>
      </c>
      <c r="F2057" t="s">
        <v>3086</v>
      </c>
      <c r="G2057" t="s">
        <v>2240</v>
      </c>
      <c r="H2057">
        <v>6</v>
      </c>
      <c r="I2057">
        <v>13.31</v>
      </c>
      <c r="J2057" s="50">
        <v>79.86</v>
      </c>
      <c r="K2057" t="s">
        <v>1632</v>
      </c>
      <c r="L2057" t="s">
        <v>3087</v>
      </c>
      <c r="M2057" t="s">
        <v>1621</v>
      </c>
      <c r="N2057">
        <v>7.02</v>
      </c>
      <c r="O2057" s="49">
        <v>44367</v>
      </c>
      <c r="P2057" s="50">
        <v>35.936999999999998</v>
      </c>
    </row>
    <row r="2058" spans="4:16" x14ac:dyDescent="0.2">
      <c r="D2058">
        <v>100001240</v>
      </c>
      <c r="E2058" s="49">
        <v>44656</v>
      </c>
      <c r="F2058" t="s">
        <v>3088</v>
      </c>
      <c r="G2058" t="s">
        <v>1637</v>
      </c>
      <c r="H2058">
        <v>7</v>
      </c>
      <c r="I2058">
        <v>111.51</v>
      </c>
      <c r="J2058" s="50">
        <v>780.57</v>
      </c>
      <c r="K2058" t="s">
        <v>1632</v>
      </c>
      <c r="L2058" t="s">
        <v>3089</v>
      </c>
      <c r="M2058" t="s">
        <v>1621</v>
      </c>
      <c r="N2058">
        <v>58.85</v>
      </c>
      <c r="O2058" s="49">
        <v>44661</v>
      </c>
      <c r="P2058" s="50">
        <v>351.25650000000002</v>
      </c>
    </row>
    <row r="2059" spans="4:16" x14ac:dyDescent="0.2">
      <c r="D2059">
        <v>100001244</v>
      </c>
      <c r="E2059" s="49">
        <v>45236</v>
      </c>
      <c r="F2059" t="s">
        <v>3090</v>
      </c>
      <c r="G2059" t="s">
        <v>1688</v>
      </c>
      <c r="H2059">
        <v>1</v>
      </c>
      <c r="I2059">
        <v>100.14</v>
      </c>
      <c r="J2059" s="50">
        <v>100.14</v>
      </c>
      <c r="K2059" t="s">
        <v>1618</v>
      </c>
      <c r="M2059" t="s">
        <v>1624</v>
      </c>
      <c r="N2059">
        <v>52.85</v>
      </c>
      <c r="O2059" s="49">
        <v>45239</v>
      </c>
      <c r="P2059" s="50">
        <v>45.063000000000002</v>
      </c>
    </row>
    <row r="2060" spans="4:16" x14ac:dyDescent="0.2">
      <c r="D2060">
        <v>100001249</v>
      </c>
      <c r="E2060" s="49">
        <v>44880</v>
      </c>
      <c r="F2060" t="s">
        <v>3091</v>
      </c>
      <c r="G2060" t="s">
        <v>1620</v>
      </c>
      <c r="H2060">
        <v>4</v>
      </c>
      <c r="I2060">
        <v>69.709999999999994</v>
      </c>
      <c r="J2060" s="50">
        <v>278.83999999999997</v>
      </c>
      <c r="K2060" t="s">
        <v>1632</v>
      </c>
      <c r="M2060" t="s">
        <v>1627</v>
      </c>
      <c r="N2060">
        <v>36.79</v>
      </c>
      <c r="O2060" s="49">
        <v>44881</v>
      </c>
      <c r="P2060" s="50">
        <v>125.47799999999999</v>
      </c>
    </row>
    <row r="2061" spans="4:16" x14ac:dyDescent="0.2">
      <c r="D2061">
        <v>100001249</v>
      </c>
      <c r="E2061" s="49">
        <v>45104</v>
      </c>
      <c r="F2061" t="s">
        <v>3091</v>
      </c>
      <c r="G2061" t="s">
        <v>2158</v>
      </c>
      <c r="H2061">
        <v>3</v>
      </c>
      <c r="I2061">
        <v>51.87</v>
      </c>
      <c r="J2061" s="50">
        <v>155.61000000000001</v>
      </c>
      <c r="K2061" t="s">
        <v>1632</v>
      </c>
      <c r="M2061" t="s">
        <v>1624</v>
      </c>
      <c r="N2061">
        <v>27.38</v>
      </c>
      <c r="O2061" s="49">
        <v>45107</v>
      </c>
      <c r="P2061" s="50">
        <v>70.024500000000003</v>
      </c>
    </row>
    <row r="2062" spans="4:16" x14ac:dyDescent="0.2">
      <c r="D2062">
        <v>100001250</v>
      </c>
      <c r="E2062" s="49">
        <v>45629</v>
      </c>
      <c r="F2062" t="s">
        <v>3092</v>
      </c>
      <c r="G2062" t="s">
        <v>2217</v>
      </c>
      <c r="H2062">
        <v>4</v>
      </c>
      <c r="I2062">
        <v>87.28</v>
      </c>
      <c r="J2062" s="50">
        <v>349.12</v>
      </c>
      <c r="K2062" t="s">
        <v>1632</v>
      </c>
      <c r="L2062" t="s">
        <v>3093</v>
      </c>
      <c r="M2062" t="s">
        <v>1627</v>
      </c>
      <c r="N2062">
        <v>46.06</v>
      </c>
      <c r="O2062" s="49">
        <v>45630</v>
      </c>
      <c r="P2062" s="50">
        <v>157.10400000000001</v>
      </c>
    </row>
    <row r="2063" spans="4:16" x14ac:dyDescent="0.2">
      <c r="D2063">
        <v>100001250</v>
      </c>
      <c r="E2063" s="49">
        <v>44569</v>
      </c>
      <c r="F2063" t="s">
        <v>3092</v>
      </c>
      <c r="G2063" t="s">
        <v>1971</v>
      </c>
      <c r="H2063">
        <v>8</v>
      </c>
      <c r="I2063">
        <v>82.13</v>
      </c>
      <c r="J2063" s="50">
        <v>657.04</v>
      </c>
      <c r="K2063" t="s">
        <v>1632</v>
      </c>
      <c r="L2063" t="s">
        <v>3093</v>
      </c>
      <c r="M2063" t="s">
        <v>1621</v>
      </c>
      <c r="N2063">
        <v>43.35</v>
      </c>
      <c r="O2063" s="49">
        <v>44571</v>
      </c>
      <c r="P2063" s="50">
        <v>295.66800000000001</v>
      </c>
    </row>
    <row r="2064" spans="4:16" x14ac:dyDescent="0.2">
      <c r="D2064">
        <v>100001250</v>
      </c>
      <c r="E2064" s="49">
        <v>45531</v>
      </c>
      <c r="F2064" t="s">
        <v>3092</v>
      </c>
      <c r="G2064" t="s">
        <v>1880</v>
      </c>
      <c r="H2064">
        <v>10</v>
      </c>
      <c r="I2064">
        <v>29.37</v>
      </c>
      <c r="J2064" s="50">
        <v>293.7</v>
      </c>
      <c r="K2064" t="s">
        <v>1632</v>
      </c>
      <c r="L2064" t="s">
        <v>3093</v>
      </c>
      <c r="M2064" t="s">
        <v>1621</v>
      </c>
      <c r="N2064">
        <v>15.5</v>
      </c>
      <c r="O2064" s="49">
        <v>45534</v>
      </c>
      <c r="P2064" s="50">
        <v>132.16499999999999</v>
      </c>
    </row>
    <row r="2065" spans="4:16" x14ac:dyDescent="0.2">
      <c r="D2065">
        <v>100001250</v>
      </c>
      <c r="E2065" s="49">
        <v>45557</v>
      </c>
      <c r="F2065" t="s">
        <v>3092</v>
      </c>
      <c r="G2065" t="s">
        <v>2393</v>
      </c>
      <c r="H2065">
        <v>2</v>
      </c>
      <c r="I2065">
        <v>34.299999999999997</v>
      </c>
      <c r="J2065" s="50">
        <v>68.599999999999994</v>
      </c>
      <c r="K2065" t="s">
        <v>1632</v>
      </c>
      <c r="L2065" t="s">
        <v>3093</v>
      </c>
      <c r="M2065" t="s">
        <v>1629</v>
      </c>
      <c r="N2065">
        <v>18.100000000000001</v>
      </c>
      <c r="O2065" s="49">
        <v>45559</v>
      </c>
      <c r="P2065" s="50">
        <v>30.869999999999997</v>
      </c>
    </row>
    <row r="2066" spans="4:16" x14ac:dyDescent="0.2">
      <c r="D2066">
        <v>100001250</v>
      </c>
      <c r="E2066" s="49">
        <v>44594</v>
      </c>
      <c r="F2066" t="s">
        <v>3092</v>
      </c>
      <c r="G2066" t="s">
        <v>2194</v>
      </c>
      <c r="H2066">
        <v>10</v>
      </c>
      <c r="I2066">
        <v>74.180000000000007</v>
      </c>
      <c r="J2066" s="50">
        <v>741.80000000000007</v>
      </c>
      <c r="K2066" t="s">
        <v>1632</v>
      </c>
      <c r="L2066" t="s">
        <v>3093</v>
      </c>
      <c r="M2066" t="s">
        <v>1619</v>
      </c>
      <c r="N2066">
        <v>39.15</v>
      </c>
      <c r="O2066" s="49">
        <v>44595</v>
      </c>
      <c r="P2066" s="50">
        <v>333.81000000000006</v>
      </c>
    </row>
    <row r="2067" spans="4:16" x14ac:dyDescent="0.2">
      <c r="D2067">
        <v>100001251</v>
      </c>
      <c r="E2067" s="49">
        <v>44806</v>
      </c>
      <c r="F2067" t="s">
        <v>3094</v>
      </c>
      <c r="G2067" t="s">
        <v>2003</v>
      </c>
      <c r="H2067">
        <v>5</v>
      </c>
      <c r="I2067">
        <v>37.19</v>
      </c>
      <c r="J2067" s="50">
        <v>185.95</v>
      </c>
      <c r="K2067" t="s">
        <v>1618</v>
      </c>
      <c r="M2067" t="s">
        <v>1624</v>
      </c>
      <c r="N2067">
        <v>19.63</v>
      </c>
      <c r="O2067" s="49">
        <v>44811</v>
      </c>
      <c r="P2067" s="50">
        <v>83.677499999999995</v>
      </c>
    </row>
    <row r="2068" spans="4:16" x14ac:dyDescent="0.2">
      <c r="D2068">
        <v>100001251</v>
      </c>
      <c r="E2068" s="49">
        <v>45238</v>
      </c>
      <c r="F2068" t="s">
        <v>3094</v>
      </c>
      <c r="G2068" t="s">
        <v>1944</v>
      </c>
      <c r="H2068">
        <v>7</v>
      </c>
      <c r="I2068">
        <v>119.38</v>
      </c>
      <c r="J2068" s="50">
        <v>835.66</v>
      </c>
      <c r="K2068" t="s">
        <v>1618</v>
      </c>
      <c r="M2068" t="s">
        <v>1629</v>
      </c>
      <c r="N2068">
        <v>63.01</v>
      </c>
      <c r="O2068" s="49">
        <v>45242</v>
      </c>
      <c r="P2068" s="50">
        <v>376.04699999999997</v>
      </c>
    </row>
    <row r="2069" spans="4:16" x14ac:dyDescent="0.2">
      <c r="D2069">
        <v>100001252</v>
      </c>
      <c r="E2069" s="49">
        <v>45218</v>
      </c>
      <c r="F2069" t="s">
        <v>3095</v>
      </c>
      <c r="G2069" t="s">
        <v>1674</v>
      </c>
      <c r="H2069">
        <v>10</v>
      </c>
      <c r="I2069">
        <v>84.09</v>
      </c>
      <c r="J2069" s="50">
        <v>840.90000000000009</v>
      </c>
      <c r="K2069" t="s">
        <v>1632</v>
      </c>
      <c r="M2069" t="s">
        <v>1629</v>
      </c>
      <c r="N2069">
        <v>44.38</v>
      </c>
      <c r="O2069" s="49">
        <v>45223</v>
      </c>
      <c r="P2069" s="50">
        <v>378.40500000000003</v>
      </c>
    </row>
    <row r="2070" spans="4:16" x14ac:dyDescent="0.2">
      <c r="D2070">
        <v>100001252</v>
      </c>
      <c r="E2070" s="49">
        <v>45214</v>
      </c>
      <c r="F2070" t="s">
        <v>3095</v>
      </c>
      <c r="G2070" t="s">
        <v>1856</v>
      </c>
      <c r="H2070">
        <v>6</v>
      </c>
      <c r="I2070">
        <v>93.93</v>
      </c>
      <c r="J2070" s="50">
        <v>563.58000000000004</v>
      </c>
      <c r="K2070" t="s">
        <v>1632</v>
      </c>
      <c r="M2070" t="s">
        <v>1619</v>
      </c>
      <c r="N2070">
        <v>49.57</v>
      </c>
      <c r="O2070" s="49">
        <v>45217</v>
      </c>
      <c r="P2070" s="50">
        <v>253.61100000000002</v>
      </c>
    </row>
    <row r="2071" spans="4:16" x14ac:dyDescent="0.2">
      <c r="D2071">
        <v>100001253</v>
      </c>
      <c r="E2071" s="49">
        <v>44941</v>
      </c>
      <c r="F2071" t="s">
        <v>3096</v>
      </c>
      <c r="G2071" t="s">
        <v>1751</v>
      </c>
      <c r="H2071">
        <v>6</v>
      </c>
      <c r="I2071">
        <v>117.13</v>
      </c>
      <c r="J2071" s="50">
        <v>702.78</v>
      </c>
      <c r="K2071" t="s">
        <v>1618</v>
      </c>
      <c r="M2071" t="s">
        <v>1629</v>
      </c>
      <c r="N2071">
        <v>61.82</v>
      </c>
      <c r="O2071" s="49">
        <v>44945</v>
      </c>
      <c r="P2071" s="50">
        <v>316.25099999999998</v>
      </c>
    </row>
    <row r="2072" spans="4:16" x14ac:dyDescent="0.2">
      <c r="D2072">
        <v>100001254</v>
      </c>
      <c r="E2072" s="49">
        <v>44543</v>
      </c>
      <c r="F2072" t="s">
        <v>3097</v>
      </c>
      <c r="G2072" t="s">
        <v>1855</v>
      </c>
      <c r="H2072">
        <v>3</v>
      </c>
      <c r="I2072">
        <v>67.98</v>
      </c>
      <c r="J2072" s="50">
        <v>203.94</v>
      </c>
      <c r="K2072" t="s">
        <v>1632</v>
      </c>
      <c r="L2072" t="s">
        <v>3098</v>
      </c>
      <c r="M2072" t="s">
        <v>1624</v>
      </c>
      <c r="N2072">
        <v>35.880000000000003</v>
      </c>
      <c r="O2072" s="49">
        <v>44546</v>
      </c>
      <c r="P2072" s="50">
        <v>91.772999999999996</v>
      </c>
    </row>
    <row r="2073" spans="4:16" x14ac:dyDescent="0.2">
      <c r="D2073">
        <v>100001254</v>
      </c>
      <c r="E2073" s="49">
        <v>45347</v>
      </c>
      <c r="F2073" t="s">
        <v>3097</v>
      </c>
      <c r="G2073" t="s">
        <v>2762</v>
      </c>
      <c r="H2073">
        <v>4</v>
      </c>
      <c r="I2073">
        <v>78.099999999999994</v>
      </c>
      <c r="J2073" s="50">
        <v>312.39999999999998</v>
      </c>
      <c r="K2073" t="s">
        <v>1632</v>
      </c>
      <c r="L2073" t="s">
        <v>3098</v>
      </c>
      <c r="M2073" t="s">
        <v>1629</v>
      </c>
      <c r="N2073">
        <v>41.22</v>
      </c>
      <c r="O2073" s="49">
        <v>45349</v>
      </c>
      <c r="P2073" s="50">
        <v>140.57999999999998</v>
      </c>
    </row>
    <row r="2074" spans="4:16" x14ac:dyDescent="0.2">
      <c r="D2074">
        <v>100001254</v>
      </c>
      <c r="E2074" s="49">
        <v>44626</v>
      </c>
      <c r="F2074" t="s">
        <v>3097</v>
      </c>
      <c r="G2074" t="s">
        <v>1705</v>
      </c>
      <c r="H2074">
        <v>1</v>
      </c>
      <c r="I2074">
        <v>10.7</v>
      </c>
      <c r="J2074" s="50">
        <v>10.7</v>
      </c>
      <c r="K2074" t="s">
        <v>1632</v>
      </c>
      <c r="L2074" t="s">
        <v>3098</v>
      </c>
      <c r="M2074" t="s">
        <v>1629</v>
      </c>
      <c r="N2074">
        <v>5.65</v>
      </c>
      <c r="O2074" s="49">
        <v>44627</v>
      </c>
      <c r="P2074" s="50">
        <v>4.8149999999999995</v>
      </c>
    </row>
    <row r="2075" spans="4:16" x14ac:dyDescent="0.2">
      <c r="D2075">
        <v>100001254</v>
      </c>
      <c r="E2075" s="49">
        <v>45097</v>
      </c>
      <c r="F2075" t="s">
        <v>3097</v>
      </c>
      <c r="G2075" t="s">
        <v>2112</v>
      </c>
      <c r="H2075">
        <v>6</v>
      </c>
      <c r="I2075">
        <v>74.040000000000006</v>
      </c>
      <c r="J2075" s="50">
        <v>444.24</v>
      </c>
      <c r="K2075" t="s">
        <v>1632</v>
      </c>
      <c r="L2075" t="s">
        <v>3098</v>
      </c>
      <c r="M2075" t="s">
        <v>1624</v>
      </c>
      <c r="N2075">
        <v>39.08</v>
      </c>
      <c r="O2075" s="49">
        <v>45099</v>
      </c>
      <c r="P2075" s="50">
        <v>199.90800000000002</v>
      </c>
    </row>
    <row r="2076" spans="4:16" x14ac:dyDescent="0.2">
      <c r="D2076">
        <v>100001254</v>
      </c>
      <c r="E2076" s="49">
        <v>45534</v>
      </c>
      <c r="F2076" t="s">
        <v>3097</v>
      </c>
      <c r="G2076" t="s">
        <v>1620</v>
      </c>
      <c r="H2076">
        <v>8</v>
      </c>
      <c r="I2076">
        <v>76.349999999999994</v>
      </c>
      <c r="J2076" s="50">
        <v>610.79999999999995</v>
      </c>
      <c r="K2076" t="s">
        <v>1632</v>
      </c>
      <c r="L2076" t="s">
        <v>3098</v>
      </c>
      <c r="M2076" t="s">
        <v>1627</v>
      </c>
      <c r="N2076">
        <v>40.299999999999997</v>
      </c>
      <c r="O2076" s="49">
        <v>45535</v>
      </c>
      <c r="P2076" s="50">
        <v>274.86</v>
      </c>
    </row>
    <row r="2077" spans="4:16" x14ac:dyDescent="0.2">
      <c r="D2077">
        <v>100001254</v>
      </c>
      <c r="E2077" s="49">
        <v>44921</v>
      </c>
      <c r="F2077" t="s">
        <v>3097</v>
      </c>
      <c r="G2077" t="s">
        <v>2134</v>
      </c>
      <c r="H2077">
        <v>1</v>
      </c>
      <c r="I2077">
        <v>95.97</v>
      </c>
      <c r="J2077" s="50">
        <v>95.97</v>
      </c>
      <c r="K2077" t="s">
        <v>1632</v>
      </c>
      <c r="L2077" t="s">
        <v>3098</v>
      </c>
      <c r="M2077" t="s">
        <v>1624</v>
      </c>
      <c r="N2077">
        <v>50.65</v>
      </c>
      <c r="O2077" s="49">
        <v>44924</v>
      </c>
      <c r="P2077" s="50">
        <v>43.186500000000002</v>
      </c>
    </row>
    <row r="2078" spans="4:16" x14ac:dyDescent="0.2">
      <c r="D2078">
        <v>100001254</v>
      </c>
      <c r="E2078" s="49">
        <v>45170</v>
      </c>
      <c r="F2078" t="s">
        <v>3097</v>
      </c>
      <c r="G2078" t="s">
        <v>1647</v>
      </c>
      <c r="H2078">
        <v>10</v>
      </c>
      <c r="I2078">
        <v>83.5</v>
      </c>
      <c r="J2078" s="50">
        <v>835</v>
      </c>
      <c r="K2078" t="s">
        <v>1632</v>
      </c>
      <c r="L2078" t="s">
        <v>3098</v>
      </c>
      <c r="M2078" t="s">
        <v>1621</v>
      </c>
      <c r="N2078">
        <v>44.07</v>
      </c>
      <c r="O2078" s="49">
        <v>45173</v>
      </c>
      <c r="P2078" s="50">
        <v>375.75</v>
      </c>
    </row>
    <row r="2079" spans="4:16" x14ac:dyDescent="0.2">
      <c r="D2079">
        <v>100001254</v>
      </c>
      <c r="E2079" s="49">
        <v>45569</v>
      </c>
      <c r="F2079" t="s">
        <v>3097</v>
      </c>
      <c r="G2079" t="s">
        <v>1707</v>
      </c>
      <c r="H2079">
        <v>7</v>
      </c>
      <c r="I2079">
        <v>88.22</v>
      </c>
      <c r="J2079" s="50">
        <v>617.54</v>
      </c>
      <c r="K2079" t="s">
        <v>1632</v>
      </c>
      <c r="L2079" t="s">
        <v>3098</v>
      </c>
      <c r="M2079" t="s">
        <v>1629</v>
      </c>
      <c r="N2079">
        <v>46.56</v>
      </c>
      <c r="O2079" s="49">
        <v>45574</v>
      </c>
      <c r="P2079" s="50">
        <v>277.89299999999997</v>
      </c>
    </row>
    <row r="2080" spans="4:16" x14ac:dyDescent="0.2">
      <c r="D2080">
        <v>100001256</v>
      </c>
      <c r="E2080" s="49">
        <v>45339</v>
      </c>
      <c r="F2080" t="s">
        <v>3099</v>
      </c>
      <c r="G2080" t="s">
        <v>1823</v>
      </c>
      <c r="H2080">
        <v>3</v>
      </c>
      <c r="I2080">
        <v>80.33</v>
      </c>
      <c r="J2080" s="50">
        <v>240.99</v>
      </c>
      <c r="K2080" t="s">
        <v>1618</v>
      </c>
      <c r="M2080" t="s">
        <v>1629</v>
      </c>
      <c r="N2080">
        <v>42.4</v>
      </c>
      <c r="O2080" s="49">
        <v>45344</v>
      </c>
      <c r="P2080" s="50">
        <v>108.44550000000001</v>
      </c>
    </row>
    <row r="2081" spans="4:16" x14ac:dyDescent="0.2">
      <c r="D2081">
        <v>100001256</v>
      </c>
      <c r="E2081" s="49">
        <v>45402</v>
      </c>
      <c r="F2081" t="s">
        <v>3099</v>
      </c>
      <c r="G2081" t="s">
        <v>1645</v>
      </c>
      <c r="H2081">
        <v>10</v>
      </c>
      <c r="I2081">
        <v>65.959999999999994</v>
      </c>
      <c r="J2081" s="50">
        <v>659.59999999999991</v>
      </c>
      <c r="K2081" t="s">
        <v>1618</v>
      </c>
      <c r="M2081" t="s">
        <v>1627</v>
      </c>
      <c r="N2081">
        <v>34.81</v>
      </c>
      <c r="O2081" s="49">
        <v>45403</v>
      </c>
      <c r="P2081" s="50">
        <v>296.82</v>
      </c>
    </row>
    <row r="2082" spans="4:16" x14ac:dyDescent="0.2">
      <c r="D2082">
        <v>100001257</v>
      </c>
      <c r="E2082" s="49">
        <v>45200</v>
      </c>
      <c r="F2082" t="s">
        <v>3100</v>
      </c>
      <c r="G2082" t="s">
        <v>2344</v>
      </c>
      <c r="H2082">
        <v>1</v>
      </c>
      <c r="I2082">
        <v>67.34</v>
      </c>
      <c r="J2082" s="50">
        <v>67.34</v>
      </c>
      <c r="K2082" t="s">
        <v>1618</v>
      </c>
      <c r="M2082" t="s">
        <v>1619</v>
      </c>
      <c r="N2082">
        <v>35.54</v>
      </c>
      <c r="O2082" s="49">
        <v>45201</v>
      </c>
      <c r="P2082" s="50">
        <v>30.303000000000001</v>
      </c>
    </row>
    <row r="2083" spans="4:16" x14ac:dyDescent="0.2">
      <c r="D2083">
        <v>100001258</v>
      </c>
      <c r="E2083" s="49">
        <v>45518</v>
      </c>
      <c r="F2083" t="s">
        <v>3101</v>
      </c>
      <c r="G2083" t="s">
        <v>2048</v>
      </c>
      <c r="H2083">
        <v>9</v>
      </c>
      <c r="I2083">
        <v>103.2</v>
      </c>
      <c r="J2083" s="50">
        <v>928.80000000000007</v>
      </c>
      <c r="K2083" t="s">
        <v>1618</v>
      </c>
      <c r="M2083" t="s">
        <v>1627</v>
      </c>
      <c r="N2083">
        <v>54.47</v>
      </c>
      <c r="O2083" s="49">
        <v>45523</v>
      </c>
      <c r="P2083" s="50">
        <v>417.96000000000004</v>
      </c>
    </row>
    <row r="2084" spans="4:16" x14ac:dyDescent="0.2">
      <c r="D2084">
        <v>100001258</v>
      </c>
      <c r="E2084" s="49">
        <v>44872</v>
      </c>
      <c r="F2084" t="s">
        <v>3101</v>
      </c>
      <c r="G2084" t="s">
        <v>1739</v>
      </c>
      <c r="H2084">
        <v>8</v>
      </c>
      <c r="I2084">
        <v>39.04</v>
      </c>
      <c r="J2084" s="50">
        <v>312.32</v>
      </c>
      <c r="K2084" t="s">
        <v>1618</v>
      </c>
      <c r="M2084" t="s">
        <v>1624</v>
      </c>
      <c r="N2084">
        <v>20.6</v>
      </c>
      <c r="O2084" s="49">
        <v>44874</v>
      </c>
      <c r="P2084" s="50">
        <v>140.54400000000001</v>
      </c>
    </row>
    <row r="2085" spans="4:16" x14ac:dyDescent="0.2">
      <c r="D2085">
        <v>100001258</v>
      </c>
      <c r="E2085" s="49">
        <v>44450</v>
      </c>
      <c r="F2085" t="s">
        <v>3101</v>
      </c>
      <c r="G2085" t="s">
        <v>1783</v>
      </c>
      <c r="H2085">
        <v>8</v>
      </c>
      <c r="I2085">
        <v>77.58</v>
      </c>
      <c r="J2085" s="50">
        <v>620.64</v>
      </c>
      <c r="K2085" t="s">
        <v>1618</v>
      </c>
      <c r="M2085" t="s">
        <v>1624</v>
      </c>
      <c r="N2085">
        <v>40.94</v>
      </c>
      <c r="O2085" s="49">
        <v>44455</v>
      </c>
      <c r="P2085" s="50">
        <v>279.28800000000001</v>
      </c>
    </row>
    <row r="2086" spans="4:16" x14ac:dyDescent="0.2">
      <c r="D2086">
        <v>100001259</v>
      </c>
      <c r="E2086" s="49">
        <v>45604</v>
      </c>
      <c r="F2086" t="s">
        <v>3102</v>
      </c>
      <c r="G2086" t="s">
        <v>2706</v>
      </c>
      <c r="H2086">
        <v>8</v>
      </c>
      <c r="I2086">
        <v>57.06</v>
      </c>
      <c r="J2086" s="50">
        <v>456.48</v>
      </c>
      <c r="K2086" t="s">
        <v>1632</v>
      </c>
      <c r="M2086" t="s">
        <v>1621</v>
      </c>
      <c r="N2086">
        <v>30.11</v>
      </c>
      <c r="O2086" s="49">
        <v>45607</v>
      </c>
      <c r="P2086" s="50">
        <v>205.41600000000003</v>
      </c>
    </row>
    <row r="2087" spans="4:16" x14ac:dyDescent="0.2">
      <c r="D2087">
        <v>100001261</v>
      </c>
      <c r="E2087" s="49">
        <v>45575</v>
      </c>
      <c r="F2087" t="s">
        <v>3103</v>
      </c>
      <c r="G2087" t="s">
        <v>1653</v>
      </c>
      <c r="H2087">
        <v>6</v>
      </c>
      <c r="I2087">
        <v>59.52</v>
      </c>
      <c r="J2087" s="50">
        <v>357.12</v>
      </c>
      <c r="K2087" t="s">
        <v>1618</v>
      </c>
      <c r="M2087" t="s">
        <v>1619</v>
      </c>
      <c r="N2087">
        <v>31.41</v>
      </c>
      <c r="O2087" s="49">
        <v>45577</v>
      </c>
      <c r="P2087" s="50">
        <v>160.70400000000001</v>
      </c>
    </row>
    <row r="2088" spans="4:16" x14ac:dyDescent="0.2">
      <c r="D2088">
        <v>100001262</v>
      </c>
      <c r="E2088" s="49">
        <v>45158</v>
      </c>
      <c r="F2088" t="s">
        <v>3104</v>
      </c>
      <c r="G2088" t="s">
        <v>1765</v>
      </c>
      <c r="H2088">
        <v>5</v>
      </c>
      <c r="I2088">
        <v>103.96</v>
      </c>
      <c r="J2088" s="50">
        <v>519.79999999999995</v>
      </c>
      <c r="K2088" t="s">
        <v>1632</v>
      </c>
      <c r="L2088" t="s">
        <v>3105</v>
      </c>
      <c r="M2088" t="s">
        <v>1629</v>
      </c>
      <c r="N2088">
        <v>54.87</v>
      </c>
      <c r="O2088" s="49">
        <v>45159</v>
      </c>
      <c r="P2088" s="50">
        <v>233.91</v>
      </c>
    </row>
    <row r="2089" spans="4:16" x14ac:dyDescent="0.2">
      <c r="D2089">
        <v>100001262</v>
      </c>
      <c r="E2089" s="49">
        <v>45266</v>
      </c>
      <c r="F2089" t="s">
        <v>3104</v>
      </c>
      <c r="G2089" t="s">
        <v>1978</v>
      </c>
      <c r="H2089">
        <v>3</v>
      </c>
      <c r="I2089">
        <v>86.35</v>
      </c>
      <c r="J2089" s="50">
        <v>259.05</v>
      </c>
      <c r="K2089" t="s">
        <v>1632</v>
      </c>
      <c r="L2089" t="s">
        <v>3105</v>
      </c>
      <c r="M2089" t="s">
        <v>1627</v>
      </c>
      <c r="N2089">
        <v>45.57</v>
      </c>
      <c r="O2089" s="49">
        <v>45270</v>
      </c>
      <c r="P2089" s="50">
        <v>116.57250000000001</v>
      </c>
    </row>
    <row r="2090" spans="4:16" x14ac:dyDescent="0.2">
      <c r="D2090">
        <v>100001262</v>
      </c>
      <c r="E2090" s="49">
        <v>44390</v>
      </c>
      <c r="F2090" t="s">
        <v>3104</v>
      </c>
      <c r="G2090" t="s">
        <v>1953</v>
      </c>
      <c r="H2090">
        <v>3</v>
      </c>
      <c r="I2090">
        <v>29.48</v>
      </c>
      <c r="J2090" s="50">
        <v>88.44</v>
      </c>
      <c r="K2090" t="s">
        <v>1632</v>
      </c>
      <c r="L2090" t="s">
        <v>3105</v>
      </c>
      <c r="M2090" t="s">
        <v>1624</v>
      </c>
      <c r="N2090">
        <v>15.56</v>
      </c>
      <c r="O2090" s="49">
        <v>44392</v>
      </c>
      <c r="P2090" s="50">
        <v>39.798000000000002</v>
      </c>
    </row>
    <row r="2091" spans="4:16" x14ac:dyDescent="0.2">
      <c r="D2091">
        <v>100001263</v>
      </c>
      <c r="E2091" s="49">
        <v>44622</v>
      </c>
      <c r="F2091" t="s">
        <v>3106</v>
      </c>
      <c r="G2091" t="s">
        <v>2585</v>
      </c>
      <c r="H2091">
        <v>10</v>
      </c>
      <c r="I2091">
        <v>11</v>
      </c>
      <c r="J2091" s="50">
        <v>110</v>
      </c>
      <c r="K2091" t="s">
        <v>1632</v>
      </c>
      <c r="M2091" t="s">
        <v>1624</v>
      </c>
      <c r="N2091">
        <v>5.81</v>
      </c>
      <c r="O2091" s="49">
        <v>44627</v>
      </c>
      <c r="P2091" s="50">
        <v>49.5</v>
      </c>
    </row>
    <row r="2092" spans="4:16" x14ac:dyDescent="0.2">
      <c r="D2092">
        <v>100001264</v>
      </c>
      <c r="E2092" s="49">
        <v>45114</v>
      </c>
      <c r="F2092" t="s">
        <v>3107</v>
      </c>
      <c r="G2092" t="s">
        <v>1893</v>
      </c>
      <c r="H2092">
        <v>4</v>
      </c>
      <c r="I2092">
        <v>110.11</v>
      </c>
      <c r="J2092" s="50">
        <v>440.44</v>
      </c>
      <c r="K2092" t="s">
        <v>1632</v>
      </c>
      <c r="M2092" t="s">
        <v>1629</v>
      </c>
      <c r="N2092">
        <v>58.11</v>
      </c>
      <c r="O2092" s="49">
        <v>45117</v>
      </c>
      <c r="P2092" s="50">
        <v>198.19800000000001</v>
      </c>
    </row>
    <row r="2093" spans="4:16" x14ac:dyDescent="0.2">
      <c r="D2093">
        <v>100001265</v>
      </c>
      <c r="E2093" s="49">
        <v>44947</v>
      </c>
      <c r="F2093" t="s">
        <v>3108</v>
      </c>
      <c r="G2093" t="s">
        <v>1807</v>
      </c>
      <c r="H2093">
        <v>1</v>
      </c>
      <c r="I2093">
        <v>58.65</v>
      </c>
      <c r="J2093" s="50">
        <v>58.65</v>
      </c>
      <c r="K2093" t="s">
        <v>1632</v>
      </c>
      <c r="L2093" t="s">
        <v>1960</v>
      </c>
      <c r="M2093" t="s">
        <v>1619</v>
      </c>
      <c r="N2093">
        <v>30.95</v>
      </c>
      <c r="O2093" s="49">
        <v>44948</v>
      </c>
      <c r="P2093" s="50">
        <v>26.392499999999998</v>
      </c>
    </row>
    <row r="2094" spans="4:16" x14ac:dyDescent="0.2">
      <c r="D2094">
        <v>100001265</v>
      </c>
      <c r="E2094" s="49">
        <v>44623</v>
      </c>
      <c r="F2094" t="s">
        <v>3108</v>
      </c>
      <c r="G2094" t="s">
        <v>1815</v>
      </c>
      <c r="H2094">
        <v>10</v>
      </c>
      <c r="I2094">
        <v>91.39</v>
      </c>
      <c r="J2094" s="50">
        <v>913.9</v>
      </c>
      <c r="K2094" t="s">
        <v>1632</v>
      </c>
      <c r="L2094" t="s">
        <v>1960</v>
      </c>
      <c r="M2094" t="s">
        <v>1624</v>
      </c>
      <c r="N2094">
        <v>48.23</v>
      </c>
      <c r="O2094" s="49">
        <v>44628</v>
      </c>
      <c r="P2094" s="50">
        <v>411.255</v>
      </c>
    </row>
    <row r="2095" spans="4:16" x14ac:dyDescent="0.2">
      <c r="D2095">
        <v>100001266</v>
      </c>
      <c r="E2095" s="49">
        <v>44858</v>
      </c>
      <c r="F2095" t="s">
        <v>3109</v>
      </c>
      <c r="G2095" t="s">
        <v>2420</v>
      </c>
      <c r="H2095">
        <v>6</v>
      </c>
      <c r="I2095">
        <v>80.430000000000007</v>
      </c>
      <c r="J2095" s="50">
        <v>482.58</v>
      </c>
      <c r="K2095" t="s">
        <v>1618</v>
      </c>
      <c r="M2095" t="s">
        <v>1627</v>
      </c>
      <c r="N2095">
        <v>42.45</v>
      </c>
      <c r="O2095" s="49">
        <v>44862</v>
      </c>
      <c r="P2095" s="50">
        <v>217.161</v>
      </c>
    </row>
    <row r="2096" spans="4:16" x14ac:dyDescent="0.2">
      <c r="D2096">
        <v>100001266</v>
      </c>
      <c r="E2096" s="49">
        <v>44204</v>
      </c>
      <c r="F2096" t="s">
        <v>3109</v>
      </c>
      <c r="G2096" t="s">
        <v>1642</v>
      </c>
      <c r="H2096">
        <v>7</v>
      </c>
      <c r="I2096">
        <v>117.23</v>
      </c>
      <c r="J2096" s="50">
        <v>820.61</v>
      </c>
      <c r="K2096" t="s">
        <v>1618</v>
      </c>
      <c r="M2096" t="s">
        <v>1627</v>
      </c>
      <c r="N2096">
        <v>61.87</v>
      </c>
      <c r="O2096" s="49">
        <v>44208</v>
      </c>
      <c r="P2096" s="50">
        <v>369.27449999999999</v>
      </c>
    </row>
    <row r="2097" spans="4:16" x14ac:dyDescent="0.2">
      <c r="D2097">
        <v>100001266</v>
      </c>
      <c r="E2097" s="49">
        <v>45398</v>
      </c>
      <c r="F2097" t="s">
        <v>3109</v>
      </c>
      <c r="G2097" t="s">
        <v>2151</v>
      </c>
      <c r="H2097">
        <v>3</v>
      </c>
      <c r="I2097">
        <v>57.51</v>
      </c>
      <c r="J2097" s="50">
        <v>172.53</v>
      </c>
      <c r="K2097" t="s">
        <v>1618</v>
      </c>
      <c r="M2097" t="s">
        <v>1621</v>
      </c>
      <c r="N2097">
        <v>30.35</v>
      </c>
      <c r="O2097" s="49">
        <v>45400</v>
      </c>
      <c r="P2097" s="50">
        <v>77.638500000000008</v>
      </c>
    </row>
    <row r="2098" spans="4:16" x14ac:dyDescent="0.2">
      <c r="D2098">
        <v>100001266</v>
      </c>
      <c r="E2098" s="49">
        <v>44241</v>
      </c>
      <c r="F2098" t="s">
        <v>3109</v>
      </c>
      <c r="G2098" t="s">
        <v>2255</v>
      </c>
      <c r="H2098">
        <v>10</v>
      </c>
      <c r="I2098">
        <v>74.180000000000007</v>
      </c>
      <c r="J2098" s="50">
        <v>741.80000000000007</v>
      </c>
      <c r="K2098" t="s">
        <v>1618</v>
      </c>
      <c r="M2098" t="s">
        <v>1629</v>
      </c>
      <c r="N2098">
        <v>39.15</v>
      </c>
      <c r="O2098" s="49">
        <v>44244</v>
      </c>
      <c r="P2098" s="50">
        <v>333.81000000000006</v>
      </c>
    </row>
    <row r="2099" spans="4:16" x14ac:dyDescent="0.2">
      <c r="D2099">
        <v>100001266</v>
      </c>
      <c r="E2099" s="49">
        <v>44342</v>
      </c>
      <c r="F2099" t="s">
        <v>3109</v>
      </c>
      <c r="G2099" t="s">
        <v>1937</v>
      </c>
      <c r="H2099">
        <v>9</v>
      </c>
      <c r="I2099">
        <v>119.6</v>
      </c>
      <c r="J2099" s="50">
        <v>1076.4000000000001</v>
      </c>
      <c r="K2099" t="s">
        <v>1618</v>
      </c>
      <c r="M2099" t="s">
        <v>1627</v>
      </c>
      <c r="N2099">
        <v>63.12</v>
      </c>
      <c r="O2099" s="49">
        <v>44344</v>
      </c>
      <c r="P2099" s="50">
        <v>484.38000000000005</v>
      </c>
    </row>
    <row r="2100" spans="4:16" x14ac:dyDescent="0.2">
      <c r="D2100">
        <v>100001267</v>
      </c>
      <c r="E2100" s="49">
        <v>45527</v>
      </c>
      <c r="F2100" t="s">
        <v>3110</v>
      </c>
      <c r="G2100" t="s">
        <v>1655</v>
      </c>
      <c r="H2100">
        <v>3</v>
      </c>
      <c r="I2100">
        <v>78.72</v>
      </c>
      <c r="J2100" s="50">
        <v>236.16</v>
      </c>
      <c r="K2100" t="s">
        <v>1618</v>
      </c>
      <c r="M2100" t="s">
        <v>1621</v>
      </c>
      <c r="N2100">
        <v>41.55</v>
      </c>
      <c r="O2100" s="49">
        <v>45528</v>
      </c>
      <c r="P2100" s="50">
        <v>106.27200000000001</v>
      </c>
    </row>
    <row r="2101" spans="4:16" x14ac:dyDescent="0.2">
      <c r="D2101">
        <v>100001268</v>
      </c>
      <c r="E2101" s="49">
        <v>44456</v>
      </c>
      <c r="F2101" t="s">
        <v>3111</v>
      </c>
      <c r="G2101" t="s">
        <v>1807</v>
      </c>
      <c r="H2101">
        <v>7</v>
      </c>
      <c r="I2101">
        <v>25.95</v>
      </c>
      <c r="J2101" s="50">
        <v>181.65</v>
      </c>
      <c r="K2101" t="s">
        <v>1632</v>
      </c>
      <c r="M2101" t="s">
        <v>1624</v>
      </c>
      <c r="N2101">
        <v>13.7</v>
      </c>
      <c r="O2101" s="49">
        <v>44457</v>
      </c>
      <c r="P2101" s="50">
        <v>81.742500000000007</v>
      </c>
    </row>
    <row r="2102" spans="4:16" x14ac:dyDescent="0.2">
      <c r="D2102">
        <v>100001268</v>
      </c>
      <c r="E2102" s="49">
        <v>45649</v>
      </c>
      <c r="F2102" t="s">
        <v>3111</v>
      </c>
      <c r="G2102" t="s">
        <v>1693</v>
      </c>
      <c r="H2102">
        <v>2</v>
      </c>
      <c r="I2102">
        <v>39.83</v>
      </c>
      <c r="J2102" s="50">
        <v>79.66</v>
      </c>
      <c r="K2102" t="s">
        <v>1632</v>
      </c>
      <c r="M2102" t="s">
        <v>1619</v>
      </c>
      <c r="N2102">
        <v>21.02</v>
      </c>
      <c r="O2102" s="49">
        <v>45654</v>
      </c>
      <c r="P2102" s="50">
        <v>35.847000000000001</v>
      </c>
    </row>
    <row r="2103" spans="4:16" x14ac:dyDescent="0.2">
      <c r="D2103">
        <v>100001269</v>
      </c>
      <c r="E2103" s="49">
        <v>45603</v>
      </c>
      <c r="F2103" t="s">
        <v>3112</v>
      </c>
      <c r="G2103" t="s">
        <v>2306</v>
      </c>
      <c r="H2103">
        <v>9</v>
      </c>
      <c r="I2103">
        <v>19.239999999999998</v>
      </c>
      <c r="J2103" s="50">
        <v>173.16</v>
      </c>
      <c r="K2103" t="s">
        <v>1618</v>
      </c>
      <c r="M2103" t="s">
        <v>1624</v>
      </c>
      <c r="N2103">
        <v>10.15</v>
      </c>
      <c r="O2103" s="49">
        <v>45604</v>
      </c>
      <c r="P2103" s="50">
        <v>77.921999999999997</v>
      </c>
    </row>
    <row r="2104" spans="4:16" x14ac:dyDescent="0.2">
      <c r="D2104">
        <v>100001269</v>
      </c>
      <c r="E2104" s="49">
        <v>45211</v>
      </c>
      <c r="F2104" t="s">
        <v>3112</v>
      </c>
      <c r="G2104" t="s">
        <v>1724</v>
      </c>
      <c r="H2104">
        <v>6</v>
      </c>
      <c r="I2104">
        <v>52.09</v>
      </c>
      <c r="J2104" s="50">
        <v>312.54000000000002</v>
      </c>
      <c r="K2104" t="s">
        <v>1618</v>
      </c>
      <c r="M2104" t="s">
        <v>1627</v>
      </c>
      <c r="N2104">
        <v>27.49</v>
      </c>
      <c r="O2104" s="49">
        <v>45213</v>
      </c>
      <c r="P2104" s="50">
        <v>140.643</v>
      </c>
    </row>
    <row r="2105" spans="4:16" x14ac:dyDescent="0.2">
      <c r="D2105">
        <v>100001269</v>
      </c>
      <c r="E2105" s="49">
        <v>45646</v>
      </c>
      <c r="F2105" t="s">
        <v>3112</v>
      </c>
      <c r="G2105" t="s">
        <v>2007</v>
      </c>
      <c r="H2105">
        <v>6</v>
      </c>
      <c r="I2105">
        <v>44.09</v>
      </c>
      <c r="J2105" s="50">
        <v>264.54000000000002</v>
      </c>
      <c r="K2105" t="s">
        <v>1618</v>
      </c>
      <c r="M2105" t="s">
        <v>1624</v>
      </c>
      <c r="N2105">
        <v>23.27</v>
      </c>
      <c r="O2105" s="49">
        <v>45647</v>
      </c>
      <c r="P2105" s="50">
        <v>119.04300000000001</v>
      </c>
    </row>
    <row r="2106" spans="4:16" x14ac:dyDescent="0.2">
      <c r="D2106">
        <v>100001269</v>
      </c>
      <c r="E2106" s="49">
        <v>45210</v>
      </c>
      <c r="F2106" t="s">
        <v>3112</v>
      </c>
      <c r="G2106" t="s">
        <v>2121</v>
      </c>
      <c r="H2106">
        <v>2</v>
      </c>
      <c r="I2106">
        <v>37.82</v>
      </c>
      <c r="J2106" s="50">
        <v>75.64</v>
      </c>
      <c r="K2106" t="s">
        <v>1618</v>
      </c>
      <c r="M2106" t="s">
        <v>1621</v>
      </c>
      <c r="N2106">
        <v>19.96</v>
      </c>
      <c r="O2106" s="49">
        <v>45214</v>
      </c>
      <c r="P2106" s="50">
        <v>34.038000000000004</v>
      </c>
    </row>
    <row r="2107" spans="4:16" x14ac:dyDescent="0.2">
      <c r="D2107">
        <v>100001270</v>
      </c>
      <c r="E2107" s="49">
        <v>45042</v>
      </c>
      <c r="F2107" t="s">
        <v>3113</v>
      </c>
      <c r="G2107" t="s">
        <v>1865</v>
      </c>
      <c r="H2107">
        <v>6</v>
      </c>
      <c r="I2107">
        <v>79.680000000000007</v>
      </c>
      <c r="J2107" s="50">
        <v>478.08</v>
      </c>
      <c r="K2107" t="s">
        <v>1618</v>
      </c>
      <c r="M2107" t="s">
        <v>1624</v>
      </c>
      <c r="N2107">
        <v>42.05</v>
      </c>
      <c r="O2107" s="49">
        <v>45043</v>
      </c>
      <c r="P2107" s="50">
        <v>215.136</v>
      </c>
    </row>
    <row r="2108" spans="4:16" x14ac:dyDescent="0.2">
      <c r="D2108">
        <v>100001270</v>
      </c>
      <c r="E2108" s="49">
        <v>45175</v>
      </c>
      <c r="F2108" t="s">
        <v>3113</v>
      </c>
      <c r="G2108" t="s">
        <v>1969</v>
      </c>
      <c r="H2108">
        <v>1</v>
      </c>
      <c r="I2108">
        <v>56.63</v>
      </c>
      <c r="J2108" s="50">
        <v>56.63</v>
      </c>
      <c r="K2108" t="s">
        <v>1618</v>
      </c>
      <c r="M2108" t="s">
        <v>1621</v>
      </c>
      <c r="N2108">
        <v>29.89</v>
      </c>
      <c r="O2108" s="49">
        <v>45177</v>
      </c>
      <c r="P2108" s="50">
        <v>25.483500000000003</v>
      </c>
    </row>
    <row r="2109" spans="4:16" x14ac:dyDescent="0.2">
      <c r="D2109">
        <v>100001271</v>
      </c>
      <c r="E2109" s="49">
        <v>44323</v>
      </c>
      <c r="F2109" t="s">
        <v>3114</v>
      </c>
      <c r="G2109" t="s">
        <v>1990</v>
      </c>
      <c r="H2109">
        <v>6</v>
      </c>
      <c r="I2109">
        <v>35.630000000000003</v>
      </c>
      <c r="J2109" s="50">
        <v>213.78</v>
      </c>
      <c r="K2109" t="s">
        <v>1618</v>
      </c>
      <c r="M2109" t="s">
        <v>1627</v>
      </c>
      <c r="N2109">
        <v>18.8</v>
      </c>
      <c r="O2109" s="49">
        <v>44328</v>
      </c>
      <c r="P2109" s="50">
        <v>96.201000000000008</v>
      </c>
    </row>
    <row r="2110" spans="4:16" x14ac:dyDescent="0.2">
      <c r="D2110">
        <v>100001271</v>
      </c>
      <c r="E2110" s="49">
        <v>44723</v>
      </c>
      <c r="F2110" t="s">
        <v>3114</v>
      </c>
      <c r="G2110" t="s">
        <v>2346</v>
      </c>
      <c r="H2110">
        <v>5</v>
      </c>
      <c r="I2110">
        <v>66.040000000000006</v>
      </c>
      <c r="J2110" s="50">
        <v>330.2</v>
      </c>
      <c r="K2110" t="s">
        <v>1618</v>
      </c>
      <c r="M2110" t="s">
        <v>1624</v>
      </c>
      <c r="N2110">
        <v>34.85</v>
      </c>
      <c r="O2110" s="49">
        <v>44727</v>
      </c>
      <c r="P2110" s="50">
        <v>148.59</v>
      </c>
    </row>
    <row r="2111" spans="4:16" x14ac:dyDescent="0.2">
      <c r="D2111">
        <v>100001271</v>
      </c>
      <c r="E2111" s="49">
        <v>45138</v>
      </c>
      <c r="F2111" t="s">
        <v>3114</v>
      </c>
      <c r="G2111" t="s">
        <v>2550</v>
      </c>
      <c r="H2111">
        <v>6</v>
      </c>
      <c r="I2111">
        <v>12.46</v>
      </c>
      <c r="J2111" s="50">
        <v>74.760000000000005</v>
      </c>
      <c r="K2111" t="s">
        <v>1618</v>
      </c>
      <c r="M2111" t="s">
        <v>1619</v>
      </c>
      <c r="N2111">
        <v>6.58</v>
      </c>
      <c r="O2111" s="49">
        <v>45142</v>
      </c>
      <c r="P2111" s="50">
        <v>33.642000000000003</v>
      </c>
    </row>
    <row r="2112" spans="4:16" x14ac:dyDescent="0.2">
      <c r="D2112">
        <v>100001272</v>
      </c>
      <c r="E2112" s="49">
        <v>45531</v>
      </c>
      <c r="F2112" t="s">
        <v>3115</v>
      </c>
      <c r="G2112" t="s">
        <v>1721</v>
      </c>
      <c r="H2112">
        <v>5</v>
      </c>
      <c r="I2112">
        <v>23.36</v>
      </c>
      <c r="J2112" s="50">
        <v>116.8</v>
      </c>
      <c r="K2112" t="s">
        <v>1618</v>
      </c>
      <c r="M2112" t="s">
        <v>1624</v>
      </c>
      <c r="N2112">
        <v>12.33</v>
      </c>
      <c r="O2112" s="49">
        <v>45534</v>
      </c>
      <c r="P2112" s="50">
        <v>52.56</v>
      </c>
    </row>
    <row r="2113" spans="4:16" x14ac:dyDescent="0.2">
      <c r="D2113">
        <v>100001272</v>
      </c>
      <c r="E2113" s="49">
        <v>45106</v>
      </c>
      <c r="F2113" t="s">
        <v>3115</v>
      </c>
      <c r="G2113" t="s">
        <v>1808</v>
      </c>
      <c r="H2113">
        <v>3</v>
      </c>
      <c r="I2113">
        <v>68.989999999999995</v>
      </c>
      <c r="J2113" s="50">
        <v>206.97</v>
      </c>
      <c r="K2113" t="s">
        <v>1618</v>
      </c>
      <c r="M2113" t="s">
        <v>1619</v>
      </c>
      <c r="N2113">
        <v>36.409999999999997</v>
      </c>
      <c r="O2113" s="49">
        <v>45111</v>
      </c>
      <c r="P2113" s="50">
        <v>93.136499999999998</v>
      </c>
    </row>
    <row r="2114" spans="4:16" x14ac:dyDescent="0.2">
      <c r="D2114">
        <v>100001272</v>
      </c>
      <c r="E2114" s="49">
        <v>44236</v>
      </c>
      <c r="F2114" t="s">
        <v>3115</v>
      </c>
      <c r="G2114" t="s">
        <v>2064</v>
      </c>
      <c r="H2114">
        <v>7</v>
      </c>
      <c r="I2114">
        <v>93.94</v>
      </c>
      <c r="J2114" s="50">
        <v>657.57999999999993</v>
      </c>
      <c r="K2114" t="s">
        <v>1618</v>
      </c>
      <c r="M2114" t="s">
        <v>1619</v>
      </c>
      <c r="N2114">
        <v>49.58</v>
      </c>
      <c r="O2114" s="49">
        <v>44239</v>
      </c>
      <c r="P2114" s="50">
        <v>295.911</v>
      </c>
    </row>
    <row r="2115" spans="4:16" x14ac:dyDescent="0.2">
      <c r="D2115">
        <v>100001273</v>
      </c>
      <c r="E2115" s="49">
        <v>45511</v>
      </c>
      <c r="F2115" t="s">
        <v>3116</v>
      </c>
      <c r="G2115" t="s">
        <v>2706</v>
      </c>
      <c r="H2115">
        <v>1</v>
      </c>
      <c r="I2115">
        <v>100.85</v>
      </c>
      <c r="J2115" s="50">
        <v>100.85</v>
      </c>
      <c r="K2115" t="s">
        <v>1632</v>
      </c>
      <c r="M2115" t="s">
        <v>1629</v>
      </c>
      <c r="N2115">
        <v>53.23</v>
      </c>
      <c r="O2115" s="49">
        <v>45513</v>
      </c>
      <c r="P2115" s="50">
        <v>45.3825</v>
      </c>
    </row>
    <row r="2116" spans="4:16" x14ac:dyDescent="0.2">
      <c r="D2116">
        <v>100001273</v>
      </c>
      <c r="E2116" s="49">
        <v>44745</v>
      </c>
      <c r="F2116" t="s">
        <v>3116</v>
      </c>
      <c r="G2116" t="s">
        <v>2330</v>
      </c>
      <c r="H2116">
        <v>7</v>
      </c>
      <c r="I2116">
        <v>19.45</v>
      </c>
      <c r="J2116" s="50">
        <v>136.15</v>
      </c>
      <c r="K2116" t="s">
        <v>1632</v>
      </c>
      <c r="M2116" t="s">
        <v>1621</v>
      </c>
      <c r="N2116">
        <v>10.27</v>
      </c>
      <c r="O2116" s="49">
        <v>44747</v>
      </c>
      <c r="P2116" s="50">
        <v>61.267500000000005</v>
      </c>
    </row>
    <row r="2117" spans="4:16" x14ac:dyDescent="0.2">
      <c r="D2117">
        <v>100001274</v>
      </c>
      <c r="E2117" s="49">
        <v>45063</v>
      </c>
      <c r="F2117" t="s">
        <v>3117</v>
      </c>
      <c r="G2117" t="s">
        <v>1895</v>
      </c>
      <c r="H2117">
        <v>9</v>
      </c>
      <c r="I2117">
        <v>70.22</v>
      </c>
      <c r="J2117" s="50">
        <v>631.98</v>
      </c>
      <c r="K2117" t="s">
        <v>1618</v>
      </c>
      <c r="L2117" t="s">
        <v>3118</v>
      </c>
      <c r="M2117" t="s">
        <v>1629</v>
      </c>
      <c r="N2117">
        <v>37.06</v>
      </c>
      <c r="O2117" s="49">
        <v>45067</v>
      </c>
      <c r="P2117" s="50">
        <v>284.39100000000002</v>
      </c>
    </row>
    <row r="2118" spans="4:16" x14ac:dyDescent="0.2">
      <c r="D2118">
        <v>100001274</v>
      </c>
      <c r="E2118" s="49">
        <v>44659</v>
      </c>
      <c r="F2118" t="s">
        <v>3117</v>
      </c>
      <c r="G2118" t="s">
        <v>2048</v>
      </c>
      <c r="H2118">
        <v>7</v>
      </c>
      <c r="I2118">
        <v>99.71</v>
      </c>
      <c r="J2118" s="50">
        <v>697.96999999999991</v>
      </c>
      <c r="K2118" t="s">
        <v>1618</v>
      </c>
      <c r="L2118" t="s">
        <v>3118</v>
      </c>
      <c r="M2118" t="s">
        <v>1624</v>
      </c>
      <c r="N2118">
        <v>52.62</v>
      </c>
      <c r="O2118" s="49">
        <v>44660</v>
      </c>
      <c r="P2118" s="50">
        <v>314.08649999999994</v>
      </c>
    </row>
    <row r="2119" spans="4:16" x14ac:dyDescent="0.2">
      <c r="D2119">
        <v>100001274</v>
      </c>
      <c r="E2119" s="49">
        <v>45585</v>
      </c>
      <c r="F2119" t="s">
        <v>3117</v>
      </c>
      <c r="G2119" t="s">
        <v>1752</v>
      </c>
      <c r="H2119">
        <v>8</v>
      </c>
      <c r="I2119">
        <v>17.47</v>
      </c>
      <c r="J2119" s="50">
        <v>139.76</v>
      </c>
      <c r="K2119" t="s">
        <v>1618</v>
      </c>
      <c r="L2119" t="s">
        <v>3118</v>
      </c>
      <c r="M2119" t="s">
        <v>1624</v>
      </c>
      <c r="N2119">
        <v>9.2200000000000006</v>
      </c>
      <c r="O2119" s="49">
        <v>45587</v>
      </c>
      <c r="P2119" s="50">
        <v>62.891999999999996</v>
      </c>
    </row>
    <row r="2120" spans="4:16" x14ac:dyDescent="0.2">
      <c r="D2120">
        <v>100001274</v>
      </c>
      <c r="E2120" s="49">
        <v>44390</v>
      </c>
      <c r="F2120" t="s">
        <v>3117</v>
      </c>
      <c r="G2120" t="s">
        <v>2344</v>
      </c>
      <c r="H2120">
        <v>4</v>
      </c>
      <c r="I2120">
        <v>28.34</v>
      </c>
      <c r="J2120" s="50">
        <v>113.36</v>
      </c>
      <c r="K2120" t="s">
        <v>1618</v>
      </c>
      <c r="L2120" t="s">
        <v>3118</v>
      </c>
      <c r="M2120" t="s">
        <v>1627</v>
      </c>
      <c r="N2120">
        <v>14.96</v>
      </c>
      <c r="O2120" s="49">
        <v>44392</v>
      </c>
      <c r="P2120" s="50">
        <v>51.012</v>
      </c>
    </row>
    <row r="2121" spans="4:16" x14ac:dyDescent="0.2">
      <c r="D2121">
        <v>100001275</v>
      </c>
      <c r="E2121" s="49">
        <v>45225</v>
      </c>
      <c r="F2121" t="s">
        <v>3119</v>
      </c>
      <c r="G2121" t="s">
        <v>1859</v>
      </c>
      <c r="H2121">
        <v>2</v>
      </c>
      <c r="I2121">
        <v>54.18</v>
      </c>
      <c r="J2121" s="50">
        <v>108.36</v>
      </c>
      <c r="K2121" t="s">
        <v>1618</v>
      </c>
      <c r="M2121" t="s">
        <v>1621</v>
      </c>
      <c r="N2121">
        <v>28.59</v>
      </c>
      <c r="O2121" s="49">
        <v>45229</v>
      </c>
      <c r="P2121" s="50">
        <v>48.762</v>
      </c>
    </row>
    <row r="2122" spans="4:16" x14ac:dyDescent="0.2">
      <c r="D2122">
        <v>100001276</v>
      </c>
      <c r="E2122" s="49">
        <v>44385</v>
      </c>
      <c r="F2122" t="s">
        <v>3120</v>
      </c>
      <c r="G2122" t="s">
        <v>1752</v>
      </c>
      <c r="H2122">
        <v>6</v>
      </c>
      <c r="I2122">
        <v>82.45</v>
      </c>
      <c r="J2122" s="50">
        <v>494.7</v>
      </c>
      <c r="K2122" t="s">
        <v>1618</v>
      </c>
      <c r="M2122" t="s">
        <v>1619</v>
      </c>
      <c r="N2122">
        <v>43.51</v>
      </c>
      <c r="O2122" s="49">
        <v>44390</v>
      </c>
      <c r="P2122" s="50">
        <v>222.61500000000001</v>
      </c>
    </row>
    <row r="2123" spans="4:16" x14ac:dyDescent="0.2">
      <c r="D2123">
        <v>100001277</v>
      </c>
      <c r="E2123" s="49">
        <v>44438</v>
      </c>
      <c r="F2123" t="s">
        <v>3121</v>
      </c>
      <c r="G2123" t="s">
        <v>1842</v>
      </c>
      <c r="H2123">
        <v>6</v>
      </c>
      <c r="I2123">
        <v>25.92</v>
      </c>
      <c r="J2123" s="50">
        <v>155.52000000000001</v>
      </c>
      <c r="K2123" t="s">
        <v>1618</v>
      </c>
      <c r="L2123" t="s">
        <v>3122</v>
      </c>
      <c r="M2123" t="s">
        <v>1629</v>
      </c>
      <c r="N2123">
        <v>13.68</v>
      </c>
      <c r="O2123" s="49">
        <v>44443</v>
      </c>
      <c r="P2123" s="50">
        <v>69.984000000000009</v>
      </c>
    </row>
    <row r="2124" spans="4:16" x14ac:dyDescent="0.2">
      <c r="D2124">
        <v>100001278</v>
      </c>
      <c r="E2124" s="49">
        <v>44406</v>
      </c>
      <c r="F2124" t="s">
        <v>3123</v>
      </c>
      <c r="G2124" t="s">
        <v>1744</v>
      </c>
      <c r="H2124">
        <v>8</v>
      </c>
      <c r="I2124">
        <v>77.209999999999994</v>
      </c>
      <c r="J2124" s="50">
        <v>617.67999999999995</v>
      </c>
      <c r="K2124" t="s">
        <v>1632</v>
      </c>
      <c r="M2124" t="s">
        <v>1619</v>
      </c>
      <c r="N2124">
        <v>40.75</v>
      </c>
      <c r="O2124" s="49">
        <v>44407</v>
      </c>
      <c r="P2124" s="50">
        <v>277.95599999999996</v>
      </c>
    </row>
    <row r="2125" spans="4:16" x14ac:dyDescent="0.2">
      <c r="D2125">
        <v>100001279</v>
      </c>
      <c r="E2125" s="49">
        <v>44839</v>
      </c>
      <c r="F2125" t="s">
        <v>3124</v>
      </c>
      <c r="G2125" t="s">
        <v>1728</v>
      </c>
      <c r="H2125">
        <v>7</v>
      </c>
      <c r="I2125">
        <v>74.66</v>
      </c>
      <c r="J2125" s="50">
        <v>522.62</v>
      </c>
      <c r="K2125" t="s">
        <v>1618</v>
      </c>
      <c r="L2125" t="s">
        <v>2227</v>
      </c>
      <c r="M2125" t="s">
        <v>1627</v>
      </c>
      <c r="N2125">
        <v>39.4</v>
      </c>
      <c r="O2125" s="49">
        <v>44843</v>
      </c>
      <c r="P2125" s="50">
        <v>235.179</v>
      </c>
    </row>
    <row r="2126" spans="4:16" x14ac:dyDescent="0.2">
      <c r="D2126">
        <v>100001279</v>
      </c>
      <c r="E2126" s="49">
        <v>44949</v>
      </c>
      <c r="F2126" t="s">
        <v>3124</v>
      </c>
      <c r="G2126" t="s">
        <v>2182</v>
      </c>
      <c r="H2126">
        <v>10</v>
      </c>
      <c r="I2126">
        <v>36.090000000000003</v>
      </c>
      <c r="J2126" s="50">
        <v>360.9</v>
      </c>
      <c r="K2126" t="s">
        <v>1618</v>
      </c>
      <c r="L2126" t="s">
        <v>2227</v>
      </c>
      <c r="M2126" t="s">
        <v>1627</v>
      </c>
      <c r="N2126">
        <v>19.05</v>
      </c>
      <c r="O2126" s="49">
        <v>44950</v>
      </c>
      <c r="P2126" s="50">
        <v>162.405</v>
      </c>
    </row>
    <row r="2127" spans="4:16" x14ac:dyDescent="0.2">
      <c r="D2127">
        <v>100001279</v>
      </c>
      <c r="E2127" s="49">
        <v>44679</v>
      </c>
      <c r="F2127" t="s">
        <v>3124</v>
      </c>
      <c r="G2127" t="s">
        <v>1639</v>
      </c>
      <c r="H2127">
        <v>1</v>
      </c>
      <c r="I2127">
        <v>42.12</v>
      </c>
      <c r="J2127" s="50">
        <v>42.12</v>
      </c>
      <c r="K2127" t="s">
        <v>1618</v>
      </c>
      <c r="L2127" t="s">
        <v>2227</v>
      </c>
      <c r="M2127" t="s">
        <v>1629</v>
      </c>
      <c r="N2127">
        <v>22.23</v>
      </c>
      <c r="O2127" s="49">
        <v>44682</v>
      </c>
      <c r="P2127" s="50">
        <v>18.954000000000001</v>
      </c>
    </row>
    <row r="2128" spans="4:16" x14ac:dyDescent="0.2">
      <c r="D2128">
        <v>100001279</v>
      </c>
      <c r="E2128" s="49">
        <v>45251</v>
      </c>
      <c r="F2128" t="s">
        <v>3124</v>
      </c>
      <c r="G2128" t="s">
        <v>1913</v>
      </c>
      <c r="H2128">
        <v>5</v>
      </c>
      <c r="I2128">
        <v>62.38</v>
      </c>
      <c r="J2128" s="50">
        <v>311.89999999999998</v>
      </c>
      <c r="K2128" t="s">
        <v>1618</v>
      </c>
      <c r="L2128" t="s">
        <v>2227</v>
      </c>
      <c r="M2128" t="s">
        <v>1629</v>
      </c>
      <c r="N2128">
        <v>32.92</v>
      </c>
      <c r="O2128" s="49">
        <v>45254</v>
      </c>
      <c r="P2128" s="50">
        <v>140.35499999999999</v>
      </c>
    </row>
    <row r="2129" spans="4:16" x14ac:dyDescent="0.2">
      <c r="D2129">
        <v>100001280</v>
      </c>
      <c r="E2129" s="49">
        <v>44806</v>
      </c>
      <c r="F2129" t="s">
        <v>3125</v>
      </c>
      <c r="G2129" t="s">
        <v>1730</v>
      </c>
      <c r="H2129">
        <v>1</v>
      </c>
      <c r="I2129">
        <v>63.43</v>
      </c>
      <c r="J2129" s="50">
        <v>63.43</v>
      </c>
      <c r="K2129" t="s">
        <v>1632</v>
      </c>
      <c r="M2129" t="s">
        <v>1629</v>
      </c>
      <c r="N2129">
        <v>33.479999999999997</v>
      </c>
      <c r="O2129" s="49">
        <v>44809</v>
      </c>
      <c r="P2129" s="50">
        <v>28.543500000000002</v>
      </c>
    </row>
    <row r="2130" spans="4:16" x14ac:dyDescent="0.2">
      <c r="D2130">
        <v>100001280</v>
      </c>
      <c r="E2130" s="49">
        <v>44430</v>
      </c>
      <c r="F2130" t="s">
        <v>3125</v>
      </c>
      <c r="G2130" t="s">
        <v>2064</v>
      </c>
      <c r="H2130">
        <v>6</v>
      </c>
      <c r="I2130">
        <v>76.790000000000006</v>
      </c>
      <c r="J2130" s="50">
        <v>460.74</v>
      </c>
      <c r="K2130" t="s">
        <v>1632</v>
      </c>
      <c r="M2130" t="s">
        <v>1619</v>
      </c>
      <c r="N2130">
        <v>40.53</v>
      </c>
      <c r="O2130" s="49">
        <v>44432</v>
      </c>
      <c r="P2130" s="50">
        <v>207.333</v>
      </c>
    </row>
    <row r="2131" spans="4:16" x14ac:dyDescent="0.2">
      <c r="D2131">
        <v>100001280</v>
      </c>
      <c r="E2131" s="49">
        <v>44820</v>
      </c>
      <c r="F2131" t="s">
        <v>3125</v>
      </c>
      <c r="G2131" t="s">
        <v>2096</v>
      </c>
      <c r="H2131">
        <v>4</v>
      </c>
      <c r="I2131">
        <v>109.9</v>
      </c>
      <c r="J2131" s="50">
        <v>439.6</v>
      </c>
      <c r="K2131" t="s">
        <v>1632</v>
      </c>
      <c r="M2131" t="s">
        <v>1619</v>
      </c>
      <c r="N2131">
        <v>58</v>
      </c>
      <c r="O2131" s="49">
        <v>44825</v>
      </c>
      <c r="P2131" s="50">
        <v>197.82000000000002</v>
      </c>
    </row>
    <row r="2132" spans="4:16" x14ac:dyDescent="0.2">
      <c r="D2132">
        <v>100001280</v>
      </c>
      <c r="E2132" s="49">
        <v>44987</v>
      </c>
      <c r="F2132" t="s">
        <v>3125</v>
      </c>
      <c r="G2132" t="s">
        <v>3075</v>
      </c>
      <c r="H2132">
        <v>7</v>
      </c>
      <c r="I2132">
        <v>98.99</v>
      </c>
      <c r="J2132" s="50">
        <v>692.93</v>
      </c>
      <c r="K2132" t="s">
        <v>1632</v>
      </c>
      <c r="M2132" t="s">
        <v>1619</v>
      </c>
      <c r="N2132">
        <v>52.24</v>
      </c>
      <c r="O2132" s="49">
        <v>44991</v>
      </c>
      <c r="P2132" s="50">
        <v>311.81849999999997</v>
      </c>
    </row>
    <row r="2133" spans="4:16" x14ac:dyDescent="0.2">
      <c r="D2133">
        <v>100001280</v>
      </c>
      <c r="E2133" s="49">
        <v>44323</v>
      </c>
      <c r="F2133" t="s">
        <v>3125</v>
      </c>
      <c r="G2133" t="s">
        <v>1688</v>
      </c>
      <c r="H2133">
        <v>2</v>
      </c>
      <c r="I2133">
        <v>76.650000000000006</v>
      </c>
      <c r="J2133" s="50">
        <v>153.30000000000001</v>
      </c>
      <c r="K2133" t="s">
        <v>1632</v>
      </c>
      <c r="M2133" t="s">
        <v>1619</v>
      </c>
      <c r="N2133">
        <v>40.450000000000003</v>
      </c>
      <c r="O2133" s="49">
        <v>44324</v>
      </c>
      <c r="P2133" s="50">
        <v>68.985000000000014</v>
      </c>
    </row>
    <row r="2134" spans="4:16" x14ac:dyDescent="0.2">
      <c r="D2134">
        <v>100001280</v>
      </c>
      <c r="E2134" s="49">
        <v>44462</v>
      </c>
      <c r="F2134" t="s">
        <v>3125</v>
      </c>
      <c r="G2134" t="s">
        <v>2101</v>
      </c>
      <c r="H2134">
        <v>3</v>
      </c>
      <c r="I2134">
        <v>64.599999999999994</v>
      </c>
      <c r="J2134" s="50">
        <v>193.8</v>
      </c>
      <c r="K2134" t="s">
        <v>1632</v>
      </c>
      <c r="M2134" t="s">
        <v>1627</v>
      </c>
      <c r="N2134">
        <v>34.090000000000003</v>
      </c>
      <c r="O2134" s="49">
        <v>44464</v>
      </c>
      <c r="P2134" s="50">
        <v>87.210000000000008</v>
      </c>
    </row>
    <row r="2135" spans="4:16" x14ac:dyDescent="0.2">
      <c r="D2135">
        <v>100001280</v>
      </c>
      <c r="E2135" s="49">
        <v>45169</v>
      </c>
      <c r="F2135" t="s">
        <v>3125</v>
      </c>
      <c r="G2135" t="s">
        <v>1677</v>
      </c>
      <c r="H2135">
        <v>4</v>
      </c>
      <c r="I2135">
        <v>84.2</v>
      </c>
      <c r="J2135" s="50">
        <v>336.8</v>
      </c>
      <c r="K2135" t="s">
        <v>1632</v>
      </c>
      <c r="M2135" t="s">
        <v>1621</v>
      </c>
      <c r="N2135">
        <v>44.44</v>
      </c>
      <c r="O2135" s="49">
        <v>45171</v>
      </c>
      <c r="P2135" s="50">
        <v>151.56</v>
      </c>
    </row>
    <row r="2136" spans="4:16" x14ac:dyDescent="0.2">
      <c r="D2136">
        <v>100001280</v>
      </c>
      <c r="E2136" s="49">
        <v>44480</v>
      </c>
      <c r="F2136" t="s">
        <v>3125</v>
      </c>
      <c r="G2136" t="s">
        <v>1661</v>
      </c>
      <c r="H2136">
        <v>5</v>
      </c>
      <c r="I2136">
        <v>103.11</v>
      </c>
      <c r="J2136" s="50">
        <v>515.54999999999995</v>
      </c>
      <c r="K2136" t="s">
        <v>1632</v>
      </c>
      <c r="M2136" t="s">
        <v>1619</v>
      </c>
      <c r="N2136">
        <v>54.42</v>
      </c>
      <c r="O2136" s="49">
        <v>44481</v>
      </c>
      <c r="P2136" s="50">
        <v>231.99749999999997</v>
      </c>
    </row>
    <row r="2137" spans="4:16" x14ac:dyDescent="0.2">
      <c r="D2137">
        <v>100001280</v>
      </c>
      <c r="E2137" s="49">
        <v>45513</v>
      </c>
      <c r="F2137" t="s">
        <v>3125</v>
      </c>
      <c r="G2137" t="s">
        <v>1969</v>
      </c>
      <c r="H2137">
        <v>7</v>
      </c>
      <c r="I2137">
        <v>40.53</v>
      </c>
      <c r="J2137" s="50">
        <v>283.70999999999998</v>
      </c>
      <c r="K2137" t="s">
        <v>1632</v>
      </c>
      <c r="M2137" t="s">
        <v>1629</v>
      </c>
      <c r="N2137">
        <v>21.39</v>
      </c>
      <c r="O2137" s="49">
        <v>45517</v>
      </c>
      <c r="P2137" s="50">
        <v>127.6695</v>
      </c>
    </row>
    <row r="2138" spans="4:16" x14ac:dyDescent="0.2">
      <c r="D2138">
        <v>100001280</v>
      </c>
      <c r="E2138" s="49">
        <v>44551</v>
      </c>
      <c r="F2138" t="s">
        <v>3125</v>
      </c>
      <c r="G2138" t="s">
        <v>1718</v>
      </c>
      <c r="H2138">
        <v>8</v>
      </c>
      <c r="I2138">
        <v>61.18</v>
      </c>
      <c r="J2138" s="50">
        <v>489.44</v>
      </c>
      <c r="K2138" t="s">
        <v>1632</v>
      </c>
      <c r="M2138" t="s">
        <v>1624</v>
      </c>
      <c r="N2138">
        <v>32.29</v>
      </c>
      <c r="O2138" s="49">
        <v>44553</v>
      </c>
      <c r="P2138" s="50">
        <v>220.24799999999999</v>
      </c>
    </row>
    <row r="2139" spans="4:16" x14ac:dyDescent="0.2">
      <c r="D2139">
        <v>100001281</v>
      </c>
      <c r="E2139" s="49">
        <v>44575</v>
      </c>
      <c r="F2139" t="s">
        <v>3126</v>
      </c>
      <c r="G2139" t="s">
        <v>2121</v>
      </c>
      <c r="H2139">
        <v>4</v>
      </c>
      <c r="I2139">
        <v>61.65</v>
      </c>
      <c r="J2139" s="50">
        <v>246.6</v>
      </c>
      <c r="K2139" t="s">
        <v>1618</v>
      </c>
      <c r="L2139" t="s">
        <v>3127</v>
      </c>
      <c r="M2139" t="s">
        <v>1624</v>
      </c>
      <c r="N2139">
        <v>32.54</v>
      </c>
      <c r="O2139" s="49">
        <v>44579</v>
      </c>
      <c r="P2139" s="50">
        <v>110.97</v>
      </c>
    </row>
    <row r="2140" spans="4:16" x14ac:dyDescent="0.2">
      <c r="D2140">
        <v>100001283</v>
      </c>
      <c r="E2140" s="49">
        <v>45554</v>
      </c>
      <c r="F2140" t="s">
        <v>3128</v>
      </c>
      <c r="G2140" t="s">
        <v>2692</v>
      </c>
      <c r="H2140">
        <v>9</v>
      </c>
      <c r="I2140">
        <v>30.05</v>
      </c>
      <c r="J2140" s="50">
        <v>270.45</v>
      </c>
      <c r="K2140" t="s">
        <v>1618</v>
      </c>
      <c r="M2140" t="s">
        <v>1621</v>
      </c>
      <c r="N2140">
        <v>15.86</v>
      </c>
      <c r="O2140" s="49">
        <v>45555</v>
      </c>
      <c r="P2140" s="50">
        <v>121.7025</v>
      </c>
    </row>
    <row r="2141" spans="4:16" x14ac:dyDescent="0.2">
      <c r="D2141">
        <v>100001283</v>
      </c>
      <c r="E2141" s="49">
        <v>45625</v>
      </c>
      <c r="F2141" t="s">
        <v>3128</v>
      </c>
      <c r="G2141" t="s">
        <v>1707</v>
      </c>
      <c r="H2141">
        <v>8</v>
      </c>
      <c r="I2141">
        <v>70.81</v>
      </c>
      <c r="J2141" s="50">
        <v>566.48</v>
      </c>
      <c r="K2141" t="s">
        <v>1618</v>
      </c>
      <c r="M2141" t="s">
        <v>1629</v>
      </c>
      <c r="N2141">
        <v>37.369999999999997</v>
      </c>
      <c r="O2141" s="49">
        <v>45628</v>
      </c>
      <c r="P2141" s="50">
        <v>254.91600000000003</v>
      </c>
    </row>
    <row r="2142" spans="4:16" x14ac:dyDescent="0.2">
      <c r="D2142">
        <v>100001283</v>
      </c>
      <c r="E2142" s="49">
        <v>45363</v>
      </c>
      <c r="F2142" t="s">
        <v>3128</v>
      </c>
      <c r="G2142" t="s">
        <v>1831</v>
      </c>
      <c r="H2142">
        <v>10</v>
      </c>
      <c r="I2142">
        <v>37.71</v>
      </c>
      <c r="J2142" s="50">
        <v>377.1</v>
      </c>
      <c r="K2142" t="s">
        <v>1618</v>
      </c>
      <c r="M2142" t="s">
        <v>1627</v>
      </c>
      <c r="N2142">
        <v>19.899999999999999</v>
      </c>
      <c r="O2142" s="49">
        <v>45367</v>
      </c>
      <c r="P2142" s="50">
        <v>169.69500000000002</v>
      </c>
    </row>
    <row r="2143" spans="4:16" x14ac:dyDescent="0.2">
      <c r="D2143">
        <v>100001284</v>
      </c>
      <c r="E2143" s="49">
        <v>44235</v>
      </c>
      <c r="F2143" t="s">
        <v>3129</v>
      </c>
      <c r="G2143" t="s">
        <v>1969</v>
      </c>
      <c r="H2143">
        <v>7</v>
      </c>
      <c r="I2143">
        <v>65.58</v>
      </c>
      <c r="J2143" s="50">
        <v>459.06</v>
      </c>
      <c r="K2143" t="s">
        <v>1632</v>
      </c>
      <c r="L2143" t="s">
        <v>3130</v>
      </c>
      <c r="M2143" t="s">
        <v>1619</v>
      </c>
      <c r="N2143">
        <v>34.61</v>
      </c>
      <c r="O2143" s="49">
        <v>44237</v>
      </c>
      <c r="P2143" s="50">
        <v>206.577</v>
      </c>
    </row>
    <row r="2144" spans="4:16" x14ac:dyDescent="0.2">
      <c r="D2144">
        <v>100001285</v>
      </c>
      <c r="E2144" s="49">
        <v>45258</v>
      </c>
      <c r="F2144" t="s">
        <v>3131</v>
      </c>
      <c r="G2144" t="s">
        <v>1950</v>
      </c>
      <c r="H2144">
        <v>4</v>
      </c>
      <c r="I2144">
        <v>33.83</v>
      </c>
      <c r="J2144" s="50">
        <v>135.32</v>
      </c>
      <c r="K2144" t="s">
        <v>1618</v>
      </c>
      <c r="M2144" t="s">
        <v>1619</v>
      </c>
      <c r="N2144">
        <v>17.850000000000001</v>
      </c>
      <c r="O2144" s="49">
        <v>45263</v>
      </c>
      <c r="P2144" s="50">
        <v>60.893999999999998</v>
      </c>
    </row>
    <row r="2145" spans="4:16" x14ac:dyDescent="0.2">
      <c r="D2145">
        <v>100001285</v>
      </c>
      <c r="E2145" s="49">
        <v>44295</v>
      </c>
      <c r="F2145" t="s">
        <v>3131</v>
      </c>
      <c r="G2145" t="s">
        <v>2023</v>
      </c>
      <c r="H2145">
        <v>7</v>
      </c>
      <c r="I2145">
        <v>41.23</v>
      </c>
      <c r="J2145" s="50">
        <v>288.61</v>
      </c>
      <c r="K2145" t="s">
        <v>1618</v>
      </c>
      <c r="M2145" t="s">
        <v>1621</v>
      </c>
      <c r="N2145">
        <v>21.76</v>
      </c>
      <c r="O2145" s="49">
        <v>44297</v>
      </c>
      <c r="P2145" s="50">
        <v>129.87450000000001</v>
      </c>
    </row>
    <row r="2146" spans="4:16" x14ac:dyDescent="0.2">
      <c r="D2146">
        <v>100001287</v>
      </c>
      <c r="E2146" s="49">
        <v>44371</v>
      </c>
      <c r="F2146" t="s">
        <v>3132</v>
      </c>
      <c r="G2146" t="s">
        <v>1701</v>
      </c>
      <c r="H2146">
        <v>8</v>
      </c>
      <c r="I2146">
        <v>116.26</v>
      </c>
      <c r="J2146" s="50">
        <v>930.08</v>
      </c>
      <c r="K2146" t="s">
        <v>1632</v>
      </c>
      <c r="M2146" t="s">
        <v>1621</v>
      </c>
      <c r="N2146">
        <v>61.36</v>
      </c>
      <c r="O2146" s="49">
        <v>44372</v>
      </c>
      <c r="P2146" s="50">
        <v>418.536</v>
      </c>
    </row>
    <row r="2147" spans="4:16" x14ac:dyDescent="0.2">
      <c r="D2147">
        <v>100001287</v>
      </c>
      <c r="E2147" s="49">
        <v>45594</v>
      </c>
      <c r="F2147" t="s">
        <v>3132</v>
      </c>
      <c r="G2147" t="s">
        <v>2217</v>
      </c>
      <c r="H2147">
        <v>9</v>
      </c>
      <c r="I2147">
        <v>17.829999999999998</v>
      </c>
      <c r="J2147" s="50">
        <v>160.47</v>
      </c>
      <c r="K2147" t="s">
        <v>1632</v>
      </c>
      <c r="M2147" t="s">
        <v>1624</v>
      </c>
      <c r="N2147">
        <v>9.41</v>
      </c>
      <c r="O2147" s="49">
        <v>45596</v>
      </c>
      <c r="P2147" s="50">
        <v>72.211500000000001</v>
      </c>
    </row>
    <row r="2148" spans="4:16" x14ac:dyDescent="0.2">
      <c r="D2148">
        <v>100001287</v>
      </c>
      <c r="E2148" s="49">
        <v>44861</v>
      </c>
      <c r="F2148" t="s">
        <v>3132</v>
      </c>
      <c r="G2148" t="s">
        <v>1950</v>
      </c>
      <c r="H2148">
        <v>9</v>
      </c>
      <c r="I2148">
        <v>111.5</v>
      </c>
      <c r="J2148" s="50">
        <v>1003.5</v>
      </c>
      <c r="K2148" t="s">
        <v>1632</v>
      </c>
      <c r="M2148" t="s">
        <v>1619</v>
      </c>
      <c r="N2148">
        <v>58.85</v>
      </c>
      <c r="O2148" s="49">
        <v>44866</v>
      </c>
      <c r="P2148" s="50">
        <v>451.57499999999999</v>
      </c>
    </row>
    <row r="2149" spans="4:16" x14ac:dyDescent="0.2">
      <c r="D2149">
        <v>100001291</v>
      </c>
      <c r="E2149" s="49">
        <v>45649</v>
      </c>
      <c r="F2149" t="s">
        <v>3133</v>
      </c>
      <c r="G2149" t="s">
        <v>1967</v>
      </c>
      <c r="H2149">
        <v>6</v>
      </c>
      <c r="I2149">
        <v>11.83</v>
      </c>
      <c r="J2149" s="50">
        <v>70.98</v>
      </c>
      <c r="K2149" t="s">
        <v>1632</v>
      </c>
      <c r="L2149" t="s">
        <v>3134</v>
      </c>
      <c r="M2149" t="s">
        <v>1621</v>
      </c>
      <c r="N2149">
        <v>6.24</v>
      </c>
      <c r="O2149" s="49">
        <v>45651</v>
      </c>
      <c r="P2149" s="50">
        <v>31.941000000000003</v>
      </c>
    </row>
    <row r="2150" spans="4:16" x14ac:dyDescent="0.2">
      <c r="D2150">
        <v>100001291</v>
      </c>
      <c r="E2150" s="49">
        <v>44940</v>
      </c>
      <c r="F2150" t="s">
        <v>3133</v>
      </c>
      <c r="G2150" t="s">
        <v>3135</v>
      </c>
      <c r="H2150">
        <v>5</v>
      </c>
      <c r="I2150">
        <v>90.58</v>
      </c>
      <c r="J2150" s="50">
        <v>452.9</v>
      </c>
      <c r="K2150" t="s">
        <v>1632</v>
      </c>
      <c r="L2150" t="s">
        <v>3134</v>
      </c>
      <c r="M2150" t="s">
        <v>1619</v>
      </c>
      <c r="N2150">
        <v>47.81</v>
      </c>
      <c r="O2150" s="49">
        <v>44941</v>
      </c>
      <c r="P2150" s="50">
        <v>203.80500000000001</v>
      </c>
    </row>
    <row r="2151" spans="4:16" x14ac:dyDescent="0.2">
      <c r="D2151">
        <v>100001291</v>
      </c>
      <c r="E2151" s="49">
        <v>44378</v>
      </c>
      <c r="F2151" t="s">
        <v>3133</v>
      </c>
      <c r="G2151" t="s">
        <v>2024</v>
      </c>
      <c r="H2151">
        <v>5</v>
      </c>
      <c r="I2151">
        <v>83.07</v>
      </c>
      <c r="J2151" s="50">
        <v>415.35</v>
      </c>
      <c r="K2151" t="s">
        <v>1632</v>
      </c>
      <c r="L2151" t="s">
        <v>3134</v>
      </c>
      <c r="M2151" t="s">
        <v>1624</v>
      </c>
      <c r="N2151">
        <v>43.84</v>
      </c>
      <c r="O2151" s="49">
        <v>44380</v>
      </c>
      <c r="P2151" s="50">
        <v>186.90750000000003</v>
      </c>
    </row>
    <row r="2152" spans="4:16" x14ac:dyDescent="0.2">
      <c r="D2152">
        <v>100001291</v>
      </c>
      <c r="E2152" s="49">
        <v>45109</v>
      </c>
      <c r="F2152" t="s">
        <v>3133</v>
      </c>
      <c r="G2152" t="s">
        <v>2571</v>
      </c>
      <c r="H2152">
        <v>1</v>
      </c>
      <c r="I2152">
        <v>41.8</v>
      </c>
      <c r="J2152" s="50">
        <v>41.8</v>
      </c>
      <c r="K2152" t="s">
        <v>1632</v>
      </c>
      <c r="L2152" t="s">
        <v>3134</v>
      </c>
      <c r="M2152" t="s">
        <v>1627</v>
      </c>
      <c r="N2152">
        <v>22.06</v>
      </c>
      <c r="O2152" s="49">
        <v>45113</v>
      </c>
      <c r="P2152" s="50">
        <v>18.809999999999999</v>
      </c>
    </row>
    <row r="2153" spans="4:16" x14ac:dyDescent="0.2">
      <c r="D2153">
        <v>100001291</v>
      </c>
      <c r="E2153" s="49">
        <v>44460</v>
      </c>
      <c r="F2153" t="s">
        <v>3133</v>
      </c>
      <c r="G2153" t="s">
        <v>2098</v>
      </c>
      <c r="H2153">
        <v>1</v>
      </c>
      <c r="I2153">
        <v>31.35</v>
      </c>
      <c r="J2153" s="50">
        <v>31.35</v>
      </c>
      <c r="K2153" t="s">
        <v>1632</v>
      </c>
      <c r="L2153" t="s">
        <v>3134</v>
      </c>
      <c r="M2153" t="s">
        <v>1624</v>
      </c>
      <c r="N2153">
        <v>16.55</v>
      </c>
      <c r="O2153" s="49">
        <v>44463</v>
      </c>
      <c r="P2153" s="50">
        <v>14.107500000000002</v>
      </c>
    </row>
    <row r="2154" spans="4:16" x14ac:dyDescent="0.2">
      <c r="D2154">
        <v>100001292</v>
      </c>
      <c r="E2154" s="49">
        <v>45210</v>
      </c>
      <c r="F2154" t="s">
        <v>3136</v>
      </c>
      <c r="G2154" t="s">
        <v>2180</v>
      </c>
      <c r="H2154">
        <v>1</v>
      </c>
      <c r="I2154">
        <v>97.94</v>
      </c>
      <c r="J2154" s="50">
        <v>97.94</v>
      </c>
      <c r="K2154" t="s">
        <v>1632</v>
      </c>
      <c r="M2154" t="s">
        <v>1619</v>
      </c>
      <c r="N2154">
        <v>51.69</v>
      </c>
      <c r="O2154" s="49">
        <v>45213</v>
      </c>
      <c r="P2154" s="50">
        <v>44.073</v>
      </c>
    </row>
    <row r="2155" spans="4:16" x14ac:dyDescent="0.2">
      <c r="D2155">
        <v>100001292</v>
      </c>
      <c r="E2155" s="49">
        <v>45082</v>
      </c>
      <c r="F2155" t="s">
        <v>3136</v>
      </c>
      <c r="G2155" t="s">
        <v>1718</v>
      </c>
      <c r="H2155">
        <v>1</v>
      </c>
      <c r="I2155">
        <v>90.98</v>
      </c>
      <c r="J2155" s="50">
        <v>90.98</v>
      </c>
      <c r="K2155" t="s">
        <v>1632</v>
      </c>
      <c r="M2155" t="s">
        <v>1629</v>
      </c>
      <c r="N2155">
        <v>48.02</v>
      </c>
      <c r="O2155" s="49">
        <v>45083</v>
      </c>
      <c r="P2155" s="50">
        <v>40.941000000000003</v>
      </c>
    </row>
    <row r="2156" spans="4:16" x14ac:dyDescent="0.2">
      <c r="D2156">
        <v>100001296</v>
      </c>
      <c r="E2156" s="49">
        <v>44859</v>
      </c>
      <c r="F2156" t="s">
        <v>3137</v>
      </c>
      <c r="G2156" t="s">
        <v>1736</v>
      </c>
      <c r="H2156">
        <v>8</v>
      </c>
      <c r="I2156">
        <v>29.34</v>
      </c>
      <c r="J2156" s="50">
        <v>234.72</v>
      </c>
      <c r="K2156" t="s">
        <v>1618</v>
      </c>
      <c r="L2156" t="s">
        <v>3138</v>
      </c>
      <c r="M2156" t="s">
        <v>1621</v>
      </c>
      <c r="N2156">
        <v>15.48</v>
      </c>
      <c r="O2156" s="49">
        <v>44860</v>
      </c>
      <c r="P2156" s="50">
        <v>105.624</v>
      </c>
    </row>
    <row r="2157" spans="4:16" x14ac:dyDescent="0.2">
      <c r="D2157">
        <v>100001297</v>
      </c>
      <c r="E2157" s="49">
        <v>44398</v>
      </c>
      <c r="F2157" t="s">
        <v>3139</v>
      </c>
      <c r="G2157" t="s">
        <v>2217</v>
      </c>
      <c r="H2157">
        <v>2</v>
      </c>
      <c r="I2157">
        <v>23.28</v>
      </c>
      <c r="J2157" s="50">
        <v>46.56</v>
      </c>
      <c r="K2157" t="s">
        <v>1618</v>
      </c>
      <c r="M2157" t="s">
        <v>1624</v>
      </c>
      <c r="N2157">
        <v>12.29</v>
      </c>
      <c r="O2157" s="49">
        <v>44400</v>
      </c>
      <c r="P2157" s="50">
        <v>20.952000000000002</v>
      </c>
    </row>
    <row r="2158" spans="4:16" x14ac:dyDescent="0.2">
      <c r="D2158">
        <v>100001297</v>
      </c>
      <c r="E2158" s="49">
        <v>44248</v>
      </c>
      <c r="F2158" t="s">
        <v>3139</v>
      </c>
      <c r="G2158" t="s">
        <v>1754</v>
      </c>
      <c r="H2158">
        <v>9</v>
      </c>
      <c r="I2158">
        <v>63.67</v>
      </c>
      <c r="J2158" s="50">
        <v>573.03</v>
      </c>
      <c r="K2158" t="s">
        <v>1618</v>
      </c>
      <c r="M2158" t="s">
        <v>1629</v>
      </c>
      <c r="N2158">
        <v>33.6</v>
      </c>
      <c r="O2158" s="49">
        <v>44253</v>
      </c>
      <c r="P2158" s="50">
        <v>257.86349999999999</v>
      </c>
    </row>
    <row r="2159" spans="4:16" x14ac:dyDescent="0.2">
      <c r="D2159">
        <v>100001298</v>
      </c>
      <c r="E2159" s="49">
        <v>45553</v>
      </c>
      <c r="F2159" t="s">
        <v>3140</v>
      </c>
      <c r="G2159" t="s">
        <v>2098</v>
      </c>
      <c r="H2159">
        <v>2</v>
      </c>
      <c r="I2159">
        <v>119.98</v>
      </c>
      <c r="J2159" s="50">
        <v>239.96</v>
      </c>
      <c r="K2159" t="s">
        <v>1632</v>
      </c>
      <c r="L2159" t="s">
        <v>3141</v>
      </c>
      <c r="M2159" t="s">
        <v>1629</v>
      </c>
      <c r="N2159">
        <v>63.32</v>
      </c>
      <c r="O2159" s="49">
        <v>45555</v>
      </c>
      <c r="P2159" s="50">
        <v>107.982</v>
      </c>
    </row>
    <row r="2160" spans="4:16" x14ac:dyDescent="0.2">
      <c r="D2160">
        <v>100001299</v>
      </c>
      <c r="E2160" s="49">
        <v>44382</v>
      </c>
      <c r="F2160" t="s">
        <v>3142</v>
      </c>
      <c r="G2160" t="s">
        <v>2387</v>
      </c>
      <c r="H2160">
        <v>6</v>
      </c>
      <c r="I2160">
        <v>87.1</v>
      </c>
      <c r="J2160" s="50">
        <v>522.59999999999991</v>
      </c>
      <c r="K2160" t="s">
        <v>1618</v>
      </c>
      <c r="M2160" t="s">
        <v>1619</v>
      </c>
      <c r="N2160">
        <v>45.97</v>
      </c>
      <c r="O2160" s="49">
        <v>44384</v>
      </c>
      <c r="P2160" s="50">
        <v>235.16999999999996</v>
      </c>
    </row>
    <row r="2161" spans="4:16" x14ac:dyDescent="0.2">
      <c r="D2161">
        <v>100001299</v>
      </c>
      <c r="E2161" s="49">
        <v>44962</v>
      </c>
      <c r="F2161" t="s">
        <v>3142</v>
      </c>
      <c r="G2161" t="s">
        <v>1667</v>
      </c>
      <c r="H2161">
        <v>1</v>
      </c>
      <c r="I2161">
        <v>47.71</v>
      </c>
      <c r="J2161" s="50">
        <v>47.71</v>
      </c>
      <c r="K2161" t="s">
        <v>1618</v>
      </c>
      <c r="M2161" t="s">
        <v>1627</v>
      </c>
      <c r="N2161">
        <v>25.18</v>
      </c>
      <c r="O2161" s="49">
        <v>44965</v>
      </c>
      <c r="P2161" s="50">
        <v>21.4695</v>
      </c>
    </row>
    <row r="2162" spans="4:16" x14ac:dyDescent="0.2">
      <c r="D2162">
        <v>100001300</v>
      </c>
      <c r="E2162" s="49">
        <v>44989</v>
      </c>
      <c r="F2162" t="s">
        <v>3143</v>
      </c>
      <c r="G2162" t="s">
        <v>2101</v>
      </c>
      <c r="H2162">
        <v>3</v>
      </c>
      <c r="I2162">
        <v>22.57</v>
      </c>
      <c r="J2162" s="50">
        <v>67.710000000000008</v>
      </c>
      <c r="K2162" t="s">
        <v>1618</v>
      </c>
      <c r="L2162" t="s">
        <v>3144</v>
      </c>
      <c r="M2162" t="s">
        <v>1629</v>
      </c>
      <c r="N2162">
        <v>11.91</v>
      </c>
      <c r="O2162" s="49">
        <v>44991</v>
      </c>
      <c r="P2162" s="50">
        <v>30.469500000000004</v>
      </c>
    </row>
    <row r="2163" spans="4:16" x14ac:dyDescent="0.2">
      <c r="D2163">
        <v>100001301</v>
      </c>
      <c r="E2163" s="49">
        <v>44835</v>
      </c>
      <c r="F2163" t="s">
        <v>3145</v>
      </c>
      <c r="G2163" t="s">
        <v>1880</v>
      </c>
      <c r="H2163">
        <v>9</v>
      </c>
      <c r="I2163">
        <v>44.34</v>
      </c>
      <c r="J2163" s="50">
        <v>399.06000000000012</v>
      </c>
      <c r="K2163" t="s">
        <v>1618</v>
      </c>
      <c r="M2163" t="s">
        <v>1621</v>
      </c>
      <c r="N2163">
        <v>23.4</v>
      </c>
      <c r="O2163" s="49">
        <v>44837</v>
      </c>
      <c r="P2163" s="50">
        <v>179.57700000000006</v>
      </c>
    </row>
    <row r="2164" spans="4:16" x14ac:dyDescent="0.2">
      <c r="D2164">
        <v>100001301</v>
      </c>
      <c r="E2164" s="49">
        <v>45490</v>
      </c>
      <c r="F2164" t="s">
        <v>3145</v>
      </c>
      <c r="G2164" t="s">
        <v>1866</v>
      </c>
      <c r="H2164">
        <v>1</v>
      </c>
      <c r="I2164">
        <v>71.02</v>
      </c>
      <c r="J2164" s="50">
        <v>71.02</v>
      </c>
      <c r="K2164" t="s">
        <v>1618</v>
      </c>
      <c r="M2164" t="s">
        <v>1629</v>
      </c>
      <c r="N2164">
        <v>37.479999999999997</v>
      </c>
      <c r="O2164" s="49">
        <v>45493</v>
      </c>
      <c r="P2164" s="50">
        <v>31.959</v>
      </c>
    </row>
    <row r="2165" spans="4:16" x14ac:dyDescent="0.2">
      <c r="D2165">
        <v>100001301</v>
      </c>
      <c r="E2165" s="49">
        <v>45366</v>
      </c>
      <c r="F2165" t="s">
        <v>3145</v>
      </c>
      <c r="G2165" t="s">
        <v>1846</v>
      </c>
      <c r="H2165">
        <v>5</v>
      </c>
      <c r="I2165">
        <v>30.97</v>
      </c>
      <c r="J2165" s="50">
        <v>154.85</v>
      </c>
      <c r="K2165" t="s">
        <v>1618</v>
      </c>
      <c r="M2165" t="s">
        <v>1627</v>
      </c>
      <c r="N2165">
        <v>16.350000000000001</v>
      </c>
      <c r="O2165" s="49">
        <v>45371</v>
      </c>
      <c r="P2165" s="50">
        <v>69.682500000000005</v>
      </c>
    </row>
    <row r="2166" spans="4:16" x14ac:dyDescent="0.2">
      <c r="D2166">
        <v>100001302</v>
      </c>
      <c r="E2166" s="49">
        <v>44239</v>
      </c>
      <c r="F2166" t="s">
        <v>3146</v>
      </c>
      <c r="G2166" t="s">
        <v>2373</v>
      </c>
      <c r="H2166">
        <v>7</v>
      </c>
      <c r="I2166">
        <v>92.66</v>
      </c>
      <c r="J2166" s="50">
        <v>648.62</v>
      </c>
      <c r="K2166" t="s">
        <v>1632</v>
      </c>
      <c r="M2166" t="s">
        <v>1627</v>
      </c>
      <c r="N2166">
        <v>48.9</v>
      </c>
      <c r="O2166" s="49">
        <v>44244</v>
      </c>
      <c r="P2166" s="50">
        <v>291.87900000000002</v>
      </c>
    </row>
    <row r="2167" spans="4:16" x14ac:dyDescent="0.2">
      <c r="D2167">
        <v>100001302</v>
      </c>
      <c r="E2167" s="49">
        <v>44406</v>
      </c>
      <c r="F2167" t="s">
        <v>3146</v>
      </c>
      <c r="G2167" t="s">
        <v>2019</v>
      </c>
      <c r="H2167">
        <v>3</v>
      </c>
      <c r="I2167">
        <v>61.24</v>
      </c>
      <c r="J2167" s="50">
        <v>183.72</v>
      </c>
      <c r="K2167" t="s">
        <v>1632</v>
      </c>
      <c r="M2167" t="s">
        <v>1619</v>
      </c>
      <c r="N2167">
        <v>32.32</v>
      </c>
      <c r="O2167" s="49">
        <v>44411</v>
      </c>
      <c r="P2167" s="50">
        <v>82.674000000000007</v>
      </c>
    </row>
    <row r="2168" spans="4:16" x14ac:dyDescent="0.2">
      <c r="D2168">
        <v>100001302</v>
      </c>
      <c r="E2168" s="49">
        <v>45595</v>
      </c>
      <c r="F2168" t="s">
        <v>3146</v>
      </c>
      <c r="G2168" t="s">
        <v>1639</v>
      </c>
      <c r="H2168">
        <v>10</v>
      </c>
      <c r="I2168">
        <v>13.85</v>
      </c>
      <c r="J2168" s="50">
        <v>138.5</v>
      </c>
      <c r="K2168" t="s">
        <v>1632</v>
      </c>
      <c r="M2168" t="s">
        <v>1621</v>
      </c>
      <c r="N2168">
        <v>7.31</v>
      </c>
      <c r="O2168" s="49">
        <v>45599</v>
      </c>
      <c r="P2168" s="50">
        <v>62.325000000000003</v>
      </c>
    </row>
    <row r="2169" spans="4:16" x14ac:dyDescent="0.2">
      <c r="D2169">
        <v>100001302</v>
      </c>
      <c r="E2169" s="49">
        <v>45235</v>
      </c>
      <c r="F2169" t="s">
        <v>3146</v>
      </c>
      <c r="G2169" t="s">
        <v>1812</v>
      </c>
      <c r="H2169">
        <v>10</v>
      </c>
      <c r="I2169">
        <v>114.59</v>
      </c>
      <c r="J2169" s="50">
        <v>1145.9000000000001</v>
      </c>
      <c r="K2169" t="s">
        <v>1632</v>
      </c>
      <c r="M2169" t="s">
        <v>1619</v>
      </c>
      <c r="N2169">
        <v>60.48</v>
      </c>
      <c r="O2169" s="49">
        <v>45238</v>
      </c>
      <c r="P2169" s="50">
        <v>515.65500000000009</v>
      </c>
    </row>
    <row r="2170" spans="4:16" x14ac:dyDescent="0.2">
      <c r="D2170">
        <v>100001302</v>
      </c>
      <c r="E2170" s="49">
        <v>44904</v>
      </c>
      <c r="F2170" t="s">
        <v>3146</v>
      </c>
      <c r="G2170" t="s">
        <v>2134</v>
      </c>
      <c r="H2170">
        <v>7</v>
      </c>
      <c r="I2170">
        <v>42.66</v>
      </c>
      <c r="J2170" s="50">
        <v>298.62</v>
      </c>
      <c r="K2170" t="s">
        <v>1632</v>
      </c>
      <c r="M2170" t="s">
        <v>1627</v>
      </c>
      <c r="N2170">
        <v>22.51</v>
      </c>
      <c r="O2170" s="49">
        <v>44909</v>
      </c>
      <c r="P2170" s="50">
        <v>134.37900000000002</v>
      </c>
    </row>
    <row r="2171" spans="4:16" x14ac:dyDescent="0.2">
      <c r="D2171">
        <v>100001303</v>
      </c>
      <c r="E2171" s="49">
        <v>44892</v>
      </c>
      <c r="F2171" t="s">
        <v>3147</v>
      </c>
      <c r="G2171" t="s">
        <v>1941</v>
      </c>
      <c r="H2171">
        <v>1</v>
      </c>
      <c r="I2171">
        <v>118.58</v>
      </c>
      <c r="J2171" s="50">
        <v>118.58</v>
      </c>
      <c r="K2171" t="s">
        <v>1632</v>
      </c>
      <c r="M2171" t="s">
        <v>1627</v>
      </c>
      <c r="N2171">
        <v>62.58</v>
      </c>
      <c r="O2171" s="49">
        <v>44896</v>
      </c>
      <c r="P2171" s="50">
        <v>53.360999999999997</v>
      </c>
    </row>
    <row r="2172" spans="4:16" x14ac:dyDescent="0.2">
      <c r="D2172">
        <v>100001304</v>
      </c>
      <c r="E2172" s="49">
        <v>45051</v>
      </c>
      <c r="F2172" t="s">
        <v>3148</v>
      </c>
      <c r="G2172" t="s">
        <v>1649</v>
      </c>
      <c r="H2172">
        <v>4</v>
      </c>
      <c r="I2172">
        <v>88.22</v>
      </c>
      <c r="J2172" s="50">
        <v>352.88</v>
      </c>
      <c r="K2172" t="s">
        <v>1632</v>
      </c>
      <c r="M2172" t="s">
        <v>1619</v>
      </c>
      <c r="N2172">
        <v>46.56</v>
      </c>
      <c r="O2172" s="49">
        <v>45053</v>
      </c>
      <c r="P2172" s="50">
        <v>158.79599999999999</v>
      </c>
    </row>
    <row r="2173" spans="4:16" x14ac:dyDescent="0.2">
      <c r="D2173">
        <v>100001306</v>
      </c>
      <c r="E2173" s="49">
        <v>44985</v>
      </c>
      <c r="F2173" t="s">
        <v>3149</v>
      </c>
      <c r="G2173" t="s">
        <v>1830</v>
      </c>
      <c r="H2173">
        <v>5</v>
      </c>
      <c r="I2173">
        <v>30.43</v>
      </c>
      <c r="J2173" s="50">
        <v>152.15</v>
      </c>
      <c r="K2173" t="s">
        <v>1632</v>
      </c>
      <c r="M2173" t="s">
        <v>1624</v>
      </c>
      <c r="N2173">
        <v>16.059999999999999</v>
      </c>
      <c r="O2173" s="49">
        <v>44989</v>
      </c>
      <c r="P2173" s="50">
        <v>68.467500000000001</v>
      </c>
    </row>
    <row r="2174" spans="4:16" x14ac:dyDescent="0.2">
      <c r="D2174">
        <v>100001306</v>
      </c>
      <c r="E2174" s="49">
        <v>45505</v>
      </c>
      <c r="F2174" t="s">
        <v>3149</v>
      </c>
      <c r="G2174" t="s">
        <v>2132</v>
      </c>
      <c r="H2174">
        <v>2</v>
      </c>
      <c r="I2174">
        <v>33.67</v>
      </c>
      <c r="J2174" s="50">
        <v>67.34</v>
      </c>
      <c r="K2174" t="s">
        <v>1632</v>
      </c>
      <c r="M2174" t="s">
        <v>1627</v>
      </c>
      <c r="N2174">
        <v>17.77</v>
      </c>
      <c r="O2174" s="49">
        <v>45507</v>
      </c>
      <c r="P2174" s="50">
        <v>30.303000000000001</v>
      </c>
    </row>
    <row r="2175" spans="4:16" x14ac:dyDescent="0.2">
      <c r="D2175">
        <v>100001307</v>
      </c>
      <c r="E2175" s="49">
        <v>45353</v>
      </c>
      <c r="F2175" t="s">
        <v>3150</v>
      </c>
      <c r="G2175" t="s">
        <v>2192</v>
      </c>
      <c r="H2175">
        <v>10</v>
      </c>
      <c r="I2175">
        <v>90.6</v>
      </c>
      <c r="J2175" s="50">
        <v>906</v>
      </c>
      <c r="K2175" t="s">
        <v>1618</v>
      </c>
      <c r="L2175" t="s">
        <v>3151</v>
      </c>
      <c r="M2175" t="s">
        <v>1624</v>
      </c>
      <c r="N2175">
        <v>47.82</v>
      </c>
      <c r="O2175" s="49">
        <v>45354</v>
      </c>
      <c r="P2175" s="50">
        <v>407.7</v>
      </c>
    </row>
    <row r="2176" spans="4:16" x14ac:dyDescent="0.2">
      <c r="D2176">
        <v>100001308</v>
      </c>
      <c r="E2176" s="49">
        <v>44451</v>
      </c>
      <c r="F2176" t="s">
        <v>3152</v>
      </c>
      <c r="G2176" t="s">
        <v>2230</v>
      </c>
      <c r="H2176">
        <v>7</v>
      </c>
      <c r="I2176">
        <v>80.459999999999994</v>
      </c>
      <c r="J2176" s="50">
        <v>563.21999999999991</v>
      </c>
      <c r="K2176" t="s">
        <v>1632</v>
      </c>
      <c r="M2176" t="s">
        <v>1627</v>
      </c>
      <c r="N2176">
        <v>42.46</v>
      </c>
      <c r="O2176" s="49">
        <v>44456</v>
      </c>
      <c r="P2176" s="50">
        <v>253.44899999999996</v>
      </c>
    </row>
    <row r="2177" spans="4:16" x14ac:dyDescent="0.2">
      <c r="D2177">
        <v>100001309</v>
      </c>
      <c r="E2177" s="49">
        <v>44789</v>
      </c>
      <c r="F2177" t="s">
        <v>3153</v>
      </c>
      <c r="G2177" t="s">
        <v>1785</v>
      </c>
      <c r="H2177">
        <v>8</v>
      </c>
      <c r="I2177">
        <v>111.75</v>
      </c>
      <c r="J2177" s="50">
        <v>894</v>
      </c>
      <c r="K2177" t="s">
        <v>1632</v>
      </c>
      <c r="M2177" t="s">
        <v>1629</v>
      </c>
      <c r="N2177">
        <v>58.98</v>
      </c>
      <c r="O2177" s="49">
        <v>44790</v>
      </c>
      <c r="P2177" s="50">
        <v>402.3</v>
      </c>
    </row>
    <row r="2178" spans="4:16" x14ac:dyDescent="0.2">
      <c r="D2178">
        <v>100001310</v>
      </c>
      <c r="E2178" s="49">
        <v>44754</v>
      </c>
      <c r="F2178" t="s">
        <v>3154</v>
      </c>
      <c r="G2178" t="s">
        <v>2581</v>
      </c>
      <c r="H2178">
        <v>5</v>
      </c>
      <c r="I2178">
        <v>76.459999999999994</v>
      </c>
      <c r="J2178" s="50">
        <v>382.3</v>
      </c>
      <c r="K2178" t="s">
        <v>1632</v>
      </c>
      <c r="M2178" t="s">
        <v>1627</v>
      </c>
      <c r="N2178">
        <v>40.35</v>
      </c>
      <c r="O2178" s="49">
        <v>44758</v>
      </c>
      <c r="P2178" s="50">
        <v>172.035</v>
      </c>
    </row>
    <row r="2179" spans="4:16" x14ac:dyDescent="0.2">
      <c r="D2179">
        <v>100001310</v>
      </c>
      <c r="E2179" s="49">
        <v>45637</v>
      </c>
      <c r="F2179" t="s">
        <v>3154</v>
      </c>
      <c r="G2179" t="s">
        <v>2159</v>
      </c>
      <c r="H2179">
        <v>10</v>
      </c>
      <c r="I2179">
        <v>63.61</v>
      </c>
      <c r="J2179" s="50">
        <v>636.1</v>
      </c>
      <c r="K2179" t="s">
        <v>1632</v>
      </c>
      <c r="M2179" t="s">
        <v>1619</v>
      </c>
      <c r="N2179">
        <v>33.57</v>
      </c>
      <c r="O2179" s="49">
        <v>45641</v>
      </c>
      <c r="P2179" s="50">
        <v>286.245</v>
      </c>
    </row>
    <row r="2180" spans="4:16" x14ac:dyDescent="0.2">
      <c r="D2180">
        <v>100001310</v>
      </c>
      <c r="E2180" s="49">
        <v>44818</v>
      </c>
      <c r="F2180" t="s">
        <v>3154</v>
      </c>
      <c r="G2180" t="s">
        <v>1783</v>
      </c>
      <c r="H2180">
        <v>7</v>
      </c>
      <c r="I2180">
        <v>108.7</v>
      </c>
      <c r="J2180" s="50">
        <v>760.9</v>
      </c>
      <c r="K2180" t="s">
        <v>1632</v>
      </c>
      <c r="M2180" t="s">
        <v>1629</v>
      </c>
      <c r="N2180">
        <v>57.37</v>
      </c>
      <c r="O2180" s="49">
        <v>44820</v>
      </c>
      <c r="P2180" s="50">
        <v>342.40499999999997</v>
      </c>
    </row>
    <row r="2181" spans="4:16" x14ac:dyDescent="0.2">
      <c r="D2181">
        <v>100001310</v>
      </c>
      <c r="E2181" s="49">
        <v>45596</v>
      </c>
      <c r="F2181" t="s">
        <v>3154</v>
      </c>
      <c r="G2181" t="s">
        <v>1801</v>
      </c>
      <c r="H2181">
        <v>8</v>
      </c>
      <c r="I2181">
        <v>60.39</v>
      </c>
      <c r="J2181" s="50">
        <v>483.12</v>
      </c>
      <c r="K2181" t="s">
        <v>1632</v>
      </c>
      <c r="M2181" t="s">
        <v>1619</v>
      </c>
      <c r="N2181">
        <v>31.87</v>
      </c>
      <c r="O2181" s="49">
        <v>45600</v>
      </c>
      <c r="P2181" s="50">
        <v>217.404</v>
      </c>
    </row>
    <row r="2182" spans="4:16" x14ac:dyDescent="0.2">
      <c r="D2182">
        <v>100001310</v>
      </c>
      <c r="E2182" s="49">
        <v>44995</v>
      </c>
      <c r="F2182" t="s">
        <v>3154</v>
      </c>
      <c r="G2182" t="s">
        <v>1777</v>
      </c>
      <c r="H2182">
        <v>7</v>
      </c>
      <c r="I2182">
        <v>81.95</v>
      </c>
      <c r="J2182" s="50">
        <v>573.65</v>
      </c>
      <c r="K2182" t="s">
        <v>1632</v>
      </c>
      <c r="M2182" t="s">
        <v>1629</v>
      </c>
      <c r="N2182">
        <v>43.25</v>
      </c>
      <c r="O2182" s="49">
        <v>44996</v>
      </c>
      <c r="P2182" s="50">
        <v>258.14249999999998</v>
      </c>
    </row>
    <row r="2183" spans="4:16" x14ac:dyDescent="0.2">
      <c r="D2183">
        <v>100001310</v>
      </c>
      <c r="E2183" s="49">
        <v>44298</v>
      </c>
      <c r="F2183" t="s">
        <v>3154</v>
      </c>
      <c r="G2183" t="s">
        <v>1838</v>
      </c>
      <c r="H2183">
        <v>5</v>
      </c>
      <c r="I2183">
        <v>99.72</v>
      </c>
      <c r="J2183" s="50">
        <v>498.6</v>
      </c>
      <c r="K2183" t="s">
        <v>1632</v>
      </c>
      <c r="M2183" t="s">
        <v>1629</v>
      </c>
      <c r="N2183">
        <v>52.63</v>
      </c>
      <c r="O2183" s="49">
        <v>44299</v>
      </c>
      <c r="P2183" s="50">
        <v>224.37</v>
      </c>
    </row>
    <row r="2184" spans="4:16" x14ac:dyDescent="0.2">
      <c r="D2184">
        <v>100001310</v>
      </c>
      <c r="E2184" s="49">
        <v>44824</v>
      </c>
      <c r="F2184" t="s">
        <v>3154</v>
      </c>
      <c r="G2184" t="s">
        <v>2571</v>
      </c>
      <c r="H2184">
        <v>2</v>
      </c>
      <c r="I2184">
        <v>100.49</v>
      </c>
      <c r="J2184" s="50">
        <v>200.98</v>
      </c>
      <c r="K2184" t="s">
        <v>1632</v>
      </c>
      <c r="M2184" t="s">
        <v>1627</v>
      </c>
      <c r="N2184">
        <v>53.04</v>
      </c>
      <c r="O2184" s="49">
        <v>44826</v>
      </c>
      <c r="P2184" s="50">
        <v>90.441000000000003</v>
      </c>
    </row>
    <row r="2185" spans="4:16" x14ac:dyDescent="0.2">
      <c r="D2185">
        <v>100001310</v>
      </c>
      <c r="E2185" s="49">
        <v>44897</v>
      </c>
      <c r="F2185" t="s">
        <v>3154</v>
      </c>
      <c r="G2185" t="s">
        <v>1990</v>
      </c>
      <c r="H2185">
        <v>4</v>
      </c>
      <c r="I2185">
        <v>71.430000000000007</v>
      </c>
      <c r="J2185" s="50">
        <v>285.72000000000003</v>
      </c>
      <c r="K2185" t="s">
        <v>1632</v>
      </c>
      <c r="M2185" t="s">
        <v>1629</v>
      </c>
      <c r="N2185">
        <v>37.700000000000003</v>
      </c>
      <c r="O2185" s="49">
        <v>44901</v>
      </c>
      <c r="P2185" s="50">
        <v>128.57400000000001</v>
      </c>
    </row>
    <row r="2186" spans="4:16" x14ac:dyDescent="0.2">
      <c r="D2186">
        <v>100001311</v>
      </c>
      <c r="E2186" s="49">
        <v>45543</v>
      </c>
      <c r="F2186" t="s">
        <v>3155</v>
      </c>
      <c r="G2186" t="s">
        <v>1817</v>
      </c>
      <c r="H2186">
        <v>2</v>
      </c>
      <c r="I2186">
        <v>118.64</v>
      </c>
      <c r="J2186" s="50">
        <v>237.28</v>
      </c>
      <c r="K2186" t="s">
        <v>1618</v>
      </c>
      <c r="M2186" t="s">
        <v>1629</v>
      </c>
      <c r="N2186">
        <v>62.62</v>
      </c>
      <c r="O2186" s="49">
        <v>45545</v>
      </c>
      <c r="P2186" s="50">
        <v>106.776</v>
      </c>
    </row>
    <row r="2187" spans="4:16" x14ac:dyDescent="0.2">
      <c r="D2187">
        <v>100001311</v>
      </c>
      <c r="E2187" s="49">
        <v>45501</v>
      </c>
      <c r="F2187" t="s">
        <v>3155</v>
      </c>
      <c r="G2187" t="s">
        <v>1669</v>
      </c>
      <c r="H2187">
        <v>2</v>
      </c>
      <c r="I2187">
        <v>113.89</v>
      </c>
      <c r="J2187" s="50">
        <v>227.78</v>
      </c>
      <c r="K2187" t="s">
        <v>1618</v>
      </c>
      <c r="M2187" t="s">
        <v>1629</v>
      </c>
      <c r="N2187">
        <v>60.11</v>
      </c>
      <c r="O2187" s="49">
        <v>45506</v>
      </c>
      <c r="P2187" s="50">
        <v>102.501</v>
      </c>
    </row>
    <row r="2188" spans="4:16" x14ac:dyDescent="0.2">
      <c r="D2188">
        <v>100001312</v>
      </c>
      <c r="E2188" s="49">
        <v>44268</v>
      </c>
      <c r="F2188" t="s">
        <v>3156</v>
      </c>
      <c r="G2188" t="s">
        <v>2242</v>
      </c>
      <c r="H2188">
        <v>4</v>
      </c>
      <c r="I2188">
        <v>63.8</v>
      </c>
      <c r="J2188" s="50">
        <v>255.2</v>
      </c>
      <c r="K2188" t="s">
        <v>1618</v>
      </c>
      <c r="M2188" t="s">
        <v>1621</v>
      </c>
      <c r="N2188">
        <v>33.67</v>
      </c>
      <c r="O2188" s="49">
        <v>44273</v>
      </c>
      <c r="P2188" s="50">
        <v>114.84</v>
      </c>
    </row>
    <row r="2189" spans="4:16" x14ac:dyDescent="0.2">
      <c r="D2189">
        <v>100001313</v>
      </c>
      <c r="E2189" s="49">
        <v>45305</v>
      </c>
      <c r="F2189" t="s">
        <v>3157</v>
      </c>
      <c r="G2189" t="s">
        <v>1669</v>
      </c>
      <c r="H2189">
        <v>8</v>
      </c>
      <c r="I2189">
        <v>98.69</v>
      </c>
      <c r="J2189" s="50">
        <v>789.52</v>
      </c>
      <c r="K2189" t="s">
        <v>1618</v>
      </c>
      <c r="M2189" t="s">
        <v>1627</v>
      </c>
      <c r="N2189">
        <v>52.09</v>
      </c>
      <c r="O2189" s="49">
        <v>45307</v>
      </c>
      <c r="P2189" s="50">
        <v>355.28399999999999</v>
      </c>
    </row>
    <row r="2190" spans="4:16" x14ac:dyDescent="0.2">
      <c r="D2190">
        <v>100001313</v>
      </c>
      <c r="E2190" s="49">
        <v>44217</v>
      </c>
      <c r="F2190" t="s">
        <v>3157</v>
      </c>
      <c r="G2190" t="s">
        <v>2003</v>
      </c>
      <c r="H2190">
        <v>10</v>
      </c>
      <c r="I2190">
        <v>59.58</v>
      </c>
      <c r="J2190" s="50">
        <v>595.79999999999995</v>
      </c>
      <c r="K2190" t="s">
        <v>1618</v>
      </c>
      <c r="M2190" t="s">
        <v>1629</v>
      </c>
      <c r="N2190">
        <v>31.44</v>
      </c>
      <c r="O2190" s="49">
        <v>44222</v>
      </c>
      <c r="P2190" s="50">
        <v>268.11</v>
      </c>
    </row>
    <row r="2191" spans="4:16" x14ac:dyDescent="0.2">
      <c r="D2191">
        <v>100001313</v>
      </c>
      <c r="E2191" s="49">
        <v>44657</v>
      </c>
      <c r="F2191" t="s">
        <v>3157</v>
      </c>
      <c r="G2191" t="s">
        <v>2121</v>
      </c>
      <c r="H2191">
        <v>9</v>
      </c>
      <c r="I2191">
        <v>113.16</v>
      </c>
      <c r="J2191" s="50">
        <v>1018.44</v>
      </c>
      <c r="K2191" t="s">
        <v>1618</v>
      </c>
      <c r="M2191" t="s">
        <v>1627</v>
      </c>
      <c r="N2191">
        <v>59.72</v>
      </c>
      <c r="O2191" s="49">
        <v>44660</v>
      </c>
      <c r="P2191" s="50">
        <v>458.29800000000006</v>
      </c>
    </row>
    <row r="2192" spans="4:16" x14ac:dyDescent="0.2">
      <c r="D2192">
        <v>100001315</v>
      </c>
      <c r="E2192" s="49">
        <v>44914</v>
      </c>
      <c r="F2192" t="s">
        <v>3158</v>
      </c>
      <c r="G2192" t="s">
        <v>1802</v>
      </c>
      <c r="H2192">
        <v>7</v>
      </c>
      <c r="I2192">
        <v>108.8</v>
      </c>
      <c r="J2192" s="50">
        <v>761.6</v>
      </c>
      <c r="K2192" t="s">
        <v>1618</v>
      </c>
      <c r="M2192" t="s">
        <v>1624</v>
      </c>
      <c r="N2192">
        <v>57.42</v>
      </c>
      <c r="O2192" s="49">
        <v>44918</v>
      </c>
      <c r="P2192" s="50">
        <v>342.72</v>
      </c>
    </row>
    <row r="2193" spans="4:16" x14ac:dyDescent="0.2">
      <c r="D2193">
        <v>100001316</v>
      </c>
      <c r="E2193" s="49">
        <v>45637</v>
      </c>
      <c r="F2193" t="s">
        <v>3159</v>
      </c>
      <c r="G2193" t="s">
        <v>2291</v>
      </c>
      <c r="H2193">
        <v>10</v>
      </c>
      <c r="I2193">
        <v>55.22</v>
      </c>
      <c r="J2193" s="50">
        <v>552.20000000000005</v>
      </c>
      <c r="K2193" t="s">
        <v>1632</v>
      </c>
      <c r="L2193" t="s">
        <v>3160</v>
      </c>
      <c r="M2193" t="s">
        <v>1624</v>
      </c>
      <c r="N2193">
        <v>29.14</v>
      </c>
      <c r="O2193" s="49">
        <v>45639</v>
      </c>
      <c r="P2193" s="50">
        <v>248.49000000000004</v>
      </c>
    </row>
    <row r="2194" spans="4:16" x14ac:dyDescent="0.2">
      <c r="D2194">
        <v>100001317</v>
      </c>
      <c r="E2194" s="49">
        <v>44429</v>
      </c>
      <c r="F2194" t="s">
        <v>3161</v>
      </c>
      <c r="G2194" t="s">
        <v>1744</v>
      </c>
      <c r="H2194">
        <v>9</v>
      </c>
      <c r="I2194">
        <v>27.21</v>
      </c>
      <c r="J2194" s="50">
        <v>244.89</v>
      </c>
      <c r="K2194" t="s">
        <v>1618</v>
      </c>
      <c r="L2194" t="s">
        <v>3162</v>
      </c>
      <c r="M2194" t="s">
        <v>1619</v>
      </c>
      <c r="N2194">
        <v>14.36</v>
      </c>
      <c r="O2194" s="49">
        <v>44430</v>
      </c>
      <c r="P2194" s="50">
        <v>110.20049999999999</v>
      </c>
    </row>
    <row r="2195" spans="4:16" x14ac:dyDescent="0.2">
      <c r="D2195">
        <v>100001319</v>
      </c>
      <c r="E2195" s="49">
        <v>45296</v>
      </c>
      <c r="F2195" t="s">
        <v>3163</v>
      </c>
      <c r="G2195" t="s">
        <v>1667</v>
      </c>
      <c r="H2195">
        <v>3</v>
      </c>
      <c r="I2195">
        <v>47.5</v>
      </c>
      <c r="J2195" s="50">
        <v>142.5</v>
      </c>
      <c r="K2195" t="s">
        <v>1632</v>
      </c>
      <c r="M2195" t="s">
        <v>1621</v>
      </c>
      <c r="N2195">
        <v>25.07</v>
      </c>
      <c r="O2195" s="49">
        <v>45297</v>
      </c>
      <c r="P2195" s="50">
        <v>64.125</v>
      </c>
    </row>
    <row r="2196" spans="4:16" x14ac:dyDescent="0.2">
      <c r="D2196">
        <v>100001319</v>
      </c>
      <c r="E2196" s="49">
        <v>45065</v>
      </c>
      <c r="F2196" t="s">
        <v>3163</v>
      </c>
      <c r="G2196" t="s">
        <v>1721</v>
      </c>
      <c r="H2196">
        <v>1</v>
      </c>
      <c r="I2196">
        <v>116.53</v>
      </c>
      <c r="J2196" s="50">
        <v>116.53</v>
      </c>
      <c r="K2196" t="s">
        <v>1632</v>
      </c>
      <c r="M2196" t="s">
        <v>1629</v>
      </c>
      <c r="N2196">
        <v>61.5</v>
      </c>
      <c r="O2196" s="49">
        <v>45069</v>
      </c>
      <c r="P2196" s="50">
        <v>52.438500000000005</v>
      </c>
    </row>
    <row r="2197" spans="4:16" x14ac:dyDescent="0.2">
      <c r="D2197">
        <v>100001319</v>
      </c>
      <c r="E2197" s="49">
        <v>45137</v>
      </c>
      <c r="F2197" t="s">
        <v>3163</v>
      </c>
      <c r="G2197" t="s">
        <v>2155</v>
      </c>
      <c r="H2197">
        <v>6</v>
      </c>
      <c r="I2197">
        <v>70.83</v>
      </c>
      <c r="J2197" s="50">
        <v>424.98</v>
      </c>
      <c r="K2197" t="s">
        <v>1632</v>
      </c>
      <c r="M2197" t="s">
        <v>1627</v>
      </c>
      <c r="N2197">
        <v>37.380000000000003</v>
      </c>
      <c r="O2197" s="49">
        <v>45140</v>
      </c>
      <c r="P2197" s="50">
        <v>191.24100000000001</v>
      </c>
    </row>
    <row r="2198" spans="4:16" x14ac:dyDescent="0.2">
      <c r="D2198">
        <v>100001320</v>
      </c>
      <c r="E2198" s="49">
        <v>45624</v>
      </c>
      <c r="F2198" t="s">
        <v>3164</v>
      </c>
      <c r="G2198" t="s">
        <v>1963</v>
      </c>
      <c r="H2198">
        <v>9</v>
      </c>
      <c r="I2198">
        <v>96.26</v>
      </c>
      <c r="J2198" s="50">
        <v>866.34</v>
      </c>
      <c r="K2198" t="s">
        <v>1632</v>
      </c>
      <c r="M2198" t="s">
        <v>1619</v>
      </c>
      <c r="N2198">
        <v>50.8</v>
      </c>
      <c r="O2198" s="49">
        <v>45628</v>
      </c>
      <c r="P2198" s="50">
        <v>389.85300000000001</v>
      </c>
    </row>
    <row r="2199" spans="4:16" x14ac:dyDescent="0.2">
      <c r="D2199">
        <v>100001320</v>
      </c>
      <c r="E2199" s="49">
        <v>44275</v>
      </c>
      <c r="F2199" t="s">
        <v>3164</v>
      </c>
      <c r="G2199" t="s">
        <v>1742</v>
      </c>
      <c r="H2199">
        <v>9</v>
      </c>
      <c r="I2199">
        <v>31.7</v>
      </c>
      <c r="J2199" s="50">
        <v>285.3</v>
      </c>
      <c r="K2199" t="s">
        <v>1632</v>
      </c>
      <c r="M2199" t="s">
        <v>1629</v>
      </c>
      <c r="N2199">
        <v>16.73</v>
      </c>
      <c r="O2199" s="49">
        <v>44278</v>
      </c>
      <c r="P2199" s="50">
        <v>128.38500000000002</v>
      </c>
    </row>
    <row r="2200" spans="4:16" x14ac:dyDescent="0.2">
      <c r="D2200">
        <v>100001321</v>
      </c>
      <c r="E2200" s="49">
        <v>45079</v>
      </c>
      <c r="F2200" t="s">
        <v>3165</v>
      </c>
      <c r="G2200" t="s">
        <v>1729</v>
      </c>
      <c r="H2200">
        <v>7</v>
      </c>
      <c r="I2200">
        <v>97.43</v>
      </c>
      <c r="J2200" s="50">
        <v>682.01</v>
      </c>
      <c r="K2200" t="s">
        <v>1618</v>
      </c>
      <c r="M2200" t="s">
        <v>1627</v>
      </c>
      <c r="N2200">
        <v>51.42</v>
      </c>
      <c r="O2200" s="49">
        <v>45082</v>
      </c>
      <c r="P2200" s="50">
        <v>306.90449999999998</v>
      </c>
    </row>
    <row r="2201" spans="4:16" x14ac:dyDescent="0.2">
      <c r="D2201">
        <v>100001322</v>
      </c>
      <c r="E2201" s="49">
        <v>45447</v>
      </c>
      <c r="F2201" t="s">
        <v>3166</v>
      </c>
      <c r="G2201" t="s">
        <v>1802</v>
      </c>
      <c r="H2201">
        <v>8</v>
      </c>
      <c r="I2201">
        <v>111.5</v>
      </c>
      <c r="J2201" s="50">
        <v>892</v>
      </c>
      <c r="K2201" t="s">
        <v>1618</v>
      </c>
      <c r="L2201" t="s">
        <v>3167</v>
      </c>
      <c r="M2201" t="s">
        <v>1627</v>
      </c>
      <c r="N2201">
        <v>58.85</v>
      </c>
      <c r="O2201" s="49">
        <v>45450</v>
      </c>
      <c r="P2201" s="50">
        <v>401.40000000000003</v>
      </c>
    </row>
    <row r="2202" spans="4:16" x14ac:dyDescent="0.2">
      <c r="D2202">
        <v>100001324</v>
      </c>
      <c r="E2202" s="49">
        <v>45216</v>
      </c>
      <c r="F2202" t="s">
        <v>3168</v>
      </c>
      <c r="G2202" t="s">
        <v>2514</v>
      </c>
      <c r="H2202">
        <v>8</v>
      </c>
      <c r="I2202">
        <v>28.5</v>
      </c>
      <c r="J2202" s="50">
        <v>228</v>
      </c>
      <c r="K2202" t="s">
        <v>1618</v>
      </c>
      <c r="M2202" t="s">
        <v>1629</v>
      </c>
      <c r="N2202">
        <v>15.04</v>
      </c>
      <c r="O2202" s="49">
        <v>45218</v>
      </c>
      <c r="P2202" s="50">
        <v>102.60000000000001</v>
      </c>
    </row>
    <row r="2203" spans="4:16" x14ac:dyDescent="0.2">
      <c r="D2203">
        <v>100001324</v>
      </c>
      <c r="E2203" s="49">
        <v>44336</v>
      </c>
      <c r="F2203" t="s">
        <v>3168</v>
      </c>
      <c r="G2203" t="s">
        <v>1828</v>
      </c>
      <c r="H2203">
        <v>1</v>
      </c>
      <c r="I2203">
        <v>104.94</v>
      </c>
      <c r="J2203" s="50">
        <v>104.94</v>
      </c>
      <c r="K2203" t="s">
        <v>1618</v>
      </c>
      <c r="M2203" t="s">
        <v>1629</v>
      </c>
      <c r="N2203">
        <v>55.38</v>
      </c>
      <c r="O2203" s="49">
        <v>44341</v>
      </c>
      <c r="P2203" s="50">
        <v>47.222999999999999</v>
      </c>
    </row>
    <row r="2204" spans="4:16" x14ac:dyDescent="0.2">
      <c r="D2204">
        <v>100001325</v>
      </c>
      <c r="E2204" s="49">
        <v>44769</v>
      </c>
      <c r="F2204" t="s">
        <v>3169</v>
      </c>
      <c r="G2204" t="s">
        <v>2130</v>
      </c>
      <c r="H2204">
        <v>5</v>
      </c>
      <c r="I2204">
        <v>10.02</v>
      </c>
      <c r="J2204" s="50">
        <v>50.099999999999987</v>
      </c>
      <c r="K2204" t="s">
        <v>1618</v>
      </c>
      <c r="M2204" t="s">
        <v>1627</v>
      </c>
      <c r="N2204">
        <v>5.29</v>
      </c>
      <c r="O2204" s="49">
        <v>44773</v>
      </c>
      <c r="P2204" s="50">
        <v>22.544999999999995</v>
      </c>
    </row>
    <row r="2205" spans="4:16" x14ac:dyDescent="0.2">
      <c r="D2205">
        <v>100001326</v>
      </c>
      <c r="E2205" s="49">
        <v>45486</v>
      </c>
      <c r="F2205" t="s">
        <v>3170</v>
      </c>
      <c r="G2205" t="s">
        <v>2088</v>
      </c>
      <c r="H2205">
        <v>6</v>
      </c>
      <c r="I2205">
        <v>55.09</v>
      </c>
      <c r="J2205" s="50">
        <v>330.54</v>
      </c>
      <c r="K2205" t="s">
        <v>1632</v>
      </c>
      <c r="M2205" t="s">
        <v>1619</v>
      </c>
      <c r="N2205">
        <v>29.08</v>
      </c>
      <c r="O2205" s="49">
        <v>45491</v>
      </c>
      <c r="P2205" s="50">
        <v>148.74300000000002</v>
      </c>
    </row>
    <row r="2206" spans="4:16" x14ac:dyDescent="0.2">
      <c r="D2206">
        <v>100001327</v>
      </c>
      <c r="E2206" s="49">
        <v>45460</v>
      </c>
      <c r="F2206" t="s">
        <v>3171</v>
      </c>
      <c r="G2206" t="s">
        <v>1636</v>
      </c>
      <c r="H2206">
        <v>2</v>
      </c>
      <c r="I2206">
        <v>57.98</v>
      </c>
      <c r="J2206" s="50">
        <v>115.96</v>
      </c>
      <c r="K2206" t="s">
        <v>1632</v>
      </c>
      <c r="M2206" t="s">
        <v>1619</v>
      </c>
      <c r="N2206">
        <v>30.6</v>
      </c>
      <c r="O2206" s="49">
        <v>45461</v>
      </c>
      <c r="P2206" s="50">
        <v>52.181999999999995</v>
      </c>
    </row>
    <row r="2207" spans="4:16" x14ac:dyDescent="0.2">
      <c r="D2207">
        <v>100001327</v>
      </c>
      <c r="E2207" s="49">
        <v>44437</v>
      </c>
      <c r="F2207" t="s">
        <v>3171</v>
      </c>
      <c r="G2207" t="s">
        <v>2191</v>
      </c>
      <c r="H2207">
        <v>2</v>
      </c>
      <c r="I2207">
        <v>99.11</v>
      </c>
      <c r="J2207" s="50">
        <v>198.22</v>
      </c>
      <c r="K2207" t="s">
        <v>1632</v>
      </c>
      <c r="M2207" t="s">
        <v>1629</v>
      </c>
      <c r="N2207">
        <v>52.31</v>
      </c>
      <c r="O2207" s="49">
        <v>44439</v>
      </c>
      <c r="P2207" s="50">
        <v>89.198999999999998</v>
      </c>
    </row>
    <row r="2208" spans="4:16" x14ac:dyDescent="0.2">
      <c r="D2208">
        <v>100001328</v>
      </c>
      <c r="E2208" s="49">
        <v>44575</v>
      </c>
      <c r="F2208" t="s">
        <v>3172</v>
      </c>
      <c r="G2208" t="s">
        <v>2762</v>
      </c>
      <c r="H2208">
        <v>4</v>
      </c>
      <c r="I2208">
        <v>22.91</v>
      </c>
      <c r="J2208" s="50">
        <v>91.64</v>
      </c>
      <c r="K2208" t="s">
        <v>1618</v>
      </c>
      <c r="M2208" t="s">
        <v>1627</v>
      </c>
      <c r="N2208">
        <v>12.09</v>
      </c>
      <c r="O2208" s="49">
        <v>44579</v>
      </c>
      <c r="P2208" s="50">
        <v>41.238</v>
      </c>
    </row>
    <row r="2209" spans="4:16" x14ac:dyDescent="0.2">
      <c r="D2209">
        <v>100001329</v>
      </c>
      <c r="E2209" s="49">
        <v>45152</v>
      </c>
      <c r="F2209" t="s">
        <v>3173</v>
      </c>
      <c r="G2209" t="s">
        <v>2033</v>
      </c>
      <c r="H2209">
        <v>10</v>
      </c>
      <c r="I2209">
        <v>46.28</v>
      </c>
      <c r="J2209" s="50">
        <v>462.8</v>
      </c>
      <c r="K2209" t="s">
        <v>1618</v>
      </c>
      <c r="M2209" t="s">
        <v>1619</v>
      </c>
      <c r="N2209">
        <v>24.43</v>
      </c>
      <c r="O2209" s="49">
        <v>45157</v>
      </c>
      <c r="P2209" s="50">
        <v>208.26000000000002</v>
      </c>
    </row>
    <row r="2210" spans="4:16" x14ac:dyDescent="0.2">
      <c r="D2210">
        <v>100001331</v>
      </c>
      <c r="E2210" s="49">
        <v>44247</v>
      </c>
      <c r="F2210" t="s">
        <v>3174</v>
      </c>
      <c r="G2210" t="s">
        <v>1661</v>
      </c>
      <c r="H2210">
        <v>6</v>
      </c>
      <c r="I2210">
        <v>10.79</v>
      </c>
      <c r="J2210" s="50">
        <v>64.739999999999995</v>
      </c>
      <c r="K2210" t="s">
        <v>1618</v>
      </c>
      <c r="M2210" t="s">
        <v>1629</v>
      </c>
      <c r="N2210">
        <v>5.69</v>
      </c>
      <c r="O2210" s="49">
        <v>44249</v>
      </c>
      <c r="P2210" s="50">
        <v>29.132999999999999</v>
      </c>
    </row>
    <row r="2211" spans="4:16" x14ac:dyDescent="0.2">
      <c r="D2211">
        <v>100001331</v>
      </c>
      <c r="E2211" s="49">
        <v>45073</v>
      </c>
      <c r="F2211" t="s">
        <v>3174</v>
      </c>
      <c r="G2211" t="s">
        <v>2191</v>
      </c>
      <c r="H2211">
        <v>2</v>
      </c>
      <c r="I2211">
        <v>80.63</v>
      </c>
      <c r="J2211" s="50">
        <v>161.26</v>
      </c>
      <c r="K2211" t="s">
        <v>1618</v>
      </c>
      <c r="M2211" t="s">
        <v>1624</v>
      </c>
      <c r="N2211">
        <v>42.55</v>
      </c>
      <c r="O2211" s="49">
        <v>45075</v>
      </c>
      <c r="P2211" s="50">
        <v>72.566999999999993</v>
      </c>
    </row>
    <row r="2212" spans="4:16" x14ac:dyDescent="0.2">
      <c r="D2212">
        <v>100001332</v>
      </c>
      <c r="E2212" s="49">
        <v>45638</v>
      </c>
      <c r="F2212" t="s">
        <v>3175</v>
      </c>
      <c r="G2212" t="s">
        <v>1679</v>
      </c>
      <c r="H2212">
        <v>3</v>
      </c>
      <c r="I2212">
        <v>43.04</v>
      </c>
      <c r="J2212" s="50">
        <v>129.12</v>
      </c>
      <c r="K2212" t="s">
        <v>1632</v>
      </c>
      <c r="M2212" t="s">
        <v>1624</v>
      </c>
      <c r="N2212">
        <v>22.72</v>
      </c>
      <c r="O2212" s="49">
        <v>45640</v>
      </c>
      <c r="P2212" s="50">
        <v>58.104000000000006</v>
      </c>
    </row>
    <row r="2213" spans="4:16" x14ac:dyDescent="0.2">
      <c r="D2213">
        <v>100001333</v>
      </c>
      <c r="E2213" s="49">
        <v>44688</v>
      </c>
      <c r="F2213" t="s">
        <v>3176</v>
      </c>
      <c r="G2213" t="s">
        <v>1724</v>
      </c>
      <c r="H2213">
        <v>8</v>
      </c>
      <c r="I2213">
        <v>20.49</v>
      </c>
      <c r="J2213" s="50">
        <v>163.92</v>
      </c>
      <c r="K2213" t="s">
        <v>1618</v>
      </c>
      <c r="L2213" t="s">
        <v>3177</v>
      </c>
      <c r="M2213" t="s">
        <v>1629</v>
      </c>
      <c r="N2213">
        <v>10.81</v>
      </c>
      <c r="O2213" s="49">
        <v>44691</v>
      </c>
      <c r="P2213" s="50">
        <v>73.763999999999996</v>
      </c>
    </row>
    <row r="2214" spans="4:16" x14ac:dyDescent="0.2">
      <c r="D2214">
        <v>100001333</v>
      </c>
      <c r="E2214" s="49">
        <v>44859</v>
      </c>
      <c r="F2214" t="s">
        <v>3176</v>
      </c>
      <c r="G2214" t="s">
        <v>1958</v>
      </c>
      <c r="H2214">
        <v>8</v>
      </c>
      <c r="I2214">
        <v>22.42</v>
      </c>
      <c r="J2214" s="50">
        <v>179.36</v>
      </c>
      <c r="K2214" t="s">
        <v>1618</v>
      </c>
      <c r="L2214" t="s">
        <v>3177</v>
      </c>
      <c r="M2214" t="s">
        <v>1627</v>
      </c>
      <c r="N2214">
        <v>11.83</v>
      </c>
      <c r="O2214" s="49">
        <v>44861</v>
      </c>
      <c r="P2214" s="50">
        <v>80.712000000000003</v>
      </c>
    </row>
    <row r="2215" spans="4:16" x14ac:dyDescent="0.2">
      <c r="D2215">
        <v>100001333</v>
      </c>
      <c r="E2215" s="49">
        <v>45234</v>
      </c>
      <c r="F2215" t="s">
        <v>3176</v>
      </c>
      <c r="G2215" t="s">
        <v>2079</v>
      </c>
      <c r="H2215">
        <v>7</v>
      </c>
      <c r="I2215">
        <v>66.760000000000005</v>
      </c>
      <c r="J2215" s="50">
        <v>467.32000000000011</v>
      </c>
      <c r="K2215" t="s">
        <v>1618</v>
      </c>
      <c r="L2215" t="s">
        <v>3177</v>
      </c>
      <c r="M2215" t="s">
        <v>1627</v>
      </c>
      <c r="N2215">
        <v>35.229999999999997</v>
      </c>
      <c r="O2215" s="49">
        <v>45235</v>
      </c>
      <c r="P2215" s="50">
        <v>210.29400000000004</v>
      </c>
    </row>
    <row r="2216" spans="4:16" x14ac:dyDescent="0.2">
      <c r="D2216">
        <v>100001333</v>
      </c>
      <c r="E2216" s="49">
        <v>45280</v>
      </c>
      <c r="F2216" t="s">
        <v>3176</v>
      </c>
      <c r="G2216" t="s">
        <v>1700</v>
      </c>
      <c r="H2216">
        <v>2</v>
      </c>
      <c r="I2216">
        <v>84.77</v>
      </c>
      <c r="J2216" s="50">
        <v>169.54</v>
      </c>
      <c r="K2216" t="s">
        <v>1618</v>
      </c>
      <c r="L2216" t="s">
        <v>3177</v>
      </c>
      <c r="M2216" t="s">
        <v>1621</v>
      </c>
      <c r="N2216">
        <v>44.74</v>
      </c>
      <c r="O2216" s="49">
        <v>45284</v>
      </c>
      <c r="P2216" s="50">
        <v>76.292999999999992</v>
      </c>
    </row>
    <row r="2217" spans="4:16" x14ac:dyDescent="0.2">
      <c r="D2217">
        <v>100001333</v>
      </c>
      <c r="E2217" s="49">
        <v>44791</v>
      </c>
      <c r="F2217" t="s">
        <v>3176</v>
      </c>
      <c r="G2217" t="s">
        <v>1901</v>
      </c>
      <c r="H2217">
        <v>1</v>
      </c>
      <c r="I2217">
        <v>11.83</v>
      </c>
      <c r="J2217" s="50">
        <v>11.83</v>
      </c>
      <c r="K2217" t="s">
        <v>1618</v>
      </c>
      <c r="L2217" t="s">
        <v>3177</v>
      </c>
      <c r="M2217" t="s">
        <v>1629</v>
      </c>
      <c r="N2217">
        <v>6.24</v>
      </c>
      <c r="O2217" s="49">
        <v>44792</v>
      </c>
      <c r="P2217" s="50">
        <v>5.3235000000000001</v>
      </c>
    </row>
    <row r="2218" spans="4:16" x14ac:dyDescent="0.2">
      <c r="D2218">
        <v>100001335</v>
      </c>
      <c r="E2218" s="49">
        <v>44523</v>
      </c>
      <c r="F2218" t="s">
        <v>3178</v>
      </c>
      <c r="G2218" t="s">
        <v>1651</v>
      </c>
      <c r="H2218">
        <v>2</v>
      </c>
      <c r="I2218">
        <v>15.71</v>
      </c>
      <c r="J2218" s="50">
        <v>31.42</v>
      </c>
      <c r="K2218" t="s">
        <v>1618</v>
      </c>
      <c r="M2218" t="s">
        <v>1629</v>
      </c>
      <c r="N2218">
        <v>8.2899999999999991</v>
      </c>
      <c r="O2218" s="49">
        <v>44524</v>
      </c>
      <c r="P2218" s="50">
        <v>14.139000000000001</v>
      </c>
    </row>
    <row r="2219" spans="4:16" x14ac:dyDescent="0.2">
      <c r="D2219">
        <v>100001336</v>
      </c>
      <c r="E2219" s="49">
        <v>44309</v>
      </c>
      <c r="F2219" t="s">
        <v>3179</v>
      </c>
      <c r="G2219" t="s">
        <v>1874</v>
      </c>
      <c r="H2219">
        <v>10</v>
      </c>
      <c r="I2219">
        <v>113.4</v>
      </c>
      <c r="J2219" s="50">
        <v>1134</v>
      </c>
      <c r="K2219" t="s">
        <v>1632</v>
      </c>
      <c r="M2219" t="s">
        <v>1621</v>
      </c>
      <c r="N2219">
        <v>59.85</v>
      </c>
      <c r="O2219" s="49">
        <v>44312</v>
      </c>
      <c r="P2219" s="50">
        <v>510.3</v>
      </c>
    </row>
    <row r="2220" spans="4:16" x14ac:dyDescent="0.2">
      <c r="D2220">
        <v>100001337</v>
      </c>
      <c r="E2220" s="49">
        <v>45376</v>
      </c>
      <c r="F2220" t="s">
        <v>3180</v>
      </c>
      <c r="G2220" t="s">
        <v>1797</v>
      </c>
      <c r="H2220">
        <v>4</v>
      </c>
      <c r="I2220">
        <v>110.74</v>
      </c>
      <c r="J2220" s="50">
        <v>442.96</v>
      </c>
      <c r="K2220" t="s">
        <v>1632</v>
      </c>
      <c r="M2220" t="s">
        <v>1627</v>
      </c>
      <c r="N2220">
        <v>58.45</v>
      </c>
      <c r="O2220" s="49">
        <v>45377</v>
      </c>
      <c r="P2220" s="50">
        <v>199.33199999999999</v>
      </c>
    </row>
    <row r="2221" spans="4:16" x14ac:dyDescent="0.2">
      <c r="D2221">
        <v>100001337</v>
      </c>
      <c r="E2221" s="49">
        <v>44931</v>
      </c>
      <c r="F2221" t="s">
        <v>3180</v>
      </c>
      <c r="G2221" t="s">
        <v>1976</v>
      </c>
      <c r="H2221">
        <v>1</v>
      </c>
      <c r="I2221">
        <v>41.5</v>
      </c>
      <c r="J2221" s="50">
        <v>41.5</v>
      </c>
      <c r="K2221" t="s">
        <v>1632</v>
      </c>
      <c r="M2221" t="s">
        <v>1624</v>
      </c>
      <c r="N2221">
        <v>21.9</v>
      </c>
      <c r="O2221" s="49">
        <v>44935</v>
      </c>
      <c r="P2221" s="50">
        <v>18.675000000000001</v>
      </c>
    </row>
    <row r="2222" spans="4:16" x14ac:dyDescent="0.2">
      <c r="D2222">
        <v>100001337</v>
      </c>
      <c r="E2222" s="49">
        <v>45228</v>
      </c>
      <c r="F2222" t="s">
        <v>3180</v>
      </c>
      <c r="G2222" t="s">
        <v>1787</v>
      </c>
      <c r="H2222">
        <v>10</v>
      </c>
      <c r="I2222">
        <v>110.73</v>
      </c>
      <c r="J2222" s="50">
        <v>1107.3</v>
      </c>
      <c r="K2222" t="s">
        <v>1632</v>
      </c>
      <c r="M2222" t="s">
        <v>1621</v>
      </c>
      <c r="N2222">
        <v>58.44</v>
      </c>
      <c r="O2222" s="49">
        <v>45231</v>
      </c>
      <c r="P2222" s="50">
        <v>498.28499999999997</v>
      </c>
    </row>
    <row r="2223" spans="4:16" x14ac:dyDescent="0.2">
      <c r="D2223">
        <v>100001337</v>
      </c>
      <c r="E2223" s="49">
        <v>45359</v>
      </c>
      <c r="F2223" t="s">
        <v>3180</v>
      </c>
      <c r="G2223" t="s">
        <v>1918</v>
      </c>
      <c r="H2223">
        <v>10</v>
      </c>
      <c r="I2223">
        <v>12.68</v>
      </c>
      <c r="J2223" s="50">
        <v>126.8</v>
      </c>
      <c r="K2223" t="s">
        <v>1632</v>
      </c>
      <c r="M2223" t="s">
        <v>1629</v>
      </c>
      <c r="N2223">
        <v>6.69</v>
      </c>
      <c r="O2223" s="49">
        <v>45364</v>
      </c>
      <c r="P2223" s="50">
        <v>57.06</v>
      </c>
    </row>
    <row r="2224" spans="4:16" x14ac:dyDescent="0.2">
      <c r="D2224">
        <v>100001337</v>
      </c>
      <c r="E2224" s="49">
        <v>44701</v>
      </c>
      <c r="F2224" t="s">
        <v>3180</v>
      </c>
      <c r="G2224" t="s">
        <v>2418</v>
      </c>
      <c r="H2224">
        <v>5</v>
      </c>
      <c r="I2224">
        <v>109.53</v>
      </c>
      <c r="J2224" s="50">
        <v>547.65</v>
      </c>
      <c r="K2224" t="s">
        <v>1632</v>
      </c>
      <c r="M2224" t="s">
        <v>1624</v>
      </c>
      <c r="N2224">
        <v>57.81</v>
      </c>
      <c r="O2224" s="49">
        <v>44704</v>
      </c>
      <c r="P2224" s="50">
        <v>246.4425</v>
      </c>
    </row>
    <row r="2225" spans="4:16" x14ac:dyDescent="0.2">
      <c r="D2225">
        <v>100001338</v>
      </c>
      <c r="E2225" s="49">
        <v>44700</v>
      </c>
      <c r="F2225" t="s">
        <v>3181</v>
      </c>
      <c r="G2225" t="s">
        <v>2145</v>
      </c>
      <c r="H2225">
        <v>7</v>
      </c>
      <c r="I2225">
        <v>88.09</v>
      </c>
      <c r="J2225" s="50">
        <v>616.63</v>
      </c>
      <c r="K2225" t="s">
        <v>1632</v>
      </c>
      <c r="L2225" t="s">
        <v>3182</v>
      </c>
      <c r="M2225" t="s">
        <v>1621</v>
      </c>
      <c r="N2225">
        <v>46.49</v>
      </c>
      <c r="O2225" s="49">
        <v>44705</v>
      </c>
      <c r="P2225" s="50">
        <v>277.48349999999999</v>
      </c>
    </row>
    <row r="2226" spans="4:16" x14ac:dyDescent="0.2">
      <c r="D2226">
        <v>100001338</v>
      </c>
      <c r="E2226" s="49">
        <v>44463</v>
      </c>
      <c r="F2226" t="s">
        <v>3181</v>
      </c>
      <c r="G2226" t="s">
        <v>1918</v>
      </c>
      <c r="H2226">
        <v>10</v>
      </c>
      <c r="I2226">
        <v>76.38</v>
      </c>
      <c r="J2226" s="50">
        <v>763.8</v>
      </c>
      <c r="K2226" t="s">
        <v>1632</v>
      </c>
      <c r="L2226" t="s">
        <v>3182</v>
      </c>
      <c r="M2226" t="s">
        <v>1619</v>
      </c>
      <c r="N2226">
        <v>40.31</v>
      </c>
      <c r="O2226" s="49">
        <v>44464</v>
      </c>
      <c r="P2226" s="50">
        <v>343.71</v>
      </c>
    </row>
    <row r="2227" spans="4:16" x14ac:dyDescent="0.2">
      <c r="D2227">
        <v>100001338</v>
      </c>
      <c r="E2227" s="49">
        <v>45177</v>
      </c>
      <c r="F2227" t="s">
        <v>3181</v>
      </c>
      <c r="G2227" t="s">
        <v>2161</v>
      </c>
      <c r="H2227">
        <v>9</v>
      </c>
      <c r="I2227">
        <v>28.54</v>
      </c>
      <c r="J2227" s="50">
        <v>256.86</v>
      </c>
      <c r="K2227" t="s">
        <v>1632</v>
      </c>
      <c r="L2227" t="s">
        <v>3182</v>
      </c>
      <c r="M2227" t="s">
        <v>1619</v>
      </c>
      <c r="N2227">
        <v>15.06</v>
      </c>
      <c r="O2227" s="49">
        <v>45179</v>
      </c>
      <c r="P2227" s="50">
        <v>115.587</v>
      </c>
    </row>
    <row r="2228" spans="4:16" x14ac:dyDescent="0.2">
      <c r="D2228">
        <v>100001338</v>
      </c>
      <c r="E2228" s="49">
        <v>45603</v>
      </c>
      <c r="F2228" t="s">
        <v>3181</v>
      </c>
      <c r="G2228" t="s">
        <v>1752</v>
      </c>
      <c r="H2228">
        <v>9</v>
      </c>
      <c r="I2228">
        <v>78.12</v>
      </c>
      <c r="J2228" s="50">
        <v>703.08</v>
      </c>
      <c r="K2228" t="s">
        <v>1632</v>
      </c>
      <c r="L2228" t="s">
        <v>3182</v>
      </c>
      <c r="M2228" t="s">
        <v>1621</v>
      </c>
      <c r="N2228">
        <v>41.23</v>
      </c>
      <c r="O2228" s="49">
        <v>45607</v>
      </c>
      <c r="P2228" s="50">
        <v>316.38600000000002</v>
      </c>
    </row>
    <row r="2229" spans="4:16" x14ac:dyDescent="0.2">
      <c r="D2229">
        <v>100001340</v>
      </c>
      <c r="E2229" s="49">
        <v>44214</v>
      </c>
      <c r="F2229" t="s">
        <v>3183</v>
      </c>
      <c r="G2229" t="s">
        <v>2255</v>
      </c>
      <c r="H2229">
        <v>8</v>
      </c>
      <c r="I2229">
        <v>14.48</v>
      </c>
      <c r="J2229" s="50">
        <v>115.84</v>
      </c>
      <c r="K2229" t="s">
        <v>1632</v>
      </c>
      <c r="M2229" t="s">
        <v>1621</v>
      </c>
      <c r="N2229">
        <v>7.64</v>
      </c>
      <c r="O2229" s="49">
        <v>44218</v>
      </c>
      <c r="P2229" s="50">
        <v>52.128</v>
      </c>
    </row>
    <row r="2230" spans="4:16" x14ac:dyDescent="0.2">
      <c r="D2230">
        <v>100001340</v>
      </c>
      <c r="E2230" s="49">
        <v>45410</v>
      </c>
      <c r="F2230" t="s">
        <v>3183</v>
      </c>
      <c r="G2230" t="s">
        <v>2004</v>
      </c>
      <c r="H2230">
        <v>4</v>
      </c>
      <c r="I2230">
        <v>100.24</v>
      </c>
      <c r="J2230" s="50">
        <v>400.96</v>
      </c>
      <c r="K2230" t="s">
        <v>1632</v>
      </c>
      <c r="M2230" t="s">
        <v>1624</v>
      </c>
      <c r="N2230">
        <v>52.9</v>
      </c>
      <c r="O2230" s="49">
        <v>45414</v>
      </c>
      <c r="P2230" s="50">
        <v>180.43199999999999</v>
      </c>
    </row>
    <row r="2231" spans="4:16" x14ac:dyDescent="0.2">
      <c r="D2231">
        <v>100001341</v>
      </c>
      <c r="E2231" s="49">
        <v>45511</v>
      </c>
      <c r="F2231" t="s">
        <v>3184</v>
      </c>
      <c r="G2231" t="s">
        <v>2007</v>
      </c>
      <c r="H2231">
        <v>8</v>
      </c>
      <c r="I2231">
        <v>19.45</v>
      </c>
      <c r="J2231" s="50">
        <v>155.6</v>
      </c>
      <c r="K2231" t="s">
        <v>1632</v>
      </c>
      <c r="M2231" t="s">
        <v>1629</v>
      </c>
      <c r="N2231">
        <v>10.27</v>
      </c>
      <c r="O2231" s="49">
        <v>45516</v>
      </c>
      <c r="P2231" s="50">
        <v>70.02</v>
      </c>
    </row>
    <row r="2232" spans="4:16" x14ac:dyDescent="0.2">
      <c r="D2232">
        <v>100001342</v>
      </c>
      <c r="E2232" s="49">
        <v>44838</v>
      </c>
      <c r="F2232" t="s">
        <v>3185</v>
      </c>
      <c r="G2232" t="s">
        <v>2202</v>
      </c>
      <c r="H2232">
        <v>2</v>
      </c>
      <c r="I2232">
        <v>69.599999999999994</v>
      </c>
      <c r="J2232" s="50">
        <v>139.19999999999999</v>
      </c>
      <c r="K2232" t="s">
        <v>1618</v>
      </c>
      <c r="M2232" t="s">
        <v>1621</v>
      </c>
      <c r="N2232">
        <v>36.729999999999997</v>
      </c>
      <c r="O2232" s="49">
        <v>44842</v>
      </c>
      <c r="P2232" s="50">
        <v>62.639999999999993</v>
      </c>
    </row>
    <row r="2233" spans="4:16" x14ac:dyDescent="0.2">
      <c r="D2233">
        <v>100001342</v>
      </c>
      <c r="E2233" s="49">
        <v>44794</v>
      </c>
      <c r="F2233" t="s">
        <v>3185</v>
      </c>
      <c r="G2233" t="s">
        <v>2064</v>
      </c>
      <c r="H2233">
        <v>8</v>
      </c>
      <c r="I2233">
        <v>62.77</v>
      </c>
      <c r="J2233" s="50">
        <v>502.16</v>
      </c>
      <c r="K2233" t="s">
        <v>1618</v>
      </c>
      <c r="M2233" t="s">
        <v>1621</v>
      </c>
      <c r="N2233">
        <v>33.130000000000003</v>
      </c>
      <c r="O2233" s="49">
        <v>44799</v>
      </c>
      <c r="P2233" s="50">
        <v>225.97200000000001</v>
      </c>
    </row>
    <row r="2234" spans="4:16" x14ac:dyDescent="0.2">
      <c r="D2234">
        <v>100001342</v>
      </c>
      <c r="E2234" s="49">
        <v>44491</v>
      </c>
      <c r="F2234" t="s">
        <v>3185</v>
      </c>
      <c r="G2234" t="s">
        <v>1693</v>
      </c>
      <c r="H2234">
        <v>9</v>
      </c>
      <c r="I2234">
        <v>60.98</v>
      </c>
      <c r="J2234" s="50">
        <v>548.81999999999994</v>
      </c>
      <c r="K2234" t="s">
        <v>1618</v>
      </c>
      <c r="M2234" t="s">
        <v>1621</v>
      </c>
      <c r="N2234">
        <v>32.18</v>
      </c>
      <c r="O2234" s="49">
        <v>44496</v>
      </c>
      <c r="P2234" s="50">
        <v>246.96899999999997</v>
      </c>
    </row>
    <row r="2235" spans="4:16" x14ac:dyDescent="0.2">
      <c r="D2235">
        <v>100001342</v>
      </c>
      <c r="E2235" s="49">
        <v>45358</v>
      </c>
      <c r="F2235" t="s">
        <v>3185</v>
      </c>
      <c r="G2235" t="s">
        <v>1794</v>
      </c>
      <c r="H2235">
        <v>8</v>
      </c>
      <c r="I2235">
        <v>75.209999999999994</v>
      </c>
      <c r="J2235" s="50">
        <v>601.67999999999995</v>
      </c>
      <c r="K2235" t="s">
        <v>1618</v>
      </c>
      <c r="M2235" t="s">
        <v>1621</v>
      </c>
      <c r="N2235">
        <v>39.69</v>
      </c>
      <c r="O2235" s="49">
        <v>45359</v>
      </c>
      <c r="P2235" s="50">
        <v>270.75599999999997</v>
      </c>
    </row>
    <row r="2236" spans="4:16" x14ac:dyDescent="0.2">
      <c r="D2236">
        <v>100001345</v>
      </c>
      <c r="E2236" s="49">
        <v>44884</v>
      </c>
      <c r="F2236" t="s">
        <v>3186</v>
      </c>
      <c r="G2236" t="s">
        <v>2485</v>
      </c>
      <c r="H2236">
        <v>1</v>
      </c>
      <c r="I2236">
        <v>71.55</v>
      </c>
      <c r="J2236" s="50">
        <v>71.55</v>
      </c>
      <c r="K2236" t="s">
        <v>1632</v>
      </c>
      <c r="M2236" t="s">
        <v>1627</v>
      </c>
      <c r="N2236">
        <v>37.76</v>
      </c>
      <c r="O2236" s="49">
        <v>44885</v>
      </c>
      <c r="P2236" s="50">
        <v>32.197499999999998</v>
      </c>
    </row>
    <row r="2237" spans="4:16" x14ac:dyDescent="0.2">
      <c r="D2237">
        <v>100001345</v>
      </c>
      <c r="E2237" s="49">
        <v>45525</v>
      </c>
      <c r="F2237" t="s">
        <v>3186</v>
      </c>
      <c r="G2237" t="s">
        <v>1664</v>
      </c>
      <c r="H2237">
        <v>4</v>
      </c>
      <c r="I2237">
        <v>21.37</v>
      </c>
      <c r="J2237" s="50">
        <v>85.48</v>
      </c>
      <c r="K2237" t="s">
        <v>1632</v>
      </c>
      <c r="M2237" t="s">
        <v>1619</v>
      </c>
      <c r="N2237">
        <v>11.28</v>
      </c>
      <c r="O2237" s="49">
        <v>45529</v>
      </c>
      <c r="P2237" s="50">
        <v>38.466000000000001</v>
      </c>
    </row>
    <row r="2238" spans="4:16" x14ac:dyDescent="0.2">
      <c r="D2238">
        <v>100001345</v>
      </c>
      <c r="E2238" s="49">
        <v>45459</v>
      </c>
      <c r="F2238" t="s">
        <v>3186</v>
      </c>
      <c r="G2238" t="s">
        <v>1838</v>
      </c>
      <c r="H2238">
        <v>7</v>
      </c>
      <c r="I2238">
        <v>115.51</v>
      </c>
      <c r="J2238" s="50">
        <v>808.57</v>
      </c>
      <c r="K2238" t="s">
        <v>1632</v>
      </c>
      <c r="M2238" t="s">
        <v>1629</v>
      </c>
      <c r="N2238">
        <v>60.96</v>
      </c>
      <c r="O2238" s="49">
        <v>45463</v>
      </c>
      <c r="P2238" s="50">
        <v>363.85650000000004</v>
      </c>
    </row>
    <row r="2239" spans="4:16" x14ac:dyDescent="0.2">
      <c r="D2239">
        <v>100001346</v>
      </c>
      <c r="E2239" s="49">
        <v>44943</v>
      </c>
      <c r="F2239" t="s">
        <v>3187</v>
      </c>
      <c r="G2239" t="s">
        <v>1762</v>
      </c>
      <c r="H2239">
        <v>1</v>
      </c>
      <c r="I2239">
        <v>81.93</v>
      </c>
      <c r="J2239" s="50">
        <v>81.93</v>
      </c>
      <c r="K2239" t="s">
        <v>1618</v>
      </c>
      <c r="M2239" t="s">
        <v>1629</v>
      </c>
      <c r="N2239">
        <v>43.24</v>
      </c>
      <c r="O2239" s="49">
        <v>44945</v>
      </c>
      <c r="P2239" s="50">
        <v>36.868500000000004</v>
      </c>
    </row>
    <row r="2240" spans="4:16" x14ac:dyDescent="0.2">
      <c r="D2240">
        <v>100001346</v>
      </c>
      <c r="E2240" s="49">
        <v>45374</v>
      </c>
      <c r="F2240" t="s">
        <v>3187</v>
      </c>
      <c r="G2240" t="s">
        <v>1727</v>
      </c>
      <c r="H2240">
        <v>3</v>
      </c>
      <c r="I2240">
        <v>41.1</v>
      </c>
      <c r="J2240" s="50">
        <v>123.3</v>
      </c>
      <c r="K2240" t="s">
        <v>1618</v>
      </c>
      <c r="M2240" t="s">
        <v>1621</v>
      </c>
      <c r="N2240">
        <v>21.69</v>
      </c>
      <c r="O2240" s="49">
        <v>45379</v>
      </c>
      <c r="P2240" s="50">
        <v>55.484999999999999</v>
      </c>
    </row>
    <row r="2241" spans="4:16" x14ac:dyDescent="0.2">
      <c r="D2241">
        <v>100001346</v>
      </c>
      <c r="E2241" s="49">
        <v>44603</v>
      </c>
      <c r="F2241" t="s">
        <v>3187</v>
      </c>
      <c r="G2241" t="s">
        <v>1916</v>
      </c>
      <c r="H2241">
        <v>10</v>
      </c>
      <c r="I2241">
        <v>109.45</v>
      </c>
      <c r="J2241" s="50">
        <v>1094.5</v>
      </c>
      <c r="K2241" t="s">
        <v>1618</v>
      </c>
      <c r="M2241" t="s">
        <v>1621</v>
      </c>
      <c r="N2241">
        <v>57.76</v>
      </c>
      <c r="O2241" s="49">
        <v>44604</v>
      </c>
      <c r="P2241" s="50">
        <v>492.52500000000003</v>
      </c>
    </row>
    <row r="2242" spans="4:16" x14ac:dyDescent="0.2">
      <c r="D2242">
        <v>100001347</v>
      </c>
      <c r="E2242" s="49">
        <v>44510</v>
      </c>
      <c r="F2242" t="s">
        <v>3188</v>
      </c>
      <c r="G2242" t="s">
        <v>2574</v>
      </c>
      <c r="H2242">
        <v>10</v>
      </c>
      <c r="I2242">
        <v>49.74</v>
      </c>
      <c r="J2242" s="50">
        <v>497.4</v>
      </c>
      <c r="K2242" t="s">
        <v>1632</v>
      </c>
      <c r="L2242" t="s">
        <v>3189</v>
      </c>
      <c r="M2242" t="s">
        <v>1621</v>
      </c>
      <c r="N2242">
        <v>26.25</v>
      </c>
      <c r="O2242" s="49">
        <v>44511</v>
      </c>
      <c r="P2242" s="50">
        <v>223.82999999999998</v>
      </c>
    </row>
    <row r="2243" spans="4:16" x14ac:dyDescent="0.2">
      <c r="D2243">
        <v>100001349</v>
      </c>
      <c r="E2243" s="49">
        <v>44634</v>
      </c>
      <c r="F2243" t="s">
        <v>3190</v>
      </c>
      <c r="G2243" t="s">
        <v>1687</v>
      </c>
      <c r="H2243">
        <v>5</v>
      </c>
      <c r="I2243">
        <v>95.46</v>
      </c>
      <c r="J2243" s="50">
        <v>477.3</v>
      </c>
      <c r="K2243" t="s">
        <v>1618</v>
      </c>
      <c r="M2243" t="s">
        <v>1619</v>
      </c>
      <c r="N2243">
        <v>50.38</v>
      </c>
      <c r="O2243" s="49">
        <v>44637</v>
      </c>
      <c r="P2243" s="50">
        <v>214.785</v>
      </c>
    </row>
    <row r="2244" spans="4:16" x14ac:dyDescent="0.2">
      <c r="D2244">
        <v>100001349</v>
      </c>
      <c r="E2244" s="49">
        <v>44853</v>
      </c>
      <c r="F2244" t="s">
        <v>3190</v>
      </c>
      <c r="G2244" t="s">
        <v>2431</v>
      </c>
      <c r="H2244">
        <v>9</v>
      </c>
      <c r="I2244">
        <v>49.89</v>
      </c>
      <c r="J2244" s="50">
        <v>449.01</v>
      </c>
      <c r="K2244" t="s">
        <v>1618</v>
      </c>
      <c r="M2244" t="s">
        <v>1621</v>
      </c>
      <c r="N2244">
        <v>26.33</v>
      </c>
      <c r="O2244" s="49">
        <v>44856</v>
      </c>
      <c r="P2244" s="50">
        <v>202.05449999999999</v>
      </c>
    </row>
    <row r="2245" spans="4:16" x14ac:dyDescent="0.2">
      <c r="D2245">
        <v>100001349</v>
      </c>
      <c r="E2245" s="49">
        <v>45384</v>
      </c>
      <c r="F2245" t="s">
        <v>3190</v>
      </c>
      <c r="G2245" t="s">
        <v>1676</v>
      </c>
      <c r="H2245">
        <v>6</v>
      </c>
      <c r="I2245">
        <v>77.09</v>
      </c>
      <c r="J2245" s="50">
        <v>462.54</v>
      </c>
      <c r="K2245" t="s">
        <v>1618</v>
      </c>
      <c r="M2245" t="s">
        <v>1627</v>
      </c>
      <c r="N2245">
        <v>40.69</v>
      </c>
      <c r="O2245" s="49">
        <v>45386</v>
      </c>
      <c r="P2245" s="50">
        <v>208.143</v>
      </c>
    </row>
    <row r="2246" spans="4:16" x14ac:dyDescent="0.2">
      <c r="D2246">
        <v>100001349</v>
      </c>
      <c r="E2246" s="49">
        <v>44804</v>
      </c>
      <c r="F2246" t="s">
        <v>3190</v>
      </c>
      <c r="G2246" t="s">
        <v>2074</v>
      </c>
      <c r="H2246">
        <v>8</v>
      </c>
      <c r="I2246">
        <v>71.61</v>
      </c>
      <c r="J2246" s="50">
        <v>572.88</v>
      </c>
      <c r="K2246" t="s">
        <v>1618</v>
      </c>
      <c r="M2246" t="s">
        <v>1624</v>
      </c>
      <c r="N2246">
        <v>37.79</v>
      </c>
      <c r="O2246" s="49">
        <v>44809</v>
      </c>
      <c r="P2246" s="50">
        <v>257.79599999999999</v>
      </c>
    </row>
    <row r="2247" spans="4:16" x14ac:dyDescent="0.2">
      <c r="D2247">
        <v>100001350</v>
      </c>
      <c r="E2247" s="49">
        <v>44345</v>
      </c>
      <c r="F2247" t="s">
        <v>3191</v>
      </c>
      <c r="G2247" t="s">
        <v>1805</v>
      </c>
      <c r="H2247">
        <v>3</v>
      </c>
      <c r="I2247">
        <v>11.42</v>
      </c>
      <c r="J2247" s="50">
        <v>34.26</v>
      </c>
      <c r="K2247" t="s">
        <v>1618</v>
      </c>
      <c r="M2247" t="s">
        <v>1624</v>
      </c>
      <c r="N2247">
        <v>6.03</v>
      </c>
      <c r="O2247" s="49">
        <v>44350</v>
      </c>
      <c r="P2247" s="50">
        <v>15.417</v>
      </c>
    </row>
    <row r="2248" spans="4:16" x14ac:dyDescent="0.2">
      <c r="D2248">
        <v>100001350</v>
      </c>
      <c r="E2248" s="49">
        <v>44731</v>
      </c>
      <c r="F2248" t="s">
        <v>3191</v>
      </c>
      <c r="G2248" t="s">
        <v>2062</v>
      </c>
      <c r="H2248">
        <v>10</v>
      </c>
      <c r="I2248">
        <v>88.28</v>
      </c>
      <c r="J2248" s="50">
        <v>882.8</v>
      </c>
      <c r="K2248" t="s">
        <v>1618</v>
      </c>
      <c r="M2248" t="s">
        <v>1621</v>
      </c>
      <c r="N2248">
        <v>46.59</v>
      </c>
      <c r="O2248" s="49">
        <v>44732</v>
      </c>
      <c r="P2248" s="50">
        <v>397.26</v>
      </c>
    </row>
    <row r="2249" spans="4:16" x14ac:dyDescent="0.2">
      <c r="D2249">
        <v>100001352</v>
      </c>
      <c r="E2249" s="49">
        <v>45151</v>
      </c>
      <c r="F2249" t="s">
        <v>3192</v>
      </c>
      <c r="G2249" t="s">
        <v>1754</v>
      </c>
      <c r="H2249">
        <v>9</v>
      </c>
      <c r="I2249">
        <v>64.58</v>
      </c>
      <c r="J2249" s="50">
        <v>581.22</v>
      </c>
      <c r="K2249" t="s">
        <v>1632</v>
      </c>
      <c r="M2249" t="s">
        <v>1624</v>
      </c>
      <c r="N2249">
        <v>34.08</v>
      </c>
      <c r="O2249" s="49">
        <v>45152</v>
      </c>
      <c r="P2249" s="50">
        <v>261.54900000000004</v>
      </c>
    </row>
    <row r="2250" spans="4:16" x14ac:dyDescent="0.2">
      <c r="D2250">
        <v>100001353</v>
      </c>
      <c r="E2250" s="49">
        <v>44767</v>
      </c>
      <c r="F2250" t="s">
        <v>3193</v>
      </c>
      <c r="G2250" t="s">
        <v>1973</v>
      </c>
      <c r="H2250">
        <v>7</v>
      </c>
      <c r="I2250">
        <v>79.02</v>
      </c>
      <c r="J2250" s="50">
        <v>553.14</v>
      </c>
      <c r="K2250" t="s">
        <v>1618</v>
      </c>
      <c r="M2250" t="s">
        <v>1619</v>
      </c>
      <c r="N2250">
        <v>41.7</v>
      </c>
      <c r="O2250" s="49">
        <v>44772</v>
      </c>
      <c r="P2250" s="50">
        <v>248.91300000000001</v>
      </c>
    </row>
    <row r="2251" spans="4:16" x14ac:dyDescent="0.2">
      <c r="D2251">
        <v>100001353</v>
      </c>
      <c r="E2251" s="49">
        <v>44351</v>
      </c>
      <c r="F2251" t="s">
        <v>3193</v>
      </c>
      <c r="G2251" t="s">
        <v>2174</v>
      </c>
      <c r="H2251">
        <v>1</v>
      </c>
      <c r="I2251">
        <v>88.1</v>
      </c>
      <c r="J2251" s="50">
        <v>88.1</v>
      </c>
      <c r="K2251" t="s">
        <v>1618</v>
      </c>
      <c r="M2251" t="s">
        <v>1624</v>
      </c>
      <c r="N2251">
        <v>46.5</v>
      </c>
      <c r="O2251" s="49">
        <v>44355</v>
      </c>
      <c r="P2251" s="50">
        <v>39.644999999999996</v>
      </c>
    </row>
    <row r="2252" spans="4:16" x14ac:dyDescent="0.2">
      <c r="D2252">
        <v>100001353</v>
      </c>
      <c r="E2252" s="49">
        <v>45602</v>
      </c>
      <c r="F2252" t="s">
        <v>3193</v>
      </c>
      <c r="G2252" t="s">
        <v>1880</v>
      </c>
      <c r="H2252">
        <v>6</v>
      </c>
      <c r="I2252">
        <v>11.39</v>
      </c>
      <c r="J2252" s="50">
        <v>68.34</v>
      </c>
      <c r="K2252" t="s">
        <v>1618</v>
      </c>
      <c r="M2252" t="s">
        <v>1619</v>
      </c>
      <c r="N2252">
        <v>6.01</v>
      </c>
      <c r="O2252" s="49">
        <v>45606</v>
      </c>
      <c r="P2252" s="50">
        <v>30.753000000000004</v>
      </c>
    </row>
    <row r="2253" spans="4:16" x14ac:dyDescent="0.2">
      <c r="D2253">
        <v>100001354</v>
      </c>
      <c r="E2253" s="49">
        <v>44849</v>
      </c>
      <c r="F2253" t="s">
        <v>3194</v>
      </c>
      <c r="G2253" t="s">
        <v>2194</v>
      </c>
      <c r="H2253">
        <v>2</v>
      </c>
      <c r="I2253">
        <v>77.790000000000006</v>
      </c>
      <c r="J2253" s="50">
        <v>155.58000000000001</v>
      </c>
      <c r="K2253" t="s">
        <v>1632</v>
      </c>
      <c r="M2253" t="s">
        <v>1629</v>
      </c>
      <c r="N2253">
        <v>41.06</v>
      </c>
      <c r="O2253" s="49">
        <v>44854</v>
      </c>
      <c r="P2253" s="50">
        <v>70.01100000000001</v>
      </c>
    </row>
    <row r="2254" spans="4:16" x14ac:dyDescent="0.2">
      <c r="D2254">
        <v>100001355</v>
      </c>
      <c r="E2254" s="49">
        <v>44782</v>
      </c>
      <c r="F2254" t="s">
        <v>3195</v>
      </c>
      <c r="G2254" t="s">
        <v>1721</v>
      </c>
      <c r="H2254">
        <v>2</v>
      </c>
      <c r="I2254">
        <v>56.26</v>
      </c>
      <c r="J2254" s="50">
        <v>112.52</v>
      </c>
      <c r="K2254" t="s">
        <v>1618</v>
      </c>
      <c r="L2254" t="s">
        <v>3196</v>
      </c>
      <c r="M2254" t="s">
        <v>1629</v>
      </c>
      <c r="N2254">
        <v>29.69</v>
      </c>
      <c r="O2254" s="49">
        <v>44785</v>
      </c>
      <c r="P2254" s="50">
        <v>50.634</v>
      </c>
    </row>
    <row r="2255" spans="4:16" x14ac:dyDescent="0.2">
      <c r="D2255">
        <v>100001356</v>
      </c>
      <c r="E2255" s="49">
        <v>44239</v>
      </c>
      <c r="F2255" t="s">
        <v>3197</v>
      </c>
      <c r="G2255" t="s">
        <v>2023</v>
      </c>
      <c r="H2255">
        <v>9</v>
      </c>
      <c r="I2255">
        <v>70.91</v>
      </c>
      <c r="J2255" s="50">
        <v>638.18999999999994</v>
      </c>
      <c r="K2255" t="s">
        <v>1618</v>
      </c>
      <c r="M2255" t="s">
        <v>1621</v>
      </c>
      <c r="N2255">
        <v>37.42</v>
      </c>
      <c r="O2255" s="49">
        <v>44242</v>
      </c>
      <c r="P2255" s="50">
        <v>287.18549999999999</v>
      </c>
    </row>
    <row r="2256" spans="4:16" x14ac:dyDescent="0.2">
      <c r="D2256">
        <v>100001357</v>
      </c>
      <c r="E2256" s="49">
        <v>45200</v>
      </c>
      <c r="F2256" t="s">
        <v>3198</v>
      </c>
      <c r="G2256" t="s">
        <v>1690</v>
      </c>
      <c r="H2256">
        <v>10</v>
      </c>
      <c r="I2256">
        <v>111.06</v>
      </c>
      <c r="J2256" s="50">
        <v>1110.5999999999999</v>
      </c>
      <c r="K2256" t="s">
        <v>1632</v>
      </c>
      <c r="L2256" t="s">
        <v>3199</v>
      </c>
      <c r="M2256" t="s">
        <v>1624</v>
      </c>
      <c r="N2256">
        <v>58.61</v>
      </c>
      <c r="O2256" s="49">
        <v>45205</v>
      </c>
      <c r="P2256" s="50">
        <v>499.77</v>
      </c>
    </row>
    <row r="2257" spans="4:16" x14ac:dyDescent="0.2">
      <c r="D2257">
        <v>100001358</v>
      </c>
      <c r="E2257" s="49">
        <v>44614</v>
      </c>
      <c r="F2257" t="s">
        <v>3200</v>
      </c>
      <c r="G2257" t="s">
        <v>2378</v>
      </c>
      <c r="H2257">
        <v>4</v>
      </c>
      <c r="I2257">
        <v>34.049999999999997</v>
      </c>
      <c r="J2257" s="50">
        <v>136.19999999999999</v>
      </c>
      <c r="K2257" t="s">
        <v>1618</v>
      </c>
      <c r="M2257" t="s">
        <v>1621</v>
      </c>
      <c r="N2257">
        <v>17.97</v>
      </c>
      <c r="O2257" s="49">
        <v>44619</v>
      </c>
      <c r="P2257" s="50">
        <v>61.29</v>
      </c>
    </row>
    <row r="2258" spans="4:16" x14ac:dyDescent="0.2">
      <c r="D2258">
        <v>100001358</v>
      </c>
      <c r="E2258" s="49">
        <v>44215</v>
      </c>
      <c r="F2258" t="s">
        <v>3200</v>
      </c>
      <c r="G2258" t="s">
        <v>1945</v>
      </c>
      <c r="H2258">
        <v>1</v>
      </c>
      <c r="I2258">
        <v>116.75</v>
      </c>
      <c r="J2258" s="50">
        <v>116.75</v>
      </c>
      <c r="K2258" t="s">
        <v>1618</v>
      </c>
      <c r="M2258" t="s">
        <v>1619</v>
      </c>
      <c r="N2258">
        <v>61.62</v>
      </c>
      <c r="O2258" s="49">
        <v>44217</v>
      </c>
      <c r="P2258" s="50">
        <v>52.537500000000001</v>
      </c>
    </row>
    <row r="2259" spans="4:16" x14ac:dyDescent="0.2">
      <c r="D2259">
        <v>100001358</v>
      </c>
      <c r="E2259" s="49">
        <v>45631</v>
      </c>
      <c r="F2259" t="s">
        <v>3200</v>
      </c>
      <c r="G2259" t="s">
        <v>1721</v>
      </c>
      <c r="H2259">
        <v>8</v>
      </c>
      <c r="I2259">
        <v>53.16</v>
      </c>
      <c r="J2259" s="50">
        <v>425.28</v>
      </c>
      <c r="K2259" t="s">
        <v>1618</v>
      </c>
      <c r="M2259" t="s">
        <v>1621</v>
      </c>
      <c r="N2259">
        <v>28.06</v>
      </c>
      <c r="O2259" s="49">
        <v>45633</v>
      </c>
      <c r="P2259" s="50">
        <v>191.376</v>
      </c>
    </row>
    <row r="2260" spans="4:16" x14ac:dyDescent="0.2">
      <c r="D2260">
        <v>100001359</v>
      </c>
      <c r="E2260" s="49">
        <v>44683</v>
      </c>
      <c r="F2260" t="s">
        <v>3201</v>
      </c>
      <c r="G2260" t="s">
        <v>2074</v>
      </c>
      <c r="H2260">
        <v>10</v>
      </c>
      <c r="I2260">
        <v>48.54</v>
      </c>
      <c r="J2260" s="50">
        <v>485.4</v>
      </c>
      <c r="K2260" t="s">
        <v>1618</v>
      </c>
      <c r="M2260" t="s">
        <v>1624</v>
      </c>
      <c r="N2260">
        <v>25.62</v>
      </c>
      <c r="O2260" s="49">
        <v>44684</v>
      </c>
      <c r="P2260" s="50">
        <v>218.43</v>
      </c>
    </row>
    <row r="2261" spans="4:16" x14ac:dyDescent="0.2">
      <c r="D2261">
        <v>100001361</v>
      </c>
      <c r="E2261" s="49">
        <v>44373</v>
      </c>
      <c r="F2261" t="s">
        <v>3202</v>
      </c>
      <c r="G2261" t="s">
        <v>1853</v>
      </c>
      <c r="H2261">
        <v>3</v>
      </c>
      <c r="I2261">
        <v>16.809999999999999</v>
      </c>
      <c r="J2261" s="50">
        <v>50.429999999999993</v>
      </c>
      <c r="K2261" t="s">
        <v>1632</v>
      </c>
      <c r="M2261" t="s">
        <v>1619</v>
      </c>
      <c r="N2261">
        <v>8.8699999999999992</v>
      </c>
      <c r="O2261" s="49">
        <v>44376</v>
      </c>
      <c r="P2261" s="50">
        <v>22.693499999999997</v>
      </c>
    </row>
    <row r="2262" spans="4:16" x14ac:dyDescent="0.2">
      <c r="D2262">
        <v>100001361</v>
      </c>
      <c r="E2262" s="49">
        <v>45306</v>
      </c>
      <c r="F2262" t="s">
        <v>3202</v>
      </c>
      <c r="G2262" t="s">
        <v>1856</v>
      </c>
      <c r="H2262">
        <v>9</v>
      </c>
      <c r="I2262">
        <v>94.56</v>
      </c>
      <c r="J2262" s="50">
        <v>851.04</v>
      </c>
      <c r="K2262" t="s">
        <v>1632</v>
      </c>
      <c r="M2262" t="s">
        <v>1619</v>
      </c>
      <c r="N2262">
        <v>49.91</v>
      </c>
      <c r="O2262" s="49">
        <v>45310</v>
      </c>
      <c r="P2262" s="50">
        <v>382.96800000000002</v>
      </c>
    </row>
    <row r="2263" spans="4:16" x14ac:dyDescent="0.2">
      <c r="D2263">
        <v>100001361</v>
      </c>
      <c r="E2263" s="49">
        <v>45066</v>
      </c>
      <c r="F2263" t="s">
        <v>3202</v>
      </c>
      <c r="G2263" t="s">
        <v>1643</v>
      </c>
      <c r="H2263">
        <v>2</v>
      </c>
      <c r="I2263">
        <v>45.88</v>
      </c>
      <c r="J2263" s="50">
        <v>91.76</v>
      </c>
      <c r="K2263" t="s">
        <v>1632</v>
      </c>
      <c r="M2263" t="s">
        <v>1629</v>
      </c>
      <c r="N2263">
        <v>24.21</v>
      </c>
      <c r="O2263" s="49">
        <v>45068</v>
      </c>
      <c r="P2263" s="50">
        <v>41.292000000000002</v>
      </c>
    </row>
    <row r="2264" spans="4:16" x14ac:dyDescent="0.2">
      <c r="D2264">
        <v>100001362</v>
      </c>
      <c r="E2264" s="49">
        <v>45181</v>
      </c>
      <c r="F2264" t="s">
        <v>3203</v>
      </c>
      <c r="G2264" t="s">
        <v>1855</v>
      </c>
      <c r="H2264">
        <v>9</v>
      </c>
      <c r="I2264">
        <v>113.91</v>
      </c>
      <c r="J2264" s="50">
        <v>1025.19</v>
      </c>
      <c r="K2264" t="s">
        <v>1618</v>
      </c>
      <c r="M2264" t="s">
        <v>1627</v>
      </c>
      <c r="N2264">
        <v>60.12</v>
      </c>
      <c r="O2264" s="49">
        <v>45184</v>
      </c>
      <c r="P2264" s="50">
        <v>461.33550000000002</v>
      </c>
    </row>
    <row r="2265" spans="4:16" x14ac:dyDescent="0.2">
      <c r="D2265">
        <v>100001364</v>
      </c>
      <c r="E2265" s="49">
        <v>44657</v>
      </c>
      <c r="F2265" t="s">
        <v>3204</v>
      </c>
      <c r="G2265" t="s">
        <v>1975</v>
      </c>
      <c r="H2265">
        <v>5</v>
      </c>
      <c r="I2265">
        <v>25.13</v>
      </c>
      <c r="J2265" s="50">
        <v>125.65</v>
      </c>
      <c r="K2265" t="s">
        <v>1618</v>
      </c>
      <c r="M2265" t="s">
        <v>1621</v>
      </c>
      <c r="N2265">
        <v>13.26</v>
      </c>
      <c r="O2265" s="49">
        <v>44660</v>
      </c>
      <c r="P2265" s="50">
        <v>56.542500000000004</v>
      </c>
    </row>
    <row r="2266" spans="4:16" x14ac:dyDescent="0.2">
      <c r="D2266">
        <v>100001364</v>
      </c>
      <c r="E2266" s="49">
        <v>45153</v>
      </c>
      <c r="F2266" t="s">
        <v>3204</v>
      </c>
      <c r="G2266" t="s">
        <v>1828</v>
      </c>
      <c r="H2266">
        <v>3</v>
      </c>
      <c r="I2266">
        <v>12.71</v>
      </c>
      <c r="J2266" s="50">
        <v>38.130000000000003</v>
      </c>
      <c r="K2266" t="s">
        <v>1618</v>
      </c>
      <c r="M2266" t="s">
        <v>1619</v>
      </c>
      <c r="N2266">
        <v>6.71</v>
      </c>
      <c r="O2266" s="49">
        <v>45158</v>
      </c>
      <c r="P2266" s="50">
        <v>17.1585</v>
      </c>
    </row>
    <row r="2267" spans="4:16" x14ac:dyDescent="0.2">
      <c r="D2267">
        <v>100001365</v>
      </c>
      <c r="E2267" s="49">
        <v>44325</v>
      </c>
      <c r="F2267" t="s">
        <v>3205</v>
      </c>
      <c r="G2267" t="s">
        <v>1722</v>
      </c>
      <c r="H2267">
        <v>5</v>
      </c>
      <c r="I2267">
        <v>103.06</v>
      </c>
      <c r="J2267" s="50">
        <v>515.29999999999995</v>
      </c>
      <c r="K2267" t="s">
        <v>1618</v>
      </c>
      <c r="M2267" t="s">
        <v>1629</v>
      </c>
      <c r="N2267">
        <v>54.39</v>
      </c>
      <c r="O2267" s="49">
        <v>44327</v>
      </c>
      <c r="P2267" s="50">
        <v>231.88499999999999</v>
      </c>
    </row>
    <row r="2268" spans="4:16" x14ac:dyDescent="0.2">
      <c r="D2268">
        <v>100001366</v>
      </c>
      <c r="E2268" s="49">
        <v>44394</v>
      </c>
      <c r="F2268" t="s">
        <v>3206</v>
      </c>
      <c r="G2268" t="s">
        <v>1661</v>
      </c>
      <c r="H2268">
        <v>10</v>
      </c>
      <c r="I2268">
        <v>113.09</v>
      </c>
      <c r="J2268" s="50">
        <v>1130.9000000000001</v>
      </c>
      <c r="K2268" t="s">
        <v>1618</v>
      </c>
      <c r="M2268" t="s">
        <v>1621</v>
      </c>
      <c r="N2268">
        <v>59.69</v>
      </c>
      <c r="O2268" s="49">
        <v>44396</v>
      </c>
      <c r="P2268" s="50">
        <v>508.90500000000003</v>
      </c>
    </row>
    <row r="2269" spans="4:16" x14ac:dyDescent="0.2">
      <c r="D2269">
        <v>100001366</v>
      </c>
      <c r="E2269" s="49">
        <v>45154</v>
      </c>
      <c r="F2269" t="s">
        <v>3206</v>
      </c>
      <c r="G2269" t="s">
        <v>1978</v>
      </c>
      <c r="H2269">
        <v>1</v>
      </c>
      <c r="I2269">
        <v>90.5</v>
      </c>
      <c r="J2269" s="50">
        <v>90.5</v>
      </c>
      <c r="K2269" t="s">
        <v>1618</v>
      </c>
      <c r="M2269" t="s">
        <v>1624</v>
      </c>
      <c r="N2269">
        <v>47.76</v>
      </c>
      <c r="O2269" s="49">
        <v>45155</v>
      </c>
      <c r="P2269" s="50">
        <v>40.725000000000001</v>
      </c>
    </row>
    <row r="2270" spans="4:16" x14ac:dyDescent="0.2">
      <c r="D2270">
        <v>100001366</v>
      </c>
      <c r="E2270" s="49">
        <v>44699</v>
      </c>
      <c r="F2270" t="s">
        <v>3206</v>
      </c>
      <c r="G2270" t="s">
        <v>1789</v>
      </c>
      <c r="H2270">
        <v>8</v>
      </c>
      <c r="I2270">
        <v>90.1</v>
      </c>
      <c r="J2270" s="50">
        <v>720.8</v>
      </c>
      <c r="K2270" t="s">
        <v>1618</v>
      </c>
      <c r="M2270" t="s">
        <v>1621</v>
      </c>
      <c r="N2270">
        <v>47.55</v>
      </c>
      <c r="O2270" s="49">
        <v>44704</v>
      </c>
      <c r="P2270" s="50">
        <v>324.36</v>
      </c>
    </row>
    <row r="2271" spans="4:16" x14ac:dyDescent="0.2">
      <c r="D2271">
        <v>100001369</v>
      </c>
      <c r="E2271" s="49">
        <v>44755</v>
      </c>
      <c r="F2271" t="s">
        <v>3207</v>
      </c>
      <c r="G2271" t="s">
        <v>2076</v>
      </c>
      <c r="H2271">
        <v>4</v>
      </c>
      <c r="I2271">
        <v>20.65</v>
      </c>
      <c r="J2271" s="50">
        <v>82.6</v>
      </c>
      <c r="K2271" t="s">
        <v>1618</v>
      </c>
      <c r="M2271" t="s">
        <v>1621</v>
      </c>
      <c r="N2271">
        <v>10.9</v>
      </c>
      <c r="O2271" s="49">
        <v>44757</v>
      </c>
      <c r="P2271" s="50">
        <v>37.17</v>
      </c>
    </row>
    <row r="2272" spans="4:16" x14ac:dyDescent="0.2">
      <c r="D2272">
        <v>100001370</v>
      </c>
      <c r="E2272" s="49">
        <v>44426</v>
      </c>
      <c r="F2272" t="s">
        <v>3208</v>
      </c>
      <c r="G2272" t="s">
        <v>2375</v>
      </c>
      <c r="H2272">
        <v>4</v>
      </c>
      <c r="I2272">
        <v>42.16</v>
      </c>
      <c r="J2272" s="50">
        <v>168.64</v>
      </c>
      <c r="K2272" t="s">
        <v>1618</v>
      </c>
      <c r="M2272" t="s">
        <v>1629</v>
      </c>
      <c r="N2272">
        <v>22.25</v>
      </c>
      <c r="O2272" s="49">
        <v>44428</v>
      </c>
      <c r="P2272" s="50">
        <v>75.887999999999991</v>
      </c>
    </row>
    <row r="2273" spans="4:16" x14ac:dyDescent="0.2">
      <c r="D2273">
        <v>100001371</v>
      </c>
      <c r="E2273" s="49">
        <v>44492</v>
      </c>
      <c r="F2273" t="s">
        <v>3209</v>
      </c>
      <c r="G2273" t="s">
        <v>1652</v>
      </c>
      <c r="H2273">
        <v>1</v>
      </c>
      <c r="I2273">
        <v>57.28</v>
      </c>
      <c r="J2273" s="50">
        <v>57.28</v>
      </c>
      <c r="K2273" t="s">
        <v>1618</v>
      </c>
      <c r="M2273" t="s">
        <v>1619</v>
      </c>
      <c r="N2273">
        <v>30.23</v>
      </c>
      <c r="O2273" s="49">
        <v>44497</v>
      </c>
      <c r="P2273" s="50">
        <v>25.776</v>
      </c>
    </row>
    <row r="2274" spans="4:16" x14ac:dyDescent="0.2">
      <c r="D2274">
        <v>100001371</v>
      </c>
      <c r="E2274" s="49">
        <v>44763</v>
      </c>
      <c r="F2274" t="s">
        <v>3209</v>
      </c>
      <c r="G2274" t="s">
        <v>1918</v>
      </c>
      <c r="H2274">
        <v>3</v>
      </c>
      <c r="I2274">
        <v>73.63</v>
      </c>
      <c r="J2274" s="50">
        <v>220.89</v>
      </c>
      <c r="K2274" t="s">
        <v>1618</v>
      </c>
      <c r="M2274" t="s">
        <v>1624</v>
      </c>
      <c r="N2274">
        <v>38.86</v>
      </c>
      <c r="O2274" s="49">
        <v>44765</v>
      </c>
      <c r="P2274" s="50">
        <v>99.400499999999994</v>
      </c>
    </row>
    <row r="2275" spans="4:16" x14ac:dyDescent="0.2">
      <c r="D2275">
        <v>100001372</v>
      </c>
      <c r="E2275" s="49">
        <v>45646</v>
      </c>
      <c r="F2275" t="s">
        <v>3210</v>
      </c>
      <c r="G2275" t="s">
        <v>1895</v>
      </c>
      <c r="H2275">
        <v>3</v>
      </c>
      <c r="I2275">
        <v>94.65</v>
      </c>
      <c r="J2275" s="50">
        <v>283.95</v>
      </c>
      <c r="K2275" t="s">
        <v>1632</v>
      </c>
      <c r="M2275" t="s">
        <v>1627</v>
      </c>
      <c r="N2275">
        <v>49.95</v>
      </c>
      <c r="O2275" s="49">
        <v>45649</v>
      </c>
      <c r="P2275" s="50">
        <v>127.7775</v>
      </c>
    </row>
    <row r="2276" spans="4:16" x14ac:dyDescent="0.2">
      <c r="D2276">
        <v>100001374</v>
      </c>
      <c r="E2276" s="49">
        <v>44720</v>
      </c>
      <c r="F2276" t="s">
        <v>3211</v>
      </c>
      <c r="G2276" t="s">
        <v>1902</v>
      </c>
      <c r="H2276">
        <v>1</v>
      </c>
      <c r="I2276">
        <v>106.22</v>
      </c>
      <c r="J2276" s="50">
        <v>106.22</v>
      </c>
      <c r="K2276" t="s">
        <v>1618</v>
      </c>
      <c r="M2276" t="s">
        <v>1624</v>
      </c>
      <c r="N2276">
        <v>56.06</v>
      </c>
      <c r="O2276" s="49">
        <v>44725</v>
      </c>
      <c r="P2276" s="50">
        <v>47.798999999999999</v>
      </c>
    </row>
    <row r="2277" spans="4:16" x14ac:dyDescent="0.2">
      <c r="D2277">
        <v>100001374</v>
      </c>
      <c r="E2277" s="49">
        <v>45131</v>
      </c>
      <c r="F2277" t="s">
        <v>3211</v>
      </c>
      <c r="G2277" t="s">
        <v>1841</v>
      </c>
      <c r="H2277">
        <v>7</v>
      </c>
      <c r="I2277">
        <v>41.23</v>
      </c>
      <c r="J2277" s="50">
        <v>288.61</v>
      </c>
      <c r="K2277" t="s">
        <v>1618</v>
      </c>
      <c r="M2277" t="s">
        <v>1627</v>
      </c>
      <c r="N2277">
        <v>21.76</v>
      </c>
      <c r="O2277" s="49">
        <v>45136</v>
      </c>
      <c r="P2277" s="50">
        <v>129.87450000000001</v>
      </c>
    </row>
    <row r="2278" spans="4:16" x14ac:dyDescent="0.2">
      <c r="D2278">
        <v>100001374</v>
      </c>
      <c r="E2278" s="49">
        <v>45204</v>
      </c>
      <c r="F2278" t="s">
        <v>3211</v>
      </c>
      <c r="G2278" t="s">
        <v>1690</v>
      </c>
      <c r="H2278">
        <v>10</v>
      </c>
      <c r="I2278">
        <v>31.2</v>
      </c>
      <c r="J2278" s="50">
        <v>312</v>
      </c>
      <c r="K2278" t="s">
        <v>1618</v>
      </c>
      <c r="M2278" t="s">
        <v>1629</v>
      </c>
      <c r="N2278">
        <v>16.47</v>
      </c>
      <c r="O2278" s="49">
        <v>45207</v>
      </c>
      <c r="P2278" s="50">
        <v>140.4</v>
      </c>
    </row>
    <row r="2279" spans="4:16" x14ac:dyDescent="0.2">
      <c r="D2279">
        <v>100001375</v>
      </c>
      <c r="E2279" s="49">
        <v>44283</v>
      </c>
      <c r="F2279" t="s">
        <v>3212</v>
      </c>
      <c r="G2279" t="s">
        <v>1775</v>
      </c>
      <c r="H2279">
        <v>4</v>
      </c>
      <c r="I2279">
        <v>83.65</v>
      </c>
      <c r="J2279" s="50">
        <v>334.6</v>
      </c>
      <c r="K2279" t="s">
        <v>1632</v>
      </c>
      <c r="L2279" t="s">
        <v>3213</v>
      </c>
      <c r="M2279" t="s">
        <v>1624</v>
      </c>
      <c r="N2279">
        <v>44.15</v>
      </c>
      <c r="O2279" s="49">
        <v>44285</v>
      </c>
      <c r="P2279" s="50">
        <v>150.57000000000002</v>
      </c>
    </row>
    <row r="2280" spans="4:16" x14ac:dyDescent="0.2">
      <c r="D2280">
        <v>100001376</v>
      </c>
      <c r="E2280" s="49">
        <v>45230</v>
      </c>
      <c r="F2280" t="s">
        <v>3214</v>
      </c>
      <c r="G2280" t="s">
        <v>2174</v>
      </c>
      <c r="H2280">
        <v>5</v>
      </c>
      <c r="I2280">
        <v>78.739999999999995</v>
      </c>
      <c r="J2280" s="50">
        <v>393.7</v>
      </c>
      <c r="K2280" t="s">
        <v>1632</v>
      </c>
      <c r="M2280" t="s">
        <v>1629</v>
      </c>
      <c r="N2280">
        <v>41.56</v>
      </c>
      <c r="O2280" s="49">
        <v>45232</v>
      </c>
      <c r="P2280" s="50">
        <v>177.16499999999999</v>
      </c>
    </row>
    <row r="2281" spans="4:16" x14ac:dyDescent="0.2">
      <c r="D2281">
        <v>100001378</v>
      </c>
      <c r="E2281" s="49">
        <v>45527</v>
      </c>
      <c r="F2281" t="s">
        <v>3215</v>
      </c>
      <c r="G2281" t="s">
        <v>2060</v>
      </c>
      <c r="H2281">
        <v>10</v>
      </c>
      <c r="I2281">
        <v>28.88</v>
      </c>
      <c r="J2281" s="50">
        <v>288.8</v>
      </c>
      <c r="K2281" t="s">
        <v>1632</v>
      </c>
      <c r="M2281" t="s">
        <v>1629</v>
      </c>
      <c r="N2281">
        <v>15.24</v>
      </c>
      <c r="O2281" s="49">
        <v>45530</v>
      </c>
      <c r="P2281" s="50">
        <v>129.96</v>
      </c>
    </row>
    <row r="2282" spans="4:16" x14ac:dyDescent="0.2">
      <c r="D2282">
        <v>100001378</v>
      </c>
      <c r="E2282" s="49">
        <v>45013</v>
      </c>
      <c r="F2282" t="s">
        <v>3215</v>
      </c>
      <c r="G2282" t="s">
        <v>1658</v>
      </c>
      <c r="H2282">
        <v>4</v>
      </c>
      <c r="I2282">
        <v>38.909999999999997</v>
      </c>
      <c r="J2282" s="50">
        <v>155.63999999999999</v>
      </c>
      <c r="K2282" t="s">
        <v>1632</v>
      </c>
      <c r="M2282" t="s">
        <v>1627</v>
      </c>
      <c r="N2282">
        <v>20.54</v>
      </c>
      <c r="O2282" s="49">
        <v>45015</v>
      </c>
      <c r="P2282" s="50">
        <v>70.037999999999997</v>
      </c>
    </row>
    <row r="2283" spans="4:16" x14ac:dyDescent="0.2">
      <c r="D2283">
        <v>100001378</v>
      </c>
      <c r="E2283" s="49">
        <v>44762</v>
      </c>
      <c r="F2283" t="s">
        <v>3215</v>
      </c>
      <c r="G2283" t="s">
        <v>2024</v>
      </c>
      <c r="H2283">
        <v>7</v>
      </c>
      <c r="I2283">
        <v>118.14</v>
      </c>
      <c r="J2283" s="50">
        <v>826.98</v>
      </c>
      <c r="K2283" t="s">
        <v>1632</v>
      </c>
      <c r="M2283" t="s">
        <v>1624</v>
      </c>
      <c r="N2283">
        <v>62.35</v>
      </c>
      <c r="O2283" s="49">
        <v>44766</v>
      </c>
      <c r="P2283" s="50">
        <v>372.14100000000002</v>
      </c>
    </row>
    <row r="2284" spans="4:16" x14ac:dyDescent="0.2">
      <c r="D2284">
        <v>100001378</v>
      </c>
      <c r="E2284" s="49">
        <v>44818</v>
      </c>
      <c r="F2284" t="s">
        <v>3215</v>
      </c>
      <c r="G2284" t="s">
        <v>2086</v>
      </c>
      <c r="H2284">
        <v>10</v>
      </c>
      <c r="I2284">
        <v>31.5</v>
      </c>
      <c r="J2284" s="50">
        <v>315</v>
      </c>
      <c r="K2284" t="s">
        <v>1632</v>
      </c>
      <c r="M2284" t="s">
        <v>1624</v>
      </c>
      <c r="N2284">
        <v>16.62</v>
      </c>
      <c r="O2284" s="49">
        <v>44819</v>
      </c>
      <c r="P2284" s="50">
        <v>141.75</v>
      </c>
    </row>
    <row r="2285" spans="4:16" x14ac:dyDescent="0.2">
      <c r="D2285">
        <v>100001378</v>
      </c>
      <c r="E2285" s="49">
        <v>44578</v>
      </c>
      <c r="F2285" t="s">
        <v>3215</v>
      </c>
      <c r="G2285" t="s">
        <v>1782</v>
      </c>
      <c r="H2285">
        <v>8</v>
      </c>
      <c r="I2285">
        <v>119.95</v>
      </c>
      <c r="J2285" s="50">
        <v>959.6</v>
      </c>
      <c r="K2285" t="s">
        <v>1632</v>
      </c>
      <c r="M2285" t="s">
        <v>1629</v>
      </c>
      <c r="N2285">
        <v>63.31</v>
      </c>
      <c r="O2285" s="49">
        <v>44582</v>
      </c>
      <c r="P2285" s="50">
        <v>431.82</v>
      </c>
    </row>
    <row r="2286" spans="4:16" x14ac:dyDescent="0.2">
      <c r="D2286">
        <v>100001378</v>
      </c>
      <c r="E2286" s="49">
        <v>44217</v>
      </c>
      <c r="F2286" t="s">
        <v>3215</v>
      </c>
      <c r="G2286" t="s">
        <v>1929</v>
      </c>
      <c r="H2286">
        <v>3</v>
      </c>
      <c r="I2286">
        <v>45.23</v>
      </c>
      <c r="J2286" s="50">
        <v>135.69</v>
      </c>
      <c r="K2286" t="s">
        <v>1632</v>
      </c>
      <c r="M2286" t="s">
        <v>1619</v>
      </c>
      <c r="N2286">
        <v>23.87</v>
      </c>
      <c r="O2286" s="49">
        <v>44218</v>
      </c>
      <c r="P2286" s="50">
        <v>61.060499999999998</v>
      </c>
    </row>
    <row r="2287" spans="4:16" x14ac:dyDescent="0.2">
      <c r="D2287">
        <v>100001379</v>
      </c>
      <c r="E2287" s="49">
        <v>44218</v>
      </c>
      <c r="F2287" t="s">
        <v>3216</v>
      </c>
      <c r="G2287" t="s">
        <v>1941</v>
      </c>
      <c r="H2287">
        <v>6</v>
      </c>
      <c r="I2287">
        <v>34.51</v>
      </c>
      <c r="J2287" s="50">
        <v>207.06</v>
      </c>
      <c r="K2287" t="s">
        <v>1632</v>
      </c>
      <c r="L2287" t="s">
        <v>3217</v>
      </c>
      <c r="M2287" t="s">
        <v>1619</v>
      </c>
      <c r="N2287">
        <v>18.21</v>
      </c>
      <c r="O2287" s="49">
        <v>44222</v>
      </c>
      <c r="P2287" s="50">
        <v>93.177000000000007</v>
      </c>
    </row>
    <row r="2288" spans="4:16" x14ac:dyDescent="0.2">
      <c r="D2288">
        <v>100001380</v>
      </c>
      <c r="E2288" s="49">
        <v>44615</v>
      </c>
      <c r="F2288" t="s">
        <v>3218</v>
      </c>
      <c r="G2288" t="s">
        <v>1653</v>
      </c>
      <c r="H2288">
        <v>5</v>
      </c>
      <c r="I2288">
        <v>21.96</v>
      </c>
      <c r="J2288" s="50">
        <v>109.8</v>
      </c>
      <c r="K2288" t="s">
        <v>1632</v>
      </c>
      <c r="M2288" t="s">
        <v>1624</v>
      </c>
      <c r="N2288">
        <v>11.59</v>
      </c>
      <c r="O2288" s="49">
        <v>44617</v>
      </c>
      <c r="P2288" s="50">
        <v>49.41</v>
      </c>
    </row>
    <row r="2289" spans="4:16" x14ac:dyDescent="0.2">
      <c r="D2289">
        <v>100001380</v>
      </c>
      <c r="E2289" s="49">
        <v>45296</v>
      </c>
      <c r="F2289" t="s">
        <v>3218</v>
      </c>
      <c r="G2289" t="s">
        <v>2005</v>
      </c>
      <c r="H2289">
        <v>8</v>
      </c>
      <c r="I2289">
        <v>76.709999999999994</v>
      </c>
      <c r="J2289" s="50">
        <v>613.67999999999995</v>
      </c>
      <c r="K2289" t="s">
        <v>1632</v>
      </c>
      <c r="M2289" t="s">
        <v>1619</v>
      </c>
      <c r="N2289">
        <v>40.49</v>
      </c>
      <c r="O2289" s="49">
        <v>45300</v>
      </c>
      <c r="P2289" s="50">
        <v>276.15600000000001</v>
      </c>
    </row>
    <row r="2290" spans="4:16" x14ac:dyDescent="0.2">
      <c r="D2290">
        <v>100001381</v>
      </c>
      <c r="E2290" s="49">
        <v>44344</v>
      </c>
      <c r="F2290" t="s">
        <v>3219</v>
      </c>
      <c r="G2290" t="s">
        <v>1808</v>
      </c>
      <c r="H2290">
        <v>7</v>
      </c>
      <c r="I2290">
        <v>113.05</v>
      </c>
      <c r="J2290" s="50">
        <v>791.35</v>
      </c>
      <c r="K2290" t="s">
        <v>1618</v>
      </c>
      <c r="M2290" t="s">
        <v>1621</v>
      </c>
      <c r="N2290">
        <v>59.66</v>
      </c>
      <c r="O2290" s="49">
        <v>44345</v>
      </c>
      <c r="P2290" s="50">
        <v>356.10750000000002</v>
      </c>
    </row>
    <row r="2291" spans="4:16" x14ac:dyDescent="0.2">
      <c r="D2291">
        <v>100001381</v>
      </c>
      <c r="E2291" s="49">
        <v>45253</v>
      </c>
      <c r="F2291" t="s">
        <v>3219</v>
      </c>
      <c r="G2291" t="s">
        <v>1799</v>
      </c>
      <c r="H2291">
        <v>7</v>
      </c>
      <c r="I2291">
        <v>47.19</v>
      </c>
      <c r="J2291" s="50">
        <v>330.33</v>
      </c>
      <c r="K2291" t="s">
        <v>1618</v>
      </c>
      <c r="M2291" t="s">
        <v>1627</v>
      </c>
      <c r="N2291">
        <v>24.91</v>
      </c>
      <c r="O2291" s="49">
        <v>45255</v>
      </c>
      <c r="P2291" s="50">
        <v>148.64849999999998</v>
      </c>
    </row>
    <row r="2292" spans="4:16" x14ac:dyDescent="0.2">
      <c r="D2292">
        <v>100001381</v>
      </c>
      <c r="E2292" s="49">
        <v>44497</v>
      </c>
      <c r="F2292" t="s">
        <v>3219</v>
      </c>
      <c r="G2292" t="s">
        <v>2142</v>
      </c>
      <c r="H2292">
        <v>7</v>
      </c>
      <c r="I2292">
        <v>52.73</v>
      </c>
      <c r="J2292" s="50">
        <v>369.11</v>
      </c>
      <c r="K2292" t="s">
        <v>1618</v>
      </c>
      <c r="M2292" t="s">
        <v>1619</v>
      </c>
      <c r="N2292">
        <v>27.83</v>
      </c>
      <c r="O2292" s="49">
        <v>44499</v>
      </c>
      <c r="P2292" s="50">
        <v>166.09950000000001</v>
      </c>
    </row>
    <row r="2293" spans="4:16" x14ac:dyDescent="0.2">
      <c r="D2293">
        <v>100001382</v>
      </c>
      <c r="E2293" s="49">
        <v>45468</v>
      </c>
      <c r="F2293" t="s">
        <v>3220</v>
      </c>
      <c r="G2293" t="s">
        <v>1834</v>
      </c>
      <c r="H2293">
        <v>7</v>
      </c>
      <c r="I2293">
        <v>34.83</v>
      </c>
      <c r="J2293" s="50">
        <v>243.81</v>
      </c>
      <c r="K2293" t="s">
        <v>1632</v>
      </c>
      <c r="M2293" t="s">
        <v>1627</v>
      </c>
      <c r="N2293">
        <v>18.38</v>
      </c>
      <c r="O2293" s="49">
        <v>45471</v>
      </c>
      <c r="P2293" s="50">
        <v>109.7145</v>
      </c>
    </row>
    <row r="2294" spans="4:16" x14ac:dyDescent="0.2">
      <c r="D2294">
        <v>100001383</v>
      </c>
      <c r="E2294" s="49">
        <v>44333</v>
      </c>
      <c r="F2294" t="s">
        <v>3221</v>
      </c>
      <c r="G2294" t="s">
        <v>2485</v>
      </c>
      <c r="H2294">
        <v>8</v>
      </c>
      <c r="I2294">
        <v>80.64</v>
      </c>
      <c r="J2294" s="50">
        <v>645.12</v>
      </c>
      <c r="K2294" t="s">
        <v>1618</v>
      </c>
      <c r="M2294" t="s">
        <v>1619</v>
      </c>
      <c r="N2294">
        <v>42.56</v>
      </c>
      <c r="O2294" s="49">
        <v>44334</v>
      </c>
      <c r="P2294" s="50">
        <v>290.30400000000003</v>
      </c>
    </row>
    <row r="2295" spans="4:16" x14ac:dyDescent="0.2">
      <c r="D2295">
        <v>100001385</v>
      </c>
      <c r="E2295" s="49">
        <v>44502</v>
      </c>
      <c r="F2295" t="s">
        <v>3222</v>
      </c>
      <c r="G2295" t="s">
        <v>1872</v>
      </c>
      <c r="H2295">
        <v>4</v>
      </c>
      <c r="I2295">
        <v>88.57</v>
      </c>
      <c r="J2295" s="50">
        <v>354.28</v>
      </c>
      <c r="K2295" t="s">
        <v>1618</v>
      </c>
      <c r="M2295" t="s">
        <v>1627</v>
      </c>
      <c r="N2295">
        <v>46.74</v>
      </c>
      <c r="O2295" s="49">
        <v>44504</v>
      </c>
      <c r="P2295" s="50">
        <v>159.42599999999999</v>
      </c>
    </row>
    <row r="2296" spans="4:16" x14ac:dyDescent="0.2">
      <c r="D2296">
        <v>100001389</v>
      </c>
      <c r="E2296" s="49">
        <v>44425</v>
      </c>
      <c r="F2296" t="s">
        <v>3223</v>
      </c>
      <c r="G2296" t="s">
        <v>1655</v>
      </c>
      <c r="H2296">
        <v>7</v>
      </c>
      <c r="I2296">
        <v>47.12</v>
      </c>
      <c r="J2296" s="50">
        <v>329.84</v>
      </c>
      <c r="K2296" t="s">
        <v>1618</v>
      </c>
      <c r="L2296" t="s">
        <v>3224</v>
      </c>
      <c r="M2296" t="s">
        <v>1621</v>
      </c>
      <c r="N2296">
        <v>24.87</v>
      </c>
      <c r="O2296" s="49">
        <v>44428</v>
      </c>
      <c r="P2296" s="50">
        <v>148.428</v>
      </c>
    </row>
    <row r="2297" spans="4:16" x14ac:dyDescent="0.2">
      <c r="D2297">
        <v>100001392</v>
      </c>
      <c r="E2297" s="49">
        <v>44950</v>
      </c>
      <c r="F2297" t="s">
        <v>3225</v>
      </c>
      <c r="G2297" t="s">
        <v>2158</v>
      </c>
      <c r="H2297">
        <v>6</v>
      </c>
      <c r="I2297">
        <v>59.23</v>
      </c>
      <c r="J2297" s="50">
        <v>355.38</v>
      </c>
      <c r="K2297" t="s">
        <v>1632</v>
      </c>
      <c r="M2297" t="s">
        <v>1621</v>
      </c>
      <c r="N2297">
        <v>31.26</v>
      </c>
      <c r="O2297" s="49">
        <v>44953</v>
      </c>
      <c r="P2297" s="50">
        <v>159.92099999999999</v>
      </c>
    </row>
    <row r="2298" spans="4:16" x14ac:dyDescent="0.2">
      <c r="D2298">
        <v>100001392</v>
      </c>
      <c r="E2298" s="49">
        <v>44956</v>
      </c>
      <c r="F2298" t="s">
        <v>3225</v>
      </c>
      <c r="G2298" t="s">
        <v>1973</v>
      </c>
      <c r="H2298">
        <v>6</v>
      </c>
      <c r="I2298">
        <v>113.46</v>
      </c>
      <c r="J2298" s="50">
        <v>680.76</v>
      </c>
      <c r="K2298" t="s">
        <v>1632</v>
      </c>
      <c r="M2298" t="s">
        <v>1629</v>
      </c>
      <c r="N2298">
        <v>59.88</v>
      </c>
      <c r="O2298" s="49">
        <v>44959</v>
      </c>
      <c r="P2298" s="50">
        <v>306.34199999999998</v>
      </c>
    </row>
    <row r="2299" spans="4:16" x14ac:dyDescent="0.2">
      <c r="D2299">
        <v>100001392</v>
      </c>
      <c r="E2299" s="49">
        <v>45584</v>
      </c>
      <c r="F2299" t="s">
        <v>3225</v>
      </c>
      <c r="G2299" t="s">
        <v>1953</v>
      </c>
      <c r="H2299">
        <v>7</v>
      </c>
      <c r="I2299">
        <v>64.819999999999993</v>
      </c>
      <c r="J2299" s="50">
        <v>453.74</v>
      </c>
      <c r="K2299" t="s">
        <v>1632</v>
      </c>
      <c r="M2299" t="s">
        <v>1619</v>
      </c>
      <c r="N2299">
        <v>34.21</v>
      </c>
      <c r="O2299" s="49">
        <v>45587</v>
      </c>
      <c r="P2299" s="50">
        <v>204.18300000000002</v>
      </c>
    </row>
    <row r="2300" spans="4:16" x14ac:dyDescent="0.2">
      <c r="D2300">
        <v>100001392</v>
      </c>
      <c r="E2300" s="49">
        <v>44606</v>
      </c>
      <c r="F2300" t="s">
        <v>3225</v>
      </c>
      <c r="G2300" t="s">
        <v>2078</v>
      </c>
      <c r="H2300">
        <v>10</v>
      </c>
      <c r="I2300">
        <v>50.58</v>
      </c>
      <c r="J2300" s="50">
        <v>505.8</v>
      </c>
      <c r="K2300" t="s">
        <v>1632</v>
      </c>
      <c r="M2300" t="s">
        <v>1624</v>
      </c>
      <c r="N2300">
        <v>26.69</v>
      </c>
      <c r="O2300" s="49">
        <v>44611</v>
      </c>
      <c r="P2300" s="50">
        <v>227.61</v>
      </c>
    </row>
    <row r="2301" spans="4:16" x14ac:dyDescent="0.2">
      <c r="D2301">
        <v>100001393</v>
      </c>
      <c r="E2301" s="49">
        <v>45138</v>
      </c>
      <c r="F2301" t="s">
        <v>3226</v>
      </c>
      <c r="G2301" t="s">
        <v>1833</v>
      </c>
      <c r="H2301">
        <v>9</v>
      </c>
      <c r="I2301">
        <v>33.369999999999997</v>
      </c>
      <c r="J2301" s="50">
        <v>300.33</v>
      </c>
      <c r="K2301" t="s">
        <v>1632</v>
      </c>
      <c r="M2301" t="s">
        <v>1627</v>
      </c>
      <c r="N2301">
        <v>17.61</v>
      </c>
      <c r="O2301" s="49">
        <v>45141</v>
      </c>
      <c r="P2301" s="50">
        <v>135.14849999999998</v>
      </c>
    </row>
    <row r="2302" spans="4:16" x14ac:dyDescent="0.2">
      <c r="D2302">
        <v>100001393</v>
      </c>
      <c r="E2302" s="49">
        <v>44451</v>
      </c>
      <c r="F2302" t="s">
        <v>3226</v>
      </c>
      <c r="G2302" t="s">
        <v>2078</v>
      </c>
      <c r="H2302">
        <v>8</v>
      </c>
      <c r="I2302">
        <v>95.87</v>
      </c>
      <c r="J2302" s="50">
        <v>766.96</v>
      </c>
      <c r="K2302" t="s">
        <v>1632</v>
      </c>
      <c r="M2302" t="s">
        <v>1624</v>
      </c>
      <c r="N2302">
        <v>50.6</v>
      </c>
      <c r="O2302" s="49">
        <v>44454</v>
      </c>
      <c r="P2302" s="50">
        <v>345.13200000000001</v>
      </c>
    </row>
    <row r="2303" spans="4:16" x14ac:dyDescent="0.2">
      <c r="D2303">
        <v>100001394</v>
      </c>
      <c r="E2303" s="49">
        <v>45212</v>
      </c>
      <c r="F2303" t="s">
        <v>3227</v>
      </c>
      <c r="G2303" t="s">
        <v>1704</v>
      </c>
      <c r="H2303">
        <v>7</v>
      </c>
      <c r="I2303">
        <v>30.94</v>
      </c>
      <c r="J2303" s="50">
        <v>216.58</v>
      </c>
      <c r="K2303" t="s">
        <v>1618</v>
      </c>
      <c r="M2303" t="s">
        <v>1627</v>
      </c>
      <c r="N2303">
        <v>16.329999999999998</v>
      </c>
      <c r="O2303" s="49">
        <v>45214</v>
      </c>
      <c r="P2303" s="50">
        <v>97.461000000000013</v>
      </c>
    </row>
    <row r="2304" spans="4:16" x14ac:dyDescent="0.2">
      <c r="D2304">
        <v>100001394</v>
      </c>
      <c r="E2304" s="49">
        <v>45182</v>
      </c>
      <c r="F2304" t="s">
        <v>3227</v>
      </c>
      <c r="G2304" t="s">
        <v>2692</v>
      </c>
      <c r="H2304">
        <v>1</v>
      </c>
      <c r="I2304">
        <v>62.61</v>
      </c>
      <c r="J2304" s="50">
        <v>62.61</v>
      </c>
      <c r="K2304" t="s">
        <v>1618</v>
      </c>
      <c r="M2304" t="s">
        <v>1621</v>
      </c>
      <c r="N2304">
        <v>33.04</v>
      </c>
      <c r="O2304" s="49">
        <v>45186</v>
      </c>
      <c r="P2304" s="50">
        <v>28.174500000000002</v>
      </c>
    </row>
    <row r="2305" spans="4:16" x14ac:dyDescent="0.2">
      <c r="D2305">
        <v>100001395</v>
      </c>
      <c r="E2305" s="49">
        <v>45480</v>
      </c>
      <c r="F2305" t="s">
        <v>3228</v>
      </c>
      <c r="G2305" t="s">
        <v>1665</v>
      </c>
      <c r="H2305">
        <v>5</v>
      </c>
      <c r="I2305">
        <v>118.19</v>
      </c>
      <c r="J2305" s="50">
        <v>590.95000000000005</v>
      </c>
      <c r="K2305" t="s">
        <v>1618</v>
      </c>
      <c r="M2305" t="s">
        <v>1621</v>
      </c>
      <c r="N2305">
        <v>62.38</v>
      </c>
      <c r="O2305" s="49">
        <v>45483</v>
      </c>
      <c r="P2305" s="50">
        <v>265.92750000000001</v>
      </c>
    </row>
    <row r="2306" spans="4:16" x14ac:dyDescent="0.2">
      <c r="D2306">
        <v>100001396</v>
      </c>
      <c r="E2306" s="49">
        <v>44652</v>
      </c>
      <c r="F2306" t="s">
        <v>3229</v>
      </c>
      <c r="G2306" t="s">
        <v>1642</v>
      </c>
      <c r="H2306">
        <v>1</v>
      </c>
      <c r="I2306">
        <v>117.43</v>
      </c>
      <c r="J2306" s="50">
        <v>117.43</v>
      </c>
      <c r="K2306" t="s">
        <v>1618</v>
      </c>
      <c r="M2306" t="s">
        <v>1624</v>
      </c>
      <c r="N2306">
        <v>61.98</v>
      </c>
      <c r="O2306" s="49">
        <v>44656</v>
      </c>
      <c r="P2306" s="50">
        <v>52.843500000000006</v>
      </c>
    </row>
    <row r="2307" spans="4:16" x14ac:dyDescent="0.2">
      <c r="D2307">
        <v>100001397</v>
      </c>
      <c r="E2307" s="49">
        <v>44523</v>
      </c>
      <c r="F2307" t="s">
        <v>3230</v>
      </c>
      <c r="G2307" t="s">
        <v>2261</v>
      </c>
      <c r="H2307">
        <v>4</v>
      </c>
      <c r="I2307">
        <v>22.01</v>
      </c>
      <c r="J2307" s="50">
        <v>88.04</v>
      </c>
      <c r="K2307" t="s">
        <v>1632</v>
      </c>
      <c r="L2307" t="s">
        <v>3231</v>
      </c>
      <c r="M2307" t="s">
        <v>1619</v>
      </c>
      <c r="N2307">
        <v>11.62</v>
      </c>
      <c r="O2307" s="49">
        <v>44527</v>
      </c>
      <c r="P2307" s="50">
        <v>39.618000000000002</v>
      </c>
    </row>
    <row r="2308" spans="4:16" x14ac:dyDescent="0.2">
      <c r="D2308">
        <v>100001399</v>
      </c>
      <c r="E2308" s="49">
        <v>45492</v>
      </c>
      <c r="F2308" t="s">
        <v>3232</v>
      </c>
      <c r="G2308" t="s">
        <v>1665</v>
      </c>
      <c r="H2308">
        <v>5</v>
      </c>
      <c r="I2308">
        <v>91.93</v>
      </c>
      <c r="J2308" s="50">
        <v>459.65</v>
      </c>
      <c r="K2308" t="s">
        <v>1632</v>
      </c>
      <c r="M2308" t="s">
        <v>1619</v>
      </c>
      <c r="N2308">
        <v>48.52</v>
      </c>
      <c r="O2308" s="49">
        <v>45494</v>
      </c>
      <c r="P2308" s="50">
        <v>206.8425</v>
      </c>
    </row>
    <row r="2309" spans="4:16" x14ac:dyDescent="0.2">
      <c r="D2309">
        <v>100001399</v>
      </c>
      <c r="E2309" s="49">
        <v>44774</v>
      </c>
      <c r="F2309" t="s">
        <v>3232</v>
      </c>
      <c r="G2309" t="s">
        <v>1924</v>
      </c>
      <c r="H2309">
        <v>9</v>
      </c>
      <c r="I2309">
        <v>26.08</v>
      </c>
      <c r="J2309" s="50">
        <v>234.72</v>
      </c>
      <c r="K2309" t="s">
        <v>1632</v>
      </c>
      <c r="M2309" t="s">
        <v>1619</v>
      </c>
      <c r="N2309">
        <v>13.76</v>
      </c>
      <c r="O2309" s="49">
        <v>44777</v>
      </c>
      <c r="P2309" s="50">
        <v>105.624</v>
      </c>
    </row>
    <row r="2310" spans="4:16" x14ac:dyDescent="0.2">
      <c r="D2310">
        <v>100001399</v>
      </c>
      <c r="E2310" s="49">
        <v>44385</v>
      </c>
      <c r="F2310" t="s">
        <v>3232</v>
      </c>
      <c r="G2310" t="s">
        <v>2553</v>
      </c>
      <c r="H2310">
        <v>2</v>
      </c>
      <c r="I2310">
        <v>59.32</v>
      </c>
      <c r="J2310" s="50">
        <v>118.64</v>
      </c>
      <c r="K2310" t="s">
        <v>1632</v>
      </c>
      <c r="M2310" t="s">
        <v>1621</v>
      </c>
      <c r="N2310">
        <v>31.31</v>
      </c>
      <c r="O2310" s="49">
        <v>44387</v>
      </c>
      <c r="P2310" s="50">
        <v>53.387999999999998</v>
      </c>
    </row>
    <row r="2311" spans="4:16" x14ac:dyDescent="0.2">
      <c r="D2311">
        <v>100001399</v>
      </c>
      <c r="E2311" s="49">
        <v>44485</v>
      </c>
      <c r="F2311" t="s">
        <v>3232</v>
      </c>
      <c r="G2311" t="s">
        <v>1721</v>
      </c>
      <c r="H2311">
        <v>6</v>
      </c>
      <c r="I2311">
        <v>62.9</v>
      </c>
      <c r="J2311" s="50">
        <v>377.4</v>
      </c>
      <c r="K2311" t="s">
        <v>1632</v>
      </c>
      <c r="M2311" t="s">
        <v>1629</v>
      </c>
      <c r="N2311">
        <v>33.200000000000003</v>
      </c>
      <c r="O2311" s="49">
        <v>44490</v>
      </c>
      <c r="P2311" s="50">
        <v>169.82999999999998</v>
      </c>
    </row>
    <row r="2312" spans="4:16" x14ac:dyDescent="0.2">
      <c r="D2312">
        <v>100001401</v>
      </c>
      <c r="E2312" s="49">
        <v>45032</v>
      </c>
      <c r="F2312" t="s">
        <v>3233</v>
      </c>
      <c r="G2312" t="s">
        <v>1765</v>
      </c>
      <c r="H2312">
        <v>10</v>
      </c>
      <c r="I2312">
        <v>34.200000000000003</v>
      </c>
      <c r="J2312" s="50">
        <v>342</v>
      </c>
      <c r="K2312" t="s">
        <v>1618</v>
      </c>
      <c r="L2312" t="s">
        <v>3234</v>
      </c>
      <c r="M2312" t="s">
        <v>1621</v>
      </c>
      <c r="N2312">
        <v>18.05</v>
      </c>
      <c r="O2312" s="49">
        <v>45035</v>
      </c>
      <c r="P2312" s="50">
        <v>153.9</v>
      </c>
    </row>
    <row r="2313" spans="4:16" x14ac:dyDescent="0.2">
      <c r="D2313">
        <v>100001402</v>
      </c>
      <c r="E2313" s="49">
        <v>44866</v>
      </c>
      <c r="F2313" t="s">
        <v>3235</v>
      </c>
      <c r="G2313" t="s">
        <v>2733</v>
      </c>
      <c r="H2313">
        <v>6</v>
      </c>
      <c r="I2313">
        <v>21.09</v>
      </c>
      <c r="J2313" s="50">
        <v>126.54</v>
      </c>
      <c r="K2313" t="s">
        <v>1618</v>
      </c>
      <c r="M2313" t="s">
        <v>1627</v>
      </c>
      <c r="N2313">
        <v>11.13</v>
      </c>
      <c r="O2313" s="49">
        <v>44868</v>
      </c>
      <c r="P2313" s="50">
        <v>56.943000000000005</v>
      </c>
    </row>
    <row r="2314" spans="4:16" x14ac:dyDescent="0.2">
      <c r="D2314">
        <v>100001402</v>
      </c>
      <c r="E2314" s="49">
        <v>45648</v>
      </c>
      <c r="F2314" t="s">
        <v>3235</v>
      </c>
      <c r="G2314" t="s">
        <v>1770</v>
      </c>
      <c r="H2314">
        <v>5</v>
      </c>
      <c r="I2314">
        <v>114.97</v>
      </c>
      <c r="J2314" s="50">
        <v>574.85</v>
      </c>
      <c r="K2314" t="s">
        <v>1618</v>
      </c>
      <c r="M2314" t="s">
        <v>1619</v>
      </c>
      <c r="N2314">
        <v>60.68</v>
      </c>
      <c r="O2314" s="49">
        <v>45650</v>
      </c>
      <c r="P2314" s="50">
        <v>258.6825</v>
      </c>
    </row>
    <row r="2315" spans="4:16" x14ac:dyDescent="0.2">
      <c r="D2315">
        <v>100001402</v>
      </c>
      <c r="E2315" s="49">
        <v>44831</v>
      </c>
      <c r="F2315" t="s">
        <v>3235</v>
      </c>
      <c r="G2315" t="s">
        <v>2191</v>
      </c>
      <c r="H2315">
        <v>6</v>
      </c>
      <c r="I2315">
        <v>62.05</v>
      </c>
      <c r="J2315" s="50">
        <v>372.3</v>
      </c>
      <c r="K2315" t="s">
        <v>1618</v>
      </c>
      <c r="M2315" t="s">
        <v>1627</v>
      </c>
      <c r="N2315">
        <v>32.75</v>
      </c>
      <c r="O2315" s="49">
        <v>44833</v>
      </c>
      <c r="P2315" s="50">
        <v>167.535</v>
      </c>
    </row>
    <row r="2316" spans="4:16" x14ac:dyDescent="0.2">
      <c r="D2316">
        <v>100001402</v>
      </c>
      <c r="E2316" s="49">
        <v>45371</v>
      </c>
      <c r="F2316" t="s">
        <v>3235</v>
      </c>
      <c r="G2316" t="s">
        <v>2484</v>
      </c>
      <c r="H2316">
        <v>9</v>
      </c>
      <c r="I2316">
        <v>12.34</v>
      </c>
      <c r="J2316" s="50">
        <v>111.06</v>
      </c>
      <c r="K2316" t="s">
        <v>1618</v>
      </c>
      <c r="M2316" t="s">
        <v>1629</v>
      </c>
      <c r="N2316">
        <v>6.51</v>
      </c>
      <c r="O2316" s="49">
        <v>45375</v>
      </c>
      <c r="P2316" s="50">
        <v>49.977000000000004</v>
      </c>
    </row>
    <row r="2317" spans="4:16" x14ac:dyDescent="0.2">
      <c r="D2317">
        <v>100001403</v>
      </c>
      <c r="E2317" s="49">
        <v>44321</v>
      </c>
      <c r="F2317" t="s">
        <v>3236</v>
      </c>
      <c r="G2317" t="s">
        <v>2024</v>
      </c>
      <c r="H2317">
        <v>10</v>
      </c>
      <c r="I2317">
        <v>99.44</v>
      </c>
      <c r="J2317" s="50">
        <v>994.4</v>
      </c>
      <c r="K2317" t="s">
        <v>1632</v>
      </c>
      <c r="M2317" t="s">
        <v>1624</v>
      </c>
      <c r="N2317">
        <v>52.48</v>
      </c>
      <c r="O2317" s="49">
        <v>44325</v>
      </c>
      <c r="P2317" s="50">
        <v>447.48</v>
      </c>
    </row>
    <row r="2318" spans="4:16" x14ac:dyDescent="0.2">
      <c r="D2318">
        <v>100001404</v>
      </c>
      <c r="E2318" s="49">
        <v>45258</v>
      </c>
      <c r="F2318" t="s">
        <v>3237</v>
      </c>
      <c r="G2318" t="s">
        <v>2633</v>
      </c>
      <c r="H2318">
        <v>5</v>
      </c>
      <c r="I2318">
        <v>57.07</v>
      </c>
      <c r="J2318" s="50">
        <v>285.35000000000002</v>
      </c>
      <c r="K2318" t="s">
        <v>1618</v>
      </c>
      <c r="M2318" t="s">
        <v>1624</v>
      </c>
      <c r="N2318">
        <v>30.12</v>
      </c>
      <c r="O2318" s="49">
        <v>45260</v>
      </c>
      <c r="P2318" s="50">
        <v>128.40750000000003</v>
      </c>
    </row>
    <row r="2319" spans="4:16" x14ac:dyDescent="0.2">
      <c r="D2319">
        <v>100001404</v>
      </c>
      <c r="E2319" s="49">
        <v>44840</v>
      </c>
      <c r="F2319" t="s">
        <v>3237</v>
      </c>
      <c r="G2319" t="s">
        <v>2028</v>
      </c>
      <c r="H2319">
        <v>6</v>
      </c>
      <c r="I2319">
        <v>58.09</v>
      </c>
      <c r="J2319" s="50">
        <v>348.54</v>
      </c>
      <c r="K2319" t="s">
        <v>1618</v>
      </c>
      <c r="M2319" t="s">
        <v>1624</v>
      </c>
      <c r="N2319">
        <v>30.66</v>
      </c>
      <c r="O2319" s="49">
        <v>44844</v>
      </c>
      <c r="P2319" s="50">
        <v>156.84300000000002</v>
      </c>
    </row>
    <row r="2320" spans="4:16" x14ac:dyDescent="0.2">
      <c r="D2320">
        <v>100001405</v>
      </c>
      <c r="E2320" s="49">
        <v>44433</v>
      </c>
      <c r="F2320" t="s">
        <v>3238</v>
      </c>
      <c r="G2320" t="s">
        <v>2427</v>
      </c>
      <c r="H2320">
        <v>7</v>
      </c>
      <c r="I2320">
        <v>36.54</v>
      </c>
      <c r="J2320" s="50">
        <v>255.78</v>
      </c>
      <c r="K2320" t="s">
        <v>1618</v>
      </c>
      <c r="M2320" t="s">
        <v>1621</v>
      </c>
      <c r="N2320">
        <v>19.28</v>
      </c>
      <c r="O2320" s="49">
        <v>44438</v>
      </c>
      <c r="P2320" s="50">
        <v>115.101</v>
      </c>
    </row>
    <row r="2321" spans="4:16" x14ac:dyDescent="0.2">
      <c r="D2321">
        <v>100001406</v>
      </c>
      <c r="E2321" s="49">
        <v>44554</v>
      </c>
      <c r="F2321" t="s">
        <v>3239</v>
      </c>
      <c r="G2321" t="s">
        <v>2041</v>
      </c>
      <c r="H2321">
        <v>2</v>
      </c>
      <c r="I2321">
        <v>51.07</v>
      </c>
      <c r="J2321" s="50">
        <v>102.14</v>
      </c>
      <c r="K2321" t="s">
        <v>1632</v>
      </c>
      <c r="M2321" t="s">
        <v>1621</v>
      </c>
      <c r="N2321">
        <v>26.95</v>
      </c>
      <c r="O2321" s="49">
        <v>44555</v>
      </c>
      <c r="P2321" s="50">
        <v>45.963000000000001</v>
      </c>
    </row>
    <row r="2322" spans="4:16" x14ac:dyDescent="0.2">
      <c r="D2322">
        <v>100001406</v>
      </c>
      <c r="E2322" s="49">
        <v>45368</v>
      </c>
      <c r="F2322" t="s">
        <v>3239</v>
      </c>
      <c r="G2322" t="s">
        <v>1924</v>
      </c>
      <c r="H2322">
        <v>5</v>
      </c>
      <c r="I2322">
        <v>96.52</v>
      </c>
      <c r="J2322" s="50">
        <v>482.6</v>
      </c>
      <c r="K2322" t="s">
        <v>1632</v>
      </c>
      <c r="M2322" t="s">
        <v>1627</v>
      </c>
      <c r="N2322">
        <v>50.94</v>
      </c>
      <c r="O2322" s="49">
        <v>45370</v>
      </c>
      <c r="P2322" s="50">
        <v>217.17000000000002</v>
      </c>
    </row>
    <row r="2323" spans="4:16" x14ac:dyDescent="0.2">
      <c r="D2323">
        <v>100001406</v>
      </c>
      <c r="E2323" s="49">
        <v>45523</v>
      </c>
      <c r="F2323" t="s">
        <v>3239</v>
      </c>
      <c r="G2323" t="s">
        <v>1737</v>
      </c>
      <c r="H2323">
        <v>3</v>
      </c>
      <c r="I2323">
        <v>86.62</v>
      </c>
      <c r="J2323" s="50">
        <v>259.86</v>
      </c>
      <c r="K2323" t="s">
        <v>1632</v>
      </c>
      <c r="M2323" t="s">
        <v>1621</v>
      </c>
      <c r="N2323">
        <v>45.72</v>
      </c>
      <c r="O2323" s="49">
        <v>45527</v>
      </c>
      <c r="P2323" s="50">
        <v>116.93700000000001</v>
      </c>
    </row>
    <row r="2324" spans="4:16" x14ac:dyDescent="0.2">
      <c r="D2324">
        <v>100001406</v>
      </c>
      <c r="E2324" s="49">
        <v>44344</v>
      </c>
      <c r="F2324" t="s">
        <v>3239</v>
      </c>
      <c r="G2324" t="s">
        <v>1901</v>
      </c>
      <c r="H2324">
        <v>2</v>
      </c>
      <c r="I2324">
        <v>95.48</v>
      </c>
      <c r="J2324" s="50">
        <v>190.96</v>
      </c>
      <c r="K2324" t="s">
        <v>1632</v>
      </c>
      <c r="M2324" t="s">
        <v>1627</v>
      </c>
      <c r="N2324">
        <v>50.39</v>
      </c>
      <c r="O2324" s="49">
        <v>44346</v>
      </c>
      <c r="P2324" s="50">
        <v>85.932000000000002</v>
      </c>
    </row>
    <row r="2325" spans="4:16" x14ac:dyDescent="0.2">
      <c r="D2325">
        <v>100001407</v>
      </c>
      <c r="E2325" s="49">
        <v>45070</v>
      </c>
      <c r="F2325" t="s">
        <v>3240</v>
      </c>
      <c r="G2325" t="s">
        <v>2180</v>
      </c>
      <c r="H2325">
        <v>5</v>
      </c>
      <c r="I2325">
        <v>92.84</v>
      </c>
      <c r="J2325" s="50">
        <v>464.2</v>
      </c>
      <c r="K2325" t="s">
        <v>1632</v>
      </c>
      <c r="L2325" t="s">
        <v>3241</v>
      </c>
      <c r="M2325" t="s">
        <v>1629</v>
      </c>
      <c r="N2325">
        <v>49</v>
      </c>
      <c r="O2325" s="49">
        <v>45073</v>
      </c>
      <c r="P2325" s="50">
        <v>208.89</v>
      </c>
    </row>
    <row r="2326" spans="4:16" x14ac:dyDescent="0.2">
      <c r="D2326">
        <v>100001407</v>
      </c>
      <c r="E2326" s="49">
        <v>44420</v>
      </c>
      <c r="F2326" t="s">
        <v>3240</v>
      </c>
      <c r="G2326" t="s">
        <v>1897</v>
      </c>
      <c r="H2326">
        <v>7</v>
      </c>
      <c r="I2326">
        <v>50.06</v>
      </c>
      <c r="J2326" s="50">
        <v>350.42</v>
      </c>
      <c r="K2326" t="s">
        <v>1632</v>
      </c>
      <c r="L2326" t="s">
        <v>3241</v>
      </c>
      <c r="M2326" t="s">
        <v>1621</v>
      </c>
      <c r="N2326">
        <v>26.42</v>
      </c>
      <c r="O2326" s="49">
        <v>44422</v>
      </c>
      <c r="P2326" s="50">
        <v>157.68900000000002</v>
      </c>
    </row>
    <row r="2327" spans="4:16" x14ac:dyDescent="0.2">
      <c r="D2327">
        <v>100001407</v>
      </c>
      <c r="E2327" s="49">
        <v>45126</v>
      </c>
      <c r="F2327" t="s">
        <v>3240</v>
      </c>
      <c r="G2327" t="s">
        <v>2079</v>
      </c>
      <c r="H2327">
        <v>9</v>
      </c>
      <c r="I2327">
        <v>24.51</v>
      </c>
      <c r="J2327" s="50">
        <v>220.59</v>
      </c>
      <c r="K2327" t="s">
        <v>1632</v>
      </c>
      <c r="L2327" t="s">
        <v>3241</v>
      </c>
      <c r="M2327" t="s">
        <v>1629</v>
      </c>
      <c r="N2327">
        <v>12.94</v>
      </c>
      <c r="O2327" s="49">
        <v>45129</v>
      </c>
      <c r="P2327" s="50">
        <v>99.265500000000003</v>
      </c>
    </row>
    <row r="2328" spans="4:16" x14ac:dyDescent="0.2">
      <c r="D2328">
        <v>100001407</v>
      </c>
      <c r="E2328" s="49">
        <v>45277</v>
      </c>
      <c r="F2328" t="s">
        <v>3240</v>
      </c>
      <c r="G2328" t="s">
        <v>1688</v>
      </c>
      <c r="H2328">
        <v>10</v>
      </c>
      <c r="I2328">
        <v>59.81</v>
      </c>
      <c r="J2328" s="50">
        <v>598.1</v>
      </c>
      <c r="K2328" t="s">
        <v>1632</v>
      </c>
      <c r="L2328" t="s">
        <v>3241</v>
      </c>
      <c r="M2328" t="s">
        <v>1619</v>
      </c>
      <c r="N2328">
        <v>31.57</v>
      </c>
      <c r="O2328" s="49">
        <v>45280</v>
      </c>
      <c r="P2328" s="50">
        <v>269.14500000000004</v>
      </c>
    </row>
    <row r="2329" spans="4:16" x14ac:dyDescent="0.2">
      <c r="D2329">
        <v>100001408</v>
      </c>
      <c r="E2329" s="49">
        <v>44282</v>
      </c>
      <c r="F2329" t="s">
        <v>3242</v>
      </c>
      <c r="G2329" t="s">
        <v>1736</v>
      </c>
      <c r="H2329">
        <v>8</v>
      </c>
      <c r="I2329">
        <v>62.42</v>
      </c>
      <c r="J2329" s="50">
        <v>499.36</v>
      </c>
      <c r="K2329" t="s">
        <v>1618</v>
      </c>
      <c r="M2329" t="s">
        <v>1619</v>
      </c>
      <c r="N2329">
        <v>32.94</v>
      </c>
      <c r="O2329" s="49">
        <v>44286</v>
      </c>
      <c r="P2329" s="50">
        <v>224.71200000000002</v>
      </c>
    </row>
    <row r="2330" spans="4:16" x14ac:dyDescent="0.2">
      <c r="D2330">
        <v>100001408</v>
      </c>
      <c r="E2330" s="49">
        <v>44286</v>
      </c>
      <c r="F2330" t="s">
        <v>3242</v>
      </c>
      <c r="G2330" t="s">
        <v>1819</v>
      </c>
      <c r="H2330">
        <v>5</v>
      </c>
      <c r="I2330">
        <v>61.44</v>
      </c>
      <c r="J2330" s="50">
        <v>307.2</v>
      </c>
      <c r="K2330" t="s">
        <v>1618</v>
      </c>
      <c r="M2330" t="s">
        <v>1619</v>
      </c>
      <c r="N2330">
        <v>32.43</v>
      </c>
      <c r="O2330" s="49">
        <v>44287</v>
      </c>
      <c r="P2330" s="50">
        <v>138.24</v>
      </c>
    </row>
    <row r="2331" spans="4:16" x14ac:dyDescent="0.2">
      <c r="D2331">
        <v>100001410</v>
      </c>
      <c r="E2331" s="49">
        <v>44646</v>
      </c>
      <c r="F2331" t="s">
        <v>3001</v>
      </c>
      <c r="G2331" t="s">
        <v>1844</v>
      </c>
      <c r="H2331">
        <v>6</v>
      </c>
      <c r="I2331">
        <v>104.5</v>
      </c>
      <c r="J2331" s="50">
        <v>627</v>
      </c>
      <c r="K2331" t="s">
        <v>1618</v>
      </c>
      <c r="L2331" t="s">
        <v>3243</v>
      </c>
      <c r="M2331" t="s">
        <v>1619</v>
      </c>
      <c r="N2331">
        <v>55.15</v>
      </c>
      <c r="O2331" s="49">
        <v>44650</v>
      </c>
      <c r="P2331" s="50">
        <v>282.15000000000003</v>
      </c>
    </row>
    <row r="2332" spans="4:16" x14ac:dyDescent="0.2">
      <c r="D2332">
        <v>100001413</v>
      </c>
      <c r="E2332" s="49">
        <v>45356</v>
      </c>
      <c r="F2332" t="s">
        <v>3244</v>
      </c>
      <c r="G2332" t="s">
        <v>1971</v>
      </c>
      <c r="H2332">
        <v>6</v>
      </c>
      <c r="I2332">
        <v>57.2</v>
      </c>
      <c r="J2332" s="50">
        <v>343.2</v>
      </c>
      <c r="K2332" t="s">
        <v>1618</v>
      </c>
      <c r="M2332" t="s">
        <v>1621</v>
      </c>
      <c r="N2332">
        <v>30.19</v>
      </c>
      <c r="O2332" s="49">
        <v>45357</v>
      </c>
      <c r="P2332" s="50">
        <v>154.44</v>
      </c>
    </row>
    <row r="2333" spans="4:16" x14ac:dyDescent="0.2">
      <c r="D2333">
        <v>100001414</v>
      </c>
      <c r="E2333" s="49">
        <v>44930</v>
      </c>
      <c r="F2333" t="s">
        <v>3245</v>
      </c>
      <c r="G2333" t="s">
        <v>1647</v>
      </c>
      <c r="H2333">
        <v>5</v>
      </c>
      <c r="I2333">
        <v>79.06</v>
      </c>
      <c r="J2333" s="50">
        <v>395.3</v>
      </c>
      <c r="K2333" t="s">
        <v>1618</v>
      </c>
      <c r="M2333" t="s">
        <v>1627</v>
      </c>
      <c r="N2333">
        <v>41.73</v>
      </c>
      <c r="O2333" s="49">
        <v>44935</v>
      </c>
      <c r="P2333" s="50">
        <v>177.88500000000002</v>
      </c>
    </row>
    <row r="2334" spans="4:16" x14ac:dyDescent="0.2">
      <c r="D2334">
        <v>100001415</v>
      </c>
      <c r="E2334" s="49">
        <v>45478</v>
      </c>
      <c r="F2334" t="s">
        <v>3246</v>
      </c>
      <c r="G2334" t="s">
        <v>1922</v>
      </c>
      <c r="H2334">
        <v>10</v>
      </c>
      <c r="I2334">
        <v>95.09</v>
      </c>
      <c r="J2334" s="50">
        <v>950.90000000000009</v>
      </c>
      <c r="K2334" t="s">
        <v>1632</v>
      </c>
      <c r="M2334" t="s">
        <v>1619</v>
      </c>
      <c r="N2334">
        <v>50.19</v>
      </c>
      <c r="O2334" s="49">
        <v>45479</v>
      </c>
      <c r="P2334" s="50">
        <v>427.90500000000003</v>
      </c>
    </row>
    <row r="2335" spans="4:16" x14ac:dyDescent="0.2">
      <c r="D2335">
        <v>100001416</v>
      </c>
      <c r="E2335" s="49">
        <v>45440</v>
      </c>
      <c r="F2335" t="s">
        <v>3247</v>
      </c>
      <c r="G2335" t="s">
        <v>1844</v>
      </c>
      <c r="H2335">
        <v>8</v>
      </c>
      <c r="I2335">
        <v>100.54</v>
      </c>
      <c r="J2335" s="50">
        <v>804.32</v>
      </c>
      <c r="K2335" t="s">
        <v>1618</v>
      </c>
      <c r="M2335" t="s">
        <v>1629</v>
      </c>
      <c r="N2335">
        <v>53.06</v>
      </c>
      <c r="O2335" s="49">
        <v>45441</v>
      </c>
      <c r="P2335" s="50">
        <v>361.94400000000002</v>
      </c>
    </row>
    <row r="2336" spans="4:16" x14ac:dyDescent="0.2">
      <c r="D2336">
        <v>100001416</v>
      </c>
      <c r="E2336" s="49">
        <v>45165</v>
      </c>
      <c r="F2336" t="s">
        <v>3247</v>
      </c>
      <c r="G2336" t="s">
        <v>1695</v>
      </c>
      <c r="H2336">
        <v>1</v>
      </c>
      <c r="I2336">
        <v>85.29</v>
      </c>
      <c r="J2336" s="50">
        <v>85.29</v>
      </c>
      <c r="K2336" t="s">
        <v>1618</v>
      </c>
      <c r="M2336" t="s">
        <v>1619</v>
      </c>
      <c r="N2336">
        <v>45.01</v>
      </c>
      <c r="O2336" s="49">
        <v>45168</v>
      </c>
      <c r="P2336" s="50">
        <v>38.380500000000005</v>
      </c>
    </row>
    <row r="2337" spans="4:16" x14ac:dyDescent="0.2">
      <c r="D2337">
        <v>100001416</v>
      </c>
      <c r="E2337" s="49">
        <v>45491</v>
      </c>
      <c r="F2337" t="s">
        <v>3247</v>
      </c>
      <c r="G2337" t="s">
        <v>2217</v>
      </c>
      <c r="H2337">
        <v>2</v>
      </c>
      <c r="I2337">
        <v>19.36</v>
      </c>
      <c r="J2337" s="50">
        <v>38.72</v>
      </c>
      <c r="K2337" t="s">
        <v>1618</v>
      </c>
      <c r="M2337" t="s">
        <v>1621</v>
      </c>
      <c r="N2337">
        <v>10.220000000000001</v>
      </c>
      <c r="O2337" s="49">
        <v>45493</v>
      </c>
      <c r="P2337" s="50">
        <v>17.423999999999999</v>
      </c>
    </row>
    <row r="2338" spans="4:16" x14ac:dyDescent="0.2">
      <c r="D2338">
        <v>100001417</v>
      </c>
      <c r="E2338" s="49">
        <v>44957</v>
      </c>
      <c r="F2338" t="s">
        <v>3248</v>
      </c>
      <c r="G2338" t="s">
        <v>2136</v>
      </c>
      <c r="H2338">
        <v>3</v>
      </c>
      <c r="I2338">
        <v>29.5</v>
      </c>
      <c r="J2338" s="50">
        <v>88.5</v>
      </c>
      <c r="K2338" t="s">
        <v>1618</v>
      </c>
      <c r="M2338" t="s">
        <v>1624</v>
      </c>
      <c r="N2338">
        <v>15.57</v>
      </c>
      <c r="O2338" s="49">
        <v>44961</v>
      </c>
      <c r="P2338" s="50">
        <v>39.825000000000003</v>
      </c>
    </row>
    <row r="2339" spans="4:16" x14ac:dyDescent="0.2">
      <c r="D2339">
        <v>100001417</v>
      </c>
      <c r="E2339" s="49">
        <v>45500</v>
      </c>
      <c r="F2339" t="s">
        <v>3248</v>
      </c>
      <c r="G2339" t="s">
        <v>2427</v>
      </c>
      <c r="H2339">
        <v>9</v>
      </c>
      <c r="I2339">
        <v>113.42</v>
      </c>
      <c r="J2339" s="50">
        <v>1020.78</v>
      </c>
      <c r="K2339" t="s">
        <v>1618</v>
      </c>
      <c r="M2339" t="s">
        <v>1629</v>
      </c>
      <c r="N2339">
        <v>59.86</v>
      </c>
      <c r="O2339" s="49">
        <v>45504</v>
      </c>
      <c r="P2339" s="50">
        <v>459.351</v>
      </c>
    </row>
    <row r="2340" spans="4:16" x14ac:dyDescent="0.2">
      <c r="D2340">
        <v>100001417</v>
      </c>
      <c r="E2340" s="49">
        <v>45285</v>
      </c>
      <c r="F2340" t="s">
        <v>3248</v>
      </c>
      <c r="G2340" t="s">
        <v>1737</v>
      </c>
      <c r="H2340">
        <v>6</v>
      </c>
      <c r="I2340">
        <v>21.88</v>
      </c>
      <c r="J2340" s="50">
        <v>131.28</v>
      </c>
      <c r="K2340" t="s">
        <v>1618</v>
      </c>
      <c r="M2340" t="s">
        <v>1629</v>
      </c>
      <c r="N2340">
        <v>11.55</v>
      </c>
      <c r="O2340" s="49">
        <v>45290</v>
      </c>
      <c r="P2340" s="50">
        <v>59.076000000000001</v>
      </c>
    </row>
    <row r="2341" spans="4:16" x14ac:dyDescent="0.2">
      <c r="D2341">
        <v>100001418</v>
      </c>
      <c r="E2341" s="49">
        <v>45622</v>
      </c>
      <c r="F2341" t="s">
        <v>3249</v>
      </c>
      <c r="G2341" t="s">
        <v>1768</v>
      </c>
      <c r="H2341">
        <v>4</v>
      </c>
      <c r="I2341">
        <v>64.09</v>
      </c>
      <c r="J2341" s="50">
        <v>256.36</v>
      </c>
      <c r="K2341" t="s">
        <v>1618</v>
      </c>
      <c r="M2341" t="s">
        <v>1624</v>
      </c>
      <c r="N2341">
        <v>33.83</v>
      </c>
      <c r="O2341" s="49">
        <v>45624</v>
      </c>
      <c r="P2341" s="50">
        <v>115.36200000000001</v>
      </c>
    </row>
    <row r="2342" spans="4:16" x14ac:dyDescent="0.2">
      <c r="D2342">
        <v>100001418</v>
      </c>
      <c r="E2342" s="49">
        <v>44374</v>
      </c>
      <c r="F2342" t="s">
        <v>3249</v>
      </c>
      <c r="G2342" t="s">
        <v>1688</v>
      </c>
      <c r="H2342">
        <v>1</v>
      </c>
      <c r="I2342">
        <v>111.82</v>
      </c>
      <c r="J2342" s="50">
        <v>111.82</v>
      </c>
      <c r="K2342" t="s">
        <v>1618</v>
      </c>
      <c r="M2342" t="s">
        <v>1627</v>
      </c>
      <c r="N2342">
        <v>59.02</v>
      </c>
      <c r="O2342" s="49">
        <v>44379</v>
      </c>
      <c r="P2342" s="50">
        <v>50.318999999999996</v>
      </c>
    </row>
    <row r="2343" spans="4:16" x14ac:dyDescent="0.2">
      <c r="D2343">
        <v>100001419</v>
      </c>
      <c r="E2343" s="49">
        <v>45055</v>
      </c>
      <c r="F2343" t="s">
        <v>3250</v>
      </c>
      <c r="G2343" t="s">
        <v>1958</v>
      </c>
      <c r="H2343">
        <v>4</v>
      </c>
      <c r="I2343">
        <v>32.19</v>
      </c>
      <c r="J2343" s="50">
        <v>128.76</v>
      </c>
      <c r="K2343" t="s">
        <v>1618</v>
      </c>
      <c r="M2343" t="s">
        <v>1627</v>
      </c>
      <c r="N2343">
        <v>16.989999999999998</v>
      </c>
      <c r="O2343" s="49">
        <v>45057</v>
      </c>
      <c r="P2343" s="50">
        <v>57.942</v>
      </c>
    </row>
    <row r="2344" spans="4:16" x14ac:dyDescent="0.2">
      <c r="D2344">
        <v>100001420</v>
      </c>
      <c r="E2344" s="49">
        <v>45273</v>
      </c>
      <c r="F2344" t="s">
        <v>3251</v>
      </c>
      <c r="G2344" t="s">
        <v>2005</v>
      </c>
      <c r="H2344">
        <v>2</v>
      </c>
      <c r="I2344">
        <v>22.07</v>
      </c>
      <c r="J2344" s="50">
        <v>44.14</v>
      </c>
      <c r="K2344" t="s">
        <v>1618</v>
      </c>
      <c r="M2344" t="s">
        <v>1627</v>
      </c>
      <c r="N2344">
        <v>11.65</v>
      </c>
      <c r="O2344" s="49">
        <v>45275</v>
      </c>
      <c r="P2344" s="50">
        <v>19.863</v>
      </c>
    </row>
    <row r="2345" spans="4:16" x14ac:dyDescent="0.2">
      <c r="D2345">
        <v>100001420</v>
      </c>
      <c r="E2345" s="49">
        <v>44339</v>
      </c>
      <c r="F2345" t="s">
        <v>3251</v>
      </c>
      <c r="G2345" t="s">
        <v>1738</v>
      </c>
      <c r="H2345">
        <v>9</v>
      </c>
      <c r="I2345">
        <v>22.91</v>
      </c>
      <c r="J2345" s="50">
        <v>206.19</v>
      </c>
      <c r="K2345" t="s">
        <v>1618</v>
      </c>
      <c r="M2345" t="s">
        <v>1629</v>
      </c>
      <c r="N2345">
        <v>12.09</v>
      </c>
      <c r="O2345" s="49">
        <v>44344</v>
      </c>
      <c r="P2345" s="50">
        <v>92.785499999999999</v>
      </c>
    </row>
    <row r="2346" spans="4:16" x14ac:dyDescent="0.2">
      <c r="D2346">
        <v>100001422</v>
      </c>
      <c r="E2346" s="49">
        <v>45243</v>
      </c>
      <c r="F2346" t="s">
        <v>3252</v>
      </c>
      <c r="G2346" t="s">
        <v>1717</v>
      </c>
      <c r="H2346">
        <v>1</v>
      </c>
      <c r="I2346">
        <v>47.88</v>
      </c>
      <c r="J2346" s="50">
        <v>47.88</v>
      </c>
      <c r="K2346" t="s">
        <v>1618</v>
      </c>
      <c r="M2346" t="s">
        <v>1621</v>
      </c>
      <c r="N2346">
        <v>25.27</v>
      </c>
      <c r="O2346" s="49">
        <v>45244</v>
      </c>
      <c r="P2346" s="50">
        <v>21.546000000000003</v>
      </c>
    </row>
    <row r="2347" spans="4:16" x14ac:dyDescent="0.2">
      <c r="D2347">
        <v>100001422</v>
      </c>
      <c r="E2347" s="49">
        <v>44726</v>
      </c>
      <c r="F2347" t="s">
        <v>3252</v>
      </c>
      <c r="G2347" t="s">
        <v>1653</v>
      </c>
      <c r="H2347">
        <v>1</v>
      </c>
      <c r="I2347">
        <v>116.36</v>
      </c>
      <c r="J2347" s="50">
        <v>116.36</v>
      </c>
      <c r="K2347" t="s">
        <v>1618</v>
      </c>
      <c r="M2347" t="s">
        <v>1624</v>
      </c>
      <c r="N2347">
        <v>61.41</v>
      </c>
      <c r="O2347" s="49">
        <v>44731</v>
      </c>
      <c r="P2347" s="50">
        <v>52.362000000000002</v>
      </c>
    </row>
    <row r="2348" spans="4:16" x14ac:dyDescent="0.2">
      <c r="D2348">
        <v>100001422</v>
      </c>
      <c r="E2348" s="49">
        <v>45573</v>
      </c>
      <c r="F2348" t="s">
        <v>3252</v>
      </c>
      <c r="G2348" t="s">
        <v>1762</v>
      </c>
      <c r="H2348">
        <v>5</v>
      </c>
      <c r="I2348">
        <v>110.76</v>
      </c>
      <c r="J2348" s="50">
        <v>553.80000000000007</v>
      </c>
      <c r="K2348" t="s">
        <v>1618</v>
      </c>
      <c r="M2348" t="s">
        <v>1624</v>
      </c>
      <c r="N2348">
        <v>58.46</v>
      </c>
      <c r="O2348" s="49">
        <v>45576</v>
      </c>
      <c r="P2348" s="50">
        <v>249.21000000000004</v>
      </c>
    </row>
    <row r="2349" spans="4:16" x14ac:dyDescent="0.2">
      <c r="D2349">
        <v>100001422</v>
      </c>
      <c r="E2349" s="49">
        <v>44563</v>
      </c>
      <c r="F2349" t="s">
        <v>3252</v>
      </c>
      <c r="G2349" t="s">
        <v>2581</v>
      </c>
      <c r="H2349">
        <v>3</v>
      </c>
      <c r="I2349">
        <v>77.62</v>
      </c>
      <c r="J2349" s="50">
        <v>232.86</v>
      </c>
      <c r="K2349" t="s">
        <v>1618</v>
      </c>
      <c r="M2349" t="s">
        <v>1624</v>
      </c>
      <c r="N2349">
        <v>40.97</v>
      </c>
      <c r="O2349" s="49">
        <v>44565</v>
      </c>
      <c r="P2349" s="50">
        <v>104.78700000000001</v>
      </c>
    </row>
    <row r="2350" spans="4:16" x14ac:dyDescent="0.2">
      <c r="D2350">
        <v>100001423</v>
      </c>
      <c r="E2350" s="49">
        <v>45556</v>
      </c>
      <c r="F2350" t="s">
        <v>3253</v>
      </c>
      <c r="G2350" t="s">
        <v>1707</v>
      </c>
      <c r="H2350">
        <v>1</v>
      </c>
      <c r="I2350">
        <v>69.95</v>
      </c>
      <c r="J2350" s="50">
        <v>69.95</v>
      </c>
      <c r="K2350" t="s">
        <v>1618</v>
      </c>
      <c r="M2350" t="s">
        <v>1627</v>
      </c>
      <c r="N2350">
        <v>36.92</v>
      </c>
      <c r="O2350" s="49">
        <v>45558</v>
      </c>
      <c r="P2350" s="50">
        <v>31.477500000000003</v>
      </c>
    </row>
    <row r="2351" spans="4:16" x14ac:dyDescent="0.2">
      <c r="D2351">
        <v>100001423</v>
      </c>
      <c r="E2351" s="49">
        <v>44393</v>
      </c>
      <c r="F2351" t="s">
        <v>3253</v>
      </c>
      <c r="G2351" t="s">
        <v>2207</v>
      </c>
      <c r="H2351">
        <v>9</v>
      </c>
      <c r="I2351">
        <v>55.48</v>
      </c>
      <c r="J2351" s="50">
        <v>499.32</v>
      </c>
      <c r="K2351" t="s">
        <v>1618</v>
      </c>
      <c r="M2351" t="s">
        <v>1629</v>
      </c>
      <c r="N2351">
        <v>29.28</v>
      </c>
      <c r="O2351" s="49">
        <v>44394</v>
      </c>
      <c r="P2351" s="50">
        <v>224.69399999999999</v>
      </c>
    </row>
    <row r="2352" spans="4:16" x14ac:dyDescent="0.2">
      <c r="D2352">
        <v>100001423</v>
      </c>
      <c r="E2352" s="49">
        <v>44677</v>
      </c>
      <c r="F2352" t="s">
        <v>3253</v>
      </c>
      <c r="G2352" t="s">
        <v>2658</v>
      </c>
      <c r="H2352">
        <v>1</v>
      </c>
      <c r="I2352">
        <v>31.81</v>
      </c>
      <c r="J2352" s="50">
        <v>31.81</v>
      </c>
      <c r="K2352" t="s">
        <v>1618</v>
      </c>
      <c r="M2352" t="s">
        <v>1629</v>
      </c>
      <c r="N2352">
        <v>16.79</v>
      </c>
      <c r="O2352" s="49">
        <v>44680</v>
      </c>
      <c r="P2352" s="50">
        <v>14.314499999999999</v>
      </c>
    </row>
    <row r="2353" spans="4:16" x14ac:dyDescent="0.2">
      <c r="D2353">
        <v>100001423</v>
      </c>
      <c r="E2353" s="49">
        <v>45344</v>
      </c>
      <c r="F2353" t="s">
        <v>3253</v>
      </c>
      <c r="G2353" t="s">
        <v>2603</v>
      </c>
      <c r="H2353">
        <v>2</v>
      </c>
      <c r="I2353">
        <v>21.92</v>
      </c>
      <c r="J2353" s="50">
        <v>43.84</v>
      </c>
      <c r="K2353" t="s">
        <v>1618</v>
      </c>
      <c r="M2353" t="s">
        <v>1621</v>
      </c>
      <c r="N2353">
        <v>11.57</v>
      </c>
      <c r="O2353" s="49">
        <v>45349</v>
      </c>
      <c r="P2353" s="50">
        <v>19.728000000000002</v>
      </c>
    </row>
    <row r="2354" spans="4:16" x14ac:dyDescent="0.2">
      <c r="D2354">
        <v>100001425</v>
      </c>
      <c r="E2354" s="49">
        <v>45376</v>
      </c>
      <c r="F2354" t="s">
        <v>3254</v>
      </c>
      <c r="G2354" t="s">
        <v>1672</v>
      </c>
      <c r="H2354">
        <v>4</v>
      </c>
      <c r="I2354">
        <v>21.33</v>
      </c>
      <c r="J2354" s="50">
        <v>85.32</v>
      </c>
      <c r="K2354" t="s">
        <v>1618</v>
      </c>
      <c r="M2354" t="s">
        <v>1621</v>
      </c>
      <c r="N2354">
        <v>11.26</v>
      </c>
      <c r="O2354" s="49">
        <v>45380</v>
      </c>
      <c r="P2354" s="50">
        <v>38.393999999999998</v>
      </c>
    </row>
    <row r="2355" spans="4:16" x14ac:dyDescent="0.2">
      <c r="D2355">
        <v>100001425</v>
      </c>
      <c r="E2355" s="49">
        <v>45547</v>
      </c>
      <c r="F2355" t="s">
        <v>3254</v>
      </c>
      <c r="G2355" t="s">
        <v>1958</v>
      </c>
      <c r="H2355">
        <v>3</v>
      </c>
      <c r="I2355">
        <v>48.14</v>
      </c>
      <c r="J2355" s="50">
        <v>144.41999999999999</v>
      </c>
      <c r="K2355" t="s">
        <v>1618</v>
      </c>
      <c r="M2355" t="s">
        <v>1624</v>
      </c>
      <c r="N2355">
        <v>25.41</v>
      </c>
      <c r="O2355" s="49">
        <v>45551</v>
      </c>
      <c r="P2355" s="50">
        <v>64.98899999999999</v>
      </c>
    </row>
    <row r="2356" spans="4:16" x14ac:dyDescent="0.2">
      <c r="D2356">
        <v>100001426</v>
      </c>
      <c r="E2356" s="49">
        <v>45025</v>
      </c>
      <c r="F2356" t="s">
        <v>3255</v>
      </c>
      <c r="G2356" t="s">
        <v>1688</v>
      </c>
      <c r="H2356">
        <v>10</v>
      </c>
      <c r="I2356">
        <v>114.58</v>
      </c>
      <c r="J2356" s="50">
        <v>1145.8</v>
      </c>
      <c r="K2356" t="s">
        <v>1632</v>
      </c>
      <c r="M2356" t="s">
        <v>1619</v>
      </c>
      <c r="N2356">
        <v>60.47</v>
      </c>
      <c r="O2356" s="49">
        <v>45026</v>
      </c>
      <c r="P2356" s="50">
        <v>515.61</v>
      </c>
    </row>
    <row r="2357" spans="4:16" x14ac:dyDescent="0.2">
      <c r="D2357">
        <v>100001426</v>
      </c>
      <c r="E2357" s="49">
        <v>44297</v>
      </c>
      <c r="F2357" t="s">
        <v>3255</v>
      </c>
      <c r="G2357" t="s">
        <v>2062</v>
      </c>
      <c r="H2357">
        <v>10</v>
      </c>
      <c r="I2357">
        <v>66.97</v>
      </c>
      <c r="J2357" s="50">
        <v>669.7</v>
      </c>
      <c r="K2357" t="s">
        <v>1632</v>
      </c>
      <c r="M2357" t="s">
        <v>1624</v>
      </c>
      <c r="N2357">
        <v>35.35</v>
      </c>
      <c r="O2357" s="49">
        <v>44302</v>
      </c>
      <c r="P2357" s="50">
        <v>301.36500000000001</v>
      </c>
    </row>
    <row r="2358" spans="4:16" x14ac:dyDescent="0.2">
      <c r="D2358">
        <v>100001426</v>
      </c>
      <c r="E2358" s="49">
        <v>44392</v>
      </c>
      <c r="F2358" t="s">
        <v>3255</v>
      </c>
      <c r="G2358" t="s">
        <v>2017</v>
      </c>
      <c r="H2358">
        <v>4</v>
      </c>
      <c r="I2358">
        <v>16.2</v>
      </c>
      <c r="J2358" s="50">
        <v>64.8</v>
      </c>
      <c r="K2358" t="s">
        <v>1632</v>
      </c>
      <c r="M2358" t="s">
        <v>1624</v>
      </c>
      <c r="N2358">
        <v>8.5500000000000007</v>
      </c>
      <c r="O2358" s="49">
        <v>44397</v>
      </c>
      <c r="P2358" s="50">
        <v>29.16</v>
      </c>
    </row>
    <row r="2359" spans="4:16" x14ac:dyDescent="0.2">
      <c r="D2359">
        <v>100001426</v>
      </c>
      <c r="E2359" s="49">
        <v>44290</v>
      </c>
      <c r="F2359" t="s">
        <v>3255</v>
      </c>
      <c r="G2359" t="s">
        <v>1718</v>
      </c>
      <c r="H2359">
        <v>8</v>
      </c>
      <c r="I2359">
        <v>36.29</v>
      </c>
      <c r="J2359" s="50">
        <v>290.32</v>
      </c>
      <c r="K2359" t="s">
        <v>1632</v>
      </c>
      <c r="M2359" t="s">
        <v>1621</v>
      </c>
      <c r="N2359">
        <v>19.149999999999999</v>
      </c>
      <c r="O2359" s="49">
        <v>44294</v>
      </c>
      <c r="P2359" s="50">
        <v>130.64400000000001</v>
      </c>
    </row>
    <row r="2360" spans="4:16" x14ac:dyDescent="0.2">
      <c r="D2360">
        <v>100001426</v>
      </c>
      <c r="E2360" s="49">
        <v>44548</v>
      </c>
      <c r="F2360" t="s">
        <v>3255</v>
      </c>
      <c r="G2360" t="s">
        <v>1653</v>
      </c>
      <c r="H2360">
        <v>4</v>
      </c>
      <c r="I2360">
        <v>59.46</v>
      </c>
      <c r="J2360" s="50">
        <v>237.84</v>
      </c>
      <c r="K2360" t="s">
        <v>1632</v>
      </c>
      <c r="M2360" t="s">
        <v>1627</v>
      </c>
      <c r="N2360">
        <v>31.38</v>
      </c>
      <c r="O2360" s="49">
        <v>44552</v>
      </c>
      <c r="P2360" s="50">
        <v>107.02800000000001</v>
      </c>
    </row>
    <row r="2361" spans="4:16" x14ac:dyDescent="0.2">
      <c r="D2361">
        <v>100001426</v>
      </c>
      <c r="E2361" s="49">
        <v>44507</v>
      </c>
      <c r="F2361" t="s">
        <v>3255</v>
      </c>
      <c r="G2361" t="s">
        <v>1751</v>
      </c>
      <c r="H2361">
        <v>2</v>
      </c>
      <c r="I2361">
        <v>59.71</v>
      </c>
      <c r="J2361" s="50">
        <v>119.42</v>
      </c>
      <c r="K2361" t="s">
        <v>1632</v>
      </c>
      <c r="M2361" t="s">
        <v>1627</v>
      </c>
      <c r="N2361">
        <v>31.51</v>
      </c>
      <c r="O2361" s="49">
        <v>44512</v>
      </c>
      <c r="P2361" s="50">
        <v>53.739000000000004</v>
      </c>
    </row>
    <row r="2362" spans="4:16" x14ac:dyDescent="0.2">
      <c r="D2362">
        <v>100001426</v>
      </c>
      <c r="E2362" s="49">
        <v>45617</v>
      </c>
      <c r="F2362" t="s">
        <v>3255</v>
      </c>
      <c r="G2362" t="s">
        <v>2192</v>
      </c>
      <c r="H2362">
        <v>9</v>
      </c>
      <c r="I2362">
        <v>109.06</v>
      </c>
      <c r="J2362" s="50">
        <v>981.54</v>
      </c>
      <c r="K2362" t="s">
        <v>1632</v>
      </c>
      <c r="M2362" t="s">
        <v>1624</v>
      </c>
      <c r="N2362">
        <v>57.56</v>
      </c>
      <c r="O2362" s="49">
        <v>45622</v>
      </c>
      <c r="P2362" s="50">
        <v>441.69299999999998</v>
      </c>
    </row>
    <row r="2363" spans="4:16" x14ac:dyDescent="0.2">
      <c r="D2363">
        <v>100001426</v>
      </c>
      <c r="E2363" s="49">
        <v>45600</v>
      </c>
      <c r="F2363" t="s">
        <v>3255</v>
      </c>
      <c r="G2363" t="s">
        <v>2042</v>
      </c>
      <c r="H2363">
        <v>5</v>
      </c>
      <c r="I2363">
        <v>54.01</v>
      </c>
      <c r="J2363" s="50">
        <v>270.05</v>
      </c>
      <c r="K2363" t="s">
        <v>1632</v>
      </c>
      <c r="M2363" t="s">
        <v>1629</v>
      </c>
      <c r="N2363">
        <v>28.51</v>
      </c>
      <c r="O2363" s="49">
        <v>45604</v>
      </c>
      <c r="P2363" s="50">
        <v>121.52250000000001</v>
      </c>
    </row>
    <row r="2364" spans="4:16" x14ac:dyDescent="0.2">
      <c r="D2364">
        <v>100001426</v>
      </c>
      <c r="E2364" s="49">
        <v>44362</v>
      </c>
      <c r="F2364" t="s">
        <v>3255</v>
      </c>
      <c r="G2364" t="s">
        <v>1944</v>
      </c>
      <c r="H2364">
        <v>3</v>
      </c>
      <c r="I2364">
        <v>44.05</v>
      </c>
      <c r="J2364" s="50">
        <v>132.15</v>
      </c>
      <c r="K2364" t="s">
        <v>1632</v>
      </c>
      <c r="M2364" t="s">
        <v>1624</v>
      </c>
      <c r="N2364">
        <v>23.25</v>
      </c>
      <c r="O2364" s="49">
        <v>44366</v>
      </c>
      <c r="P2364" s="50">
        <v>59.467500000000001</v>
      </c>
    </row>
    <row r="2365" spans="4:16" x14ac:dyDescent="0.2">
      <c r="D2365">
        <v>100001427</v>
      </c>
      <c r="E2365" s="49">
        <v>44255</v>
      </c>
      <c r="F2365" t="s">
        <v>3256</v>
      </c>
      <c r="G2365" t="s">
        <v>2633</v>
      </c>
      <c r="H2365">
        <v>2</v>
      </c>
      <c r="I2365">
        <v>48.38</v>
      </c>
      <c r="J2365" s="50">
        <v>96.76</v>
      </c>
      <c r="K2365" t="s">
        <v>1618</v>
      </c>
      <c r="M2365" t="s">
        <v>1619</v>
      </c>
      <c r="N2365">
        <v>25.53</v>
      </c>
      <c r="O2365" s="49">
        <v>44256</v>
      </c>
      <c r="P2365" s="50">
        <v>43.542000000000002</v>
      </c>
    </row>
    <row r="2366" spans="4:16" x14ac:dyDescent="0.2">
      <c r="D2366">
        <v>100001430</v>
      </c>
      <c r="E2366" s="49">
        <v>45276</v>
      </c>
      <c r="F2366" t="s">
        <v>3257</v>
      </c>
      <c r="G2366" t="s">
        <v>2707</v>
      </c>
      <c r="H2366">
        <v>3</v>
      </c>
      <c r="I2366">
        <v>91.74</v>
      </c>
      <c r="J2366" s="50">
        <v>275.22000000000003</v>
      </c>
      <c r="K2366" t="s">
        <v>1618</v>
      </c>
      <c r="M2366" t="s">
        <v>1619</v>
      </c>
      <c r="N2366">
        <v>48.42</v>
      </c>
      <c r="O2366" s="49">
        <v>45279</v>
      </c>
      <c r="P2366" s="50">
        <v>123.84900000000002</v>
      </c>
    </row>
    <row r="2367" spans="4:16" x14ac:dyDescent="0.2">
      <c r="D2367">
        <v>100001431</v>
      </c>
      <c r="E2367" s="49">
        <v>45452</v>
      </c>
      <c r="F2367" t="s">
        <v>3258</v>
      </c>
      <c r="G2367" t="s">
        <v>1819</v>
      </c>
      <c r="H2367">
        <v>10</v>
      </c>
      <c r="I2367">
        <v>27.87</v>
      </c>
      <c r="J2367" s="50">
        <v>278.7</v>
      </c>
      <c r="K2367" t="s">
        <v>1632</v>
      </c>
      <c r="M2367" t="s">
        <v>1627</v>
      </c>
      <c r="N2367">
        <v>14.71</v>
      </c>
      <c r="O2367" s="49">
        <v>45453</v>
      </c>
      <c r="P2367" s="50">
        <v>125.41499999999999</v>
      </c>
    </row>
    <row r="2368" spans="4:16" x14ac:dyDescent="0.2">
      <c r="D2368">
        <v>100001431</v>
      </c>
      <c r="E2368" s="49">
        <v>45587</v>
      </c>
      <c r="F2368" t="s">
        <v>3258</v>
      </c>
      <c r="G2368" t="s">
        <v>1985</v>
      </c>
      <c r="H2368">
        <v>2</v>
      </c>
      <c r="I2368">
        <v>92.06</v>
      </c>
      <c r="J2368" s="50">
        <v>184.12</v>
      </c>
      <c r="K2368" t="s">
        <v>1632</v>
      </c>
      <c r="M2368" t="s">
        <v>1629</v>
      </c>
      <c r="N2368">
        <v>48.59</v>
      </c>
      <c r="O2368" s="49">
        <v>45590</v>
      </c>
      <c r="P2368" s="50">
        <v>82.853999999999999</v>
      </c>
    </row>
    <row r="2369" spans="4:16" x14ac:dyDescent="0.2">
      <c r="D2369">
        <v>100001431</v>
      </c>
      <c r="E2369" s="49">
        <v>44772</v>
      </c>
      <c r="F2369" t="s">
        <v>3258</v>
      </c>
      <c r="G2369" t="s">
        <v>2174</v>
      </c>
      <c r="H2369">
        <v>10</v>
      </c>
      <c r="I2369">
        <v>118.7</v>
      </c>
      <c r="J2369" s="50">
        <v>1187</v>
      </c>
      <c r="K2369" t="s">
        <v>1632</v>
      </c>
      <c r="M2369" t="s">
        <v>1619</v>
      </c>
      <c r="N2369">
        <v>62.65</v>
      </c>
      <c r="O2369" s="49">
        <v>44775</v>
      </c>
      <c r="P2369" s="50">
        <v>534.15</v>
      </c>
    </row>
    <row r="2370" spans="4:16" x14ac:dyDescent="0.2">
      <c r="D2370">
        <v>100001431</v>
      </c>
      <c r="E2370" s="49">
        <v>45587</v>
      </c>
      <c r="F2370" t="s">
        <v>3258</v>
      </c>
      <c r="G2370" t="s">
        <v>2574</v>
      </c>
      <c r="H2370">
        <v>2</v>
      </c>
      <c r="I2370">
        <v>104.78</v>
      </c>
      <c r="J2370" s="50">
        <v>209.56</v>
      </c>
      <c r="K2370" t="s">
        <v>1632</v>
      </c>
      <c r="M2370" t="s">
        <v>1627</v>
      </c>
      <c r="N2370">
        <v>55.3</v>
      </c>
      <c r="O2370" s="49">
        <v>45592</v>
      </c>
      <c r="P2370" s="50">
        <v>94.302000000000007</v>
      </c>
    </row>
    <row r="2371" spans="4:16" x14ac:dyDescent="0.2">
      <c r="D2371">
        <v>100001432</v>
      </c>
      <c r="E2371" s="49">
        <v>45371</v>
      </c>
      <c r="F2371" t="s">
        <v>3259</v>
      </c>
      <c r="G2371" t="s">
        <v>1853</v>
      </c>
      <c r="H2371">
        <v>6</v>
      </c>
      <c r="I2371">
        <v>113.71</v>
      </c>
      <c r="J2371" s="50">
        <v>682.26</v>
      </c>
      <c r="K2371" t="s">
        <v>1632</v>
      </c>
      <c r="M2371" t="s">
        <v>1629</v>
      </c>
      <c r="N2371">
        <v>60.01</v>
      </c>
      <c r="O2371" s="49">
        <v>45372</v>
      </c>
      <c r="P2371" s="50">
        <v>307.017</v>
      </c>
    </row>
    <row r="2372" spans="4:16" x14ac:dyDescent="0.2">
      <c r="D2372">
        <v>100001432</v>
      </c>
      <c r="E2372" s="49">
        <v>45478</v>
      </c>
      <c r="F2372" t="s">
        <v>3259</v>
      </c>
      <c r="G2372" t="s">
        <v>1801</v>
      </c>
      <c r="H2372">
        <v>6</v>
      </c>
      <c r="I2372">
        <v>99.45</v>
      </c>
      <c r="J2372" s="50">
        <v>596.70000000000005</v>
      </c>
      <c r="K2372" t="s">
        <v>1632</v>
      </c>
      <c r="M2372" t="s">
        <v>1629</v>
      </c>
      <c r="N2372">
        <v>52.49</v>
      </c>
      <c r="O2372" s="49">
        <v>45480</v>
      </c>
      <c r="P2372" s="50">
        <v>268.51500000000004</v>
      </c>
    </row>
    <row r="2373" spans="4:16" x14ac:dyDescent="0.2">
      <c r="D2373">
        <v>100001432</v>
      </c>
      <c r="E2373" s="49">
        <v>45045</v>
      </c>
      <c r="F2373" t="s">
        <v>3259</v>
      </c>
      <c r="G2373" t="s">
        <v>1834</v>
      </c>
      <c r="H2373">
        <v>10</v>
      </c>
      <c r="I2373">
        <v>73.61</v>
      </c>
      <c r="J2373" s="50">
        <v>736.1</v>
      </c>
      <c r="K2373" t="s">
        <v>1632</v>
      </c>
      <c r="M2373" t="s">
        <v>1627</v>
      </c>
      <c r="N2373">
        <v>38.85</v>
      </c>
      <c r="O2373" s="49">
        <v>45046</v>
      </c>
      <c r="P2373" s="50">
        <v>331.245</v>
      </c>
    </row>
    <row r="2374" spans="4:16" x14ac:dyDescent="0.2">
      <c r="D2374">
        <v>100001432</v>
      </c>
      <c r="E2374" s="49">
        <v>44956</v>
      </c>
      <c r="F2374" t="s">
        <v>3259</v>
      </c>
      <c r="G2374" t="s">
        <v>1717</v>
      </c>
      <c r="H2374">
        <v>1</v>
      </c>
      <c r="I2374">
        <v>91.37</v>
      </c>
      <c r="J2374" s="50">
        <v>91.37</v>
      </c>
      <c r="K2374" t="s">
        <v>1632</v>
      </c>
      <c r="M2374" t="s">
        <v>1627</v>
      </c>
      <c r="N2374">
        <v>48.22</v>
      </c>
      <c r="O2374" s="49">
        <v>44961</v>
      </c>
      <c r="P2374" s="50">
        <v>41.116500000000002</v>
      </c>
    </row>
    <row r="2375" spans="4:16" x14ac:dyDescent="0.2">
      <c r="D2375">
        <v>100001433</v>
      </c>
      <c r="E2375" s="49">
        <v>45036</v>
      </c>
      <c r="F2375" t="s">
        <v>3260</v>
      </c>
      <c r="G2375" t="s">
        <v>2330</v>
      </c>
      <c r="H2375">
        <v>10</v>
      </c>
      <c r="I2375">
        <v>101.1</v>
      </c>
      <c r="J2375" s="50">
        <v>1011</v>
      </c>
      <c r="K2375" t="s">
        <v>1632</v>
      </c>
      <c r="M2375" t="s">
        <v>1619</v>
      </c>
      <c r="N2375">
        <v>53.36</v>
      </c>
      <c r="O2375" s="49">
        <v>45039</v>
      </c>
      <c r="P2375" s="50">
        <v>454.95</v>
      </c>
    </row>
    <row r="2376" spans="4:16" x14ac:dyDescent="0.2">
      <c r="D2376">
        <v>100001433</v>
      </c>
      <c r="E2376" s="49">
        <v>44791</v>
      </c>
      <c r="F2376" t="s">
        <v>3260</v>
      </c>
      <c r="G2376" t="s">
        <v>2086</v>
      </c>
      <c r="H2376">
        <v>1</v>
      </c>
      <c r="I2376">
        <v>41.04</v>
      </c>
      <c r="J2376" s="50">
        <v>41.04</v>
      </c>
      <c r="K2376" t="s">
        <v>1632</v>
      </c>
      <c r="M2376" t="s">
        <v>1627</v>
      </c>
      <c r="N2376">
        <v>21.66</v>
      </c>
      <c r="O2376" s="49">
        <v>44794</v>
      </c>
      <c r="P2376" s="50">
        <v>18.468</v>
      </c>
    </row>
    <row r="2377" spans="4:16" x14ac:dyDescent="0.2">
      <c r="D2377">
        <v>100001433</v>
      </c>
      <c r="E2377" s="49">
        <v>45300</v>
      </c>
      <c r="F2377" t="s">
        <v>3260</v>
      </c>
      <c r="G2377" t="s">
        <v>1868</v>
      </c>
      <c r="H2377">
        <v>5</v>
      </c>
      <c r="I2377">
        <v>68.78</v>
      </c>
      <c r="J2377" s="50">
        <v>343.9</v>
      </c>
      <c r="K2377" t="s">
        <v>1632</v>
      </c>
      <c r="M2377" t="s">
        <v>1621</v>
      </c>
      <c r="N2377">
        <v>36.299999999999997</v>
      </c>
      <c r="O2377" s="49">
        <v>45301</v>
      </c>
      <c r="P2377" s="50">
        <v>154.755</v>
      </c>
    </row>
    <row r="2378" spans="4:16" x14ac:dyDescent="0.2">
      <c r="D2378">
        <v>100001433</v>
      </c>
      <c r="E2378" s="49">
        <v>44801</v>
      </c>
      <c r="F2378" t="s">
        <v>3260</v>
      </c>
      <c r="G2378" t="s">
        <v>1963</v>
      </c>
      <c r="H2378">
        <v>3</v>
      </c>
      <c r="I2378">
        <v>19.420000000000002</v>
      </c>
      <c r="J2378" s="50">
        <v>58.260000000000012</v>
      </c>
      <c r="K2378" t="s">
        <v>1632</v>
      </c>
      <c r="M2378" t="s">
        <v>1619</v>
      </c>
      <c r="N2378">
        <v>10.25</v>
      </c>
      <c r="O2378" s="49">
        <v>44802</v>
      </c>
      <c r="P2378" s="50">
        <v>26.217000000000006</v>
      </c>
    </row>
    <row r="2379" spans="4:16" x14ac:dyDescent="0.2">
      <c r="D2379">
        <v>100001434</v>
      </c>
      <c r="E2379" s="49">
        <v>45235</v>
      </c>
      <c r="F2379" t="s">
        <v>3261</v>
      </c>
      <c r="G2379" t="s">
        <v>2628</v>
      </c>
      <c r="H2379">
        <v>2</v>
      </c>
      <c r="I2379">
        <v>103.87</v>
      </c>
      <c r="J2379" s="50">
        <v>207.74</v>
      </c>
      <c r="K2379" t="s">
        <v>1618</v>
      </c>
      <c r="M2379" t="s">
        <v>1624</v>
      </c>
      <c r="N2379">
        <v>54.82</v>
      </c>
      <c r="O2379" s="49">
        <v>45236</v>
      </c>
      <c r="P2379" s="50">
        <v>93.483000000000004</v>
      </c>
    </row>
    <row r="2380" spans="4:16" x14ac:dyDescent="0.2">
      <c r="D2380">
        <v>100001435</v>
      </c>
      <c r="E2380" s="49">
        <v>45376</v>
      </c>
      <c r="F2380" t="s">
        <v>3262</v>
      </c>
      <c r="G2380" t="s">
        <v>2194</v>
      </c>
      <c r="H2380">
        <v>7</v>
      </c>
      <c r="I2380">
        <v>107.81</v>
      </c>
      <c r="J2380" s="50">
        <v>754.67000000000007</v>
      </c>
      <c r="K2380" t="s">
        <v>1618</v>
      </c>
      <c r="M2380" t="s">
        <v>1624</v>
      </c>
      <c r="N2380">
        <v>56.9</v>
      </c>
      <c r="O2380" s="49">
        <v>45377</v>
      </c>
      <c r="P2380" s="50">
        <v>339.60150000000004</v>
      </c>
    </row>
    <row r="2381" spans="4:16" x14ac:dyDescent="0.2">
      <c r="D2381">
        <v>100001440</v>
      </c>
      <c r="E2381" s="49">
        <v>44736</v>
      </c>
      <c r="F2381" t="s">
        <v>3263</v>
      </c>
      <c r="G2381" t="s">
        <v>2204</v>
      </c>
      <c r="H2381">
        <v>5</v>
      </c>
      <c r="I2381">
        <v>66.2</v>
      </c>
      <c r="J2381" s="50">
        <v>331</v>
      </c>
      <c r="K2381" t="s">
        <v>1632</v>
      </c>
      <c r="L2381" t="s">
        <v>3264</v>
      </c>
      <c r="M2381" t="s">
        <v>1624</v>
      </c>
      <c r="N2381">
        <v>34.94</v>
      </c>
      <c r="O2381" s="49">
        <v>44738</v>
      </c>
      <c r="P2381" s="50">
        <v>148.95000000000002</v>
      </c>
    </row>
    <row r="2382" spans="4:16" x14ac:dyDescent="0.2">
      <c r="D2382">
        <v>100001440</v>
      </c>
      <c r="E2382" s="49">
        <v>44252</v>
      </c>
      <c r="F2382" t="s">
        <v>3263</v>
      </c>
      <c r="G2382" t="s">
        <v>2099</v>
      </c>
      <c r="H2382">
        <v>10</v>
      </c>
      <c r="I2382">
        <v>74.010000000000005</v>
      </c>
      <c r="J2382" s="50">
        <v>740.1</v>
      </c>
      <c r="K2382" t="s">
        <v>1632</v>
      </c>
      <c r="L2382" t="s">
        <v>3264</v>
      </c>
      <c r="M2382" t="s">
        <v>1629</v>
      </c>
      <c r="N2382">
        <v>39.06</v>
      </c>
      <c r="O2382" s="49">
        <v>44254</v>
      </c>
      <c r="P2382" s="50">
        <v>333.04500000000002</v>
      </c>
    </row>
    <row r="2383" spans="4:16" x14ac:dyDescent="0.2">
      <c r="D2383">
        <v>100001440</v>
      </c>
      <c r="E2383" s="49">
        <v>44875</v>
      </c>
      <c r="F2383" t="s">
        <v>3263</v>
      </c>
      <c r="G2383" t="s">
        <v>2613</v>
      </c>
      <c r="H2383">
        <v>5</v>
      </c>
      <c r="I2383">
        <v>82.02</v>
      </c>
      <c r="J2383" s="50">
        <v>410.1</v>
      </c>
      <c r="K2383" t="s">
        <v>1632</v>
      </c>
      <c r="L2383" t="s">
        <v>3264</v>
      </c>
      <c r="M2383" t="s">
        <v>1624</v>
      </c>
      <c r="N2383">
        <v>43.29</v>
      </c>
      <c r="O2383" s="49">
        <v>44880</v>
      </c>
      <c r="P2383" s="50">
        <v>184.54500000000002</v>
      </c>
    </row>
    <row r="2384" spans="4:16" x14ac:dyDescent="0.2">
      <c r="D2384">
        <v>100001441</v>
      </c>
      <c r="E2384" s="49">
        <v>45443</v>
      </c>
      <c r="F2384" t="s">
        <v>3265</v>
      </c>
      <c r="G2384" t="s">
        <v>1782</v>
      </c>
      <c r="H2384">
        <v>2</v>
      </c>
      <c r="I2384">
        <v>13.45</v>
      </c>
      <c r="J2384" s="50">
        <v>26.9</v>
      </c>
      <c r="K2384" t="s">
        <v>1618</v>
      </c>
      <c r="L2384" t="s">
        <v>3266</v>
      </c>
      <c r="M2384" t="s">
        <v>1619</v>
      </c>
      <c r="N2384">
        <v>7.1</v>
      </c>
      <c r="O2384" s="49">
        <v>45445</v>
      </c>
      <c r="P2384" s="50">
        <v>12.105</v>
      </c>
    </row>
    <row r="2385" spans="4:16" x14ac:dyDescent="0.2">
      <c r="D2385">
        <v>100001441</v>
      </c>
      <c r="E2385" s="49">
        <v>45030</v>
      </c>
      <c r="F2385" t="s">
        <v>3265</v>
      </c>
      <c r="G2385" t="s">
        <v>2084</v>
      </c>
      <c r="H2385">
        <v>6</v>
      </c>
      <c r="I2385">
        <v>43.13</v>
      </c>
      <c r="J2385" s="50">
        <v>258.77999999999997</v>
      </c>
      <c r="K2385" t="s">
        <v>1618</v>
      </c>
      <c r="L2385" t="s">
        <v>3266</v>
      </c>
      <c r="M2385" t="s">
        <v>1621</v>
      </c>
      <c r="N2385">
        <v>22.76</v>
      </c>
      <c r="O2385" s="49">
        <v>45031</v>
      </c>
      <c r="P2385" s="50">
        <v>116.45099999999999</v>
      </c>
    </row>
    <row r="2386" spans="4:16" x14ac:dyDescent="0.2">
      <c r="D2386">
        <v>100001441</v>
      </c>
      <c r="E2386" s="49">
        <v>45565</v>
      </c>
      <c r="F2386" t="s">
        <v>3265</v>
      </c>
      <c r="G2386" t="s">
        <v>2093</v>
      </c>
      <c r="H2386">
        <v>1</v>
      </c>
      <c r="I2386">
        <v>83.88</v>
      </c>
      <c r="J2386" s="50">
        <v>83.88</v>
      </c>
      <c r="K2386" t="s">
        <v>1618</v>
      </c>
      <c r="L2386" t="s">
        <v>3266</v>
      </c>
      <c r="M2386" t="s">
        <v>1619</v>
      </c>
      <c r="N2386">
        <v>44.27</v>
      </c>
      <c r="O2386" s="49">
        <v>45570</v>
      </c>
      <c r="P2386" s="50">
        <v>37.746000000000002</v>
      </c>
    </row>
    <row r="2387" spans="4:16" x14ac:dyDescent="0.2">
      <c r="D2387">
        <v>100001442</v>
      </c>
      <c r="E2387" s="49">
        <v>44362</v>
      </c>
      <c r="F2387" t="s">
        <v>3267</v>
      </c>
      <c r="G2387" t="s">
        <v>1620</v>
      </c>
      <c r="H2387">
        <v>6</v>
      </c>
      <c r="I2387">
        <v>95.04</v>
      </c>
      <c r="J2387" s="50">
        <v>570.24</v>
      </c>
      <c r="K2387" t="s">
        <v>1632</v>
      </c>
      <c r="L2387" t="s">
        <v>3268</v>
      </c>
      <c r="M2387" t="s">
        <v>1629</v>
      </c>
      <c r="N2387">
        <v>50.16</v>
      </c>
      <c r="O2387" s="49">
        <v>44364</v>
      </c>
      <c r="P2387" s="50">
        <v>256.608</v>
      </c>
    </row>
    <row r="2388" spans="4:16" x14ac:dyDescent="0.2">
      <c r="D2388">
        <v>100001443</v>
      </c>
      <c r="E2388" s="49">
        <v>44812</v>
      </c>
      <c r="F2388" t="s">
        <v>3269</v>
      </c>
      <c r="G2388" t="s">
        <v>2142</v>
      </c>
      <c r="H2388">
        <v>10</v>
      </c>
      <c r="I2388">
        <v>93.33</v>
      </c>
      <c r="J2388" s="50">
        <v>933.3</v>
      </c>
      <c r="K2388" t="s">
        <v>1618</v>
      </c>
      <c r="M2388" t="s">
        <v>1621</v>
      </c>
      <c r="N2388">
        <v>49.26</v>
      </c>
      <c r="O2388" s="49">
        <v>44814</v>
      </c>
      <c r="P2388" s="50">
        <v>419.98500000000001</v>
      </c>
    </row>
    <row r="2389" spans="4:16" x14ac:dyDescent="0.2">
      <c r="D2389">
        <v>100001444</v>
      </c>
      <c r="E2389" s="49">
        <v>44213</v>
      </c>
      <c r="F2389" t="s">
        <v>3270</v>
      </c>
      <c r="G2389" t="s">
        <v>1921</v>
      </c>
      <c r="H2389">
        <v>8</v>
      </c>
      <c r="I2389">
        <v>64.040000000000006</v>
      </c>
      <c r="J2389" s="50">
        <v>512.32000000000005</v>
      </c>
      <c r="K2389" t="s">
        <v>1618</v>
      </c>
      <c r="M2389" t="s">
        <v>1629</v>
      </c>
      <c r="N2389">
        <v>33.799999999999997</v>
      </c>
      <c r="O2389" s="49">
        <v>44218</v>
      </c>
      <c r="P2389" s="50">
        <v>230.54400000000004</v>
      </c>
    </row>
    <row r="2390" spans="4:16" x14ac:dyDescent="0.2">
      <c r="D2390">
        <v>100001446</v>
      </c>
      <c r="E2390" s="49">
        <v>44216</v>
      </c>
      <c r="F2390" t="s">
        <v>3271</v>
      </c>
      <c r="G2390" t="s">
        <v>1900</v>
      </c>
      <c r="H2390">
        <v>2</v>
      </c>
      <c r="I2390">
        <v>54.62</v>
      </c>
      <c r="J2390" s="50">
        <v>109.24</v>
      </c>
      <c r="K2390" t="s">
        <v>1618</v>
      </c>
      <c r="L2390" t="s">
        <v>3272</v>
      </c>
      <c r="M2390" t="s">
        <v>1624</v>
      </c>
      <c r="N2390">
        <v>28.83</v>
      </c>
      <c r="O2390" s="49">
        <v>44217</v>
      </c>
      <c r="P2390" s="50">
        <v>49.158000000000001</v>
      </c>
    </row>
    <row r="2391" spans="4:16" x14ac:dyDescent="0.2">
      <c r="D2391">
        <v>100001447</v>
      </c>
      <c r="E2391" s="49">
        <v>45150</v>
      </c>
      <c r="F2391" t="s">
        <v>3273</v>
      </c>
      <c r="G2391" t="s">
        <v>2613</v>
      </c>
      <c r="H2391">
        <v>9</v>
      </c>
      <c r="I2391">
        <v>55.8</v>
      </c>
      <c r="J2391" s="50">
        <v>502.2</v>
      </c>
      <c r="K2391" t="s">
        <v>1618</v>
      </c>
      <c r="L2391" t="s">
        <v>3274</v>
      </c>
      <c r="M2391" t="s">
        <v>1619</v>
      </c>
      <c r="N2391">
        <v>29.45</v>
      </c>
      <c r="O2391" s="49">
        <v>45155</v>
      </c>
      <c r="P2391" s="50">
        <v>225.99</v>
      </c>
    </row>
    <row r="2392" spans="4:16" x14ac:dyDescent="0.2">
      <c r="D2392">
        <v>100001447</v>
      </c>
      <c r="E2392" s="49">
        <v>44483</v>
      </c>
      <c r="F2392" t="s">
        <v>3273</v>
      </c>
      <c r="G2392" t="s">
        <v>2427</v>
      </c>
      <c r="H2392">
        <v>10</v>
      </c>
      <c r="I2392">
        <v>13.13</v>
      </c>
      <c r="J2392" s="50">
        <v>131.30000000000001</v>
      </c>
      <c r="K2392" t="s">
        <v>1618</v>
      </c>
      <c r="L2392" t="s">
        <v>3274</v>
      </c>
      <c r="M2392" t="s">
        <v>1629</v>
      </c>
      <c r="N2392">
        <v>6.93</v>
      </c>
      <c r="O2392" s="49">
        <v>44487</v>
      </c>
      <c r="P2392" s="50">
        <v>59.085000000000008</v>
      </c>
    </row>
    <row r="2393" spans="4:16" x14ac:dyDescent="0.2">
      <c r="D2393">
        <v>100001447</v>
      </c>
      <c r="E2393" s="49">
        <v>44360</v>
      </c>
      <c r="F2393" t="s">
        <v>3273</v>
      </c>
      <c r="G2393" t="s">
        <v>2707</v>
      </c>
      <c r="H2393">
        <v>2</v>
      </c>
      <c r="I2393">
        <v>83.47</v>
      </c>
      <c r="J2393" s="50">
        <v>166.94</v>
      </c>
      <c r="K2393" t="s">
        <v>1618</v>
      </c>
      <c r="L2393" t="s">
        <v>3274</v>
      </c>
      <c r="M2393" t="s">
        <v>1624</v>
      </c>
      <c r="N2393">
        <v>44.05</v>
      </c>
      <c r="O2393" s="49">
        <v>44365</v>
      </c>
      <c r="P2393" s="50">
        <v>75.123000000000005</v>
      </c>
    </row>
    <row r="2394" spans="4:16" x14ac:dyDescent="0.2">
      <c r="D2394">
        <v>100001447</v>
      </c>
      <c r="E2394" s="49">
        <v>44809</v>
      </c>
      <c r="F2394" t="s">
        <v>3273</v>
      </c>
      <c r="G2394" t="s">
        <v>1893</v>
      </c>
      <c r="H2394">
        <v>8</v>
      </c>
      <c r="I2394">
        <v>45.58</v>
      </c>
      <c r="J2394" s="50">
        <v>364.64</v>
      </c>
      <c r="K2394" t="s">
        <v>1618</v>
      </c>
      <c r="L2394" t="s">
        <v>3274</v>
      </c>
      <c r="M2394" t="s">
        <v>1629</v>
      </c>
      <c r="N2394">
        <v>24.06</v>
      </c>
      <c r="O2394" s="49">
        <v>44812</v>
      </c>
      <c r="P2394" s="50">
        <v>164.08799999999999</v>
      </c>
    </row>
    <row r="2395" spans="4:16" x14ac:dyDescent="0.2">
      <c r="D2395">
        <v>100001448</v>
      </c>
      <c r="E2395" s="49">
        <v>45486</v>
      </c>
      <c r="F2395" t="s">
        <v>3275</v>
      </c>
      <c r="G2395" t="s">
        <v>1932</v>
      </c>
      <c r="H2395">
        <v>7</v>
      </c>
      <c r="I2395">
        <v>110.68</v>
      </c>
      <c r="J2395" s="50">
        <v>774.76</v>
      </c>
      <c r="K2395" t="s">
        <v>1618</v>
      </c>
      <c r="M2395" t="s">
        <v>1627</v>
      </c>
      <c r="N2395">
        <v>58.41</v>
      </c>
      <c r="O2395" s="49">
        <v>45490</v>
      </c>
      <c r="P2395" s="50">
        <v>348.642</v>
      </c>
    </row>
    <row r="2396" spans="4:16" x14ac:dyDescent="0.2">
      <c r="D2396">
        <v>100001448</v>
      </c>
      <c r="E2396" s="49">
        <v>45591</v>
      </c>
      <c r="F2396" t="s">
        <v>3275</v>
      </c>
      <c r="G2396" t="s">
        <v>2207</v>
      </c>
      <c r="H2396">
        <v>6</v>
      </c>
      <c r="I2396">
        <v>106.49</v>
      </c>
      <c r="J2396" s="50">
        <v>638.93999999999994</v>
      </c>
      <c r="K2396" t="s">
        <v>1618</v>
      </c>
      <c r="M2396" t="s">
        <v>1621</v>
      </c>
      <c r="N2396">
        <v>56.2</v>
      </c>
      <c r="O2396" s="49">
        <v>45595</v>
      </c>
      <c r="P2396" s="50">
        <v>287.52299999999997</v>
      </c>
    </row>
    <row r="2397" spans="4:16" x14ac:dyDescent="0.2">
      <c r="D2397">
        <v>100001448</v>
      </c>
      <c r="E2397" s="49">
        <v>45007</v>
      </c>
      <c r="F2397" t="s">
        <v>3275</v>
      </c>
      <c r="G2397" t="s">
        <v>1893</v>
      </c>
      <c r="H2397">
        <v>5</v>
      </c>
      <c r="I2397">
        <v>56.85</v>
      </c>
      <c r="J2397" s="50">
        <v>284.25</v>
      </c>
      <c r="K2397" t="s">
        <v>1618</v>
      </c>
      <c r="M2397" t="s">
        <v>1619</v>
      </c>
      <c r="N2397">
        <v>30</v>
      </c>
      <c r="O2397" s="49">
        <v>45009</v>
      </c>
      <c r="P2397" s="50">
        <v>127.91250000000001</v>
      </c>
    </row>
    <row r="2398" spans="4:16" x14ac:dyDescent="0.2">
      <c r="D2398">
        <v>100001448</v>
      </c>
      <c r="E2398" s="49">
        <v>45477</v>
      </c>
      <c r="F2398" t="s">
        <v>3275</v>
      </c>
      <c r="G2398" t="s">
        <v>1676</v>
      </c>
      <c r="H2398">
        <v>2</v>
      </c>
      <c r="I2398">
        <v>10.72</v>
      </c>
      <c r="J2398" s="50">
        <v>21.44</v>
      </c>
      <c r="K2398" t="s">
        <v>1618</v>
      </c>
      <c r="M2398" t="s">
        <v>1627</v>
      </c>
      <c r="N2398">
        <v>5.66</v>
      </c>
      <c r="O2398" s="49">
        <v>45480</v>
      </c>
      <c r="P2398" s="50">
        <v>9.6480000000000015</v>
      </c>
    </row>
    <row r="2399" spans="4:16" x14ac:dyDescent="0.2">
      <c r="D2399">
        <v>100001448</v>
      </c>
      <c r="E2399" s="49">
        <v>44960</v>
      </c>
      <c r="F2399" t="s">
        <v>3275</v>
      </c>
      <c r="G2399" t="s">
        <v>1817</v>
      </c>
      <c r="H2399">
        <v>3</v>
      </c>
      <c r="I2399">
        <v>109.71</v>
      </c>
      <c r="J2399" s="50">
        <v>329.13</v>
      </c>
      <c r="K2399" t="s">
        <v>1618</v>
      </c>
      <c r="M2399" t="s">
        <v>1627</v>
      </c>
      <c r="N2399">
        <v>57.9</v>
      </c>
      <c r="O2399" s="49">
        <v>44964</v>
      </c>
      <c r="P2399" s="50">
        <v>148.10849999999999</v>
      </c>
    </row>
    <row r="2400" spans="4:16" x14ac:dyDescent="0.2">
      <c r="D2400">
        <v>100001449</v>
      </c>
      <c r="E2400" s="49">
        <v>44888</v>
      </c>
      <c r="F2400" t="s">
        <v>3276</v>
      </c>
      <c r="G2400" t="s">
        <v>2145</v>
      </c>
      <c r="H2400">
        <v>8</v>
      </c>
      <c r="I2400">
        <v>21.28</v>
      </c>
      <c r="J2400" s="50">
        <v>170.24</v>
      </c>
      <c r="K2400" t="s">
        <v>1618</v>
      </c>
      <c r="L2400" t="s">
        <v>3277</v>
      </c>
      <c r="M2400" t="s">
        <v>1621</v>
      </c>
      <c r="N2400">
        <v>11.23</v>
      </c>
      <c r="O2400" s="49">
        <v>44890</v>
      </c>
      <c r="P2400" s="50">
        <v>76.608000000000004</v>
      </c>
    </row>
    <row r="2401" spans="4:16" x14ac:dyDescent="0.2">
      <c r="D2401">
        <v>100001449</v>
      </c>
      <c r="E2401" s="49">
        <v>44378</v>
      </c>
      <c r="F2401" t="s">
        <v>3276</v>
      </c>
      <c r="G2401" t="s">
        <v>2062</v>
      </c>
      <c r="H2401">
        <v>2</v>
      </c>
      <c r="I2401">
        <v>101.41</v>
      </c>
      <c r="J2401" s="50">
        <v>202.82</v>
      </c>
      <c r="K2401" t="s">
        <v>1618</v>
      </c>
      <c r="L2401" t="s">
        <v>3277</v>
      </c>
      <c r="M2401" t="s">
        <v>1627</v>
      </c>
      <c r="N2401">
        <v>53.52</v>
      </c>
      <c r="O2401" s="49">
        <v>44383</v>
      </c>
      <c r="P2401" s="50">
        <v>91.269000000000005</v>
      </c>
    </row>
    <row r="2402" spans="4:16" x14ac:dyDescent="0.2">
      <c r="D2402">
        <v>100001450</v>
      </c>
      <c r="E2402" s="49">
        <v>44390</v>
      </c>
      <c r="F2402" t="s">
        <v>3278</v>
      </c>
      <c r="G2402" t="s">
        <v>2733</v>
      </c>
      <c r="H2402">
        <v>4</v>
      </c>
      <c r="I2402">
        <v>44.5</v>
      </c>
      <c r="J2402" s="50">
        <v>178</v>
      </c>
      <c r="K2402" t="s">
        <v>1632</v>
      </c>
      <c r="L2402" t="s">
        <v>3279</v>
      </c>
      <c r="M2402" t="s">
        <v>1627</v>
      </c>
      <c r="N2402">
        <v>23.49</v>
      </c>
      <c r="O2402" s="49">
        <v>44391</v>
      </c>
      <c r="P2402" s="50">
        <v>80.100000000000009</v>
      </c>
    </row>
    <row r="2403" spans="4:16" x14ac:dyDescent="0.2">
      <c r="D2403">
        <v>100001450</v>
      </c>
      <c r="E2403" s="49">
        <v>44240</v>
      </c>
      <c r="F2403" t="s">
        <v>3278</v>
      </c>
      <c r="G2403" t="s">
        <v>2553</v>
      </c>
      <c r="H2403">
        <v>2</v>
      </c>
      <c r="I2403">
        <v>38.049999999999997</v>
      </c>
      <c r="J2403" s="50">
        <v>76.099999999999994</v>
      </c>
      <c r="K2403" t="s">
        <v>1632</v>
      </c>
      <c r="L2403" t="s">
        <v>3279</v>
      </c>
      <c r="M2403" t="s">
        <v>1629</v>
      </c>
      <c r="N2403">
        <v>20.079999999999998</v>
      </c>
      <c r="O2403" s="49">
        <v>44241</v>
      </c>
      <c r="P2403" s="50">
        <v>34.244999999999997</v>
      </c>
    </row>
    <row r="2404" spans="4:16" x14ac:dyDescent="0.2">
      <c r="D2404">
        <v>100001451</v>
      </c>
      <c r="E2404" s="49">
        <v>45005</v>
      </c>
      <c r="F2404" t="s">
        <v>3280</v>
      </c>
      <c r="G2404" t="s">
        <v>1743</v>
      </c>
      <c r="H2404">
        <v>7</v>
      </c>
      <c r="I2404">
        <v>57.15</v>
      </c>
      <c r="J2404" s="50">
        <v>400.05</v>
      </c>
      <c r="K2404" t="s">
        <v>1618</v>
      </c>
      <c r="M2404" t="s">
        <v>1624</v>
      </c>
      <c r="N2404">
        <v>30.16</v>
      </c>
      <c r="O2404" s="49">
        <v>45009</v>
      </c>
      <c r="P2404" s="50">
        <v>180.02250000000001</v>
      </c>
    </row>
    <row r="2405" spans="4:16" x14ac:dyDescent="0.2">
      <c r="D2405">
        <v>100001451</v>
      </c>
      <c r="E2405" s="49">
        <v>44814</v>
      </c>
      <c r="F2405" t="s">
        <v>3280</v>
      </c>
      <c r="G2405" t="s">
        <v>1768</v>
      </c>
      <c r="H2405">
        <v>7</v>
      </c>
      <c r="I2405">
        <v>21.79</v>
      </c>
      <c r="J2405" s="50">
        <v>152.53</v>
      </c>
      <c r="K2405" t="s">
        <v>1618</v>
      </c>
      <c r="M2405" t="s">
        <v>1624</v>
      </c>
      <c r="N2405">
        <v>11.5</v>
      </c>
      <c r="O2405" s="49">
        <v>44817</v>
      </c>
      <c r="P2405" s="50">
        <v>68.638500000000008</v>
      </c>
    </row>
    <row r="2406" spans="4:16" x14ac:dyDescent="0.2">
      <c r="D2406">
        <v>100001453</v>
      </c>
      <c r="E2406" s="49">
        <v>44904</v>
      </c>
      <c r="F2406" t="s">
        <v>3281</v>
      </c>
      <c r="G2406" t="s">
        <v>1671</v>
      </c>
      <c r="H2406">
        <v>1</v>
      </c>
      <c r="I2406">
        <v>46.15</v>
      </c>
      <c r="J2406" s="50">
        <v>46.15</v>
      </c>
      <c r="K2406" t="s">
        <v>1632</v>
      </c>
      <c r="M2406" t="s">
        <v>1629</v>
      </c>
      <c r="N2406">
        <v>24.36</v>
      </c>
      <c r="O2406" s="49">
        <v>44907</v>
      </c>
      <c r="P2406" s="50">
        <v>20.767499999999998</v>
      </c>
    </row>
    <row r="2407" spans="4:16" x14ac:dyDescent="0.2">
      <c r="D2407">
        <v>100001454</v>
      </c>
      <c r="E2407" s="49">
        <v>44984</v>
      </c>
      <c r="F2407" t="s">
        <v>3282</v>
      </c>
      <c r="G2407" t="s">
        <v>2078</v>
      </c>
      <c r="H2407">
        <v>9</v>
      </c>
      <c r="I2407">
        <v>19.77</v>
      </c>
      <c r="J2407" s="50">
        <v>177.93</v>
      </c>
      <c r="K2407" t="s">
        <v>1632</v>
      </c>
      <c r="M2407" t="s">
        <v>1629</v>
      </c>
      <c r="N2407">
        <v>10.43</v>
      </c>
      <c r="O2407" s="49">
        <v>44987</v>
      </c>
      <c r="P2407" s="50">
        <v>80.0685</v>
      </c>
    </row>
    <row r="2408" spans="4:16" x14ac:dyDescent="0.2">
      <c r="D2408">
        <v>100001458</v>
      </c>
      <c r="E2408" s="49">
        <v>44316</v>
      </c>
      <c r="F2408" t="s">
        <v>3283</v>
      </c>
      <c r="G2408" t="s">
        <v>1978</v>
      </c>
      <c r="H2408">
        <v>4</v>
      </c>
      <c r="I2408">
        <v>63.72</v>
      </c>
      <c r="J2408" s="50">
        <v>254.88</v>
      </c>
      <c r="K2408" t="s">
        <v>1618</v>
      </c>
      <c r="M2408" t="s">
        <v>1621</v>
      </c>
      <c r="N2408">
        <v>33.630000000000003</v>
      </c>
      <c r="O2408" s="49">
        <v>44318</v>
      </c>
      <c r="P2408" s="50">
        <v>114.696</v>
      </c>
    </row>
    <row r="2409" spans="4:16" x14ac:dyDescent="0.2">
      <c r="D2409">
        <v>100001460</v>
      </c>
      <c r="E2409" s="49">
        <v>44484</v>
      </c>
      <c r="F2409" t="s">
        <v>3284</v>
      </c>
      <c r="G2409" t="s">
        <v>1751</v>
      </c>
      <c r="H2409">
        <v>10</v>
      </c>
      <c r="I2409">
        <v>21.9</v>
      </c>
      <c r="J2409" s="50">
        <v>219</v>
      </c>
      <c r="K2409" t="s">
        <v>1618</v>
      </c>
      <c r="M2409" t="s">
        <v>1629</v>
      </c>
      <c r="N2409">
        <v>11.56</v>
      </c>
      <c r="O2409" s="49">
        <v>44488</v>
      </c>
      <c r="P2409" s="50">
        <v>98.55</v>
      </c>
    </row>
    <row r="2410" spans="4:16" x14ac:dyDescent="0.2">
      <c r="D2410">
        <v>100001460</v>
      </c>
      <c r="E2410" s="49">
        <v>45337</v>
      </c>
      <c r="F2410" t="s">
        <v>3284</v>
      </c>
      <c r="G2410" t="s">
        <v>1676</v>
      </c>
      <c r="H2410">
        <v>2</v>
      </c>
      <c r="I2410">
        <v>19.059999999999999</v>
      </c>
      <c r="J2410" s="50">
        <v>38.119999999999997</v>
      </c>
      <c r="K2410" t="s">
        <v>1618</v>
      </c>
      <c r="M2410" t="s">
        <v>1621</v>
      </c>
      <c r="N2410">
        <v>10.06</v>
      </c>
      <c r="O2410" s="49">
        <v>45341</v>
      </c>
      <c r="P2410" s="50">
        <v>17.154</v>
      </c>
    </row>
    <row r="2411" spans="4:16" x14ac:dyDescent="0.2">
      <c r="D2411">
        <v>100001460</v>
      </c>
      <c r="E2411" s="49">
        <v>44708</v>
      </c>
      <c r="F2411" t="s">
        <v>3284</v>
      </c>
      <c r="G2411" t="s">
        <v>1762</v>
      </c>
      <c r="H2411">
        <v>3</v>
      </c>
      <c r="I2411">
        <v>79.680000000000007</v>
      </c>
      <c r="J2411" s="50">
        <v>239.04</v>
      </c>
      <c r="K2411" t="s">
        <v>1618</v>
      </c>
      <c r="M2411" t="s">
        <v>1619</v>
      </c>
      <c r="N2411">
        <v>42.05</v>
      </c>
      <c r="O2411" s="49">
        <v>44713</v>
      </c>
      <c r="P2411" s="50">
        <v>107.568</v>
      </c>
    </row>
    <row r="2412" spans="4:16" x14ac:dyDescent="0.2">
      <c r="D2412">
        <v>100001461</v>
      </c>
      <c r="E2412" s="49">
        <v>44562</v>
      </c>
      <c r="F2412" t="s">
        <v>3285</v>
      </c>
      <c r="G2412" t="s">
        <v>2192</v>
      </c>
      <c r="H2412">
        <v>8</v>
      </c>
      <c r="I2412">
        <v>89.89</v>
      </c>
      <c r="J2412" s="50">
        <v>719.12</v>
      </c>
      <c r="K2412" t="s">
        <v>1632</v>
      </c>
      <c r="M2412" t="s">
        <v>1629</v>
      </c>
      <c r="N2412">
        <v>47.44</v>
      </c>
      <c r="O2412" s="49">
        <v>44565</v>
      </c>
      <c r="P2412" s="50">
        <v>323.60399999999998</v>
      </c>
    </row>
    <row r="2413" spans="4:16" x14ac:dyDescent="0.2">
      <c r="D2413">
        <v>100001462</v>
      </c>
      <c r="E2413" s="49">
        <v>44477</v>
      </c>
      <c r="F2413" t="s">
        <v>3286</v>
      </c>
      <c r="G2413" t="s">
        <v>2633</v>
      </c>
      <c r="H2413">
        <v>8</v>
      </c>
      <c r="I2413">
        <v>55.39</v>
      </c>
      <c r="J2413" s="50">
        <v>443.12</v>
      </c>
      <c r="K2413" t="s">
        <v>1632</v>
      </c>
      <c r="L2413" t="s">
        <v>3287</v>
      </c>
      <c r="M2413" t="s">
        <v>1619</v>
      </c>
      <c r="N2413">
        <v>29.23</v>
      </c>
      <c r="O2413" s="49">
        <v>44480</v>
      </c>
      <c r="P2413" s="50">
        <v>199.404</v>
      </c>
    </row>
    <row r="2414" spans="4:16" x14ac:dyDescent="0.2">
      <c r="D2414">
        <v>100001463</v>
      </c>
      <c r="E2414" s="49">
        <v>44567</v>
      </c>
      <c r="F2414" t="s">
        <v>3288</v>
      </c>
      <c r="G2414" t="s">
        <v>1699</v>
      </c>
      <c r="H2414">
        <v>8</v>
      </c>
      <c r="I2414">
        <v>79.73</v>
      </c>
      <c r="J2414" s="50">
        <v>637.84</v>
      </c>
      <c r="K2414" t="s">
        <v>1618</v>
      </c>
      <c r="M2414" t="s">
        <v>1619</v>
      </c>
      <c r="N2414">
        <v>42.08</v>
      </c>
      <c r="O2414" s="49">
        <v>44569</v>
      </c>
      <c r="P2414" s="50">
        <v>287.02800000000002</v>
      </c>
    </row>
    <row r="2415" spans="4:16" x14ac:dyDescent="0.2">
      <c r="D2415">
        <v>100001464</v>
      </c>
      <c r="E2415" s="49">
        <v>44461</v>
      </c>
      <c r="F2415" t="s">
        <v>3289</v>
      </c>
      <c r="G2415" t="s">
        <v>2269</v>
      </c>
      <c r="H2415">
        <v>6</v>
      </c>
      <c r="I2415">
        <v>44.73</v>
      </c>
      <c r="J2415" s="50">
        <v>268.38</v>
      </c>
      <c r="K2415" t="s">
        <v>1632</v>
      </c>
      <c r="M2415" t="s">
        <v>1627</v>
      </c>
      <c r="N2415">
        <v>23.61</v>
      </c>
      <c r="O2415" s="49">
        <v>44466</v>
      </c>
      <c r="P2415" s="50">
        <v>120.771</v>
      </c>
    </row>
    <row r="2416" spans="4:16" x14ac:dyDescent="0.2">
      <c r="D2416">
        <v>100001465</v>
      </c>
      <c r="E2416" s="49">
        <v>44225</v>
      </c>
      <c r="F2416" t="s">
        <v>3290</v>
      </c>
      <c r="G2416" t="s">
        <v>2202</v>
      </c>
      <c r="H2416">
        <v>2</v>
      </c>
      <c r="I2416">
        <v>50.64</v>
      </c>
      <c r="J2416" s="50">
        <v>101.28</v>
      </c>
      <c r="K2416" t="s">
        <v>1618</v>
      </c>
      <c r="M2416" t="s">
        <v>1624</v>
      </c>
      <c r="N2416">
        <v>26.73</v>
      </c>
      <c r="O2416" s="49">
        <v>44226</v>
      </c>
      <c r="P2416" s="50">
        <v>45.576000000000001</v>
      </c>
    </row>
    <row r="2417" spans="4:16" x14ac:dyDescent="0.2">
      <c r="D2417">
        <v>100001466</v>
      </c>
      <c r="E2417" s="49">
        <v>44940</v>
      </c>
      <c r="F2417" t="s">
        <v>3291</v>
      </c>
      <c r="G2417" t="s">
        <v>2039</v>
      </c>
      <c r="H2417">
        <v>5</v>
      </c>
      <c r="I2417">
        <v>90.26</v>
      </c>
      <c r="J2417" s="50">
        <v>451.3</v>
      </c>
      <c r="K2417" t="s">
        <v>1632</v>
      </c>
      <c r="M2417" t="s">
        <v>1629</v>
      </c>
      <c r="N2417">
        <v>47.64</v>
      </c>
      <c r="O2417" s="49">
        <v>44941</v>
      </c>
      <c r="P2417" s="50">
        <v>203.08500000000001</v>
      </c>
    </row>
    <row r="2418" spans="4:16" x14ac:dyDescent="0.2">
      <c r="D2418">
        <v>100001467</v>
      </c>
      <c r="E2418" s="49">
        <v>44467</v>
      </c>
      <c r="F2418" t="s">
        <v>3292</v>
      </c>
      <c r="G2418" t="s">
        <v>2093</v>
      </c>
      <c r="H2418">
        <v>7</v>
      </c>
      <c r="I2418">
        <v>80.36</v>
      </c>
      <c r="J2418" s="50">
        <v>562.52</v>
      </c>
      <c r="K2418" t="s">
        <v>1632</v>
      </c>
      <c r="M2418" t="s">
        <v>1627</v>
      </c>
      <c r="N2418">
        <v>42.41</v>
      </c>
      <c r="O2418" s="49">
        <v>44472</v>
      </c>
      <c r="P2418" s="50">
        <v>253.13399999999999</v>
      </c>
    </row>
    <row r="2419" spans="4:16" x14ac:dyDescent="0.2">
      <c r="D2419">
        <v>100001467</v>
      </c>
      <c r="E2419" s="49">
        <v>45457</v>
      </c>
      <c r="F2419" t="s">
        <v>3292</v>
      </c>
      <c r="G2419" t="s">
        <v>2427</v>
      </c>
      <c r="H2419">
        <v>10</v>
      </c>
      <c r="I2419">
        <v>59.02</v>
      </c>
      <c r="J2419" s="50">
        <v>590.20000000000005</v>
      </c>
      <c r="K2419" t="s">
        <v>1632</v>
      </c>
      <c r="M2419" t="s">
        <v>1627</v>
      </c>
      <c r="N2419">
        <v>31.15</v>
      </c>
      <c r="O2419" s="49">
        <v>45460</v>
      </c>
      <c r="P2419" s="50">
        <v>265.59000000000003</v>
      </c>
    </row>
    <row r="2420" spans="4:16" x14ac:dyDescent="0.2">
      <c r="D2420">
        <v>100001467</v>
      </c>
      <c r="E2420" s="49">
        <v>45416</v>
      </c>
      <c r="F2420" t="s">
        <v>3292</v>
      </c>
      <c r="G2420" t="s">
        <v>1990</v>
      </c>
      <c r="H2420">
        <v>8</v>
      </c>
      <c r="I2420">
        <v>78.33</v>
      </c>
      <c r="J2420" s="50">
        <v>626.64</v>
      </c>
      <c r="K2420" t="s">
        <v>1632</v>
      </c>
      <c r="M2420" t="s">
        <v>1621</v>
      </c>
      <c r="N2420">
        <v>41.34</v>
      </c>
      <c r="O2420" s="49">
        <v>45418</v>
      </c>
      <c r="P2420" s="50">
        <v>281.988</v>
      </c>
    </row>
    <row r="2421" spans="4:16" x14ac:dyDescent="0.2">
      <c r="D2421">
        <v>100001467</v>
      </c>
      <c r="E2421" s="49">
        <v>44822</v>
      </c>
      <c r="F2421" t="s">
        <v>3292</v>
      </c>
      <c r="G2421" t="s">
        <v>2628</v>
      </c>
      <c r="H2421">
        <v>4</v>
      </c>
      <c r="I2421">
        <v>118.18</v>
      </c>
      <c r="J2421" s="50">
        <v>472.72</v>
      </c>
      <c r="K2421" t="s">
        <v>1632</v>
      </c>
      <c r="M2421" t="s">
        <v>1619</v>
      </c>
      <c r="N2421">
        <v>62.37</v>
      </c>
      <c r="O2421" s="49">
        <v>44827</v>
      </c>
      <c r="P2421" s="50">
        <v>212.72400000000002</v>
      </c>
    </row>
    <row r="2422" spans="4:16" x14ac:dyDescent="0.2">
      <c r="D2422">
        <v>100001468</v>
      </c>
      <c r="E2422" s="49">
        <v>45255</v>
      </c>
      <c r="F2422" t="s">
        <v>3293</v>
      </c>
      <c r="G2422" t="s">
        <v>1740</v>
      </c>
      <c r="H2422">
        <v>4</v>
      </c>
      <c r="I2422">
        <v>97.59</v>
      </c>
      <c r="J2422" s="50">
        <v>390.36</v>
      </c>
      <c r="K2422" t="s">
        <v>1618</v>
      </c>
      <c r="L2422" t="s">
        <v>3294</v>
      </c>
      <c r="M2422" t="s">
        <v>1629</v>
      </c>
      <c r="N2422">
        <v>51.51</v>
      </c>
      <c r="O2422" s="49">
        <v>45260</v>
      </c>
      <c r="P2422" s="50">
        <v>175.66200000000001</v>
      </c>
    </row>
    <row r="2423" spans="4:16" x14ac:dyDescent="0.2">
      <c r="D2423">
        <v>100001470</v>
      </c>
      <c r="E2423" s="49">
        <v>44884</v>
      </c>
      <c r="F2423" t="s">
        <v>3295</v>
      </c>
      <c r="G2423" t="s">
        <v>2099</v>
      </c>
      <c r="H2423">
        <v>2</v>
      </c>
      <c r="I2423">
        <v>119.05</v>
      </c>
      <c r="J2423" s="50">
        <v>238.1</v>
      </c>
      <c r="K2423" t="s">
        <v>1618</v>
      </c>
      <c r="M2423" t="s">
        <v>1624</v>
      </c>
      <c r="N2423">
        <v>62.83</v>
      </c>
      <c r="O2423" s="49">
        <v>44886</v>
      </c>
      <c r="P2423" s="50">
        <v>107.145</v>
      </c>
    </row>
    <row r="2424" spans="4:16" x14ac:dyDescent="0.2">
      <c r="D2424">
        <v>100001472</v>
      </c>
      <c r="E2424" s="49">
        <v>45247</v>
      </c>
      <c r="F2424" t="s">
        <v>3296</v>
      </c>
      <c r="G2424" t="s">
        <v>1762</v>
      </c>
      <c r="H2424">
        <v>3</v>
      </c>
      <c r="I2424">
        <v>34.75</v>
      </c>
      <c r="J2424" s="50">
        <v>104.25</v>
      </c>
      <c r="K2424" t="s">
        <v>1618</v>
      </c>
      <c r="L2424" t="s">
        <v>3297</v>
      </c>
      <c r="M2424" t="s">
        <v>1619</v>
      </c>
      <c r="N2424">
        <v>18.34</v>
      </c>
      <c r="O2424" s="49">
        <v>45249</v>
      </c>
      <c r="P2424" s="50">
        <v>46.912500000000001</v>
      </c>
    </row>
    <row r="2425" spans="4:16" x14ac:dyDescent="0.2">
      <c r="D2425">
        <v>100001473</v>
      </c>
      <c r="E2425" s="49">
        <v>45489</v>
      </c>
      <c r="F2425" t="s">
        <v>3298</v>
      </c>
      <c r="G2425" t="s">
        <v>2086</v>
      </c>
      <c r="H2425">
        <v>1</v>
      </c>
      <c r="I2425">
        <v>10.72</v>
      </c>
      <c r="J2425" s="50">
        <v>10.72</v>
      </c>
      <c r="K2425" t="s">
        <v>1618</v>
      </c>
      <c r="M2425" t="s">
        <v>1624</v>
      </c>
      <c r="N2425">
        <v>5.66</v>
      </c>
      <c r="O2425" s="49">
        <v>45493</v>
      </c>
      <c r="P2425" s="50">
        <v>4.8240000000000007</v>
      </c>
    </row>
    <row r="2426" spans="4:16" x14ac:dyDescent="0.2">
      <c r="D2426">
        <v>100001473</v>
      </c>
      <c r="E2426" s="49">
        <v>45267</v>
      </c>
      <c r="F2426" t="s">
        <v>3298</v>
      </c>
      <c r="G2426" t="s">
        <v>1701</v>
      </c>
      <c r="H2426">
        <v>2</v>
      </c>
      <c r="I2426">
        <v>36.28</v>
      </c>
      <c r="J2426" s="50">
        <v>72.56</v>
      </c>
      <c r="K2426" t="s">
        <v>1618</v>
      </c>
      <c r="M2426" t="s">
        <v>1624</v>
      </c>
      <c r="N2426">
        <v>19.149999999999999</v>
      </c>
      <c r="O2426" s="49">
        <v>45270</v>
      </c>
      <c r="P2426" s="50">
        <v>32.652000000000001</v>
      </c>
    </row>
    <row r="2427" spans="4:16" x14ac:dyDescent="0.2">
      <c r="D2427">
        <v>100001473</v>
      </c>
      <c r="E2427" s="49">
        <v>44875</v>
      </c>
      <c r="F2427" t="s">
        <v>3298</v>
      </c>
      <c r="G2427" t="s">
        <v>2134</v>
      </c>
      <c r="H2427">
        <v>2</v>
      </c>
      <c r="I2427">
        <v>107.1</v>
      </c>
      <c r="J2427" s="50">
        <v>214.2</v>
      </c>
      <c r="K2427" t="s">
        <v>1618</v>
      </c>
      <c r="M2427" t="s">
        <v>1621</v>
      </c>
      <c r="N2427">
        <v>56.52</v>
      </c>
      <c r="O2427" s="49">
        <v>44880</v>
      </c>
      <c r="P2427" s="50">
        <v>96.39</v>
      </c>
    </row>
    <row r="2428" spans="4:16" x14ac:dyDescent="0.2">
      <c r="D2428">
        <v>100001474</v>
      </c>
      <c r="E2428" s="49">
        <v>45335</v>
      </c>
      <c r="F2428" t="s">
        <v>3299</v>
      </c>
      <c r="G2428" t="s">
        <v>1749</v>
      </c>
      <c r="H2428">
        <v>1</v>
      </c>
      <c r="I2428">
        <v>112.21</v>
      </c>
      <c r="J2428" s="50">
        <v>112.21</v>
      </c>
      <c r="K2428" t="s">
        <v>1618</v>
      </c>
      <c r="L2428" t="s">
        <v>3300</v>
      </c>
      <c r="M2428" t="s">
        <v>1627</v>
      </c>
      <c r="N2428">
        <v>59.22</v>
      </c>
      <c r="O2428" s="49">
        <v>45337</v>
      </c>
      <c r="P2428" s="50">
        <v>50.494499999999995</v>
      </c>
    </row>
    <row r="2429" spans="4:16" x14ac:dyDescent="0.2">
      <c r="D2429">
        <v>100001474</v>
      </c>
      <c r="E2429" s="49">
        <v>44918</v>
      </c>
      <c r="F2429" t="s">
        <v>3299</v>
      </c>
      <c r="G2429" t="s">
        <v>2134</v>
      </c>
      <c r="H2429">
        <v>2</v>
      </c>
      <c r="I2429">
        <v>14.71</v>
      </c>
      <c r="J2429" s="50">
        <v>29.42</v>
      </c>
      <c r="K2429" t="s">
        <v>1618</v>
      </c>
      <c r="L2429" t="s">
        <v>3300</v>
      </c>
      <c r="M2429" t="s">
        <v>1621</v>
      </c>
      <c r="N2429">
        <v>7.76</v>
      </c>
      <c r="O2429" s="49">
        <v>44920</v>
      </c>
      <c r="P2429" s="50">
        <v>13.239000000000001</v>
      </c>
    </row>
    <row r="2430" spans="4:16" x14ac:dyDescent="0.2">
      <c r="D2430">
        <v>100001474</v>
      </c>
      <c r="E2430" s="49">
        <v>44794</v>
      </c>
      <c r="F2430" t="s">
        <v>3299</v>
      </c>
      <c r="G2430" t="s">
        <v>1828</v>
      </c>
      <c r="H2430">
        <v>5</v>
      </c>
      <c r="I2430">
        <v>107.78</v>
      </c>
      <c r="J2430" s="50">
        <v>538.9</v>
      </c>
      <c r="K2430" t="s">
        <v>1618</v>
      </c>
      <c r="L2430" t="s">
        <v>3300</v>
      </c>
      <c r="M2430" t="s">
        <v>1627</v>
      </c>
      <c r="N2430">
        <v>56.88</v>
      </c>
      <c r="O2430" s="49">
        <v>44796</v>
      </c>
      <c r="P2430" s="50">
        <v>242.505</v>
      </c>
    </row>
    <row r="2431" spans="4:16" x14ac:dyDescent="0.2">
      <c r="D2431">
        <v>100001474</v>
      </c>
      <c r="E2431" s="49">
        <v>45016</v>
      </c>
      <c r="F2431" t="s">
        <v>3299</v>
      </c>
      <c r="G2431" t="s">
        <v>1726</v>
      </c>
      <c r="H2431">
        <v>2</v>
      </c>
      <c r="I2431">
        <v>23.26</v>
      </c>
      <c r="J2431" s="50">
        <v>46.52</v>
      </c>
      <c r="K2431" t="s">
        <v>1618</v>
      </c>
      <c r="L2431" t="s">
        <v>3300</v>
      </c>
      <c r="M2431" t="s">
        <v>1621</v>
      </c>
      <c r="N2431">
        <v>12.28</v>
      </c>
      <c r="O2431" s="49">
        <v>45018</v>
      </c>
      <c r="P2431" s="50">
        <v>20.934000000000001</v>
      </c>
    </row>
    <row r="2432" spans="4:16" x14ac:dyDescent="0.2">
      <c r="D2432">
        <v>100001474</v>
      </c>
      <c r="E2432" s="49">
        <v>44380</v>
      </c>
      <c r="F2432" t="s">
        <v>3299</v>
      </c>
      <c r="G2432" t="s">
        <v>1643</v>
      </c>
      <c r="H2432">
        <v>9</v>
      </c>
      <c r="I2432">
        <v>54.27</v>
      </c>
      <c r="J2432" s="50">
        <v>488.43</v>
      </c>
      <c r="K2432" t="s">
        <v>1618</v>
      </c>
      <c r="L2432" t="s">
        <v>3300</v>
      </c>
      <c r="M2432" t="s">
        <v>1629</v>
      </c>
      <c r="N2432">
        <v>28.64</v>
      </c>
      <c r="O2432" s="49">
        <v>44384</v>
      </c>
      <c r="P2432" s="50">
        <v>219.79349999999999</v>
      </c>
    </row>
    <row r="2433" spans="4:16" x14ac:dyDescent="0.2">
      <c r="D2433">
        <v>100001475</v>
      </c>
      <c r="E2433" s="49">
        <v>44977</v>
      </c>
      <c r="F2433" t="s">
        <v>3301</v>
      </c>
      <c r="G2433" t="s">
        <v>2291</v>
      </c>
      <c r="H2433">
        <v>1</v>
      </c>
      <c r="I2433">
        <v>91.59</v>
      </c>
      <c r="J2433" s="50">
        <v>91.59</v>
      </c>
      <c r="K2433" t="s">
        <v>1618</v>
      </c>
      <c r="M2433" t="s">
        <v>1629</v>
      </c>
      <c r="N2433">
        <v>48.34</v>
      </c>
      <c r="O2433" s="49">
        <v>44981</v>
      </c>
      <c r="P2433" s="50">
        <v>41.215500000000006</v>
      </c>
    </row>
    <row r="2434" spans="4:16" x14ac:dyDescent="0.2">
      <c r="D2434">
        <v>100001475</v>
      </c>
      <c r="E2434" s="49">
        <v>45449</v>
      </c>
      <c r="F2434" t="s">
        <v>3301</v>
      </c>
      <c r="G2434" t="s">
        <v>1945</v>
      </c>
      <c r="H2434">
        <v>1</v>
      </c>
      <c r="I2434">
        <v>73.05</v>
      </c>
      <c r="J2434" s="50">
        <v>73.05</v>
      </c>
      <c r="K2434" t="s">
        <v>1618</v>
      </c>
      <c r="M2434" t="s">
        <v>1624</v>
      </c>
      <c r="N2434">
        <v>38.549999999999997</v>
      </c>
      <c r="O2434" s="49">
        <v>45451</v>
      </c>
      <c r="P2434" s="50">
        <v>32.872500000000002</v>
      </c>
    </row>
    <row r="2435" spans="4:16" x14ac:dyDescent="0.2">
      <c r="D2435">
        <v>100001475</v>
      </c>
      <c r="E2435" s="49">
        <v>45207</v>
      </c>
      <c r="F2435" t="s">
        <v>3301</v>
      </c>
      <c r="G2435" t="s">
        <v>2019</v>
      </c>
      <c r="H2435">
        <v>8</v>
      </c>
      <c r="I2435">
        <v>113.93</v>
      </c>
      <c r="J2435" s="50">
        <v>911.44</v>
      </c>
      <c r="K2435" t="s">
        <v>1618</v>
      </c>
      <c r="M2435" t="s">
        <v>1619</v>
      </c>
      <c r="N2435">
        <v>60.13</v>
      </c>
      <c r="O2435" s="49">
        <v>45208</v>
      </c>
      <c r="P2435" s="50">
        <v>410.14800000000002</v>
      </c>
    </row>
    <row r="2436" spans="4:16" x14ac:dyDescent="0.2">
      <c r="D2436">
        <v>100001475</v>
      </c>
      <c r="E2436" s="49">
        <v>45394</v>
      </c>
      <c r="F2436" t="s">
        <v>3301</v>
      </c>
      <c r="G2436" t="s">
        <v>2130</v>
      </c>
      <c r="H2436">
        <v>7</v>
      </c>
      <c r="I2436">
        <v>86.13</v>
      </c>
      <c r="J2436" s="50">
        <v>602.91</v>
      </c>
      <c r="K2436" t="s">
        <v>1618</v>
      </c>
      <c r="M2436" t="s">
        <v>1624</v>
      </c>
      <c r="N2436">
        <v>45.46</v>
      </c>
      <c r="O2436" s="49">
        <v>45398</v>
      </c>
      <c r="P2436" s="50">
        <v>271.30950000000001</v>
      </c>
    </row>
    <row r="2437" spans="4:16" x14ac:dyDescent="0.2">
      <c r="D2437">
        <v>100001475</v>
      </c>
      <c r="E2437" s="49">
        <v>44569</v>
      </c>
      <c r="F2437" t="s">
        <v>3301</v>
      </c>
      <c r="G2437" t="s">
        <v>1709</v>
      </c>
      <c r="H2437">
        <v>2</v>
      </c>
      <c r="I2437">
        <v>14.9</v>
      </c>
      <c r="J2437" s="50">
        <v>29.8</v>
      </c>
      <c r="K2437" t="s">
        <v>1618</v>
      </c>
      <c r="M2437" t="s">
        <v>1624</v>
      </c>
      <c r="N2437">
        <v>7.86</v>
      </c>
      <c r="O2437" s="49">
        <v>44572</v>
      </c>
      <c r="P2437" s="50">
        <v>13.41</v>
      </c>
    </row>
    <row r="2438" spans="4:16" x14ac:dyDescent="0.2">
      <c r="D2438">
        <v>100001476</v>
      </c>
      <c r="E2438" s="49">
        <v>44534</v>
      </c>
      <c r="F2438" t="s">
        <v>3302</v>
      </c>
      <c r="G2438" t="s">
        <v>2150</v>
      </c>
      <c r="H2438">
        <v>10</v>
      </c>
      <c r="I2438">
        <v>107.92</v>
      </c>
      <c r="J2438" s="50">
        <v>1079.2</v>
      </c>
      <c r="K2438" t="s">
        <v>1632</v>
      </c>
      <c r="M2438" t="s">
        <v>1629</v>
      </c>
      <c r="N2438">
        <v>56.96</v>
      </c>
      <c r="O2438" s="49">
        <v>44537</v>
      </c>
      <c r="P2438" s="50">
        <v>485.64000000000004</v>
      </c>
    </row>
    <row r="2439" spans="4:16" x14ac:dyDescent="0.2">
      <c r="D2439">
        <v>100001476</v>
      </c>
      <c r="E2439" s="49">
        <v>44634</v>
      </c>
      <c r="F2439" t="s">
        <v>3302</v>
      </c>
      <c r="G2439" t="s">
        <v>1953</v>
      </c>
      <c r="H2439">
        <v>5</v>
      </c>
      <c r="I2439">
        <v>42.76</v>
      </c>
      <c r="J2439" s="50">
        <v>213.8</v>
      </c>
      <c r="K2439" t="s">
        <v>1632</v>
      </c>
      <c r="M2439" t="s">
        <v>1619</v>
      </c>
      <c r="N2439">
        <v>22.57</v>
      </c>
      <c r="O2439" s="49">
        <v>44637</v>
      </c>
      <c r="P2439" s="50">
        <v>96.210000000000008</v>
      </c>
    </row>
    <row r="2440" spans="4:16" x14ac:dyDescent="0.2">
      <c r="D2440">
        <v>100001476</v>
      </c>
      <c r="E2440" s="49">
        <v>45087</v>
      </c>
      <c r="F2440" t="s">
        <v>3302</v>
      </c>
      <c r="G2440" t="s">
        <v>1955</v>
      </c>
      <c r="H2440">
        <v>8</v>
      </c>
      <c r="I2440">
        <v>117.9</v>
      </c>
      <c r="J2440" s="50">
        <v>943.2</v>
      </c>
      <c r="K2440" t="s">
        <v>1632</v>
      </c>
      <c r="M2440" t="s">
        <v>1627</v>
      </c>
      <c r="N2440">
        <v>62.22</v>
      </c>
      <c r="O2440" s="49">
        <v>45092</v>
      </c>
      <c r="P2440" s="50">
        <v>424.44000000000005</v>
      </c>
    </row>
    <row r="2441" spans="4:16" x14ac:dyDescent="0.2">
      <c r="D2441">
        <v>100001476</v>
      </c>
      <c r="E2441" s="49">
        <v>45424</v>
      </c>
      <c r="F2441" t="s">
        <v>3302</v>
      </c>
      <c r="G2441" t="s">
        <v>2331</v>
      </c>
      <c r="H2441">
        <v>8</v>
      </c>
      <c r="I2441">
        <v>31.01</v>
      </c>
      <c r="J2441" s="50">
        <v>248.08</v>
      </c>
      <c r="K2441" t="s">
        <v>1632</v>
      </c>
      <c r="M2441" t="s">
        <v>1624</v>
      </c>
      <c r="N2441">
        <v>16.37</v>
      </c>
      <c r="O2441" s="49">
        <v>45429</v>
      </c>
      <c r="P2441" s="50">
        <v>111.63600000000001</v>
      </c>
    </row>
    <row r="2442" spans="4:16" x14ac:dyDescent="0.2">
      <c r="D2442">
        <v>100001476</v>
      </c>
      <c r="E2442" s="49">
        <v>45292</v>
      </c>
      <c r="F2442" t="s">
        <v>3302</v>
      </c>
      <c r="G2442" t="s">
        <v>2302</v>
      </c>
      <c r="H2442">
        <v>10</v>
      </c>
      <c r="I2442">
        <v>73.98</v>
      </c>
      <c r="J2442" s="50">
        <v>739.80000000000007</v>
      </c>
      <c r="K2442" t="s">
        <v>1632</v>
      </c>
      <c r="M2442" t="s">
        <v>1624</v>
      </c>
      <c r="N2442">
        <v>39.04</v>
      </c>
      <c r="O2442" s="49">
        <v>45295</v>
      </c>
      <c r="P2442" s="50">
        <v>332.91</v>
      </c>
    </row>
    <row r="2443" spans="4:16" x14ac:dyDescent="0.2">
      <c r="D2443">
        <v>100001476</v>
      </c>
      <c r="E2443" s="49">
        <v>45334</v>
      </c>
      <c r="F2443" t="s">
        <v>3302</v>
      </c>
      <c r="G2443" t="s">
        <v>1649</v>
      </c>
      <c r="H2443">
        <v>9</v>
      </c>
      <c r="I2443">
        <v>86.14</v>
      </c>
      <c r="J2443" s="50">
        <v>775.26</v>
      </c>
      <c r="K2443" t="s">
        <v>1632</v>
      </c>
      <c r="M2443" t="s">
        <v>1627</v>
      </c>
      <c r="N2443">
        <v>45.46</v>
      </c>
      <c r="O2443" s="49">
        <v>45339</v>
      </c>
      <c r="P2443" s="50">
        <v>348.86700000000002</v>
      </c>
    </row>
    <row r="2444" spans="4:16" x14ac:dyDescent="0.2">
      <c r="D2444">
        <v>100001477</v>
      </c>
      <c r="E2444" s="49">
        <v>45569</v>
      </c>
      <c r="F2444" t="s">
        <v>3303</v>
      </c>
      <c r="G2444" t="s">
        <v>1655</v>
      </c>
      <c r="H2444">
        <v>4</v>
      </c>
      <c r="I2444">
        <v>104.17</v>
      </c>
      <c r="J2444" s="50">
        <v>416.68</v>
      </c>
      <c r="K2444" t="s">
        <v>1632</v>
      </c>
      <c r="L2444" t="s">
        <v>2680</v>
      </c>
      <c r="M2444" t="s">
        <v>1624</v>
      </c>
      <c r="N2444">
        <v>54.98</v>
      </c>
      <c r="O2444" s="49">
        <v>45570</v>
      </c>
      <c r="P2444" s="50">
        <v>187.506</v>
      </c>
    </row>
    <row r="2445" spans="4:16" x14ac:dyDescent="0.2">
      <c r="D2445">
        <v>100001480</v>
      </c>
      <c r="E2445" s="49">
        <v>45627</v>
      </c>
      <c r="F2445" t="s">
        <v>3304</v>
      </c>
      <c r="G2445" t="s">
        <v>2305</v>
      </c>
      <c r="H2445">
        <v>3</v>
      </c>
      <c r="I2445">
        <v>108.51</v>
      </c>
      <c r="J2445" s="50">
        <v>325.52999999999997</v>
      </c>
      <c r="K2445" t="s">
        <v>1632</v>
      </c>
      <c r="L2445" t="s">
        <v>3305</v>
      </c>
      <c r="M2445" t="s">
        <v>1627</v>
      </c>
      <c r="N2445">
        <v>57.27</v>
      </c>
      <c r="O2445" s="49">
        <v>45628</v>
      </c>
      <c r="P2445" s="50">
        <v>146.48849999999999</v>
      </c>
    </row>
    <row r="2446" spans="4:16" x14ac:dyDescent="0.2">
      <c r="D2446">
        <v>100001481</v>
      </c>
      <c r="E2446" s="49">
        <v>44613</v>
      </c>
      <c r="F2446" t="s">
        <v>3306</v>
      </c>
      <c r="G2446" t="s">
        <v>2003</v>
      </c>
      <c r="H2446">
        <v>5</v>
      </c>
      <c r="I2446">
        <v>118.18</v>
      </c>
      <c r="J2446" s="50">
        <v>590.90000000000009</v>
      </c>
      <c r="K2446" t="s">
        <v>1618</v>
      </c>
      <c r="M2446" t="s">
        <v>1624</v>
      </c>
      <c r="N2446">
        <v>62.37</v>
      </c>
      <c r="O2446" s="49">
        <v>44617</v>
      </c>
      <c r="P2446" s="50">
        <v>265.90500000000003</v>
      </c>
    </row>
    <row r="2447" spans="4:16" x14ac:dyDescent="0.2">
      <c r="D2447">
        <v>100001483</v>
      </c>
      <c r="E2447" s="49">
        <v>44959</v>
      </c>
      <c r="F2447" t="s">
        <v>3307</v>
      </c>
      <c r="G2447" t="s">
        <v>2387</v>
      </c>
      <c r="H2447">
        <v>8</v>
      </c>
      <c r="I2447">
        <v>79.739999999999995</v>
      </c>
      <c r="J2447" s="50">
        <v>637.91999999999996</v>
      </c>
      <c r="K2447" t="s">
        <v>1632</v>
      </c>
      <c r="M2447" t="s">
        <v>1621</v>
      </c>
      <c r="N2447">
        <v>42.08</v>
      </c>
      <c r="O2447" s="49">
        <v>44961</v>
      </c>
      <c r="P2447" s="50">
        <v>287.06399999999996</v>
      </c>
    </row>
    <row r="2448" spans="4:16" x14ac:dyDescent="0.2">
      <c r="D2448">
        <v>100001483</v>
      </c>
      <c r="E2448" s="49">
        <v>45466</v>
      </c>
      <c r="F2448" t="s">
        <v>3307</v>
      </c>
      <c r="G2448" t="s">
        <v>1848</v>
      </c>
      <c r="H2448">
        <v>8</v>
      </c>
      <c r="I2448">
        <v>102.66</v>
      </c>
      <c r="J2448" s="50">
        <v>821.28</v>
      </c>
      <c r="K2448" t="s">
        <v>1632</v>
      </c>
      <c r="M2448" t="s">
        <v>1621</v>
      </c>
      <c r="N2448">
        <v>54.18</v>
      </c>
      <c r="O2448" s="49">
        <v>45467</v>
      </c>
      <c r="P2448" s="50">
        <v>369.57600000000002</v>
      </c>
    </row>
    <row r="2449" spans="4:16" x14ac:dyDescent="0.2">
      <c r="D2449">
        <v>100001484</v>
      </c>
      <c r="E2449" s="49">
        <v>44486</v>
      </c>
      <c r="F2449" t="s">
        <v>3308</v>
      </c>
      <c r="G2449" t="s">
        <v>2065</v>
      </c>
      <c r="H2449">
        <v>1</v>
      </c>
      <c r="I2449">
        <v>74.180000000000007</v>
      </c>
      <c r="J2449" s="50">
        <v>74.180000000000007</v>
      </c>
      <c r="K2449" t="s">
        <v>1618</v>
      </c>
      <c r="M2449" t="s">
        <v>1629</v>
      </c>
      <c r="N2449">
        <v>39.15</v>
      </c>
      <c r="O2449" s="49">
        <v>44489</v>
      </c>
      <c r="P2449" s="50">
        <v>33.381000000000007</v>
      </c>
    </row>
    <row r="2450" spans="4:16" x14ac:dyDescent="0.2">
      <c r="D2450">
        <v>100001486</v>
      </c>
      <c r="E2450" s="49">
        <v>44988</v>
      </c>
      <c r="F2450" t="s">
        <v>3309</v>
      </c>
      <c r="G2450" t="s">
        <v>2074</v>
      </c>
      <c r="H2450">
        <v>6</v>
      </c>
      <c r="I2450">
        <v>85.37</v>
      </c>
      <c r="J2450" s="50">
        <v>512.22</v>
      </c>
      <c r="K2450" t="s">
        <v>1632</v>
      </c>
      <c r="L2450" t="s">
        <v>3310</v>
      </c>
      <c r="M2450" t="s">
        <v>1624</v>
      </c>
      <c r="N2450">
        <v>45.06</v>
      </c>
      <c r="O2450" s="49">
        <v>44989</v>
      </c>
      <c r="P2450" s="50">
        <v>230.49900000000002</v>
      </c>
    </row>
    <row r="2451" spans="4:16" x14ac:dyDescent="0.2">
      <c r="D2451">
        <v>100001487</v>
      </c>
      <c r="E2451" s="49">
        <v>44768</v>
      </c>
      <c r="F2451" t="s">
        <v>3311</v>
      </c>
      <c r="G2451" t="s">
        <v>1709</v>
      </c>
      <c r="H2451">
        <v>7</v>
      </c>
      <c r="I2451">
        <v>22.28</v>
      </c>
      <c r="J2451" s="50">
        <v>155.96</v>
      </c>
      <c r="K2451" t="s">
        <v>1618</v>
      </c>
      <c r="M2451" t="s">
        <v>1627</v>
      </c>
      <c r="N2451">
        <v>11.76</v>
      </c>
      <c r="O2451" s="49">
        <v>44770</v>
      </c>
      <c r="P2451" s="50">
        <v>70.182000000000002</v>
      </c>
    </row>
    <row r="2452" spans="4:16" x14ac:dyDescent="0.2">
      <c r="D2452">
        <v>100001487</v>
      </c>
      <c r="E2452" s="49">
        <v>44890</v>
      </c>
      <c r="F2452" t="s">
        <v>3311</v>
      </c>
      <c r="G2452" t="s">
        <v>1781</v>
      </c>
      <c r="H2452">
        <v>1</v>
      </c>
      <c r="I2452">
        <v>20.96</v>
      </c>
      <c r="J2452" s="50">
        <v>20.96</v>
      </c>
      <c r="K2452" t="s">
        <v>1618</v>
      </c>
      <c r="M2452" t="s">
        <v>1624</v>
      </c>
      <c r="N2452">
        <v>11.06</v>
      </c>
      <c r="O2452" s="49">
        <v>44895</v>
      </c>
      <c r="P2452" s="50">
        <v>9.4320000000000004</v>
      </c>
    </row>
    <row r="2453" spans="4:16" x14ac:dyDescent="0.2">
      <c r="D2453">
        <v>100001488</v>
      </c>
      <c r="E2453" s="49">
        <v>45447</v>
      </c>
      <c r="F2453" t="s">
        <v>3312</v>
      </c>
      <c r="G2453" t="s">
        <v>1848</v>
      </c>
      <c r="H2453">
        <v>8</v>
      </c>
      <c r="I2453">
        <v>43.04</v>
      </c>
      <c r="J2453" s="50">
        <v>344.32</v>
      </c>
      <c r="K2453" t="s">
        <v>1618</v>
      </c>
      <c r="M2453" t="s">
        <v>1629</v>
      </c>
      <c r="N2453">
        <v>22.72</v>
      </c>
      <c r="O2453" s="49">
        <v>45448</v>
      </c>
      <c r="P2453" s="50">
        <v>154.94399999999999</v>
      </c>
    </row>
    <row r="2454" spans="4:16" x14ac:dyDescent="0.2">
      <c r="D2454">
        <v>100001488</v>
      </c>
      <c r="E2454" s="49">
        <v>45066</v>
      </c>
      <c r="F2454" t="s">
        <v>3312</v>
      </c>
      <c r="G2454" t="s">
        <v>2372</v>
      </c>
      <c r="H2454">
        <v>1</v>
      </c>
      <c r="I2454">
        <v>58.97</v>
      </c>
      <c r="J2454" s="50">
        <v>58.97</v>
      </c>
      <c r="K2454" t="s">
        <v>1618</v>
      </c>
      <c r="M2454" t="s">
        <v>1629</v>
      </c>
      <c r="N2454">
        <v>31.12</v>
      </c>
      <c r="O2454" s="49">
        <v>45068</v>
      </c>
      <c r="P2454" s="50">
        <v>26.5365</v>
      </c>
    </row>
    <row r="2455" spans="4:16" x14ac:dyDescent="0.2">
      <c r="D2455">
        <v>100001488</v>
      </c>
      <c r="E2455" s="49">
        <v>44795</v>
      </c>
      <c r="F2455" t="s">
        <v>3312</v>
      </c>
      <c r="G2455" t="s">
        <v>3075</v>
      </c>
      <c r="H2455">
        <v>6</v>
      </c>
      <c r="I2455">
        <v>18.47</v>
      </c>
      <c r="J2455" s="50">
        <v>110.82</v>
      </c>
      <c r="K2455" t="s">
        <v>1618</v>
      </c>
      <c r="M2455" t="s">
        <v>1629</v>
      </c>
      <c r="N2455">
        <v>9.75</v>
      </c>
      <c r="O2455" s="49">
        <v>44797</v>
      </c>
      <c r="P2455" s="50">
        <v>49.869</v>
      </c>
    </row>
    <row r="2456" spans="4:16" x14ac:dyDescent="0.2">
      <c r="D2456">
        <v>100001488</v>
      </c>
      <c r="E2456" s="49">
        <v>44486</v>
      </c>
      <c r="F2456" t="s">
        <v>3312</v>
      </c>
      <c r="G2456" t="s">
        <v>2278</v>
      </c>
      <c r="H2456">
        <v>9</v>
      </c>
      <c r="I2456">
        <v>110.3</v>
      </c>
      <c r="J2456" s="50">
        <v>992.69999999999993</v>
      </c>
      <c r="K2456" t="s">
        <v>1618</v>
      </c>
      <c r="M2456" t="s">
        <v>1627</v>
      </c>
      <c r="N2456">
        <v>58.21</v>
      </c>
      <c r="O2456" s="49">
        <v>44488</v>
      </c>
      <c r="P2456" s="50">
        <v>446.71499999999997</v>
      </c>
    </row>
    <row r="2457" spans="4:16" x14ac:dyDescent="0.2">
      <c r="D2457">
        <v>100001488</v>
      </c>
      <c r="E2457" s="49">
        <v>45628</v>
      </c>
      <c r="F2457" t="s">
        <v>3312</v>
      </c>
      <c r="G2457" t="s">
        <v>1727</v>
      </c>
      <c r="H2457">
        <v>4</v>
      </c>
      <c r="I2457">
        <v>97.51</v>
      </c>
      <c r="J2457" s="50">
        <v>390.04</v>
      </c>
      <c r="K2457" t="s">
        <v>1618</v>
      </c>
      <c r="M2457" t="s">
        <v>1624</v>
      </c>
      <c r="N2457">
        <v>51.46</v>
      </c>
      <c r="O2457" s="49">
        <v>45631</v>
      </c>
      <c r="P2457" s="50">
        <v>175.518</v>
      </c>
    </row>
    <row r="2458" spans="4:16" x14ac:dyDescent="0.2">
      <c r="D2458">
        <v>100001488</v>
      </c>
      <c r="E2458" s="49">
        <v>45330</v>
      </c>
      <c r="F2458" t="s">
        <v>3312</v>
      </c>
      <c r="G2458" t="s">
        <v>3075</v>
      </c>
      <c r="H2458">
        <v>2</v>
      </c>
      <c r="I2458">
        <v>71.680000000000007</v>
      </c>
      <c r="J2458" s="50">
        <v>143.36000000000001</v>
      </c>
      <c r="K2458" t="s">
        <v>1618</v>
      </c>
      <c r="M2458" t="s">
        <v>1619</v>
      </c>
      <c r="N2458">
        <v>37.83</v>
      </c>
      <c r="O2458" s="49">
        <v>45331</v>
      </c>
      <c r="P2458" s="50">
        <v>64.512000000000015</v>
      </c>
    </row>
    <row r="2459" spans="4:16" x14ac:dyDescent="0.2">
      <c r="D2459">
        <v>100001489</v>
      </c>
      <c r="E2459" s="49">
        <v>44796</v>
      </c>
      <c r="F2459" t="s">
        <v>3313</v>
      </c>
      <c r="G2459" t="s">
        <v>1743</v>
      </c>
      <c r="H2459">
        <v>5</v>
      </c>
      <c r="I2459">
        <v>95.29</v>
      </c>
      <c r="J2459" s="50">
        <v>476.45</v>
      </c>
      <c r="K2459" t="s">
        <v>1632</v>
      </c>
      <c r="M2459" t="s">
        <v>1627</v>
      </c>
      <c r="N2459">
        <v>50.29</v>
      </c>
      <c r="O2459" s="49">
        <v>44798</v>
      </c>
      <c r="P2459" s="50">
        <v>214.4025</v>
      </c>
    </row>
    <row r="2460" spans="4:16" x14ac:dyDescent="0.2">
      <c r="D2460">
        <v>100001489</v>
      </c>
      <c r="E2460" s="49">
        <v>44602</v>
      </c>
      <c r="F2460" t="s">
        <v>3313</v>
      </c>
      <c r="G2460" t="s">
        <v>1641</v>
      </c>
      <c r="H2460">
        <v>1</v>
      </c>
      <c r="I2460">
        <v>68.89</v>
      </c>
      <c r="J2460" s="50">
        <v>68.89</v>
      </c>
      <c r="K2460" t="s">
        <v>1632</v>
      </c>
      <c r="M2460" t="s">
        <v>1627</v>
      </c>
      <c r="N2460">
        <v>36.36</v>
      </c>
      <c r="O2460" s="49">
        <v>44603</v>
      </c>
      <c r="P2460" s="50">
        <v>31.000500000000002</v>
      </c>
    </row>
    <row r="2461" spans="4:16" x14ac:dyDescent="0.2">
      <c r="D2461">
        <v>100001489</v>
      </c>
      <c r="E2461" s="49">
        <v>45523</v>
      </c>
      <c r="F2461" t="s">
        <v>3313</v>
      </c>
      <c r="G2461" t="s">
        <v>1880</v>
      </c>
      <c r="H2461">
        <v>4</v>
      </c>
      <c r="I2461">
        <v>52.76</v>
      </c>
      <c r="J2461" s="50">
        <v>211.04</v>
      </c>
      <c r="K2461" t="s">
        <v>1632</v>
      </c>
      <c r="M2461" t="s">
        <v>1624</v>
      </c>
      <c r="N2461">
        <v>27.85</v>
      </c>
      <c r="O2461" s="49">
        <v>45524</v>
      </c>
      <c r="P2461" s="50">
        <v>94.968000000000004</v>
      </c>
    </row>
    <row r="2462" spans="4:16" x14ac:dyDescent="0.2">
      <c r="D2462">
        <v>100001489</v>
      </c>
      <c r="E2462" s="49">
        <v>44952</v>
      </c>
      <c r="F2462" t="s">
        <v>3313</v>
      </c>
      <c r="G2462" t="s">
        <v>1857</v>
      </c>
      <c r="H2462">
        <v>10</v>
      </c>
      <c r="I2462">
        <v>74.790000000000006</v>
      </c>
      <c r="J2462" s="50">
        <v>747.90000000000009</v>
      </c>
      <c r="K2462" t="s">
        <v>1632</v>
      </c>
      <c r="M2462" t="s">
        <v>1624</v>
      </c>
      <c r="N2462">
        <v>39.47</v>
      </c>
      <c r="O2462" s="49">
        <v>44957</v>
      </c>
      <c r="P2462" s="50">
        <v>336.55500000000006</v>
      </c>
    </row>
    <row r="2463" spans="4:16" x14ac:dyDescent="0.2">
      <c r="D2463">
        <v>100001490</v>
      </c>
      <c r="E2463" s="49">
        <v>45596</v>
      </c>
      <c r="F2463" t="s">
        <v>3314</v>
      </c>
      <c r="G2463" t="s">
        <v>1928</v>
      </c>
      <c r="H2463">
        <v>4</v>
      </c>
      <c r="I2463">
        <v>33.729999999999997</v>
      </c>
      <c r="J2463" s="50">
        <v>134.91999999999999</v>
      </c>
      <c r="K2463" t="s">
        <v>1618</v>
      </c>
      <c r="M2463" t="s">
        <v>1629</v>
      </c>
      <c r="N2463">
        <v>17.8</v>
      </c>
      <c r="O2463" s="49">
        <v>45600</v>
      </c>
      <c r="P2463" s="50">
        <v>60.713999999999999</v>
      </c>
    </row>
    <row r="2464" spans="4:16" x14ac:dyDescent="0.2">
      <c r="D2464">
        <v>100001491</v>
      </c>
      <c r="E2464" s="49">
        <v>45525</v>
      </c>
      <c r="F2464" t="s">
        <v>3292</v>
      </c>
      <c r="G2464" t="s">
        <v>2204</v>
      </c>
      <c r="H2464">
        <v>1</v>
      </c>
      <c r="I2464">
        <v>118.63</v>
      </c>
      <c r="J2464" s="50">
        <v>118.63</v>
      </c>
      <c r="K2464" t="s">
        <v>1632</v>
      </c>
      <c r="M2464" t="s">
        <v>1627</v>
      </c>
      <c r="N2464">
        <v>62.61</v>
      </c>
      <c r="O2464" s="49">
        <v>45527</v>
      </c>
      <c r="P2464" s="50">
        <v>53.383499999999998</v>
      </c>
    </row>
    <row r="2465" spans="4:16" x14ac:dyDescent="0.2">
      <c r="D2465">
        <v>100001491</v>
      </c>
      <c r="E2465" s="49">
        <v>44579</v>
      </c>
      <c r="F2465" t="s">
        <v>3292</v>
      </c>
      <c r="G2465" t="s">
        <v>1661</v>
      </c>
      <c r="H2465">
        <v>4</v>
      </c>
      <c r="I2465">
        <v>25.01</v>
      </c>
      <c r="J2465" s="50">
        <v>100.04</v>
      </c>
      <c r="K2465" t="s">
        <v>1632</v>
      </c>
      <c r="M2465" t="s">
        <v>1624</v>
      </c>
      <c r="N2465">
        <v>13.2</v>
      </c>
      <c r="O2465" s="49">
        <v>44580</v>
      </c>
      <c r="P2465" s="50">
        <v>45.018000000000001</v>
      </c>
    </row>
    <row r="2466" spans="4:16" x14ac:dyDescent="0.2">
      <c r="D2466">
        <v>100001491</v>
      </c>
      <c r="E2466" s="49">
        <v>44490</v>
      </c>
      <c r="F2466" t="s">
        <v>3292</v>
      </c>
      <c r="G2466" t="s">
        <v>2628</v>
      </c>
      <c r="H2466">
        <v>9</v>
      </c>
      <c r="I2466">
        <v>17.010000000000002</v>
      </c>
      <c r="J2466" s="50">
        <v>153.09</v>
      </c>
      <c r="K2466" t="s">
        <v>1632</v>
      </c>
      <c r="M2466" t="s">
        <v>1629</v>
      </c>
      <c r="N2466">
        <v>8.98</v>
      </c>
      <c r="O2466" s="49">
        <v>44493</v>
      </c>
      <c r="P2466" s="50">
        <v>68.890500000000003</v>
      </c>
    </row>
    <row r="2467" spans="4:16" x14ac:dyDescent="0.2">
      <c r="D2467">
        <v>100001492</v>
      </c>
      <c r="E2467" s="49">
        <v>44218</v>
      </c>
      <c r="F2467" t="s">
        <v>3315</v>
      </c>
      <c r="G2467" t="s">
        <v>2460</v>
      </c>
      <c r="H2467">
        <v>8</v>
      </c>
      <c r="I2467">
        <v>90.47</v>
      </c>
      <c r="J2467" s="50">
        <v>723.76</v>
      </c>
      <c r="K2467" t="s">
        <v>1618</v>
      </c>
      <c r="M2467" t="s">
        <v>1619</v>
      </c>
      <c r="N2467">
        <v>47.75</v>
      </c>
      <c r="O2467" s="49">
        <v>44220</v>
      </c>
      <c r="P2467" s="50">
        <v>325.69200000000001</v>
      </c>
    </row>
    <row r="2468" spans="4:16" x14ac:dyDescent="0.2">
      <c r="D2468">
        <v>100001492</v>
      </c>
      <c r="E2468" s="49">
        <v>45158</v>
      </c>
      <c r="F2468" t="s">
        <v>3315</v>
      </c>
      <c r="G2468" t="s">
        <v>2078</v>
      </c>
      <c r="H2468">
        <v>9</v>
      </c>
      <c r="I2468">
        <v>57.21</v>
      </c>
      <c r="J2468" s="50">
        <v>514.89</v>
      </c>
      <c r="K2468" t="s">
        <v>1618</v>
      </c>
      <c r="M2468" t="s">
        <v>1627</v>
      </c>
      <c r="N2468">
        <v>30.19</v>
      </c>
      <c r="O2468" s="49">
        <v>45163</v>
      </c>
      <c r="P2468" s="50">
        <v>231.70050000000001</v>
      </c>
    </row>
    <row r="2469" spans="4:16" x14ac:dyDescent="0.2">
      <c r="D2469">
        <v>100001492</v>
      </c>
      <c r="E2469" s="49">
        <v>44247</v>
      </c>
      <c r="F2469" t="s">
        <v>3315</v>
      </c>
      <c r="G2469" t="s">
        <v>2603</v>
      </c>
      <c r="H2469">
        <v>5</v>
      </c>
      <c r="I2469">
        <v>34.21</v>
      </c>
      <c r="J2469" s="50">
        <v>171.05</v>
      </c>
      <c r="K2469" t="s">
        <v>1618</v>
      </c>
      <c r="M2469" t="s">
        <v>1627</v>
      </c>
      <c r="N2469">
        <v>18.059999999999999</v>
      </c>
      <c r="O2469" s="49">
        <v>44250</v>
      </c>
      <c r="P2469" s="50">
        <v>76.972500000000011</v>
      </c>
    </row>
    <row r="2470" spans="4:16" x14ac:dyDescent="0.2">
      <c r="D2470">
        <v>100001492</v>
      </c>
      <c r="E2470" s="49">
        <v>45382</v>
      </c>
      <c r="F2470" t="s">
        <v>3315</v>
      </c>
      <c r="G2470" t="s">
        <v>2263</v>
      </c>
      <c r="H2470">
        <v>6</v>
      </c>
      <c r="I2470">
        <v>47.35</v>
      </c>
      <c r="J2470" s="50">
        <v>284.10000000000002</v>
      </c>
      <c r="K2470" t="s">
        <v>1618</v>
      </c>
      <c r="M2470" t="s">
        <v>1621</v>
      </c>
      <c r="N2470">
        <v>24.99</v>
      </c>
      <c r="O2470" s="49">
        <v>45383</v>
      </c>
      <c r="P2470" s="50">
        <v>127.84500000000001</v>
      </c>
    </row>
    <row r="2471" spans="4:16" x14ac:dyDescent="0.2">
      <c r="D2471">
        <v>100001492</v>
      </c>
      <c r="E2471" s="49">
        <v>45210</v>
      </c>
      <c r="F2471" t="s">
        <v>3315</v>
      </c>
      <c r="G2471" t="s">
        <v>1676</v>
      </c>
      <c r="H2471">
        <v>3</v>
      </c>
      <c r="I2471">
        <v>50.68</v>
      </c>
      <c r="J2471" s="50">
        <v>152.04</v>
      </c>
      <c r="K2471" t="s">
        <v>1618</v>
      </c>
      <c r="M2471" t="s">
        <v>1621</v>
      </c>
      <c r="N2471">
        <v>26.75</v>
      </c>
      <c r="O2471" s="49">
        <v>45211</v>
      </c>
      <c r="P2471" s="50">
        <v>68.417999999999992</v>
      </c>
    </row>
    <row r="2472" spans="4:16" x14ac:dyDescent="0.2">
      <c r="D2472">
        <v>100001493</v>
      </c>
      <c r="E2472" s="49">
        <v>45547</v>
      </c>
      <c r="F2472" t="s">
        <v>3316</v>
      </c>
      <c r="G2472" t="s">
        <v>1667</v>
      </c>
      <c r="H2472">
        <v>4</v>
      </c>
      <c r="I2472">
        <v>19.079999999999998</v>
      </c>
      <c r="J2472" s="50">
        <v>76.319999999999993</v>
      </c>
      <c r="K2472" t="s">
        <v>1618</v>
      </c>
      <c r="M2472" t="s">
        <v>1627</v>
      </c>
      <c r="N2472">
        <v>10.07</v>
      </c>
      <c r="O2472" s="49">
        <v>45548</v>
      </c>
      <c r="P2472" s="50">
        <v>34.344000000000001</v>
      </c>
    </row>
    <row r="2473" spans="4:16" x14ac:dyDescent="0.2">
      <c r="D2473">
        <v>100001493</v>
      </c>
      <c r="E2473" s="49">
        <v>45203</v>
      </c>
      <c r="F2473" t="s">
        <v>3316</v>
      </c>
      <c r="G2473" t="s">
        <v>1825</v>
      </c>
      <c r="H2473">
        <v>10</v>
      </c>
      <c r="I2473">
        <v>37.299999999999997</v>
      </c>
      <c r="J2473" s="50">
        <v>373</v>
      </c>
      <c r="K2473" t="s">
        <v>1618</v>
      </c>
      <c r="M2473" t="s">
        <v>1629</v>
      </c>
      <c r="N2473">
        <v>19.690000000000001</v>
      </c>
      <c r="O2473" s="49">
        <v>45204</v>
      </c>
      <c r="P2473" s="50">
        <v>167.85</v>
      </c>
    </row>
    <row r="2474" spans="4:16" x14ac:dyDescent="0.2">
      <c r="D2474">
        <v>100001494</v>
      </c>
      <c r="E2474" s="49">
        <v>44917</v>
      </c>
      <c r="F2474" t="s">
        <v>3317</v>
      </c>
      <c r="G2474" t="s">
        <v>1675</v>
      </c>
      <c r="H2474">
        <v>10</v>
      </c>
      <c r="I2474">
        <v>67.89</v>
      </c>
      <c r="J2474" s="50">
        <v>678.9</v>
      </c>
      <c r="K2474" t="s">
        <v>1618</v>
      </c>
      <c r="M2474" t="s">
        <v>1621</v>
      </c>
      <c r="N2474">
        <v>35.83</v>
      </c>
      <c r="O2474" s="49">
        <v>44919</v>
      </c>
      <c r="P2474" s="50">
        <v>305.505</v>
      </c>
    </row>
    <row r="2475" spans="4:16" x14ac:dyDescent="0.2">
      <c r="D2475">
        <v>100001495</v>
      </c>
      <c r="E2475" s="49">
        <v>45131</v>
      </c>
      <c r="F2475" t="s">
        <v>3318</v>
      </c>
      <c r="G2475" t="s">
        <v>1844</v>
      </c>
      <c r="H2475">
        <v>2</v>
      </c>
      <c r="I2475">
        <v>65.7</v>
      </c>
      <c r="J2475" s="50">
        <v>131.4</v>
      </c>
      <c r="K2475" t="s">
        <v>1618</v>
      </c>
      <c r="M2475" t="s">
        <v>1629</v>
      </c>
      <c r="N2475">
        <v>34.67</v>
      </c>
      <c r="O2475" s="49">
        <v>45134</v>
      </c>
      <c r="P2475" s="50">
        <v>59.13</v>
      </c>
    </row>
    <row r="2476" spans="4:16" x14ac:dyDescent="0.2">
      <c r="D2476">
        <v>100001495</v>
      </c>
      <c r="E2476" s="49">
        <v>44562</v>
      </c>
      <c r="F2476" t="s">
        <v>3318</v>
      </c>
      <c r="G2476" t="s">
        <v>2132</v>
      </c>
      <c r="H2476">
        <v>1</v>
      </c>
      <c r="I2476">
        <v>71.73</v>
      </c>
      <c r="J2476" s="50">
        <v>71.73</v>
      </c>
      <c r="K2476" t="s">
        <v>1618</v>
      </c>
      <c r="M2476" t="s">
        <v>1629</v>
      </c>
      <c r="N2476">
        <v>37.86</v>
      </c>
      <c r="O2476" s="49">
        <v>44566</v>
      </c>
      <c r="P2476" s="50">
        <v>32.278500000000001</v>
      </c>
    </row>
    <row r="2477" spans="4:16" x14ac:dyDescent="0.2">
      <c r="D2477">
        <v>100001495</v>
      </c>
      <c r="E2477" s="49">
        <v>44826</v>
      </c>
      <c r="F2477" t="s">
        <v>3318</v>
      </c>
      <c r="G2477" t="s">
        <v>2161</v>
      </c>
      <c r="H2477">
        <v>9</v>
      </c>
      <c r="I2477">
        <v>29.66</v>
      </c>
      <c r="J2477" s="50">
        <v>266.94</v>
      </c>
      <c r="K2477" t="s">
        <v>1618</v>
      </c>
      <c r="M2477" t="s">
        <v>1621</v>
      </c>
      <c r="N2477">
        <v>15.65</v>
      </c>
      <c r="O2477" s="49">
        <v>44827</v>
      </c>
      <c r="P2477" s="50">
        <v>120.123</v>
      </c>
    </row>
    <row r="2478" spans="4:16" x14ac:dyDescent="0.2">
      <c r="D2478">
        <v>100001498</v>
      </c>
      <c r="E2478" s="49">
        <v>44831</v>
      </c>
      <c r="F2478" t="s">
        <v>3319</v>
      </c>
      <c r="G2478" t="s">
        <v>1978</v>
      </c>
      <c r="H2478">
        <v>8</v>
      </c>
      <c r="I2478">
        <v>16.89</v>
      </c>
      <c r="J2478" s="50">
        <v>135.12</v>
      </c>
      <c r="K2478" t="s">
        <v>1632</v>
      </c>
      <c r="M2478" t="s">
        <v>1619</v>
      </c>
      <c r="N2478">
        <v>8.91</v>
      </c>
      <c r="O2478" s="49">
        <v>44834</v>
      </c>
      <c r="P2478" s="50">
        <v>60.804000000000002</v>
      </c>
    </row>
    <row r="2479" spans="4:16" x14ac:dyDescent="0.2">
      <c r="D2479">
        <v>100001499</v>
      </c>
      <c r="E2479" s="49">
        <v>45657</v>
      </c>
      <c r="F2479" t="s">
        <v>3320</v>
      </c>
      <c r="G2479" t="s">
        <v>1754</v>
      </c>
      <c r="H2479">
        <v>3</v>
      </c>
      <c r="I2479">
        <v>99.51</v>
      </c>
      <c r="J2479" s="50">
        <v>298.52999999999997</v>
      </c>
      <c r="K2479" t="s">
        <v>1618</v>
      </c>
      <c r="M2479" t="s">
        <v>1624</v>
      </c>
      <c r="N2479">
        <v>52.52</v>
      </c>
      <c r="O2479" s="49">
        <v>45658</v>
      </c>
      <c r="P2479" s="50">
        <v>134.33849999999998</v>
      </c>
    </row>
    <row r="2480" spans="4:16" x14ac:dyDescent="0.2">
      <c r="D2480">
        <v>100001500</v>
      </c>
      <c r="E2480" s="49">
        <v>45009</v>
      </c>
      <c r="F2480" t="s">
        <v>3321</v>
      </c>
      <c r="G2480" t="s">
        <v>1658</v>
      </c>
      <c r="H2480">
        <v>4</v>
      </c>
      <c r="I2480">
        <v>53.33</v>
      </c>
      <c r="J2480" s="50">
        <v>213.32</v>
      </c>
      <c r="K2480" t="s">
        <v>1632</v>
      </c>
      <c r="M2480" t="s">
        <v>1624</v>
      </c>
      <c r="N2480">
        <v>28.15</v>
      </c>
      <c r="O2480" s="49">
        <v>45012</v>
      </c>
      <c r="P2480" s="50">
        <v>95.994</v>
      </c>
    </row>
    <row r="2481" spans="4:16" x14ac:dyDescent="0.2">
      <c r="D2481">
        <v>100001500</v>
      </c>
      <c r="E2481" s="49">
        <v>45540</v>
      </c>
      <c r="F2481" t="s">
        <v>3321</v>
      </c>
      <c r="G2481" t="s">
        <v>2373</v>
      </c>
      <c r="H2481">
        <v>1</v>
      </c>
      <c r="I2481">
        <v>33.229999999999997</v>
      </c>
      <c r="J2481" s="50">
        <v>33.229999999999997</v>
      </c>
      <c r="K2481" t="s">
        <v>1632</v>
      </c>
      <c r="M2481" t="s">
        <v>1621</v>
      </c>
      <c r="N2481">
        <v>17.54</v>
      </c>
      <c r="O2481" s="49">
        <v>45545</v>
      </c>
      <c r="P2481" s="50">
        <v>14.953499999999998</v>
      </c>
    </row>
    <row r="2482" spans="4:16" x14ac:dyDescent="0.2">
      <c r="D2482">
        <v>100001500</v>
      </c>
      <c r="E2482" s="49">
        <v>45102</v>
      </c>
      <c r="F2482" t="s">
        <v>3321</v>
      </c>
      <c r="G2482" t="s">
        <v>2698</v>
      </c>
      <c r="H2482">
        <v>5</v>
      </c>
      <c r="I2482">
        <v>63.83</v>
      </c>
      <c r="J2482" s="50">
        <v>319.14999999999998</v>
      </c>
      <c r="K2482" t="s">
        <v>1632</v>
      </c>
      <c r="M2482" t="s">
        <v>1627</v>
      </c>
      <c r="N2482">
        <v>33.69</v>
      </c>
      <c r="O2482" s="49">
        <v>45106</v>
      </c>
      <c r="P2482" s="50">
        <v>143.61750000000001</v>
      </c>
    </row>
    <row r="2483" spans="4:16" x14ac:dyDescent="0.2">
      <c r="D2483">
        <v>100001500</v>
      </c>
      <c r="E2483" s="49">
        <v>44214</v>
      </c>
      <c r="F2483" t="s">
        <v>3321</v>
      </c>
      <c r="G2483" t="s">
        <v>1833</v>
      </c>
      <c r="H2483">
        <v>1</v>
      </c>
      <c r="I2483">
        <v>26.89</v>
      </c>
      <c r="J2483" s="50">
        <v>26.89</v>
      </c>
      <c r="K2483" t="s">
        <v>1632</v>
      </c>
      <c r="M2483" t="s">
        <v>1621</v>
      </c>
      <c r="N2483">
        <v>14.19</v>
      </c>
      <c r="O2483" s="49">
        <v>44218</v>
      </c>
      <c r="P2483" s="50">
        <v>12.1005</v>
      </c>
    </row>
    <row r="2484" spans="4:16" x14ac:dyDescent="0.2">
      <c r="D2484">
        <v>100001500</v>
      </c>
      <c r="E2484" s="49">
        <v>44387</v>
      </c>
      <c r="F2484" t="s">
        <v>3321</v>
      </c>
      <c r="G2484" t="s">
        <v>1880</v>
      </c>
      <c r="H2484">
        <v>3</v>
      </c>
      <c r="I2484">
        <v>24.18</v>
      </c>
      <c r="J2484" s="50">
        <v>72.539999999999992</v>
      </c>
      <c r="K2484" t="s">
        <v>1632</v>
      </c>
      <c r="M2484" t="s">
        <v>1621</v>
      </c>
      <c r="N2484">
        <v>12.76</v>
      </c>
      <c r="O2484" s="49">
        <v>44389</v>
      </c>
      <c r="P2484" s="50">
        <v>32.643000000000001</v>
      </c>
    </row>
    <row r="2485" spans="4:16" x14ac:dyDescent="0.2">
      <c r="D2485">
        <v>100001500</v>
      </c>
      <c r="E2485" s="49">
        <v>45019</v>
      </c>
      <c r="F2485" t="s">
        <v>3321</v>
      </c>
      <c r="G2485" t="s">
        <v>1893</v>
      </c>
      <c r="H2485">
        <v>8</v>
      </c>
      <c r="I2485">
        <v>45.71</v>
      </c>
      <c r="J2485" s="50">
        <v>365.68</v>
      </c>
      <c r="K2485" t="s">
        <v>1632</v>
      </c>
      <c r="M2485" t="s">
        <v>1627</v>
      </c>
      <c r="N2485">
        <v>24.12</v>
      </c>
      <c r="O2485" s="49">
        <v>45021</v>
      </c>
      <c r="P2485" s="50">
        <v>164.55600000000001</v>
      </c>
    </row>
    <row r="2486" spans="4:16" x14ac:dyDescent="0.2">
      <c r="D2486">
        <v>100001500</v>
      </c>
      <c r="E2486" s="49">
        <v>44998</v>
      </c>
      <c r="F2486" t="s">
        <v>3321</v>
      </c>
      <c r="G2486" t="s">
        <v>1838</v>
      </c>
      <c r="H2486">
        <v>5</v>
      </c>
      <c r="I2486">
        <v>45.18</v>
      </c>
      <c r="J2486" s="50">
        <v>225.9</v>
      </c>
      <c r="K2486" t="s">
        <v>1632</v>
      </c>
      <c r="M2486" t="s">
        <v>1619</v>
      </c>
      <c r="N2486">
        <v>23.84</v>
      </c>
      <c r="O2486" s="49">
        <v>44999</v>
      </c>
      <c r="P2486" s="50">
        <v>101.655</v>
      </c>
    </row>
    <row r="2487" spans="4:16" x14ac:dyDescent="0.2">
      <c r="D2487">
        <v>100001500</v>
      </c>
      <c r="E2487" s="49">
        <v>45370</v>
      </c>
      <c r="F2487" t="s">
        <v>3321</v>
      </c>
      <c r="G2487" t="s">
        <v>1697</v>
      </c>
      <c r="H2487">
        <v>4</v>
      </c>
      <c r="I2487">
        <v>55.25</v>
      </c>
      <c r="J2487" s="50">
        <v>221</v>
      </c>
      <c r="K2487" t="s">
        <v>1632</v>
      </c>
      <c r="M2487" t="s">
        <v>1627</v>
      </c>
      <c r="N2487">
        <v>29.16</v>
      </c>
      <c r="O2487" s="49">
        <v>45372</v>
      </c>
      <c r="P2487" s="50">
        <v>99.45</v>
      </c>
    </row>
    <row r="2488" spans="4:16" x14ac:dyDescent="0.2">
      <c r="D2488">
        <v>100001501</v>
      </c>
      <c r="E2488" s="49">
        <v>44436</v>
      </c>
      <c r="F2488" t="s">
        <v>3322</v>
      </c>
      <c r="G2488" t="s">
        <v>1947</v>
      </c>
      <c r="H2488">
        <v>6</v>
      </c>
      <c r="I2488">
        <v>22.7</v>
      </c>
      <c r="J2488" s="50">
        <v>136.19999999999999</v>
      </c>
      <c r="K2488" t="s">
        <v>1632</v>
      </c>
      <c r="M2488" t="s">
        <v>1619</v>
      </c>
      <c r="N2488">
        <v>11.98</v>
      </c>
      <c r="O2488" s="49">
        <v>44441</v>
      </c>
      <c r="P2488" s="50">
        <v>61.29</v>
      </c>
    </row>
    <row r="2489" spans="4:16" x14ac:dyDescent="0.2">
      <c r="D2489">
        <v>100001502</v>
      </c>
      <c r="E2489" s="49">
        <v>44830</v>
      </c>
      <c r="F2489" t="s">
        <v>3323</v>
      </c>
      <c r="G2489" t="s">
        <v>1948</v>
      </c>
      <c r="H2489">
        <v>3</v>
      </c>
      <c r="I2489">
        <v>106.95</v>
      </c>
      <c r="J2489" s="50">
        <v>320.85000000000002</v>
      </c>
      <c r="K2489" t="s">
        <v>1618</v>
      </c>
      <c r="M2489" t="s">
        <v>1624</v>
      </c>
      <c r="N2489">
        <v>56.45</v>
      </c>
      <c r="O2489" s="49">
        <v>44832</v>
      </c>
      <c r="P2489" s="50">
        <v>144.38250000000002</v>
      </c>
    </row>
    <row r="2490" spans="4:16" x14ac:dyDescent="0.2">
      <c r="D2490">
        <v>100001503</v>
      </c>
      <c r="E2490" s="49">
        <v>45420</v>
      </c>
      <c r="F2490" t="s">
        <v>3324</v>
      </c>
      <c r="G2490" t="s">
        <v>2116</v>
      </c>
      <c r="H2490">
        <v>9</v>
      </c>
      <c r="I2490">
        <v>65.62</v>
      </c>
      <c r="J2490" s="50">
        <v>590.58000000000004</v>
      </c>
      <c r="K2490" t="s">
        <v>1618</v>
      </c>
      <c r="M2490" t="s">
        <v>1619</v>
      </c>
      <c r="N2490">
        <v>34.630000000000003</v>
      </c>
      <c r="O2490" s="49">
        <v>45423</v>
      </c>
      <c r="P2490" s="50">
        <v>265.76100000000002</v>
      </c>
    </row>
    <row r="2491" spans="4:16" x14ac:dyDescent="0.2">
      <c r="D2491">
        <v>100001503</v>
      </c>
      <c r="E2491" s="49">
        <v>45476</v>
      </c>
      <c r="F2491" t="s">
        <v>3324</v>
      </c>
      <c r="G2491" t="s">
        <v>1663</v>
      </c>
      <c r="H2491">
        <v>6</v>
      </c>
      <c r="I2491">
        <v>105.12</v>
      </c>
      <c r="J2491" s="50">
        <v>630.72</v>
      </c>
      <c r="K2491" t="s">
        <v>1618</v>
      </c>
      <c r="M2491" t="s">
        <v>1621</v>
      </c>
      <c r="N2491">
        <v>55.48</v>
      </c>
      <c r="O2491" s="49">
        <v>45480</v>
      </c>
      <c r="P2491" s="50">
        <v>283.82400000000001</v>
      </c>
    </row>
    <row r="2492" spans="4:16" x14ac:dyDescent="0.2">
      <c r="D2492">
        <v>100001504</v>
      </c>
      <c r="E2492" s="49">
        <v>44224</v>
      </c>
      <c r="F2492" t="s">
        <v>3325</v>
      </c>
      <c r="G2492" t="s">
        <v>1963</v>
      </c>
      <c r="H2492">
        <v>6</v>
      </c>
      <c r="I2492">
        <v>37.840000000000003</v>
      </c>
      <c r="J2492" s="50">
        <v>227.04</v>
      </c>
      <c r="K2492" t="s">
        <v>1618</v>
      </c>
      <c r="M2492" t="s">
        <v>1629</v>
      </c>
      <c r="N2492">
        <v>19.97</v>
      </c>
      <c r="O2492" s="49">
        <v>44229</v>
      </c>
      <c r="P2492" s="50">
        <v>102.16799999999999</v>
      </c>
    </row>
    <row r="2493" spans="4:16" x14ac:dyDescent="0.2">
      <c r="D2493">
        <v>100001504</v>
      </c>
      <c r="E2493" s="49">
        <v>44462</v>
      </c>
      <c r="F2493" t="s">
        <v>3325</v>
      </c>
      <c r="G2493" t="s">
        <v>2305</v>
      </c>
      <c r="H2493">
        <v>6</v>
      </c>
      <c r="I2493">
        <v>20.93</v>
      </c>
      <c r="J2493" s="50">
        <v>125.58</v>
      </c>
      <c r="K2493" t="s">
        <v>1618</v>
      </c>
      <c r="M2493" t="s">
        <v>1627</v>
      </c>
      <c r="N2493">
        <v>11.05</v>
      </c>
      <c r="O2493" s="49">
        <v>44467</v>
      </c>
      <c r="P2493" s="50">
        <v>56.511000000000003</v>
      </c>
    </row>
    <row r="2494" spans="4:16" x14ac:dyDescent="0.2">
      <c r="D2494">
        <v>100001505</v>
      </c>
      <c r="E2494" s="49">
        <v>45464</v>
      </c>
      <c r="F2494" t="s">
        <v>3326</v>
      </c>
      <c r="G2494" t="s">
        <v>1828</v>
      </c>
      <c r="H2494">
        <v>6</v>
      </c>
      <c r="I2494">
        <v>54.51</v>
      </c>
      <c r="J2494" s="50">
        <v>327.06</v>
      </c>
      <c r="K2494" t="s">
        <v>1618</v>
      </c>
      <c r="M2494" t="s">
        <v>1627</v>
      </c>
      <c r="N2494">
        <v>28.77</v>
      </c>
      <c r="O2494" s="49">
        <v>45465</v>
      </c>
      <c r="P2494" s="50">
        <v>147.17699999999999</v>
      </c>
    </row>
    <row r="2495" spans="4:16" x14ac:dyDescent="0.2">
      <c r="D2495">
        <v>100001505</v>
      </c>
      <c r="E2495" s="49">
        <v>44561</v>
      </c>
      <c r="F2495" t="s">
        <v>3326</v>
      </c>
      <c r="G2495" t="s">
        <v>2242</v>
      </c>
      <c r="H2495">
        <v>8</v>
      </c>
      <c r="I2495">
        <v>47.53</v>
      </c>
      <c r="J2495" s="50">
        <v>380.24</v>
      </c>
      <c r="K2495" t="s">
        <v>1618</v>
      </c>
      <c r="M2495" t="s">
        <v>1629</v>
      </c>
      <c r="N2495">
        <v>25.09</v>
      </c>
      <c r="O2495" s="49">
        <v>44562</v>
      </c>
      <c r="P2495" s="50">
        <v>171.108</v>
      </c>
    </row>
    <row r="2496" spans="4:16" x14ac:dyDescent="0.2">
      <c r="D2496">
        <v>100001505</v>
      </c>
      <c r="E2496" s="49">
        <v>44321</v>
      </c>
      <c r="F2496" t="s">
        <v>3326</v>
      </c>
      <c r="G2496" t="s">
        <v>1723</v>
      </c>
      <c r="H2496">
        <v>9</v>
      </c>
      <c r="I2496">
        <v>114.77</v>
      </c>
      <c r="J2496" s="50">
        <v>1032.93</v>
      </c>
      <c r="K2496" t="s">
        <v>1618</v>
      </c>
      <c r="M2496" t="s">
        <v>1629</v>
      </c>
      <c r="N2496">
        <v>60.57</v>
      </c>
      <c r="O2496" s="49">
        <v>44322</v>
      </c>
      <c r="P2496" s="50">
        <v>464.81850000000003</v>
      </c>
    </row>
    <row r="2497" spans="4:16" x14ac:dyDescent="0.2">
      <c r="D2497">
        <v>100001507</v>
      </c>
      <c r="E2497" s="49">
        <v>44480</v>
      </c>
      <c r="F2497" t="s">
        <v>3327</v>
      </c>
      <c r="G2497" t="s">
        <v>2323</v>
      </c>
      <c r="H2497">
        <v>9</v>
      </c>
      <c r="I2497">
        <v>102.49</v>
      </c>
      <c r="J2497" s="50">
        <v>922.41</v>
      </c>
      <c r="K2497" t="s">
        <v>1618</v>
      </c>
      <c r="M2497" t="s">
        <v>1624</v>
      </c>
      <c r="N2497">
        <v>54.09</v>
      </c>
      <c r="O2497" s="49">
        <v>44481</v>
      </c>
      <c r="P2497" s="50">
        <v>415.08449999999999</v>
      </c>
    </row>
    <row r="2498" spans="4:16" x14ac:dyDescent="0.2">
      <c r="D2498">
        <v>100001507</v>
      </c>
      <c r="E2498" s="49">
        <v>44497</v>
      </c>
      <c r="F2498" t="s">
        <v>3327</v>
      </c>
      <c r="G2498" t="s">
        <v>2733</v>
      </c>
      <c r="H2498">
        <v>1</v>
      </c>
      <c r="I2498">
        <v>118.7</v>
      </c>
      <c r="J2498" s="50">
        <v>118.7</v>
      </c>
      <c r="K2498" t="s">
        <v>1618</v>
      </c>
      <c r="M2498" t="s">
        <v>1621</v>
      </c>
      <c r="N2498">
        <v>62.65</v>
      </c>
      <c r="O2498" s="49">
        <v>44501</v>
      </c>
      <c r="P2498" s="50">
        <v>53.414999999999999</v>
      </c>
    </row>
    <row r="2499" spans="4:16" x14ac:dyDescent="0.2">
      <c r="D2499">
        <v>100001508</v>
      </c>
      <c r="E2499" s="49">
        <v>44410</v>
      </c>
      <c r="F2499" t="s">
        <v>3328</v>
      </c>
      <c r="G2499" t="s">
        <v>1781</v>
      </c>
      <c r="H2499">
        <v>4</v>
      </c>
      <c r="I2499">
        <v>48.34</v>
      </c>
      <c r="J2499" s="50">
        <v>193.36</v>
      </c>
      <c r="K2499" t="s">
        <v>1632</v>
      </c>
      <c r="L2499" t="s">
        <v>3329</v>
      </c>
      <c r="M2499" t="s">
        <v>1621</v>
      </c>
      <c r="N2499">
        <v>25.51</v>
      </c>
      <c r="O2499" s="49">
        <v>44413</v>
      </c>
      <c r="P2499" s="50">
        <v>87.012000000000015</v>
      </c>
    </row>
    <row r="2500" spans="4:16" x14ac:dyDescent="0.2">
      <c r="D2500">
        <v>100001509</v>
      </c>
      <c r="E2500" s="49">
        <v>45481</v>
      </c>
      <c r="F2500" t="s">
        <v>3330</v>
      </c>
      <c r="G2500" t="s">
        <v>1801</v>
      </c>
      <c r="H2500">
        <v>7</v>
      </c>
      <c r="I2500">
        <v>56.15</v>
      </c>
      <c r="J2500" s="50">
        <v>393.05</v>
      </c>
      <c r="K2500" t="s">
        <v>1618</v>
      </c>
      <c r="L2500" t="s">
        <v>3331</v>
      </c>
      <c r="M2500" t="s">
        <v>1627</v>
      </c>
      <c r="N2500">
        <v>29.63</v>
      </c>
      <c r="O2500" s="49">
        <v>45483</v>
      </c>
      <c r="P2500" s="50">
        <v>176.8725</v>
      </c>
    </row>
    <row r="2501" spans="4:16" x14ac:dyDescent="0.2">
      <c r="D2501">
        <v>100001509</v>
      </c>
      <c r="E2501" s="49">
        <v>45319</v>
      </c>
      <c r="F2501" t="s">
        <v>3330</v>
      </c>
      <c r="G2501" t="s">
        <v>1752</v>
      </c>
      <c r="H2501">
        <v>8</v>
      </c>
      <c r="I2501">
        <v>22.15</v>
      </c>
      <c r="J2501" s="50">
        <v>177.2</v>
      </c>
      <c r="K2501" t="s">
        <v>1618</v>
      </c>
      <c r="L2501" t="s">
        <v>3331</v>
      </c>
      <c r="M2501" t="s">
        <v>1619</v>
      </c>
      <c r="N2501">
        <v>11.69</v>
      </c>
      <c r="O2501" s="49">
        <v>45323</v>
      </c>
      <c r="P2501" s="50">
        <v>79.739999999999995</v>
      </c>
    </row>
    <row r="2502" spans="4:16" x14ac:dyDescent="0.2">
      <c r="D2502">
        <v>100001509</v>
      </c>
      <c r="E2502" s="49">
        <v>45646</v>
      </c>
      <c r="F2502" t="s">
        <v>3330</v>
      </c>
      <c r="G2502" t="s">
        <v>2150</v>
      </c>
      <c r="H2502">
        <v>2</v>
      </c>
      <c r="I2502">
        <v>82.13</v>
      </c>
      <c r="J2502" s="50">
        <v>164.26</v>
      </c>
      <c r="K2502" t="s">
        <v>1618</v>
      </c>
      <c r="L2502" t="s">
        <v>3331</v>
      </c>
      <c r="M2502" t="s">
        <v>1629</v>
      </c>
      <c r="N2502">
        <v>43.35</v>
      </c>
      <c r="O2502" s="49">
        <v>45650</v>
      </c>
      <c r="P2502" s="50">
        <v>73.917000000000002</v>
      </c>
    </row>
    <row r="2503" spans="4:16" x14ac:dyDescent="0.2">
      <c r="D2503">
        <v>100001509</v>
      </c>
      <c r="E2503" s="49">
        <v>44535</v>
      </c>
      <c r="F2503" t="s">
        <v>3330</v>
      </c>
      <c r="G2503" t="s">
        <v>1880</v>
      </c>
      <c r="H2503">
        <v>7</v>
      </c>
      <c r="I2503">
        <v>76.98</v>
      </c>
      <c r="J2503" s="50">
        <v>538.86</v>
      </c>
      <c r="K2503" t="s">
        <v>1618</v>
      </c>
      <c r="L2503" t="s">
        <v>3331</v>
      </c>
      <c r="M2503" t="s">
        <v>1627</v>
      </c>
      <c r="N2503">
        <v>40.630000000000003</v>
      </c>
      <c r="O2503" s="49">
        <v>44536</v>
      </c>
      <c r="P2503" s="50">
        <v>242.48700000000002</v>
      </c>
    </row>
    <row r="2504" spans="4:16" x14ac:dyDescent="0.2">
      <c r="D2504">
        <v>100001509</v>
      </c>
      <c r="E2504" s="49">
        <v>44851</v>
      </c>
      <c r="F2504" t="s">
        <v>3330</v>
      </c>
      <c r="G2504" t="s">
        <v>2372</v>
      </c>
      <c r="H2504">
        <v>8</v>
      </c>
      <c r="I2504">
        <v>82.56</v>
      </c>
      <c r="J2504" s="50">
        <v>660.48</v>
      </c>
      <c r="K2504" t="s">
        <v>1618</v>
      </c>
      <c r="L2504" t="s">
        <v>3331</v>
      </c>
      <c r="M2504" t="s">
        <v>1621</v>
      </c>
      <c r="N2504">
        <v>43.57</v>
      </c>
      <c r="O2504" s="49">
        <v>44856</v>
      </c>
      <c r="P2504" s="50">
        <v>297.21600000000001</v>
      </c>
    </row>
    <row r="2505" spans="4:16" x14ac:dyDescent="0.2">
      <c r="D2505">
        <v>100001509</v>
      </c>
      <c r="E2505" s="49">
        <v>44324</v>
      </c>
      <c r="F2505" t="s">
        <v>3330</v>
      </c>
      <c r="G2505" t="s">
        <v>1671</v>
      </c>
      <c r="H2505">
        <v>8</v>
      </c>
      <c r="I2505">
        <v>85.61</v>
      </c>
      <c r="J2505" s="50">
        <v>684.88</v>
      </c>
      <c r="K2505" t="s">
        <v>1618</v>
      </c>
      <c r="L2505" t="s">
        <v>3331</v>
      </c>
      <c r="M2505" t="s">
        <v>1627</v>
      </c>
      <c r="N2505">
        <v>45.18</v>
      </c>
      <c r="O2505" s="49">
        <v>44329</v>
      </c>
      <c r="P2505" s="50">
        <v>308.19600000000003</v>
      </c>
    </row>
    <row r="2506" spans="4:16" x14ac:dyDescent="0.2">
      <c r="D2506">
        <v>100001509</v>
      </c>
      <c r="E2506" s="49">
        <v>44450</v>
      </c>
      <c r="F2506" t="s">
        <v>3330</v>
      </c>
      <c r="G2506" t="s">
        <v>1794</v>
      </c>
      <c r="H2506">
        <v>1</v>
      </c>
      <c r="I2506">
        <v>17.690000000000001</v>
      </c>
      <c r="J2506" s="50">
        <v>17.690000000000001</v>
      </c>
      <c r="K2506" t="s">
        <v>1618</v>
      </c>
      <c r="L2506" t="s">
        <v>3331</v>
      </c>
      <c r="M2506" t="s">
        <v>1621</v>
      </c>
      <c r="N2506">
        <v>9.34</v>
      </c>
      <c r="O2506" s="49">
        <v>44453</v>
      </c>
      <c r="P2506" s="50">
        <v>7.9605000000000006</v>
      </c>
    </row>
    <row r="2507" spans="4:16" x14ac:dyDescent="0.2">
      <c r="D2507">
        <v>100001509</v>
      </c>
      <c r="E2507" s="49">
        <v>45163</v>
      </c>
      <c r="F2507" t="s">
        <v>3330</v>
      </c>
      <c r="G2507" t="s">
        <v>1851</v>
      </c>
      <c r="H2507">
        <v>3</v>
      </c>
      <c r="I2507">
        <v>69.25</v>
      </c>
      <c r="J2507" s="50">
        <v>207.75</v>
      </c>
      <c r="K2507" t="s">
        <v>1618</v>
      </c>
      <c r="L2507" t="s">
        <v>3331</v>
      </c>
      <c r="M2507" t="s">
        <v>1621</v>
      </c>
      <c r="N2507">
        <v>36.549999999999997</v>
      </c>
      <c r="O2507" s="49">
        <v>45164</v>
      </c>
      <c r="P2507" s="50">
        <v>93.487499999999997</v>
      </c>
    </row>
    <row r="2508" spans="4:16" x14ac:dyDescent="0.2">
      <c r="D2508">
        <v>100001510</v>
      </c>
      <c r="E2508" s="49">
        <v>44394</v>
      </c>
      <c r="F2508" t="s">
        <v>3332</v>
      </c>
      <c r="G2508" t="s">
        <v>2514</v>
      </c>
      <c r="H2508">
        <v>6</v>
      </c>
      <c r="I2508">
        <v>48.36</v>
      </c>
      <c r="J2508" s="50">
        <v>290.16000000000003</v>
      </c>
      <c r="K2508" t="s">
        <v>1618</v>
      </c>
      <c r="M2508" t="s">
        <v>1627</v>
      </c>
      <c r="N2508">
        <v>25.52</v>
      </c>
      <c r="O2508" s="49">
        <v>44397</v>
      </c>
      <c r="P2508" s="50">
        <v>130.572</v>
      </c>
    </row>
    <row r="2509" spans="4:16" x14ac:dyDescent="0.2">
      <c r="D2509">
        <v>100001510</v>
      </c>
      <c r="E2509" s="49">
        <v>45517</v>
      </c>
      <c r="F2509" t="s">
        <v>3332</v>
      </c>
      <c r="G2509" t="s">
        <v>1842</v>
      </c>
      <c r="H2509">
        <v>4</v>
      </c>
      <c r="I2509">
        <v>20.309999999999999</v>
      </c>
      <c r="J2509" s="50">
        <v>81.239999999999995</v>
      </c>
      <c r="K2509" t="s">
        <v>1618</v>
      </c>
      <c r="M2509" t="s">
        <v>1619</v>
      </c>
      <c r="N2509">
        <v>10.72</v>
      </c>
      <c r="O2509" s="49">
        <v>45521</v>
      </c>
      <c r="P2509" s="50">
        <v>36.558</v>
      </c>
    </row>
    <row r="2510" spans="4:16" x14ac:dyDescent="0.2">
      <c r="D2510">
        <v>100001512</v>
      </c>
      <c r="E2510" s="49">
        <v>45336</v>
      </c>
      <c r="F2510" t="s">
        <v>3333</v>
      </c>
      <c r="G2510" t="s">
        <v>1828</v>
      </c>
      <c r="H2510">
        <v>4</v>
      </c>
      <c r="I2510">
        <v>36.76</v>
      </c>
      <c r="J2510" s="50">
        <v>147.04</v>
      </c>
      <c r="K2510" t="s">
        <v>1618</v>
      </c>
      <c r="M2510" t="s">
        <v>1619</v>
      </c>
      <c r="N2510">
        <v>19.399999999999999</v>
      </c>
      <c r="O2510" s="49">
        <v>45340</v>
      </c>
      <c r="P2510" s="50">
        <v>66.167999999999992</v>
      </c>
    </row>
    <row r="2511" spans="4:16" x14ac:dyDescent="0.2">
      <c r="D2511">
        <v>100001513</v>
      </c>
      <c r="E2511" s="49">
        <v>44737</v>
      </c>
      <c r="F2511" t="s">
        <v>3334</v>
      </c>
      <c r="G2511" t="s">
        <v>1948</v>
      </c>
      <c r="H2511">
        <v>3</v>
      </c>
      <c r="I2511">
        <v>39.97</v>
      </c>
      <c r="J2511" s="50">
        <v>119.91</v>
      </c>
      <c r="K2511" t="s">
        <v>1618</v>
      </c>
      <c r="L2511" t="s">
        <v>3335</v>
      </c>
      <c r="M2511" t="s">
        <v>1621</v>
      </c>
      <c r="N2511">
        <v>21.1</v>
      </c>
      <c r="O2511" s="49">
        <v>44739</v>
      </c>
      <c r="P2511" s="50">
        <v>53.959499999999998</v>
      </c>
    </row>
    <row r="2512" spans="4:16" x14ac:dyDescent="0.2">
      <c r="D2512">
        <v>100001513</v>
      </c>
      <c r="E2512" s="49">
        <v>45641</v>
      </c>
      <c r="F2512" t="s">
        <v>3334</v>
      </c>
      <c r="G2512" t="s">
        <v>1880</v>
      </c>
      <c r="H2512">
        <v>10</v>
      </c>
      <c r="I2512">
        <v>10.039999999999999</v>
      </c>
      <c r="J2512" s="50">
        <v>100.4</v>
      </c>
      <c r="K2512" t="s">
        <v>1618</v>
      </c>
      <c r="L2512" t="s">
        <v>3335</v>
      </c>
      <c r="M2512" t="s">
        <v>1621</v>
      </c>
      <c r="N2512">
        <v>5.3</v>
      </c>
      <c r="O2512" s="49">
        <v>45643</v>
      </c>
      <c r="P2512" s="50">
        <v>45.180000000000007</v>
      </c>
    </row>
    <row r="2513" spans="4:16" x14ac:dyDescent="0.2">
      <c r="D2513">
        <v>100001513</v>
      </c>
      <c r="E2513" s="49">
        <v>44942</v>
      </c>
      <c r="F2513" t="s">
        <v>3334</v>
      </c>
      <c r="G2513" t="s">
        <v>1831</v>
      </c>
      <c r="H2513">
        <v>7</v>
      </c>
      <c r="I2513">
        <v>91.74</v>
      </c>
      <c r="J2513" s="50">
        <v>642.17999999999995</v>
      </c>
      <c r="K2513" t="s">
        <v>1618</v>
      </c>
      <c r="L2513" t="s">
        <v>3335</v>
      </c>
      <c r="M2513" t="s">
        <v>1621</v>
      </c>
      <c r="N2513">
        <v>48.42</v>
      </c>
      <c r="O2513" s="49">
        <v>44946</v>
      </c>
      <c r="P2513" s="50">
        <v>288.98099999999999</v>
      </c>
    </row>
    <row r="2514" spans="4:16" x14ac:dyDescent="0.2">
      <c r="D2514">
        <v>100001513</v>
      </c>
      <c r="E2514" s="49">
        <v>45312</v>
      </c>
      <c r="F2514" t="s">
        <v>3334</v>
      </c>
      <c r="G2514" t="s">
        <v>1817</v>
      </c>
      <c r="H2514">
        <v>7</v>
      </c>
      <c r="I2514">
        <v>43.31</v>
      </c>
      <c r="J2514" s="50">
        <v>303.17</v>
      </c>
      <c r="K2514" t="s">
        <v>1618</v>
      </c>
      <c r="L2514" t="s">
        <v>3335</v>
      </c>
      <c r="M2514" t="s">
        <v>1624</v>
      </c>
      <c r="N2514">
        <v>22.86</v>
      </c>
      <c r="O2514" s="49">
        <v>45313</v>
      </c>
      <c r="P2514" s="50">
        <v>136.4265</v>
      </c>
    </row>
    <row r="2515" spans="4:16" x14ac:dyDescent="0.2">
      <c r="D2515">
        <v>100001515</v>
      </c>
      <c r="E2515" s="49">
        <v>45359</v>
      </c>
      <c r="F2515" t="s">
        <v>3336</v>
      </c>
      <c r="G2515" t="s">
        <v>2343</v>
      </c>
      <c r="H2515">
        <v>1</v>
      </c>
      <c r="I2515">
        <v>20.64</v>
      </c>
      <c r="J2515" s="50">
        <v>20.64</v>
      </c>
      <c r="K2515" t="s">
        <v>1632</v>
      </c>
      <c r="M2515" t="s">
        <v>1621</v>
      </c>
      <c r="N2515">
        <v>10.89</v>
      </c>
      <c r="O2515" s="49">
        <v>45364</v>
      </c>
      <c r="P2515" s="50">
        <v>9.2880000000000003</v>
      </c>
    </row>
    <row r="2516" spans="4:16" x14ac:dyDescent="0.2">
      <c r="D2516">
        <v>100001515</v>
      </c>
      <c r="E2516" s="49">
        <v>44267</v>
      </c>
      <c r="F2516" t="s">
        <v>3336</v>
      </c>
      <c r="G2516" t="s">
        <v>1738</v>
      </c>
      <c r="H2516">
        <v>1</v>
      </c>
      <c r="I2516">
        <v>95.41</v>
      </c>
      <c r="J2516" s="50">
        <v>95.41</v>
      </c>
      <c r="K2516" t="s">
        <v>1632</v>
      </c>
      <c r="M2516" t="s">
        <v>1629</v>
      </c>
      <c r="N2516">
        <v>50.35</v>
      </c>
      <c r="O2516" s="49">
        <v>44271</v>
      </c>
      <c r="P2516" s="50">
        <v>42.9345</v>
      </c>
    </row>
    <row r="2517" spans="4:16" x14ac:dyDescent="0.2">
      <c r="D2517">
        <v>100001516</v>
      </c>
      <c r="E2517" s="49">
        <v>45256</v>
      </c>
      <c r="F2517" t="s">
        <v>3337</v>
      </c>
      <c r="G2517" t="s">
        <v>2301</v>
      </c>
      <c r="H2517">
        <v>9</v>
      </c>
      <c r="I2517">
        <v>36.67</v>
      </c>
      <c r="J2517" s="50">
        <v>330.03</v>
      </c>
      <c r="K2517" t="s">
        <v>1618</v>
      </c>
      <c r="M2517" t="s">
        <v>1619</v>
      </c>
      <c r="N2517">
        <v>19.350000000000001</v>
      </c>
      <c r="O2517" s="49">
        <v>45260</v>
      </c>
      <c r="P2517" s="50">
        <v>148.51349999999999</v>
      </c>
    </row>
    <row r="2518" spans="4:16" x14ac:dyDescent="0.2">
      <c r="D2518">
        <v>100001516</v>
      </c>
      <c r="E2518" s="49">
        <v>45157</v>
      </c>
      <c r="F2518" t="s">
        <v>3337</v>
      </c>
      <c r="G2518" t="s">
        <v>2465</v>
      </c>
      <c r="H2518">
        <v>10</v>
      </c>
      <c r="I2518">
        <v>53.66</v>
      </c>
      <c r="J2518" s="50">
        <v>536.59999999999991</v>
      </c>
      <c r="K2518" t="s">
        <v>1618</v>
      </c>
      <c r="M2518" t="s">
        <v>1621</v>
      </c>
      <c r="N2518">
        <v>28.32</v>
      </c>
      <c r="O2518" s="49">
        <v>45160</v>
      </c>
      <c r="P2518" s="50">
        <v>241.46999999999997</v>
      </c>
    </row>
    <row r="2519" spans="4:16" x14ac:dyDescent="0.2">
      <c r="D2519">
        <v>100001516</v>
      </c>
      <c r="E2519" s="49">
        <v>44671</v>
      </c>
      <c r="F2519" t="s">
        <v>3337</v>
      </c>
      <c r="G2519" t="s">
        <v>1789</v>
      </c>
      <c r="H2519">
        <v>10</v>
      </c>
      <c r="I2519">
        <v>46.09</v>
      </c>
      <c r="J2519" s="50">
        <v>460.9</v>
      </c>
      <c r="K2519" t="s">
        <v>1618</v>
      </c>
      <c r="M2519" t="s">
        <v>1629</v>
      </c>
      <c r="N2519">
        <v>24.33</v>
      </c>
      <c r="O2519" s="49">
        <v>44676</v>
      </c>
      <c r="P2519" s="50">
        <v>207.405</v>
      </c>
    </row>
    <row r="2520" spans="4:16" x14ac:dyDescent="0.2">
      <c r="D2520">
        <v>100001517</v>
      </c>
      <c r="E2520" s="49">
        <v>45596</v>
      </c>
      <c r="F2520" t="s">
        <v>3338</v>
      </c>
      <c r="G2520" t="s">
        <v>2420</v>
      </c>
      <c r="H2520">
        <v>9</v>
      </c>
      <c r="I2520">
        <v>80.819999999999993</v>
      </c>
      <c r="J2520" s="50">
        <v>727.37999999999988</v>
      </c>
      <c r="K2520" t="s">
        <v>1618</v>
      </c>
      <c r="M2520" t="s">
        <v>1629</v>
      </c>
      <c r="N2520">
        <v>42.65</v>
      </c>
      <c r="O2520" s="49">
        <v>45600</v>
      </c>
      <c r="P2520" s="50">
        <v>327.32099999999997</v>
      </c>
    </row>
    <row r="2521" spans="4:16" x14ac:dyDescent="0.2">
      <c r="D2521">
        <v>100001517</v>
      </c>
      <c r="E2521" s="49">
        <v>45645</v>
      </c>
      <c r="F2521" t="s">
        <v>3338</v>
      </c>
      <c r="G2521" t="s">
        <v>2706</v>
      </c>
      <c r="H2521">
        <v>5</v>
      </c>
      <c r="I2521">
        <v>86.18</v>
      </c>
      <c r="J2521" s="50">
        <v>430.9</v>
      </c>
      <c r="K2521" t="s">
        <v>1618</v>
      </c>
      <c r="M2521" t="s">
        <v>1621</v>
      </c>
      <c r="N2521">
        <v>45.48</v>
      </c>
      <c r="O2521" s="49">
        <v>45648</v>
      </c>
      <c r="P2521" s="50">
        <v>193.905</v>
      </c>
    </row>
    <row r="2522" spans="4:16" x14ac:dyDescent="0.2">
      <c r="D2522">
        <v>100001517</v>
      </c>
      <c r="E2522" s="49">
        <v>45317</v>
      </c>
      <c r="F2522" t="s">
        <v>3338</v>
      </c>
      <c r="G2522" t="s">
        <v>2380</v>
      </c>
      <c r="H2522">
        <v>3</v>
      </c>
      <c r="I2522">
        <v>63.72</v>
      </c>
      <c r="J2522" s="50">
        <v>191.16</v>
      </c>
      <c r="K2522" t="s">
        <v>1618</v>
      </c>
      <c r="M2522" t="s">
        <v>1619</v>
      </c>
      <c r="N2522">
        <v>33.630000000000003</v>
      </c>
      <c r="O2522" s="49">
        <v>45321</v>
      </c>
      <c r="P2522" s="50">
        <v>86.022000000000006</v>
      </c>
    </row>
    <row r="2523" spans="4:16" x14ac:dyDescent="0.2">
      <c r="D2523">
        <v>100001517</v>
      </c>
      <c r="E2523" s="49">
        <v>45609</v>
      </c>
      <c r="F2523" t="s">
        <v>3338</v>
      </c>
      <c r="G2523" t="s">
        <v>2086</v>
      </c>
      <c r="H2523">
        <v>2</v>
      </c>
      <c r="I2523">
        <v>47.24</v>
      </c>
      <c r="J2523" s="50">
        <v>94.48</v>
      </c>
      <c r="K2523" t="s">
        <v>1618</v>
      </c>
      <c r="M2523" t="s">
        <v>1621</v>
      </c>
      <c r="N2523">
        <v>24.93</v>
      </c>
      <c r="O2523" s="49">
        <v>45613</v>
      </c>
      <c r="P2523" s="50">
        <v>42.516000000000005</v>
      </c>
    </row>
    <row r="2524" spans="4:16" x14ac:dyDescent="0.2">
      <c r="D2524">
        <v>100001518</v>
      </c>
      <c r="E2524" s="49">
        <v>45180</v>
      </c>
      <c r="F2524" t="s">
        <v>3339</v>
      </c>
      <c r="G2524" t="s">
        <v>1825</v>
      </c>
      <c r="H2524">
        <v>1</v>
      </c>
      <c r="I2524">
        <v>73.31</v>
      </c>
      <c r="J2524" s="50">
        <v>73.31</v>
      </c>
      <c r="K2524" t="s">
        <v>1632</v>
      </c>
      <c r="M2524" t="s">
        <v>1627</v>
      </c>
      <c r="N2524">
        <v>38.69</v>
      </c>
      <c r="O2524" s="49">
        <v>45182</v>
      </c>
      <c r="P2524" s="50">
        <v>32.9895</v>
      </c>
    </row>
    <row r="2525" spans="4:16" x14ac:dyDescent="0.2">
      <c r="D2525">
        <v>100001518</v>
      </c>
      <c r="E2525" s="49">
        <v>44955</v>
      </c>
      <c r="F2525" t="s">
        <v>3339</v>
      </c>
      <c r="G2525" t="s">
        <v>2025</v>
      </c>
      <c r="H2525">
        <v>7</v>
      </c>
      <c r="I2525">
        <v>107.37</v>
      </c>
      <c r="J2525" s="50">
        <v>751.59</v>
      </c>
      <c r="K2525" t="s">
        <v>1632</v>
      </c>
      <c r="M2525" t="s">
        <v>1629</v>
      </c>
      <c r="N2525">
        <v>56.67</v>
      </c>
      <c r="O2525" s="49">
        <v>44958</v>
      </c>
      <c r="P2525" s="50">
        <v>338.21550000000002</v>
      </c>
    </row>
    <row r="2526" spans="4:16" x14ac:dyDescent="0.2">
      <c r="D2526">
        <v>100001519</v>
      </c>
      <c r="E2526" s="49">
        <v>45492</v>
      </c>
      <c r="F2526" t="s">
        <v>2413</v>
      </c>
      <c r="G2526" t="s">
        <v>1743</v>
      </c>
      <c r="H2526">
        <v>6</v>
      </c>
      <c r="I2526">
        <v>69.86</v>
      </c>
      <c r="J2526" s="50">
        <v>419.16</v>
      </c>
      <c r="K2526" t="s">
        <v>1632</v>
      </c>
      <c r="M2526" t="s">
        <v>1627</v>
      </c>
      <c r="N2526">
        <v>36.869999999999997</v>
      </c>
      <c r="O2526" s="49">
        <v>45497</v>
      </c>
      <c r="P2526" s="50">
        <v>188.62200000000001</v>
      </c>
    </row>
    <row r="2527" spans="4:16" x14ac:dyDescent="0.2">
      <c r="D2527">
        <v>100001519</v>
      </c>
      <c r="E2527" s="49">
        <v>45042</v>
      </c>
      <c r="F2527" t="s">
        <v>2413</v>
      </c>
      <c r="G2527" t="s">
        <v>2151</v>
      </c>
      <c r="H2527">
        <v>1</v>
      </c>
      <c r="I2527">
        <v>40.520000000000003</v>
      </c>
      <c r="J2527" s="50">
        <v>40.520000000000003</v>
      </c>
      <c r="K2527" t="s">
        <v>1632</v>
      </c>
      <c r="M2527" t="s">
        <v>1621</v>
      </c>
      <c r="N2527">
        <v>21.39</v>
      </c>
      <c r="O2527" s="49">
        <v>45044</v>
      </c>
      <c r="P2527" s="50">
        <v>18.234000000000002</v>
      </c>
    </row>
    <row r="2528" spans="4:16" x14ac:dyDescent="0.2">
      <c r="D2528">
        <v>100001520</v>
      </c>
      <c r="E2528" s="49">
        <v>45030</v>
      </c>
      <c r="F2528" t="s">
        <v>3340</v>
      </c>
      <c r="G2528" t="s">
        <v>1812</v>
      </c>
      <c r="H2528">
        <v>1</v>
      </c>
      <c r="I2528">
        <v>18.75</v>
      </c>
      <c r="J2528" s="50">
        <v>18.75</v>
      </c>
      <c r="K2528" t="s">
        <v>1618</v>
      </c>
      <c r="M2528" t="s">
        <v>1619</v>
      </c>
      <c r="N2528">
        <v>9.9</v>
      </c>
      <c r="O2528" s="49">
        <v>45033</v>
      </c>
      <c r="P2528" s="50">
        <v>8.4375</v>
      </c>
    </row>
    <row r="2529" spans="4:16" x14ac:dyDescent="0.2">
      <c r="D2529">
        <v>100001521</v>
      </c>
      <c r="E2529" s="49">
        <v>44543</v>
      </c>
      <c r="F2529" t="s">
        <v>3341</v>
      </c>
      <c r="G2529" t="s">
        <v>2134</v>
      </c>
      <c r="H2529">
        <v>8</v>
      </c>
      <c r="I2529">
        <v>47.76</v>
      </c>
      <c r="J2529" s="50">
        <v>382.08</v>
      </c>
      <c r="K2529" t="s">
        <v>1618</v>
      </c>
      <c r="M2529" t="s">
        <v>1629</v>
      </c>
      <c r="N2529">
        <v>25.21</v>
      </c>
      <c r="O2529" s="49">
        <v>44544</v>
      </c>
      <c r="P2529" s="50">
        <v>171.93600000000001</v>
      </c>
    </row>
    <row r="2530" spans="4:16" x14ac:dyDescent="0.2">
      <c r="D2530">
        <v>100001521</v>
      </c>
      <c r="E2530" s="49">
        <v>44281</v>
      </c>
      <c r="F2530" t="s">
        <v>3341</v>
      </c>
      <c r="G2530" t="s">
        <v>1910</v>
      </c>
      <c r="H2530">
        <v>9</v>
      </c>
      <c r="I2530">
        <v>60.48</v>
      </c>
      <c r="J2530" s="50">
        <v>544.31999999999994</v>
      </c>
      <c r="K2530" t="s">
        <v>1618</v>
      </c>
      <c r="M2530" t="s">
        <v>1624</v>
      </c>
      <c r="N2530">
        <v>31.92</v>
      </c>
      <c r="O2530" s="49">
        <v>44284</v>
      </c>
      <c r="P2530" s="50">
        <v>244.94399999999999</v>
      </c>
    </row>
    <row r="2531" spans="4:16" x14ac:dyDescent="0.2">
      <c r="D2531">
        <v>100001521</v>
      </c>
      <c r="E2531" s="49">
        <v>44281</v>
      </c>
      <c r="F2531" t="s">
        <v>3341</v>
      </c>
      <c r="G2531" t="s">
        <v>2480</v>
      </c>
      <c r="H2531">
        <v>1</v>
      </c>
      <c r="I2531">
        <v>34.11</v>
      </c>
      <c r="J2531" s="50">
        <v>34.11</v>
      </c>
      <c r="K2531" t="s">
        <v>1618</v>
      </c>
      <c r="M2531" t="s">
        <v>1624</v>
      </c>
      <c r="N2531">
        <v>18</v>
      </c>
      <c r="O2531" s="49">
        <v>44286</v>
      </c>
      <c r="P2531" s="50">
        <v>15.349500000000001</v>
      </c>
    </row>
    <row r="2532" spans="4:16" x14ac:dyDescent="0.2">
      <c r="D2532">
        <v>100001521</v>
      </c>
      <c r="E2532" s="49">
        <v>44552</v>
      </c>
      <c r="F2532" t="s">
        <v>3341</v>
      </c>
      <c r="G2532" t="s">
        <v>1958</v>
      </c>
      <c r="H2532">
        <v>7</v>
      </c>
      <c r="I2532">
        <v>13.2</v>
      </c>
      <c r="J2532" s="50">
        <v>92.399999999999991</v>
      </c>
      <c r="K2532" t="s">
        <v>1618</v>
      </c>
      <c r="M2532" t="s">
        <v>1627</v>
      </c>
      <c r="N2532">
        <v>6.97</v>
      </c>
      <c r="O2532" s="49">
        <v>44554</v>
      </c>
      <c r="P2532" s="50">
        <v>41.58</v>
      </c>
    </row>
    <row r="2533" spans="4:16" x14ac:dyDescent="0.2">
      <c r="D2533">
        <v>100001521</v>
      </c>
      <c r="E2533" s="49">
        <v>44336</v>
      </c>
      <c r="F2533" t="s">
        <v>3341</v>
      </c>
      <c r="G2533" t="s">
        <v>1737</v>
      </c>
      <c r="H2533">
        <v>10</v>
      </c>
      <c r="I2533">
        <v>102.53</v>
      </c>
      <c r="J2533" s="50">
        <v>1025.3</v>
      </c>
      <c r="K2533" t="s">
        <v>1618</v>
      </c>
      <c r="M2533" t="s">
        <v>1619</v>
      </c>
      <c r="N2533">
        <v>54.11</v>
      </c>
      <c r="O2533" s="49">
        <v>44341</v>
      </c>
      <c r="P2533" s="50">
        <v>461.38499999999999</v>
      </c>
    </row>
    <row r="2534" spans="4:16" x14ac:dyDescent="0.2">
      <c r="D2534">
        <v>100001521</v>
      </c>
      <c r="E2534" s="49">
        <v>45294</v>
      </c>
      <c r="F2534" t="s">
        <v>3341</v>
      </c>
      <c r="G2534" t="s">
        <v>1948</v>
      </c>
      <c r="H2534">
        <v>2</v>
      </c>
      <c r="I2534">
        <v>36.39</v>
      </c>
      <c r="J2534" s="50">
        <v>72.78</v>
      </c>
      <c r="K2534" t="s">
        <v>1618</v>
      </c>
      <c r="M2534" t="s">
        <v>1624</v>
      </c>
      <c r="N2534">
        <v>19.21</v>
      </c>
      <c r="O2534" s="49">
        <v>45295</v>
      </c>
      <c r="P2534" s="50">
        <v>32.751000000000005</v>
      </c>
    </row>
    <row r="2535" spans="4:16" x14ac:dyDescent="0.2">
      <c r="D2535">
        <v>100001521</v>
      </c>
      <c r="E2535" s="49">
        <v>45271</v>
      </c>
      <c r="F2535" t="s">
        <v>3341</v>
      </c>
      <c r="G2535" t="s">
        <v>1990</v>
      </c>
      <c r="H2535">
        <v>10</v>
      </c>
      <c r="I2535">
        <v>79.12</v>
      </c>
      <c r="J2535" s="50">
        <v>791.2</v>
      </c>
      <c r="K2535" t="s">
        <v>1618</v>
      </c>
      <c r="M2535" t="s">
        <v>1621</v>
      </c>
      <c r="N2535">
        <v>41.76</v>
      </c>
      <c r="O2535" s="49">
        <v>45274</v>
      </c>
      <c r="P2535" s="50">
        <v>356.04</v>
      </c>
    </row>
    <row r="2536" spans="4:16" x14ac:dyDescent="0.2">
      <c r="D2536">
        <v>100001521</v>
      </c>
      <c r="E2536" s="49">
        <v>45066</v>
      </c>
      <c r="F2536" t="s">
        <v>3341</v>
      </c>
      <c r="G2536" t="s">
        <v>1676</v>
      </c>
      <c r="H2536">
        <v>6</v>
      </c>
      <c r="I2536">
        <v>88.06</v>
      </c>
      <c r="J2536" s="50">
        <v>528.36</v>
      </c>
      <c r="K2536" t="s">
        <v>1618</v>
      </c>
      <c r="M2536" t="s">
        <v>1629</v>
      </c>
      <c r="N2536">
        <v>46.48</v>
      </c>
      <c r="O2536" s="49">
        <v>45071</v>
      </c>
      <c r="P2536" s="50">
        <v>237.762</v>
      </c>
    </row>
    <row r="2537" spans="4:16" x14ac:dyDescent="0.2">
      <c r="D2537">
        <v>100001522</v>
      </c>
      <c r="E2537" s="49">
        <v>45644</v>
      </c>
      <c r="F2537" t="s">
        <v>3342</v>
      </c>
      <c r="G2537" t="s">
        <v>1653</v>
      </c>
      <c r="H2537">
        <v>5</v>
      </c>
      <c r="I2537">
        <v>101.6</v>
      </c>
      <c r="J2537" s="50">
        <v>508</v>
      </c>
      <c r="K2537" t="s">
        <v>1618</v>
      </c>
      <c r="M2537" t="s">
        <v>1629</v>
      </c>
      <c r="N2537">
        <v>53.62</v>
      </c>
      <c r="O2537" s="49">
        <v>45645</v>
      </c>
      <c r="P2537" s="50">
        <v>228.6</v>
      </c>
    </row>
    <row r="2538" spans="4:16" x14ac:dyDescent="0.2">
      <c r="D2538">
        <v>100001522</v>
      </c>
      <c r="E2538" s="49">
        <v>45487</v>
      </c>
      <c r="F2538" t="s">
        <v>3342</v>
      </c>
      <c r="G2538" t="s">
        <v>1700</v>
      </c>
      <c r="H2538">
        <v>9</v>
      </c>
      <c r="I2538">
        <v>15.51</v>
      </c>
      <c r="J2538" s="50">
        <v>139.59</v>
      </c>
      <c r="K2538" t="s">
        <v>1618</v>
      </c>
      <c r="M2538" t="s">
        <v>1624</v>
      </c>
      <c r="N2538">
        <v>8.19</v>
      </c>
      <c r="O2538" s="49">
        <v>45492</v>
      </c>
      <c r="P2538" s="50">
        <v>62.8155</v>
      </c>
    </row>
    <row r="2539" spans="4:16" x14ac:dyDescent="0.2">
      <c r="D2539">
        <v>100001523</v>
      </c>
      <c r="E2539" s="49">
        <v>44663</v>
      </c>
      <c r="F2539" t="s">
        <v>3343</v>
      </c>
      <c r="G2539" t="s">
        <v>1709</v>
      </c>
      <c r="H2539">
        <v>5</v>
      </c>
      <c r="I2539">
        <v>100.89</v>
      </c>
      <c r="J2539" s="50">
        <v>504.45</v>
      </c>
      <c r="K2539" t="s">
        <v>1632</v>
      </c>
      <c r="L2539" t="s">
        <v>3344</v>
      </c>
      <c r="M2539" t="s">
        <v>1624</v>
      </c>
      <c r="N2539">
        <v>53.25</v>
      </c>
      <c r="O2539" s="49">
        <v>44666</v>
      </c>
      <c r="P2539" s="50">
        <v>227.0025</v>
      </c>
    </row>
    <row r="2540" spans="4:16" x14ac:dyDescent="0.2">
      <c r="D2540">
        <v>100001524</v>
      </c>
      <c r="E2540" s="49">
        <v>44982</v>
      </c>
      <c r="F2540" t="s">
        <v>3345</v>
      </c>
      <c r="G2540" t="s">
        <v>2698</v>
      </c>
      <c r="H2540">
        <v>7</v>
      </c>
      <c r="I2540">
        <v>22.57</v>
      </c>
      <c r="J2540" s="50">
        <v>157.99</v>
      </c>
      <c r="K2540" t="s">
        <v>1618</v>
      </c>
      <c r="M2540" t="s">
        <v>1624</v>
      </c>
      <c r="N2540">
        <v>11.91</v>
      </c>
      <c r="O2540" s="49">
        <v>44986</v>
      </c>
      <c r="P2540" s="50">
        <v>71.095500000000001</v>
      </c>
    </row>
    <row r="2541" spans="4:16" x14ac:dyDescent="0.2">
      <c r="D2541">
        <v>100001525</v>
      </c>
      <c r="E2541" s="49">
        <v>44705</v>
      </c>
      <c r="F2541" t="s">
        <v>3346</v>
      </c>
      <c r="G2541" t="s">
        <v>1900</v>
      </c>
      <c r="H2541">
        <v>6</v>
      </c>
      <c r="I2541">
        <v>18.68</v>
      </c>
      <c r="J2541" s="50">
        <v>112.08</v>
      </c>
      <c r="K2541" t="s">
        <v>1618</v>
      </c>
      <c r="M2541" t="s">
        <v>1629</v>
      </c>
      <c r="N2541">
        <v>9.86</v>
      </c>
      <c r="O2541" s="49">
        <v>44707</v>
      </c>
      <c r="P2541" s="50">
        <v>50.436</v>
      </c>
    </row>
    <row r="2542" spans="4:16" x14ac:dyDescent="0.2">
      <c r="D2542">
        <v>100001526</v>
      </c>
      <c r="E2542" s="49">
        <v>44898</v>
      </c>
      <c r="F2542" t="s">
        <v>3347</v>
      </c>
      <c r="G2542" t="s">
        <v>2145</v>
      </c>
      <c r="H2542">
        <v>7</v>
      </c>
      <c r="I2542">
        <v>93.47</v>
      </c>
      <c r="J2542" s="50">
        <v>654.29</v>
      </c>
      <c r="K2542" t="s">
        <v>1632</v>
      </c>
      <c r="M2542" t="s">
        <v>1624</v>
      </c>
      <c r="N2542">
        <v>49.33</v>
      </c>
      <c r="O2542" s="49">
        <v>44900</v>
      </c>
      <c r="P2542" s="50">
        <v>294.43049999999999</v>
      </c>
    </row>
    <row r="2543" spans="4:16" x14ac:dyDescent="0.2">
      <c r="D2543">
        <v>100001528</v>
      </c>
      <c r="E2543" s="49">
        <v>44753</v>
      </c>
      <c r="F2543" t="s">
        <v>3348</v>
      </c>
      <c r="G2543" t="s">
        <v>1740</v>
      </c>
      <c r="H2543">
        <v>10</v>
      </c>
      <c r="I2543">
        <v>92.32</v>
      </c>
      <c r="J2543" s="50">
        <v>923.19999999999993</v>
      </c>
      <c r="K2543" t="s">
        <v>1632</v>
      </c>
      <c r="M2543" t="s">
        <v>1624</v>
      </c>
      <c r="N2543">
        <v>48.72</v>
      </c>
      <c r="O2543" s="49">
        <v>44754</v>
      </c>
      <c r="P2543" s="50">
        <v>415.44</v>
      </c>
    </row>
    <row r="2544" spans="4:16" x14ac:dyDescent="0.2">
      <c r="D2544">
        <v>100001528</v>
      </c>
      <c r="E2544" s="49">
        <v>45416</v>
      </c>
      <c r="F2544" t="s">
        <v>3348</v>
      </c>
      <c r="G2544" t="s">
        <v>2372</v>
      </c>
      <c r="H2544">
        <v>2</v>
      </c>
      <c r="I2544">
        <v>115.96</v>
      </c>
      <c r="J2544" s="50">
        <v>231.92</v>
      </c>
      <c r="K2544" t="s">
        <v>1632</v>
      </c>
      <c r="M2544" t="s">
        <v>1627</v>
      </c>
      <c r="N2544">
        <v>61.2</v>
      </c>
      <c r="O2544" s="49">
        <v>45420</v>
      </c>
      <c r="P2544" s="50">
        <v>104.36399999999999</v>
      </c>
    </row>
    <row r="2545" spans="4:16" x14ac:dyDescent="0.2">
      <c r="D2545">
        <v>100001528</v>
      </c>
      <c r="E2545" s="49">
        <v>45159</v>
      </c>
      <c r="F2545" t="s">
        <v>3348</v>
      </c>
      <c r="G2545" t="s">
        <v>1967</v>
      </c>
      <c r="H2545">
        <v>7</v>
      </c>
      <c r="I2545">
        <v>93.66</v>
      </c>
      <c r="J2545" s="50">
        <v>655.62</v>
      </c>
      <c r="K2545" t="s">
        <v>1632</v>
      </c>
      <c r="M2545" t="s">
        <v>1629</v>
      </c>
      <c r="N2545">
        <v>49.43</v>
      </c>
      <c r="O2545" s="49">
        <v>45164</v>
      </c>
      <c r="P2545" s="50">
        <v>295.029</v>
      </c>
    </row>
    <row r="2546" spans="4:16" x14ac:dyDescent="0.2">
      <c r="D2546">
        <v>100001529</v>
      </c>
      <c r="E2546" s="49">
        <v>44933</v>
      </c>
      <c r="F2546" t="s">
        <v>3349</v>
      </c>
      <c r="G2546" t="s">
        <v>2390</v>
      </c>
      <c r="H2546">
        <v>4</v>
      </c>
      <c r="I2546">
        <v>42.67</v>
      </c>
      <c r="J2546" s="50">
        <v>170.68</v>
      </c>
      <c r="K2546" t="s">
        <v>1632</v>
      </c>
      <c r="M2546" t="s">
        <v>1621</v>
      </c>
      <c r="N2546">
        <v>22.52</v>
      </c>
      <c r="O2546" s="49">
        <v>44938</v>
      </c>
      <c r="P2546" s="50">
        <v>76.806000000000012</v>
      </c>
    </row>
    <row r="2547" spans="4:16" x14ac:dyDescent="0.2">
      <c r="D2547">
        <v>100001529</v>
      </c>
      <c r="E2547" s="49">
        <v>44336</v>
      </c>
      <c r="F2547" t="s">
        <v>3349</v>
      </c>
      <c r="G2547" t="s">
        <v>1770</v>
      </c>
      <c r="H2547">
        <v>7</v>
      </c>
      <c r="I2547">
        <v>91.74</v>
      </c>
      <c r="J2547" s="50">
        <v>642.17999999999995</v>
      </c>
      <c r="K2547" t="s">
        <v>1632</v>
      </c>
      <c r="M2547" t="s">
        <v>1619</v>
      </c>
      <c r="N2547">
        <v>48.42</v>
      </c>
      <c r="O2547" s="49">
        <v>44338</v>
      </c>
      <c r="P2547" s="50">
        <v>288.98099999999999</v>
      </c>
    </row>
    <row r="2548" spans="4:16" x14ac:dyDescent="0.2">
      <c r="D2548">
        <v>100001529</v>
      </c>
      <c r="E2548" s="49">
        <v>44909</v>
      </c>
      <c r="F2548" t="s">
        <v>3349</v>
      </c>
      <c r="G2548" t="s">
        <v>2192</v>
      </c>
      <c r="H2548">
        <v>10</v>
      </c>
      <c r="I2548">
        <v>78.290000000000006</v>
      </c>
      <c r="J2548" s="50">
        <v>782.90000000000009</v>
      </c>
      <c r="K2548" t="s">
        <v>1632</v>
      </c>
      <c r="M2548" t="s">
        <v>1621</v>
      </c>
      <c r="N2548">
        <v>41.32</v>
      </c>
      <c r="O2548" s="49">
        <v>44913</v>
      </c>
      <c r="P2548" s="50">
        <v>352.30500000000006</v>
      </c>
    </row>
    <row r="2549" spans="4:16" x14ac:dyDescent="0.2">
      <c r="D2549">
        <v>100001529</v>
      </c>
      <c r="E2549" s="49">
        <v>45441</v>
      </c>
      <c r="F2549" t="s">
        <v>3349</v>
      </c>
      <c r="G2549" t="s">
        <v>1973</v>
      </c>
      <c r="H2549">
        <v>2</v>
      </c>
      <c r="I2549">
        <v>17.55</v>
      </c>
      <c r="J2549" s="50">
        <v>35.1</v>
      </c>
      <c r="K2549" t="s">
        <v>1632</v>
      </c>
      <c r="M2549" t="s">
        <v>1621</v>
      </c>
      <c r="N2549">
        <v>9.26</v>
      </c>
      <c r="O2549" s="49">
        <v>45446</v>
      </c>
      <c r="P2549" s="50">
        <v>15.795000000000002</v>
      </c>
    </row>
    <row r="2550" spans="4:16" x14ac:dyDescent="0.2">
      <c r="D2550">
        <v>100001533</v>
      </c>
      <c r="E2550" s="49">
        <v>45650</v>
      </c>
      <c r="F2550" t="s">
        <v>3265</v>
      </c>
      <c r="G2550" t="s">
        <v>1913</v>
      </c>
      <c r="H2550">
        <v>4</v>
      </c>
      <c r="I2550">
        <v>18.88</v>
      </c>
      <c r="J2550" s="50">
        <v>75.52</v>
      </c>
      <c r="K2550" t="s">
        <v>1618</v>
      </c>
      <c r="M2550" t="s">
        <v>1627</v>
      </c>
      <c r="N2550">
        <v>9.9600000000000009</v>
      </c>
      <c r="O2550" s="49">
        <v>45655</v>
      </c>
      <c r="P2550" s="50">
        <v>33.984000000000002</v>
      </c>
    </row>
    <row r="2551" spans="4:16" x14ac:dyDescent="0.2">
      <c r="D2551">
        <v>100001534</v>
      </c>
      <c r="E2551" s="49">
        <v>45035</v>
      </c>
      <c r="F2551" t="s">
        <v>3246</v>
      </c>
      <c r="G2551" t="s">
        <v>1857</v>
      </c>
      <c r="H2551">
        <v>9</v>
      </c>
      <c r="I2551">
        <v>104.21</v>
      </c>
      <c r="J2551" s="50">
        <v>937.89</v>
      </c>
      <c r="K2551" t="s">
        <v>1618</v>
      </c>
      <c r="M2551" t="s">
        <v>1621</v>
      </c>
      <c r="N2551">
        <v>55</v>
      </c>
      <c r="O2551" s="49">
        <v>45039</v>
      </c>
      <c r="P2551" s="50">
        <v>422.0505</v>
      </c>
    </row>
    <row r="2552" spans="4:16" x14ac:dyDescent="0.2">
      <c r="D2552">
        <v>100001534</v>
      </c>
      <c r="E2552" s="49">
        <v>44213</v>
      </c>
      <c r="F2552" t="s">
        <v>3246</v>
      </c>
      <c r="G2552" t="s">
        <v>1801</v>
      </c>
      <c r="H2552">
        <v>2</v>
      </c>
      <c r="I2552">
        <v>111.24</v>
      </c>
      <c r="J2552" s="50">
        <v>222.48</v>
      </c>
      <c r="K2552" t="s">
        <v>1618</v>
      </c>
      <c r="M2552" t="s">
        <v>1619</v>
      </c>
      <c r="N2552">
        <v>58.71</v>
      </c>
      <c r="O2552" s="49">
        <v>44217</v>
      </c>
      <c r="P2552" s="50">
        <v>100.116</v>
      </c>
    </row>
    <row r="2553" spans="4:16" x14ac:dyDescent="0.2">
      <c r="D2553">
        <v>100001534</v>
      </c>
      <c r="E2553" s="49">
        <v>44688</v>
      </c>
      <c r="F2553" t="s">
        <v>3246</v>
      </c>
      <c r="G2553" t="s">
        <v>1679</v>
      </c>
      <c r="H2553">
        <v>1</v>
      </c>
      <c r="I2553">
        <v>115.19</v>
      </c>
      <c r="J2553" s="50">
        <v>115.19</v>
      </c>
      <c r="K2553" t="s">
        <v>1618</v>
      </c>
      <c r="M2553" t="s">
        <v>1621</v>
      </c>
      <c r="N2553">
        <v>60.79</v>
      </c>
      <c r="O2553" s="49">
        <v>44693</v>
      </c>
      <c r="P2553" s="50">
        <v>51.835500000000003</v>
      </c>
    </row>
    <row r="2554" spans="4:16" x14ac:dyDescent="0.2">
      <c r="D2554">
        <v>100001534</v>
      </c>
      <c r="E2554" s="49">
        <v>45648</v>
      </c>
      <c r="F2554" t="s">
        <v>3246</v>
      </c>
      <c r="G2554" t="s">
        <v>1686</v>
      </c>
      <c r="H2554">
        <v>8</v>
      </c>
      <c r="I2554">
        <v>14.79</v>
      </c>
      <c r="J2554" s="50">
        <v>118.32</v>
      </c>
      <c r="K2554" t="s">
        <v>1618</v>
      </c>
      <c r="M2554" t="s">
        <v>1619</v>
      </c>
      <c r="N2554">
        <v>7.81</v>
      </c>
      <c r="O2554" s="49">
        <v>45651</v>
      </c>
      <c r="P2554" s="50">
        <v>53.244</v>
      </c>
    </row>
    <row r="2555" spans="4:16" x14ac:dyDescent="0.2">
      <c r="D2555">
        <v>100001535</v>
      </c>
      <c r="E2555" s="49">
        <v>44772</v>
      </c>
      <c r="F2555" t="s">
        <v>3350</v>
      </c>
      <c r="G2555" t="s">
        <v>1999</v>
      </c>
      <c r="H2555">
        <v>3</v>
      </c>
      <c r="I2555">
        <v>97.39</v>
      </c>
      <c r="J2555" s="50">
        <v>292.17</v>
      </c>
      <c r="K2555" t="s">
        <v>1632</v>
      </c>
      <c r="L2555" t="s">
        <v>3351</v>
      </c>
      <c r="M2555" t="s">
        <v>1624</v>
      </c>
      <c r="N2555">
        <v>51.4</v>
      </c>
      <c r="O2555" s="49">
        <v>44776</v>
      </c>
      <c r="P2555" s="50">
        <v>131.47650000000002</v>
      </c>
    </row>
    <row r="2556" spans="4:16" x14ac:dyDescent="0.2">
      <c r="D2556">
        <v>100001536</v>
      </c>
      <c r="E2556" s="49">
        <v>44387</v>
      </c>
      <c r="F2556" t="s">
        <v>3352</v>
      </c>
      <c r="G2556" t="s">
        <v>2465</v>
      </c>
      <c r="H2556">
        <v>9</v>
      </c>
      <c r="I2556">
        <v>91.19</v>
      </c>
      <c r="J2556" s="50">
        <v>820.71</v>
      </c>
      <c r="K2556" t="s">
        <v>1618</v>
      </c>
      <c r="M2556" t="s">
        <v>1624</v>
      </c>
      <c r="N2556">
        <v>48.13</v>
      </c>
      <c r="O2556" s="49">
        <v>44389</v>
      </c>
      <c r="P2556" s="50">
        <v>369.31950000000001</v>
      </c>
    </row>
    <row r="2557" spans="4:16" x14ac:dyDescent="0.2">
      <c r="D2557">
        <v>100001537</v>
      </c>
      <c r="E2557" s="49">
        <v>44878</v>
      </c>
      <c r="F2557" t="s">
        <v>3353</v>
      </c>
      <c r="G2557" t="s">
        <v>1805</v>
      </c>
      <c r="H2557">
        <v>5</v>
      </c>
      <c r="I2557">
        <v>52.17</v>
      </c>
      <c r="J2557" s="50">
        <v>260.85000000000002</v>
      </c>
      <c r="K2557" t="s">
        <v>1618</v>
      </c>
      <c r="L2557" t="s">
        <v>3354</v>
      </c>
      <c r="M2557" t="s">
        <v>1629</v>
      </c>
      <c r="N2557">
        <v>27.53</v>
      </c>
      <c r="O2557" s="49">
        <v>44882</v>
      </c>
      <c r="P2557" s="50">
        <v>117.38250000000001</v>
      </c>
    </row>
    <row r="2558" spans="4:16" x14ac:dyDescent="0.2">
      <c r="D2558">
        <v>100001538</v>
      </c>
      <c r="E2558" s="49">
        <v>44885</v>
      </c>
      <c r="F2558" t="s">
        <v>3355</v>
      </c>
      <c r="G2558" t="s">
        <v>1815</v>
      </c>
      <c r="H2558">
        <v>8</v>
      </c>
      <c r="I2558">
        <v>58.58</v>
      </c>
      <c r="J2558" s="50">
        <v>468.64</v>
      </c>
      <c r="K2558" t="s">
        <v>1618</v>
      </c>
      <c r="M2558" t="s">
        <v>1627</v>
      </c>
      <c r="N2558">
        <v>30.92</v>
      </c>
      <c r="O2558" s="49">
        <v>44887</v>
      </c>
      <c r="P2558" s="50">
        <v>210.88800000000001</v>
      </c>
    </row>
    <row r="2559" spans="4:16" x14ac:dyDescent="0.2">
      <c r="D2559">
        <v>100001538</v>
      </c>
      <c r="E2559" s="49">
        <v>45630</v>
      </c>
      <c r="F2559" t="s">
        <v>3355</v>
      </c>
      <c r="G2559" t="s">
        <v>2086</v>
      </c>
      <c r="H2559">
        <v>2</v>
      </c>
      <c r="I2559">
        <v>101.65</v>
      </c>
      <c r="J2559" s="50">
        <v>203.3</v>
      </c>
      <c r="K2559" t="s">
        <v>1618</v>
      </c>
      <c r="M2559" t="s">
        <v>1627</v>
      </c>
      <c r="N2559">
        <v>53.65</v>
      </c>
      <c r="O2559" s="49">
        <v>45632</v>
      </c>
      <c r="P2559" s="50">
        <v>91.485000000000014</v>
      </c>
    </row>
    <row r="2560" spans="4:16" x14ac:dyDescent="0.2">
      <c r="D2560">
        <v>100001539</v>
      </c>
      <c r="E2560" s="49">
        <v>45018</v>
      </c>
      <c r="F2560" t="s">
        <v>3356</v>
      </c>
      <c r="G2560" t="s">
        <v>1797</v>
      </c>
      <c r="H2560">
        <v>7</v>
      </c>
      <c r="I2560">
        <v>42.24</v>
      </c>
      <c r="J2560" s="50">
        <v>295.68</v>
      </c>
      <c r="K2560" t="s">
        <v>1618</v>
      </c>
      <c r="M2560" t="s">
        <v>1629</v>
      </c>
      <c r="N2560">
        <v>22.29</v>
      </c>
      <c r="O2560" s="49">
        <v>45020</v>
      </c>
      <c r="P2560" s="50">
        <v>133.05600000000001</v>
      </c>
    </row>
    <row r="2561" spans="4:16" x14ac:dyDescent="0.2">
      <c r="D2561">
        <v>100001540</v>
      </c>
      <c r="E2561" s="49">
        <v>44746</v>
      </c>
      <c r="F2561" t="s">
        <v>3357</v>
      </c>
      <c r="G2561" t="s">
        <v>1743</v>
      </c>
      <c r="H2561">
        <v>6</v>
      </c>
      <c r="I2561">
        <v>51.23</v>
      </c>
      <c r="J2561" s="50">
        <v>307.38</v>
      </c>
      <c r="K2561" t="s">
        <v>1632</v>
      </c>
      <c r="M2561" t="s">
        <v>1627</v>
      </c>
      <c r="N2561">
        <v>27.04</v>
      </c>
      <c r="O2561" s="49">
        <v>44749</v>
      </c>
      <c r="P2561" s="50">
        <v>138.321</v>
      </c>
    </row>
    <row r="2562" spans="4:16" x14ac:dyDescent="0.2">
      <c r="D2562">
        <v>100001540</v>
      </c>
      <c r="E2562" s="49">
        <v>44501</v>
      </c>
      <c r="F2562" t="s">
        <v>3357</v>
      </c>
      <c r="G2562" t="s">
        <v>1686</v>
      </c>
      <c r="H2562">
        <v>6</v>
      </c>
      <c r="I2562">
        <v>75.56</v>
      </c>
      <c r="J2562" s="50">
        <v>453.36</v>
      </c>
      <c r="K2562" t="s">
        <v>1632</v>
      </c>
      <c r="M2562" t="s">
        <v>1624</v>
      </c>
      <c r="N2562">
        <v>39.880000000000003</v>
      </c>
      <c r="O2562" s="49">
        <v>44504</v>
      </c>
      <c r="P2562" s="50">
        <v>204.012</v>
      </c>
    </row>
    <row r="2563" spans="4:16" x14ac:dyDescent="0.2">
      <c r="D2563">
        <v>100001540</v>
      </c>
      <c r="E2563" s="49">
        <v>45363</v>
      </c>
      <c r="F2563" t="s">
        <v>3357</v>
      </c>
      <c r="G2563" t="s">
        <v>1758</v>
      </c>
      <c r="H2563">
        <v>7</v>
      </c>
      <c r="I2563">
        <v>20.2</v>
      </c>
      <c r="J2563" s="50">
        <v>141.4</v>
      </c>
      <c r="K2563" t="s">
        <v>1632</v>
      </c>
      <c r="M2563" t="s">
        <v>1624</v>
      </c>
      <c r="N2563">
        <v>10.66</v>
      </c>
      <c r="O2563" s="49">
        <v>45366</v>
      </c>
      <c r="P2563" s="50">
        <v>63.63</v>
      </c>
    </row>
    <row r="2564" spans="4:16" x14ac:dyDescent="0.2">
      <c r="D2564">
        <v>100001540</v>
      </c>
      <c r="E2564" s="49">
        <v>44608</v>
      </c>
      <c r="F2564" t="s">
        <v>3357</v>
      </c>
      <c r="G2564" t="s">
        <v>1967</v>
      </c>
      <c r="H2564">
        <v>10</v>
      </c>
      <c r="I2564">
        <v>112.51</v>
      </c>
      <c r="J2564" s="50">
        <v>1125.0999999999999</v>
      </c>
      <c r="K2564" t="s">
        <v>1632</v>
      </c>
      <c r="M2564" t="s">
        <v>1619</v>
      </c>
      <c r="N2564">
        <v>59.38</v>
      </c>
      <c r="O2564" s="49">
        <v>44612</v>
      </c>
      <c r="P2564" s="50">
        <v>506.29499999999996</v>
      </c>
    </row>
    <row r="2565" spans="4:16" x14ac:dyDescent="0.2">
      <c r="D2565">
        <v>100001540</v>
      </c>
      <c r="E2565" s="49">
        <v>44201</v>
      </c>
      <c r="F2565" t="s">
        <v>3357</v>
      </c>
      <c r="G2565" t="s">
        <v>1744</v>
      </c>
      <c r="H2565">
        <v>10</v>
      </c>
      <c r="I2565">
        <v>64.16</v>
      </c>
      <c r="J2565" s="50">
        <v>641.59999999999991</v>
      </c>
      <c r="K2565" t="s">
        <v>1632</v>
      </c>
      <c r="M2565" t="s">
        <v>1619</v>
      </c>
      <c r="N2565">
        <v>33.86</v>
      </c>
      <c r="O2565" s="49">
        <v>44205</v>
      </c>
      <c r="P2565" s="50">
        <v>288.71999999999997</v>
      </c>
    </row>
    <row r="2566" spans="4:16" x14ac:dyDescent="0.2">
      <c r="D2566">
        <v>100001540</v>
      </c>
      <c r="E2566" s="49">
        <v>44906</v>
      </c>
      <c r="F2566" t="s">
        <v>3357</v>
      </c>
      <c r="G2566" t="s">
        <v>2093</v>
      </c>
      <c r="H2566">
        <v>4</v>
      </c>
      <c r="I2566">
        <v>99.81</v>
      </c>
      <c r="J2566" s="50">
        <v>399.24</v>
      </c>
      <c r="K2566" t="s">
        <v>1632</v>
      </c>
      <c r="M2566" t="s">
        <v>1624</v>
      </c>
      <c r="N2566">
        <v>52.68</v>
      </c>
      <c r="O2566" s="49">
        <v>44911</v>
      </c>
      <c r="P2566" s="50">
        <v>179.65800000000002</v>
      </c>
    </row>
    <row r="2567" spans="4:16" x14ac:dyDescent="0.2">
      <c r="D2567">
        <v>100001540</v>
      </c>
      <c r="E2567" s="49">
        <v>44569</v>
      </c>
      <c r="F2567" t="s">
        <v>3357</v>
      </c>
      <c r="G2567" t="s">
        <v>1985</v>
      </c>
      <c r="H2567">
        <v>6</v>
      </c>
      <c r="I2567">
        <v>74.75</v>
      </c>
      <c r="J2567" s="50">
        <v>448.5</v>
      </c>
      <c r="K2567" t="s">
        <v>1632</v>
      </c>
      <c r="M2567" t="s">
        <v>1629</v>
      </c>
      <c r="N2567">
        <v>39.450000000000003</v>
      </c>
      <c r="O2567" s="49">
        <v>44574</v>
      </c>
      <c r="P2567" s="50">
        <v>201.82500000000002</v>
      </c>
    </row>
    <row r="2568" spans="4:16" x14ac:dyDescent="0.2">
      <c r="D2568">
        <v>100001540</v>
      </c>
      <c r="E2568" s="49">
        <v>44957</v>
      </c>
      <c r="F2568" t="s">
        <v>3357</v>
      </c>
      <c r="G2568" t="s">
        <v>1738</v>
      </c>
      <c r="H2568">
        <v>9</v>
      </c>
      <c r="I2568">
        <v>39.08</v>
      </c>
      <c r="J2568" s="50">
        <v>351.72</v>
      </c>
      <c r="K2568" t="s">
        <v>1632</v>
      </c>
      <c r="M2568" t="s">
        <v>1621</v>
      </c>
      <c r="N2568">
        <v>20.63</v>
      </c>
      <c r="O2568" s="49">
        <v>44959</v>
      </c>
      <c r="P2568" s="50">
        <v>158.27400000000003</v>
      </c>
    </row>
    <row r="2569" spans="4:16" x14ac:dyDescent="0.2">
      <c r="D2569">
        <v>100001540</v>
      </c>
      <c r="E2569" s="49">
        <v>44515</v>
      </c>
      <c r="F2569" t="s">
        <v>3357</v>
      </c>
      <c r="G2569" t="s">
        <v>1932</v>
      </c>
      <c r="H2569">
        <v>4</v>
      </c>
      <c r="I2569">
        <v>101.82</v>
      </c>
      <c r="J2569" s="50">
        <v>407.28</v>
      </c>
      <c r="K2569" t="s">
        <v>1632</v>
      </c>
      <c r="M2569" t="s">
        <v>1621</v>
      </c>
      <c r="N2569">
        <v>53.74</v>
      </c>
      <c r="O2569" s="49">
        <v>44518</v>
      </c>
      <c r="P2569" s="50">
        <v>183.27599999999998</v>
      </c>
    </row>
    <row r="2570" spans="4:16" x14ac:dyDescent="0.2">
      <c r="D2570">
        <v>100001540</v>
      </c>
      <c r="E2570" s="49">
        <v>45554</v>
      </c>
      <c r="F2570" t="s">
        <v>3357</v>
      </c>
      <c r="G2570" t="s">
        <v>2207</v>
      </c>
      <c r="H2570">
        <v>2</v>
      </c>
      <c r="I2570">
        <v>10.01</v>
      </c>
      <c r="J2570" s="50">
        <v>20.02</v>
      </c>
      <c r="K2570" t="s">
        <v>1632</v>
      </c>
      <c r="M2570" t="s">
        <v>1621</v>
      </c>
      <c r="N2570">
        <v>5.28</v>
      </c>
      <c r="O2570" s="49">
        <v>45557</v>
      </c>
      <c r="P2570" s="50">
        <v>9.0090000000000003</v>
      </c>
    </row>
    <row r="2571" spans="4:16" x14ac:dyDescent="0.2">
      <c r="D2571">
        <v>100001540</v>
      </c>
      <c r="E2571" s="49">
        <v>44394</v>
      </c>
      <c r="F2571" t="s">
        <v>3357</v>
      </c>
      <c r="G2571" t="s">
        <v>1730</v>
      </c>
      <c r="H2571">
        <v>1</v>
      </c>
      <c r="I2571">
        <v>53.05</v>
      </c>
      <c r="J2571" s="50">
        <v>53.05</v>
      </c>
      <c r="K2571" t="s">
        <v>1632</v>
      </c>
      <c r="M2571" t="s">
        <v>1624</v>
      </c>
      <c r="N2571">
        <v>28</v>
      </c>
      <c r="O2571" s="49">
        <v>44398</v>
      </c>
      <c r="P2571" s="50">
        <v>23.872499999999999</v>
      </c>
    </row>
    <row r="2572" spans="4:16" x14ac:dyDescent="0.2">
      <c r="D2572">
        <v>100001543</v>
      </c>
      <c r="E2572" s="49">
        <v>45358</v>
      </c>
      <c r="F2572" t="s">
        <v>3358</v>
      </c>
      <c r="G2572" t="s">
        <v>1831</v>
      </c>
      <c r="H2572">
        <v>7</v>
      </c>
      <c r="I2572">
        <v>44.53</v>
      </c>
      <c r="J2572" s="50">
        <v>311.70999999999998</v>
      </c>
      <c r="K2572" t="s">
        <v>1618</v>
      </c>
      <c r="L2572" t="s">
        <v>3359</v>
      </c>
      <c r="M2572" t="s">
        <v>1621</v>
      </c>
      <c r="N2572">
        <v>23.5</v>
      </c>
      <c r="O2572" s="49">
        <v>45359</v>
      </c>
      <c r="P2572" s="50">
        <v>140.26949999999999</v>
      </c>
    </row>
    <row r="2573" spans="4:16" x14ac:dyDescent="0.2">
      <c r="D2573">
        <v>100001543</v>
      </c>
      <c r="E2573" s="49">
        <v>44279</v>
      </c>
      <c r="F2573" t="s">
        <v>3358</v>
      </c>
      <c r="G2573" t="s">
        <v>1749</v>
      </c>
      <c r="H2573">
        <v>3</v>
      </c>
      <c r="I2573">
        <v>81.459999999999994</v>
      </c>
      <c r="J2573" s="50">
        <v>244.38</v>
      </c>
      <c r="K2573" t="s">
        <v>1618</v>
      </c>
      <c r="L2573" t="s">
        <v>3359</v>
      </c>
      <c r="M2573" t="s">
        <v>1624</v>
      </c>
      <c r="N2573">
        <v>42.99</v>
      </c>
      <c r="O2573" s="49">
        <v>44282</v>
      </c>
      <c r="P2573" s="50">
        <v>109.971</v>
      </c>
    </row>
    <row r="2574" spans="4:16" x14ac:dyDescent="0.2">
      <c r="D2574">
        <v>100001543</v>
      </c>
      <c r="E2574" s="49">
        <v>44293</v>
      </c>
      <c r="F2574" t="s">
        <v>3358</v>
      </c>
      <c r="G2574" t="s">
        <v>1696</v>
      </c>
      <c r="H2574">
        <v>9</v>
      </c>
      <c r="I2574">
        <v>80.010000000000005</v>
      </c>
      <c r="J2574" s="50">
        <v>720.09</v>
      </c>
      <c r="K2574" t="s">
        <v>1618</v>
      </c>
      <c r="L2574" t="s">
        <v>3359</v>
      </c>
      <c r="M2574" t="s">
        <v>1629</v>
      </c>
      <c r="N2574">
        <v>42.23</v>
      </c>
      <c r="O2574" s="49">
        <v>44298</v>
      </c>
      <c r="P2574" s="50">
        <v>324.04050000000001</v>
      </c>
    </row>
    <row r="2575" spans="4:16" x14ac:dyDescent="0.2">
      <c r="D2575">
        <v>100001543</v>
      </c>
      <c r="E2575" s="49">
        <v>44948</v>
      </c>
      <c r="F2575" t="s">
        <v>3358</v>
      </c>
      <c r="G2575" t="s">
        <v>1877</v>
      </c>
      <c r="H2575">
        <v>10</v>
      </c>
      <c r="I2575">
        <v>90</v>
      </c>
      <c r="J2575" s="50">
        <v>900</v>
      </c>
      <c r="K2575" t="s">
        <v>1618</v>
      </c>
      <c r="L2575" t="s">
        <v>3359</v>
      </c>
      <c r="M2575" t="s">
        <v>1619</v>
      </c>
      <c r="N2575">
        <v>47.5</v>
      </c>
      <c r="O2575" s="49">
        <v>44951</v>
      </c>
      <c r="P2575" s="50">
        <v>405</v>
      </c>
    </row>
    <row r="2576" spans="4:16" x14ac:dyDescent="0.2">
      <c r="D2576">
        <v>100001543</v>
      </c>
      <c r="E2576" s="49">
        <v>45436</v>
      </c>
      <c r="F2576" t="s">
        <v>3358</v>
      </c>
      <c r="G2576" t="s">
        <v>2168</v>
      </c>
      <c r="H2576">
        <v>6</v>
      </c>
      <c r="I2576">
        <v>69.72</v>
      </c>
      <c r="J2576" s="50">
        <v>418.32</v>
      </c>
      <c r="K2576" t="s">
        <v>1618</v>
      </c>
      <c r="L2576" t="s">
        <v>3359</v>
      </c>
      <c r="M2576" t="s">
        <v>1624</v>
      </c>
      <c r="N2576">
        <v>36.799999999999997</v>
      </c>
      <c r="O2576" s="49">
        <v>45439</v>
      </c>
      <c r="P2576" s="50">
        <v>188.244</v>
      </c>
    </row>
    <row r="2577" spans="4:16" x14ac:dyDescent="0.2">
      <c r="D2577">
        <v>100001543</v>
      </c>
      <c r="E2577" s="49">
        <v>44613</v>
      </c>
      <c r="F2577" t="s">
        <v>3358</v>
      </c>
      <c r="G2577" t="s">
        <v>1626</v>
      </c>
      <c r="H2577">
        <v>5</v>
      </c>
      <c r="I2577">
        <v>44.5</v>
      </c>
      <c r="J2577" s="50">
        <v>222.5</v>
      </c>
      <c r="K2577" t="s">
        <v>1618</v>
      </c>
      <c r="L2577" t="s">
        <v>3359</v>
      </c>
      <c r="M2577" t="s">
        <v>1629</v>
      </c>
      <c r="N2577">
        <v>23.49</v>
      </c>
      <c r="O2577" s="49">
        <v>44618</v>
      </c>
      <c r="P2577" s="50">
        <v>100.125</v>
      </c>
    </row>
    <row r="2578" spans="4:16" x14ac:dyDescent="0.2">
      <c r="D2578">
        <v>100001543</v>
      </c>
      <c r="E2578" s="49">
        <v>44484</v>
      </c>
      <c r="F2578" t="s">
        <v>3358</v>
      </c>
      <c r="G2578" t="s">
        <v>2346</v>
      </c>
      <c r="H2578">
        <v>7</v>
      </c>
      <c r="I2578">
        <v>46.47</v>
      </c>
      <c r="J2578" s="50">
        <v>325.29000000000002</v>
      </c>
      <c r="K2578" t="s">
        <v>1618</v>
      </c>
      <c r="L2578" t="s">
        <v>3359</v>
      </c>
      <c r="M2578" t="s">
        <v>1619</v>
      </c>
      <c r="N2578">
        <v>24.53</v>
      </c>
      <c r="O2578" s="49">
        <v>44486</v>
      </c>
      <c r="P2578" s="50">
        <v>146.38050000000001</v>
      </c>
    </row>
    <row r="2579" spans="4:16" x14ac:dyDescent="0.2">
      <c r="D2579">
        <v>100001544</v>
      </c>
      <c r="E2579" s="49">
        <v>45438</v>
      </c>
      <c r="F2579" t="s">
        <v>3360</v>
      </c>
      <c r="G2579" t="s">
        <v>1677</v>
      </c>
      <c r="H2579">
        <v>9</v>
      </c>
      <c r="I2579">
        <v>19.03</v>
      </c>
      <c r="J2579" s="50">
        <v>171.27</v>
      </c>
      <c r="K2579" t="s">
        <v>1618</v>
      </c>
      <c r="L2579" t="s">
        <v>3361</v>
      </c>
      <c r="M2579" t="s">
        <v>1624</v>
      </c>
      <c r="N2579">
        <v>10.039999999999999</v>
      </c>
      <c r="O2579" s="49">
        <v>45440</v>
      </c>
      <c r="P2579" s="50">
        <v>77.0715</v>
      </c>
    </row>
    <row r="2580" spans="4:16" x14ac:dyDescent="0.2">
      <c r="D2580">
        <v>100001544</v>
      </c>
      <c r="E2580" s="49">
        <v>45064</v>
      </c>
      <c r="F2580" t="s">
        <v>3360</v>
      </c>
      <c r="G2580" t="s">
        <v>1943</v>
      </c>
      <c r="H2580">
        <v>6</v>
      </c>
      <c r="I2580">
        <v>91.02</v>
      </c>
      <c r="J2580" s="50">
        <v>546.12</v>
      </c>
      <c r="K2580" t="s">
        <v>1618</v>
      </c>
      <c r="L2580" t="s">
        <v>3361</v>
      </c>
      <c r="M2580" t="s">
        <v>1619</v>
      </c>
      <c r="N2580">
        <v>48.04</v>
      </c>
      <c r="O2580" s="49">
        <v>45065</v>
      </c>
      <c r="P2580" s="50">
        <v>245.75400000000002</v>
      </c>
    </row>
    <row r="2581" spans="4:16" x14ac:dyDescent="0.2">
      <c r="D2581">
        <v>100001544</v>
      </c>
      <c r="E2581" s="49">
        <v>45060</v>
      </c>
      <c r="F2581" t="s">
        <v>3360</v>
      </c>
      <c r="G2581" t="s">
        <v>1658</v>
      </c>
      <c r="H2581">
        <v>4</v>
      </c>
      <c r="I2581">
        <v>86.82</v>
      </c>
      <c r="J2581" s="50">
        <v>347.28</v>
      </c>
      <c r="K2581" t="s">
        <v>1618</v>
      </c>
      <c r="L2581" t="s">
        <v>3361</v>
      </c>
      <c r="M2581" t="s">
        <v>1619</v>
      </c>
      <c r="N2581">
        <v>45.82</v>
      </c>
      <c r="O2581" s="49">
        <v>45065</v>
      </c>
      <c r="P2581" s="50">
        <v>156.27599999999998</v>
      </c>
    </row>
    <row r="2582" spans="4:16" x14ac:dyDescent="0.2">
      <c r="D2582">
        <v>100001544</v>
      </c>
      <c r="E2582" s="49">
        <v>45225</v>
      </c>
      <c r="F2582" t="s">
        <v>3360</v>
      </c>
      <c r="G2582" t="s">
        <v>1802</v>
      </c>
      <c r="H2582">
        <v>8</v>
      </c>
      <c r="I2582">
        <v>28.41</v>
      </c>
      <c r="J2582" s="50">
        <v>227.28</v>
      </c>
      <c r="K2582" t="s">
        <v>1618</v>
      </c>
      <c r="L2582" t="s">
        <v>3361</v>
      </c>
      <c r="M2582" t="s">
        <v>1624</v>
      </c>
      <c r="N2582">
        <v>14.99</v>
      </c>
      <c r="O2582" s="49">
        <v>45226</v>
      </c>
      <c r="P2582" s="50">
        <v>102.276</v>
      </c>
    </row>
    <row r="2583" spans="4:16" x14ac:dyDescent="0.2">
      <c r="D2583">
        <v>100001544</v>
      </c>
      <c r="E2583" s="49">
        <v>44746</v>
      </c>
      <c r="F2583" t="s">
        <v>3360</v>
      </c>
      <c r="G2583" t="s">
        <v>2159</v>
      </c>
      <c r="H2583">
        <v>1</v>
      </c>
      <c r="I2583">
        <v>76.819999999999993</v>
      </c>
      <c r="J2583" s="50">
        <v>76.819999999999993</v>
      </c>
      <c r="K2583" t="s">
        <v>1618</v>
      </c>
      <c r="L2583" t="s">
        <v>3361</v>
      </c>
      <c r="M2583" t="s">
        <v>1619</v>
      </c>
      <c r="N2583">
        <v>40.54</v>
      </c>
      <c r="O2583" s="49">
        <v>44749</v>
      </c>
      <c r="P2583" s="50">
        <v>34.568999999999996</v>
      </c>
    </row>
    <row r="2584" spans="4:16" x14ac:dyDescent="0.2">
      <c r="D2584">
        <v>100001544</v>
      </c>
      <c r="E2584" s="49">
        <v>45171</v>
      </c>
      <c r="F2584" t="s">
        <v>3360</v>
      </c>
      <c r="G2584" t="s">
        <v>1820</v>
      </c>
      <c r="H2584">
        <v>5</v>
      </c>
      <c r="I2584">
        <v>83.3</v>
      </c>
      <c r="J2584" s="50">
        <v>416.5</v>
      </c>
      <c r="K2584" t="s">
        <v>1618</v>
      </c>
      <c r="L2584" t="s">
        <v>3361</v>
      </c>
      <c r="M2584" t="s">
        <v>1621</v>
      </c>
      <c r="N2584">
        <v>43.96</v>
      </c>
      <c r="O2584" s="49">
        <v>45172</v>
      </c>
      <c r="P2584" s="50">
        <v>187.42500000000001</v>
      </c>
    </row>
    <row r="2585" spans="4:16" x14ac:dyDescent="0.2">
      <c r="D2585">
        <v>100001545</v>
      </c>
      <c r="E2585" s="49">
        <v>44994</v>
      </c>
      <c r="F2585" t="s">
        <v>3362</v>
      </c>
      <c r="G2585" t="s">
        <v>2016</v>
      </c>
      <c r="H2585">
        <v>5</v>
      </c>
      <c r="I2585">
        <v>81.709999999999994</v>
      </c>
      <c r="J2585" s="50">
        <v>408.55</v>
      </c>
      <c r="K2585" t="s">
        <v>1618</v>
      </c>
      <c r="M2585" t="s">
        <v>1627</v>
      </c>
      <c r="N2585">
        <v>43.12</v>
      </c>
      <c r="O2585" s="49">
        <v>44996</v>
      </c>
      <c r="P2585" s="50">
        <v>183.8475</v>
      </c>
    </row>
    <row r="2586" spans="4:16" x14ac:dyDescent="0.2">
      <c r="D2586">
        <v>100001545</v>
      </c>
      <c r="E2586" s="49">
        <v>45615</v>
      </c>
      <c r="F2586" t="s">
        <v>3362</v>
      </c>
      <c r="G2586" t="s">
        <v>2613</v>
      </c>
      <c r="H2586">
        <v>3</v>
      </c>
      <c r="I2586">
        <v>41.28</v>
      </c>
      <c r="J2586" s="50">
        <v>123.84</v>
      </c>
      <c r="K2586" t="s">
        <v>1618</v>
      </c>
      <c r="M2586" t="s">
        <v>1621</v>
      </c>
      <c r="N2586">
        <v>21.79</v>
      </c>
      <c r="O2586" s="49">
        <v>45617</v>
      </c>
      <c r="P2586" s="50">
        <v>55.728000000000002</v>
      </c>
    </row>
    <row r="2587" spans="4:16" x14ac:dyDescent="0.2">
      <c r="D2587">
        <v>100001546</v>
      </c>
      <c r="E2587" s="49">
        <v>44282</v>
      </c>
      <c r="F2587" t="s">
        <v>3363</v>
      </c>
      <c r="G2587" t="s">
        <v>1661</v>
      </c>
      <c r="H2587">
        <v>3</v>
      </c>
      <c r="I2587">
        <v>94.75</v>
      </c>
      <c r="J2587" s="50">
        <v>284.25</v>
      </c>
      <c r="K2587" t="s">
        <v>1618</v>
      </c>
      <c r="M2587" t="s">
        <v>1621</v>
      </c>
      <c r="N2587">
        <v>50.01</v>
      </c>
      <c r="O2587" s="49">
        <v>44286</v>
      </c>
      <c r="P2587" s="50">
        <v>127.91250000000001</v>
      </c>
    </row>
    <row r="2588" spans="4:16" x14ac:dyDescent="0.2">
      <c r="D2588">
        <v>100001548</v>
      </c>
      <c r="E2588" s="49">
        <v>45084</v>
      </c>
      <c r="F2588" t="s">
        <v>3364</v>
      </c>
      <c r="G2588" t="s">
        <v>1649</v>
      </c>
      <c r="H2588">
        <v>4</v>
      </c>
      <c r="I2588">
        <v>104.92</v>
      </c>
      <c r="J2588" s="50">
        <v>419.68</v>
      </c>
      <c r="K2588" t="s">
        <v>1632</v>
      </c>
      <c r="M2588" t="s">
        <v>1619</v>
      </c>
      <c r="N2588">
        <v>55.37</v>
      </c>
      <c r="O2588" s="49">
        <v>45087</v>
      </c>
      <c r="P2588" s="50">
        <v>188.85599999999999</v>
      </c>
    </row>
    <row r="2589" spans="4:16" x14ac:dyDescent="0.2">
      <c r="D2589">
        <v>100001548</v>
      </c>
      <c r="E2589" s="49">
        <v>45285</v>
      </c>
      <c r="F2589" t="s">
        <v>3364</v>
      </c>
      <c r="G2589" t="s">
        <v>1647</v>
      </c>
      <c r="H2589">
        <v>1</v>
      </c>
      <c r="I2589">
        <v>83.45</v>
      </c>
      <c r="J2589" s="50">
        <v>83.45</v>
      </c>
      <c r="K2589" t="s">
        <v>1632</v>
      </c>
      <c r="M2589" t="s">
        <v>1629</v>
      </c>
      <c r="N2589">
        <v>44.04</v>
      </c>
      <c r="O2589" s="49">
        <v>45287</v>
      </c>
      <c r="P2589" s="50">
        <v>37.552500000000002</v>
      </c>
    </row>
    <row r="2590" spans="4:16" x14ac:dyDescent="0.2">
      <c r="D2590">
        <v>100001548</v>
      </c>
      <c r="E2590" s="49">
        <v>45051</v>
      </c>
      <c r="F2590" t="s">
        <v>3364</v>
      </c>
      <c r="G2590" t="s">
        <v>2161</v>
      </c>
      <c r="H2590">
        <v>6</v>
      </c>
      <c r="I2590">
        <v>18.440000000000001</v>
      </c>
      <c r="J2590" s="50">
        <v>110.64</v>
      </c>
      <c r="K2590" t="s">
        <v>1632</v>
      </c>
      <c r="M2590" t="s">
        <v>1627</v>
      </c>
      <c r="N2590">
        <v>9.73</v>
      </c>
      <c r="O2590" s="49">
        <v>45053</v>
      </c>
      <c r="P2590" s="50">
        <v>49.788000000000004</v>
      </c>
    </row>
    <row r="2591" spans="4:16" x14ac:dyDescent="0.2">
      <c r="D2591">
        <v>100001550</v>
      </c>
      <c r="E2591" s="49">
        <v>44935</v>
      </c>
      <c r="F2591" t="s">
        <v>3365</v>
      </c>
      <c r="G2591" t="s">
        <v>2017</v>
      </c>
      <c r="H2591">
        <v>9</v>
      </c>
      <c r="I2591">
        <v>11.6</v>
      </c>
      <c r="J2591" s="50">
        <v>104.4</v>
      </c>
      <c r="K2591" t="s">
        <v>1618</v>
      </c>
      <c r="M2591" t="s">
        <v>1621</v>
      </c>
      <c r="N2591">
        <v>6.12</v>
      </c>
      <c r="O2591" s="49">
        <v>44940</v>
      </c>
      <c r="P2591" s="50">
        <v>46.980000000000004</v>
      </c>
    </row>
    <row r="2592" spans="4:16" x14ac:dyDescent="0.2">
      <c r="D2592">
        <v>100001552</v>
      </c>
      <c r="E2592" s="49">
        <v>44442</v>
      </c>
      <c r="F2592" t="s">
        <v>3366</v>
      </c>
      <c r="G2592" t="s">
        <v>1724</v>
      </c>
      <c r="H2592">
        <v>9</v>
      </c>
      <c r="I2592">
        <v>28.03</v>
      </c>
      <c r="J2592" s="50">
        <v>252.27</v>
      </c>
      <c r="K2592" t="s">
        <v>1618</v>
      </c>
      <c r="L2592" t="s">
        <v>3367</v>
      </c>
      <c r="M2592" t="s">
        <v>1619</v>
      </c>
      <c r="N2592">
        <v>14.79</v>
      </c>
      <c r="O2592" s="49">
        <v>44447</v>
      </c>
      <c r="P2592" s="50">
        <v>113.5215</v>
      </c>
    </row>
    <row r="2593" spans="4:16" x14ac:dyDescent="0.2">
      <c r="D2593">
        <v>100001552</v>
      </c>
      <c r="E2593" s="49">
        <v>44372</v>
      </c>
      <c r="F2593" t="s">
        <v>3366</v>
      </c>
      <c r="G2593" t="s">
        <v>1669</v>
      </c>
      <c r="H2593">
        <v>6</v>
      </c>
      <c r="I2593">
        <v>103.22</v>
      </c>
      <c r="J2593" s="50">
        <v>619.31999999999994</v>
      </c>
      <c r="K2593" t="s">
        <v>1618</v>
      </c>
      <c r="L2593" t="s">
        <v>3367</v>
      </c>
      <c r="M2593" t="s">
        <v>1619</v>
      </c>
      <c r="N2593">
        <v>54.48</v>
      </c>
      <c r="O2593" s="49">
        <v>44373</v>
      </c>
      <c r="P2593" s="50">
        <v>278.69399999999996</v>
      </c>
    </row>
    <row r="2594" spans="4:16" x14ac:dyDescent="0.2">
      <c r="D2594">
        <v>100001554</v>
      </c>
      <c r="E2594" s="49">
        <v>44574</v>
      </c>
      <c r="F2594" t="s">
        <v>3368</v>
      </c>
      <c r="G2594" t="s">
        <v>1626</v>
      </c>
      <c r="H2594">
        <v>5</v>
      </c>
      <c r="I2594">
        <v>62.68</v>
      </c>
      <c r="J2594" s="50">
        <v>313.39999999999998</v>
      </c>
      <c r="K2594" t="s">
        <v>1618</v>
      </c>
      <c r="M2594" t="s">
        <v>1624</v>
      </c>
      <c r="N2594">
        <v>33.08</v>
      </c>
      <c r="O2594" s="49">
        <v>44579</v>
      </c>
      <c r="P2594" s="50">
        <v>141.03</v>
      </c>
    </row>
    <row r="2595" spans="4:16" x14ac:dyDescent="0.2">
      <c r="D2595">
        <v>100001554</v>
      </c>
      <c r="E2595" s="49">
        <v>45016</v>
      </c>
      <c r="F2595" t="s">
        <v>3368</v>
      </c>
      <c r="G2595" t="s">
        <v>1665</v>
      </c>
      <c r="H2595">
        <v>7</v>
      </c>
      <c r="I2595">
        <v>26.51</v>
      </c>
      <c r="J2595" s="50">
        <v>185.57</v>
      </c>
      <c r="K2595" t="s">
        <v>1618</v>
      </c>
      <c r="M2595" t="s">
        <v>1621</v>
      </c>
      <c r="N2595">
        <v>13.99</v>
      </c>
      <c r="O2595" s="49">
        <v>45018</v>
      </c>
      <c r="P2595" s="50">
        <v>83.506500000000003</v>
      </c>
    </row>
    <row r="2596" spans="4:16" x14ac:dyDescent="0.2">
      <c r="D2596">
        <v>100001555</v>
      </c>
      <c r="E2596" s="49">
        <v>45393</v>
      </c>
      <c r="F2596" t="s">
        <v>3369</v>
      </c>
      <c r="G2596" t="s">
        <v>2301</v>
      </c>
      <c r="H2596">
        <v>3</v>
      </c>
      <c r="I2596">
        <v>105.34</v>
      </c>
      <c r="J2596" s="50">
        <v>316.02</v>
      </c>
      <c r="K2596" t="s">
        <v>1632</v>
      </c>
      <c r="L2596" t="s">
        <v>3370</v>
      </c>
      <c r="M2596" t="s">
        <v>1621</v>
      </c>
      <c r="N2596">
        <v>55.6</v>
      </c>
      <c r="O2596" s="49">
        <v>45398</v>
      </c>
      <c r="P2596" s="50">
        <v>142.209</v>
      </c>
    </row>
    <row r="2597" spans="4:16" x14ac:dyDescent="0.2">
      <c r="D2597">
        <v>100001556</v>
      </c>
      <c r="E2597" s="49">
        <v>44592</v>
      </c>
      <c r="F2597" t="s">
        <v>3371</v>
      </c>
      <c r="G2597" t="s">
        <v>1801</v>
      </c>
      <c r="H2597">
        <v>8</v>
      </c>
      <c r="I2597">
        <v>90.16</v>
      </c>
      <c r="J2597" s="50">
        <v>721.28</v>
      </c>
      <c r="K2597" t="s">
        <v>1632</v>
      </c>
      <c r="M2597" t="s">
        <v>1621</v>
      </c>
      <c r="N2597">
        <v>47.58</v>
      </c>
      <c r="O2597" s="49">
        <v>44594</v>
      </c>
      <c r="P2597" s="50">
        <v>324.57600000000002</v>
      </c>
    </row>
    <row r="2598" spans="4:16" x14ac:dyDescent="0.2">
      <c r="D2598">
        <v>100001559</v>
      </c>
      <c r="E2598" s="49">
        <v>44415</v>
      </c>
      <c r="F2598" t="s">
        <v>3372</v>
      </c>
      <c r="G2598" t="s">
        <v>1710</v>
      </c>
      <c r="H2598">
        <v>4</v>
      </c>
      <c r="I2598">
        <v>35.15</v>
      </c>
      <c r="J2598" s="50">
        <v>140.6</v>
      </c>
      <c r="K2598" t="s">
        <v>1618</v>
      </c>
      <c r="L2598" t="s">
        <v>3373</v>
      </c>
      <c r="M2598" t="s">
        <v>1619</v>
      </c>
      <c r="N2598">
        <v>18.55</v>
      </c>
      <c r="O2598" s="49">
        <v>44420</v>
      </c>
      <c r="P2598" s="50">
        <v>63.269999999999996</v>
      </c>
    </row>
    <row r="2599" spans="4:16" x14ac:dyDescent="0.2">
      <c r="D2599">
        <v>100001560</v>
      </c>
      <c r="E2599" s="49">
        <v>45448</v>
      </c>
      <c r="F2599" t="s">
        <v>3374</v>
      </c>
      <c r="G2599" t="s">
        <v>1853</v>
      </c>
      <c r="H2599">
        <v>4</v>
      </c>
      <c r="I2599">
        <v>34.86</v>
      </c>
      <c r="J2599" s="50">
        <v>139.44</v>
      </c>
      <c r="K2599" t="s">
        <v>1618</v>
      </c>
      <c r="M2599" t="s">
        <v>1624</v>
      </c>
      <c r="N2599">
        <v>18.399999999999999</v>
      </c>
      <c r="O2599" s="49">
        <v>45450</v>
      </c>
      <c r="P2599" s="50">
        <v>62.747999999999998</v>
      </c>
    </row>
    <row r="2600" spans="4:16" x14ac:dyDescent="0.2">
      <c r="D2600">
        <v>100001561</v>
      </c>
      <c r="E2600" s="49">
        <v>45178</v>
      </c>
      <c r="F2600" t="s">
        <v>3375</v>
      </c>
      <c r="G2600" t="s">
        <v>1693</v>
      </c>
      <c r="H2600">
        <v>2</v>
      </c>
      <c r="I2600">
        <v>89.99</v>
      </c>
      <c r="J2600" s="50">
        <v>179.98</v>
      </c>
      <c r="K2600" t="s">
        <v>1632</v>
      </c>
      <c r="M2600" t="s">
        <v>1624</v>
      </c>
      <c r="N2600">
        <v>47.49</v>
      </c>
      <c r="O2600" s="49">
        <v>45180</v>
      </c>
      <c r="P2600" s="50">
        <v>80.991</v>
      </c>
    </row>
    <row r="2601" spans="4:16" x14ac:dyDescent="0.2">
      <c r="D2601">
        <v>100001561</v>
      </c>
      <c r="E2601" s="49">
        <v>44763</v>
      </c>
      <c r="F2601" t="s">
        <v>3375</v>
      </c>
      <c r="G2601" t="s">
        <v>1770</v>
      </c>
      <c r="H2601">
        <v>5</v>
      </c>
      <c r="I2601">
        <v>62.58</v>
      </c>
      <c r="J2601" s="50">
        <v>312.89999999999998</v>
      </c>
      <c r="K2601" t="s">
        <v>1632</v>
      </c>
      <c r="M2601" t="s">
        <v>1619</v>
      </c>
      <c r="N2601">
        <v>33.03</v>
      </c>
      <c r="O2601" s="49">
        <v>44766</v>
      </c>
      <c r="P2601" s="50">
        <v>140.80500000000001</v>
      </c>
    </row>
    <row r="2602" spans="4:16" x14ac:dyDescent="0.2">
      <c r="D2602">
        <v>100001562</v>
      </c>
      <c r="E2602" s="49">
        <v>44987</v>
      </c>
      <c r="F2602" t="s">
        <v>3376</v>
      </c>
      <c r="G2602" t="s">
        <v>1807</v>
      </c>
      <c r="H2602">
        <v>3</v>
      </c>
      <c r="I2602">
        <v>41.49</v>
      </c>
      <c r="J2602" s="50">
        <v>124.47</v>
      </c>
      <c r="K2602" t="s">
        <v>1618</v>
      </c>
      <c r="L2602" t="s">
        <v>3377</v>
      </c>
      <c r="M2602" t="s">
        <v>1621</v>
      </c>
      <c r="N2602">
        <v>21.9</v>
      </c>
      <c r="O2602" s="49">
        <v>44989</v>
      </c>
      <c r="P2602" s="50">
        <v>56.011499999999998</v>
      </c>
    </row>
    <row r="2603" spans="4:16" x14ac:dyDescent="0.2">
      <c r="D2603">
        <v>100001563</v>
      </c>
      <c r="E2603" s="49">
        <v>44827</v>
      </c>
      <c r="F2603" t="s">
        <v>3378</v>
      </c>
      <c r="G2603" t="s">
        <v>2130</v>
      </c>
      <c r="H2603">
        <v>7</v>
      </c>
      <c r="I2603">
        <v>97.99</v>
      </c>
      <c r="J2603" s="50">
        <v>685.93</v>
      </c>
      <c r="K2603" t="s">
        <v>1632</v>
      </c>
      <c r="M2603" t="s">
        <v>1619</v>
      </c>
      <c r="N2603">
        <v>51.72</v>
      </c>
      <c r="O2603" s="49">
        <v>44831</v>
      </c>
      <c r="P2603" s="50">
        <v>308.66849999999999</v>
      </c>
    </row>
    <row r="2604" spans="4:16" x14ac:dyDescent="0.2">
      <c r="D2604">
        <v>100001565</v>
      </c>
      <c r="E2604" s="49">
        <v>45311</v>
      </c>
      <c r="F2604" t="s">
        <v>3379</v>
      </c>
      <c r="G2604" t="s">
        <v>2330</v>
      </c>
      <c r="H2604">
        <v>10</v>
      </c>
      <c r="I2604">
        <v>78.13</v>
      </c>
      <c r="J2604" s="50">
        <v>781.3</v>
      </c>
      <c r="K2604" t="s">
        <v>1618</v>
      </c>
      <c r="L2604" t="s">
        <v>3380</v>
      </c>
      <c r="M2604" t="s">
        <v>1619</v>
      </c>
      <c r="N2604">
        <v>41.23</v>
      </c>
      <c r="O2604" s="49">
        <v>45315</v>
      </c>
      <c r="P2604" s="50">
        <v>351.58499999999998</v>
      </c>
    </row>
    <row r="2605" spans="4:16" x14ac:dyDescent="0.2">
      <c r="D2605">
        <v>100001565</v>
      </c>
      <c r="E2605" s="49">
        <v>45069</v>
      </c>
      <c r="F2605" t="s">
        <v>3379</v>
      </c>
      <c r="G2605" t="s">
        <v>2017</v>
      </c>
      <c r="H2605">
        <v>2</v>
      </c>
      <c r="I2605">
        <v>47.75</v>
      </c>
      <c r="J2605" s="50">
        <v>95.5</v>
      </c>
      <c r="K2605" t="s">
        <v>1618</v>
      </c>
      <c r="L2605" t="s">
        <v>3380</v>
      </c>
      <c r="M2605" t="s">
        <v>1619</v>
      </c>
      <c r="N2605">
        <v>25.2</v>
      </c>
      <c r="O2605" s="49">
        <v>45070</v>
      </c>
      <c r="P2605" s="50">
        <v>42.975000000000001</v>
      </c>
    </row>
    <row r="2606" spans="4:16" x14ac:dyDescent="0.2">
      <c r="D2606">
        <v>100001565</v>
      </c>
      <c r="E2606" s="49">
        <v>44294</v>
      </c>
      <c r="F2606" t="s">
        <v>3379</v>
      </c>
      <c r="G2606" t="s">
        <v>1647</v>
      </c>
      <c r="H2606">
        <v>10</v>
      </c>
      <c r="I2606">
        <v>26.39</v>
      </c>
      <c r="J2606" s="50">
        <v>263.89999999999998</v>
      </c>
      <c r="K2606" t="s">
        <v>1618</v>
      </c>
      <c r="L2606" t="s">
        <v>3380</v>
      </c>
      <c r="M2606" t="s">
        <v>1621</v>
      </c>
      <c r="N2606">
        <v>13.93</v>
      </c>
      <c r="O2606" s="49">
        <v>44298</v>
      </c>
      <c r="P2606" s="50">
        <v>118.755</v>
      </c>
    </row>
    <row r="2607" spans="4:16" x14ac:dyDescent="0.2">
      <c r="D2607">
        <v>100001566</v>
      </c>
      <c r="E2607" s="49">
        <v>44791</v>
      </c>
      <c r="F2607" t="s">
        <v>3381</v>
      </c>
      <c r="G2607" t="s">
        <v>1833</v>
      </c>
      <c r="H2607">
        <v>1</v>
      </c>
      <c r="I2607">
        <v>88.25</v>
      </c>
      <c r="J2607" s="50">
        <v>88.25</v>
      </c>
      <c r="K2607" t="s">
        <v>1632</v>
      </c>
      <c r="M2607" t="s">
        <v>1624</v>
      </c>
      <c r="N2607">
        <v>46.58</v>
      </c>
      <c r="O2607" s="49">
        <v>44793</v>
      </c>
      <c r="P2607" s="50">
        <v>39.712499999999999</v>
      </c>
    </row>
    <row r="2608" spans="4:16" x14ac:dyDescent="0.2">
      <c r="D2608">
        <v>100001566</v>
      </c>
      <c r="E2608" s="49">
        <v>45342</v>
      </c>
      <c r="F2608" t="s">
        <v>3381</v>
      </c>
      <c r="G2608" t="s">
        <v>2550</v>
      </c>
      <c r="H2608">
        <v>1</v>
      </c>
      <c r="I2608">
        <v>63.14</v>
      </c>
      <c r="J2608" s="50">
        <v>63.14</v>
      </c>
      <c r="K2608" t="s">
        <v>1632</v>
      </c>
      <c r="M2608" t="s">
        <v>1627</v>
      </c>
      <c r="N2608">
        <v>33.32</v>
      </c>
      <c r="O2608" s="49">
        <v>45344</v>
      </c>
      <c r="P2608" s="50">
        <v>28.413</v>
      </c>
    </row>
    <row r="2609" spans="4:16" x14ac:dyDescent="0.2">
      <c r="D2609">
        <v>100001566</v>
      </c>
      <c r="E2609" s="49">
        <v>45282</v>
      </c>
      <c r="F2609" t="s">
        <v>3381</v>
      </c>
      <c r="G2609" t="s">
        <v>1795</v>
      </c>
      <c r="H2609">
        <v>5</v>
      </c>
      <c r="I2609">
        <v>18</v>
      </c>
      <c r="J2609" s="50">
        <v>90</v>
      </c>
      <c r="K2609" t="s">
        <v>1632</v>
      </c>
      <c r="M2609" t="s">
        <v>1624</v>
      </c>
      <c r="N2609">
        <v>9.5</v>
      </c>
      <c r="O2609" s="49">
        <v>45285</v>
      </c>
      <c r="P2609" s="50">
        <v>40.5</v>
      </c>
    </row>
    <row r="2610" spans="4:16" x14ac:dyDescent="0.2">
      <c r="D2610">
        <v>100001567</v>
      </c>
      <c r="E2610" s="49">
        <v>45492</v>
      </c>
      <c r="F2610" t="s">
        <v>3382</v>
      </c>
      <c r="G2610" t="s">
        <v>1890</v>
      </c>
      <c r="H2610">
        <v>4</v>
      </c>
      <c r="I2610">
        <v>69.67</v>
      </c>
      <c r="J2610" s="50">
        <v>278.68</v>
      </c>
      <c r="K2610" t="s">
        <v>1618</v>
      </c>
      <c r="M2610" t="s">
        <v>1624</v>
      </c>
      <c r="N2610">
        <v>36.770000000000003</v>
      </c>
      <c r="O2610" s="49">
        <v>45495</v>
      </c>
      <c r="P2610" s="50">
        <v>125.40600000000001</v>
      </c>
    </row>
    <row r="2611" spans="4:16" x14ac:dyDescent="0.2">
      <c r="D2611">
        <v>100001568</v>
      </c>
      <c r="E2611" s="49">
        <v>44557</v>
      </c>
      <c r="F2611" t="s">
        <v>3383</v>
      </c>
      <c r="G2611" t="s">
        <v>2628</v>
      </c>
      <c r="H2611">
        <v>3</v>
      </c>
      <c r="I2611">
        <v>65.849999999999994</v>
      </c>
      <c r="J2611" s="50">
        <v>197.55</v>
      </c>
      <c r="K2611" t="s">
        <v>1618</v>
      </c>
      <c r="M2611" t="s">
        <v>1627</v>
      </c>
      <c r="N2611">
        <v>34.75</v>
      </c>
      <c r="O2611" s="49">
        <v>44561</v>
      </c>
      <c r="P2611" s="50">
        <v>88.897500000000008</v>
      </c>
    </row>
    <row r="2612" spans="4:16" x14ac:dyDescent="0.2">
      <c r="D2612">
        <v>100001572</v>
      </c>
      <c r="E2612" s="49">
        <v>44764</v>
      </c>
      <c r="F2612" t="s">
        <v>3384</v>
      </c>
      <c r="G2612" t="s">
        <v>1922</v>
      </c>
      <c r="H2612">
        <v>7</v>
      </c>
      <c r="I2612">
        <v>98.28</v>
      </c>
      <c r="J2612" s="50">
        <v>687.96</v>
      </c>
      <c r="K2612" t="s">
        <v>1618</v>
      </c>
      <c r="M2612" t="s">
        <v>1629</v>
      </c>
      <c r="N2612">
        <v>51.87</v>
      </c>
      <c r="O2612" s="49">
        <v>44768</v>
      </c>
      <c r="P2612" s="50">
        <v>309.58200000000005</v>
      </c>
    </row>
    <row r="2613" spans="4:16" x14ac:dyDescent="0.2">
      <c r="D2613">
        <v>100001573</v>
      </c>
      <c r="E2613" s="49">
        <v>45310</v>
      </c>
      <c r="F2613" t="s">
        <v>3385</v>
      </c>
      <c r="G2613" t="s">
        <v>2420</v>
      </c>
      <c r="H2613">
        <v>9</v>
      </c>
      <c r="I2613">
        <v>62.01</v>
      </c>
      <c r="J2613" s="50">
        <v>558.09</v>
      </c>
      <c r="K2613" t="s">
        <v>1618</v>
      </c>
      <c r="M2613" t="s">
        <v>1629</v>
      </c>
      <c r="N2613">
        <v>32.729999999999997</v>
      </c>
      <c r="O2613" s="49">
        <v>45314</v>
      </c>
      <c r="P2613" s="50">
        <v>251.14050000000003</v>
      </c>
    </row>
    <row r="2614" spans="4:16" x14ac:dyDescent="0.2">
      <c r="D2614">
        <v>100001573</v>
      </c>
      <c r="E2614" s="49">
        <v>45463</v>
      </c>
      <c r="F2614" t="s">
        <v>3385</v>
      </c>
      <c r="G2614" t="s">
        <v>2373</v>
      </c>
      <c r="H2614">
        <v>9</v>
      </c>
      <c r="I2614">
        <v>81.03</v>
      </c>
      <c r="J2614" s="50">
        <v>729.27</v>
      </c>
      <c r="K2614" t="s">
        <v>1618</v>
      </c>
      <c r="M2614" t="s">
        <v>1619</v>
      </c>
      <c r="N2614">
        <v>42.77</v>
      </c>
      <c r="O2614" s="49">
        <v>45467</v>
      </c>
      <c r="P2614" s="50">
        <v>328.17149999999998</v>
      </c>
    </row>
    <row r="2615" spans="4:16" x14ac:dyDescent="0.2">
      <c r="D2615">
        <v>100001574</v>
      </c>
      <c r="E2615" s="49">
        <v>44752</v>
      </c>
      <c r="F2615" t="s">
        <v>3386</v>
      </c>
      <c r="G2615" t="s">
        <v>2090</v>
      </c>
      <c r="H2615">
        <v>8</v>
      </c>
      <c r="I2615">
        <v>18.329999999999998</v>
      </c>
      <c r="J2615" s="50">
        <v>146.63999999999999</v>
      </c>
      <c r="K2615" t="s">
        <v>1632</v>
      </c>
      <c r="L2615" t="s">
        <v>3387</v>
      </c>
      <c r="M2615" t="s">
        <v>1621</v>
      </c>
      <c r="N2615">
        <v>9.67</v>
      </c>
      <c r="O2615" s="49">
        <v>44754</v>
      </c>
      <c r="P2615" s="50">
        <v>65.988</v>
      </c>
    </row>
    <row r="2616" spans="4:16" x14ac:dyDescent="0.2">
      <c r="D2616">
        <v>100001574</v>
      </c>
      <c r="E2616" s="49">
        <v>45594</v>
      </c>
      <c r="F2616" t="s">
        <v>3386</v>
      </c>
      <c r="G2616" t="s">
        <v>2571</v>
      </c>
      <c r="H2616">
        <v>8</v>
      </c>
      <c r="I2616">
        <v>106.68</v>
      </c>
      <c r="J2616" s="50">
        <v>853.44</v>
      </c>
      <c r="K2616" t="s">
        <v>1632</v>
      </c>
      <c r="L2616" t="s">
        <v>3387</v>
      </c>
      <c r="M2616" t="s">
        <v>1627</v>
      </c>
      <c r="N2616">
        <v>56.3</v>
      </c>
      <c r="O2616" s="49">
        <v>45599</v>
      </c>
      <c r="P2616" s="50">
        <v>384.04800000000006</v>
      </c>
    </row>
    <row r="2617" spans="4:16" x14ac:dyDescent="0.2">
      <c r="D2617">
        <v>100001574</v>
      </c>
      <c r="E2617" s="49">
        <v>44667</v>
      </c>
      <c r="F2617" t="s">
        <v>3386</v>
      </c>
      <c r="G2617" t="s">
        <v>1976</v>
      </c>
      <c r="H2617">
        <v>4</v>
      </c>
      <c r="I2617">
        <v>80.239999999999995</v>
      </c>
      <c r="J2617" s="50">
        <v>320.95999999999998</v>
      </c>
      <c r="K2617" t="s">
        <v>1632</v>
      </c>
      <c r="L2617" t="s">
        <v>3387</v>
      </c>
      <c r="M2617" t="s">
        <v>1629</v>
      </c>
      <c r="N2617">
        <v>42.35</v>
      </c>
      <c r="O2617" s="49">
        <v>44668</v>
      </c>
      <c r="P2617" s="50">
        <v>144.43199999999999</v>
      </c>
    </row>
    <row r="2618" spans="4:16" x14ac:dyDescent="0.2">
      <c r="D2618">
        <v>100001577</v>
      </c>
      <c r="E2618" s="49">
        <v>44379</v>
      </c>
      <c r="F2618" t="s">
        <v>3388</v>
      </c>
      <c r="G2618" t="s">
        <v>2230</v>
      </c>
      <c r="H2618">
        <v>4</v>
      </c>
      <c r="I2618">
        <v>15.76</v>
      </c>
      <c r="J2618" s="50">
        <v>63.04</v>
      </c>
      <c r="K2618" t="s">
        <v>1632</v>
      </c>
      <c r="M2618" t="s">
        <v>1619</v>
      </c>
      <c r="N2618">
        <v>8.32</v>
      </c>
      <c r="O2618" s="49">
        <v>44384</v>
      </c>
      <c r="P2618" s="50">
        <v>28.367999999999999</v>
      </c>
    </row>
    <row r="2619" spans="4:16" x14ac:dyDescent="0.2">
      <c r="D2619">
        <v>100001577</v>
      </c>
      <c r="E2619" s="49">
        <v>45378</v>
      </c>
      <c r="F2619" t="s">
        <v>3388</v>
      </c>
      <c r="G2619" t="s">
        <v>2603</v>
      </c>
      <c r="H2619">
        <v>7</v>
      </c>
      <c r="I2619">
        <v>33.82</v>
      </c>
      <c r="J2619" s="50">
        <v>236.74</v>
      </c>
      <c r="K2619" t="s">
        <v>1632</v>
      </c>
      <c r="M2619" t="s">
        <v>1624</v>
      </c>
      <c r="N2619">
        <v>17.850000000000001</v>
      </c>
      <c r="O2619" s="49">
        <v>45381</v>
      </c>
      <c r="P2619" s="50">
        <v>106.533</v>
      </c>
    </row>
    <row r="2620" spans="4:16" x14ac:dyDescent="0.2">
      <c r="D2620">
        <v>100001582</v>
      </c>
      <c r="E2620" s="49">
        <v>44275</v>
      </c>
      <c r="F2620" t="s">
        <v>3389</v>
      </c>
      <c r="G2620" t="s">
        <v>2025</v>
      </c>
      <c r="H2620">
        <v>9</v>
      </c>
      <c r="I2620">
        <v>28.87</v>
      </c>
      <c r="J2620" s="50">
        <v>259.83</v>
      </c>
      <c r="K2620" t="s">
        <v>1618</v>
      </c>
      <c r="M2620" t="s">
        <v>1627</v>
      </c>
      <c r="N2620">
        <v>15.24</v>
      </c>
      <c r="O2620" s="49">
        <v>44277</v>
      </c>
      <c r="P2620" s="50">
        <v>116.92349999999999</v>
      </c>
    </row>
    <row r="2621" spans="4:16" x14ac:dyDescent="0.2">
      <c r="D2621">
        <v>100001582</v>
      </c>
      <c r="E2621" s="49">
        <v>44891</v>
      </c>
      <c r="F2621" t="s">
        <v>3389</v>
      </c>
      <c r="G2621" t="s">
        <v>2041</v>
      </c>
      <c r="H2621">
        <v>9</v>
      </c>
      <c r="I2621">
        <v>84.97</v>
      </c>
      <c r="J2621" s="50">
        <v>764.73</v>
      </c>
      <c r="K2621" t="s">
        <v>1618</v>
      </c>
      <c r="M2621" t="s">
        <v>1619</v>
      </c>
      <c r="N2621">
        <v>44.84</v>
      </c>
      <c r="O2621" s="49">
        <v>44896</v>
      </c>
      <c r="P2621" s="50">
        <v>344.12850000000003</v>
      </c>
    </row>
    <row r="2622" spans="4:16" x14ac:dyDescent="0.2">
      <c r="D2622">
        <v>100001582</v>
      </c>
      <c r="E2622" s="49">
        <v>44362</v>
      </c>
      <c r="F2622" t="s">
        <v>3389</v>
      </c>
      <c r="G2622" t="s">
        <v>2069</v>
      </c>
      <c r="H2622">
        <v>10</v>
      </c>
      <c r="I2622">
        <v>70.849999999999994</v>
      </c>
      <c r="J2622" s="50">
        <v>708.5</v>
      </c>
      <c r="K2622" t="s">
        <v>1618</v>
      </c>
      <c r="M2622" t="s">
        <v>1619</v>
      </c>
      <c r="N2622">
        <v>37.39</v>
      </c>
      <c r="O2622" s="49">
        <v>44366</v>
      </c>
      <c r="P2622" s="50">
        <v>318.82499999999999</v>
      </c>
    </row>
    <row r="2623" spans="4:16" x14ac:dyDescent="0.2">
      <c r="D2623">
        <v>100001582</v>
      </c>
      <c r="E2623" s="49">
        <v>45267</v>
      </c>
      <c r="F2623" t="s">
        <v>3389</v>
      </c>
      <c r="G2623" t="s">
        <v>1789</v>
      </c>
      <c r="H2623">
        <v>10</v>
      </c>
      <c r="I2623">
        <v>90.97</v>
      </c>
      <c r="J2623" s="50">
        <v>909.7</v>
      </c>
      <c r="K2623" t="s">
        <v>1618</v>
      </c>
      <c r="M2623" t="s">
        <v>1619</v>
      </c>
      <c r="N2623">
        <v>48.01</v>
      </c>
      <c r="O2623" s="49">
        <v>45268</v>
      </c>
      <c r="P2623" s="50">
        <v>409.36500000000001</v>
      </c>
    </row>
    <row r="2624" spans="4:16" x14ac:dyDescent="0.2">
      <c r="D2624">
        <v>100001583</v>
      </c>
      <c r="E2624" s="49">
        <v>45366</v>
      </c>
      <c r="F2624" t="s">
        <v>3390</v>
      </c>
      <c r="G2624" t="s">
        <v>1864</v>
      </c>
      <c r="H2624">
        <v>3</v>
      </c>
      <c r="I2624">
        <v>77.25</v>
      </c>
      <c r="J2624" s="50">
        <v>231.75</v>
      </c>
      <c r="K2624" t="s">
        <v>1618</v>
      </c>
      <c r="M2624" t="s">
        <v>1624</v>
      </c>
      <c r="N2624">
        <v>40.770000000000003</v>
      </c>
      <c r="O2624" s="49">
        <v>45369</v>
      </c>
      <c r="P2624" s="50">
        <v>104.28750000000001</v>
      </c>
    </row>
    <row r="2625" spans="4:16" x14ac:dyDescent="0.2">
      <c r="D2625">
        <v>100001584</v>
      </c>
      <c r="E2625" s="49">
        <v>45492</v>
      </c>
      <c r="F2625" t="s">
        <v>3391</v>
      </c>
      <c r="G2625" t="s">
        <v>2240</v>
      </c>
      <c r="H2625">
        <v>10</v>
      </c>
      <c r="I2625">
        <v>27.78</v>
      </c>
      <c r="J2625" s="50">
        <v>277.8</v>
      </c>
      <c r="K2625" t="s">
        <v>1618</v>
      </c>
      <c r="L2625" t="s">
        <v>3392</v>
      </c>
      <c r="M2625" t="s">
        <v>1619</v>
      </c>
      <c r="N2625">
        <v>14.66</v>
      </c>
      <c r="O2625" s="49">
        <v>45494</v>
      </c>
      <c r="P2625" s="50">
        <v>125.01</v>
      </c>
    </row>
    <row r="2626" spans="4:16" x14ac:dyDescent="0.2">
      <c r="D2626">
        <v>100001585</v>
      </c>
      <c r="E2626" s="49">
        <v>44989</v>
      </c>
      <c r="F2626" t="s">
        <v>3393</v>
      </c>
      <c r="G2626" t="s">
        <v>1762</v>
      </c>
      <c r="H2626">
        <v>6</v>
      </c>
      <c r="I2626">
        <v>30.28</v>
      </c>
      <c r="J2626" s="50">
        <v>181.68</v>
      </c>
      <c r="K2626" t="s">
        <v>1618</v>
      </c>
      <c r="M2626" t="s">
        <v>1621</v>
      </c>
      <c r="N2626">
        <v>15.98</v>
      </c>
      <c r="O2626" s="49">
        <v>44993</v>
      </c>
      <c r="P2626" s="50">
        <v>81.756</v>
      </c>
    </row>
    <row r="2627" spans="4:16" x14ac:dyDescent="0.2">
      <c r="D2627">
        <v>100001586</v>
      </c>
      <c r="E2627" s="49">
        <v>44769</v>
      </c>
      <c r="F2627" t="s">
        <v>3394</v>
      </c>
      <c r="G2627" t="s">
        <v>2603</v>
      </c>
      <c r="H2627">
        <v>3</v>
      </c>
      <c r="I2627">
        <v>19.440000000000001</v>
      </c>
      <c r="J2627" s="50">
        <v>58.320000000000007</v>
      </c>
      <c r="K2627" t="s">
        <v>1632</v>
      </c>
      <c r="M2627" t="s">
        <v>1629</v>
      </c>
      <c r="N2627">
        <v>10.26</v>
      </c>
      <c r="O2627" s="49">
        <v>44774</v>
      </c>
      <c r="P2627" s="50">
        <v>26.244000000000003</v>
      </c>
    </row>
    <row r="2628" spans="4:16" x14ac:dyDescent="0.2">
      <c r="D2628">
        <v>100001586</v>
      </c>
      <c r="E2628" s="49">
        <v>44615</v>
      </c>
      <c r="F2628" t="s">
        <v>3394</v>
      </c>
      <c r="G2628" t="s">
        <v>1666</v>
      </c>
      <c r="H2628">
        <v>9</v>
      </c>
      <c r="I2628">
        <v>12.25</v>
      </c>
      <c r="J2628" s="50">
        <v>110.25</v>
      </c>
      <c r="K2628" t="s">
        <v>1632</v>
      </c>
      <c r="M2628" t="s">
        <v>1624</v>
      </c>
      <c r="N2628">
        <v>6.47</v>
      </c>
      <c r="O2628" s="49">
        <v>44617</v>
      </c>
      <c r="P2628" s="50">
        <v>49.612500000000004</v>
      </c>
    </row>
    <row r="2629" spans="4:16" x14ac:dyDescent="0.2">
      <c r="D2629">
        <v>100001586</v>
      </c>
      <c r="E2629" s="49">
        <v>44390</v>
      </c>
      <c r="F2629" t="s">
        <v>3394</v>
      </c>
      <c r="G2629" t="s">
        <v>1785</v>
      </c>
      <c r="H2629">
        <v>1</v>
      </c>
      <c r="I2629">
        <v>58.06</v>
      </c>
      <c r="J2629" s="50">
        <v>58.06</v>
      </c>
      <c r="K2629" t="s">
        <v>1632</v>
      </c>
      <c r="M2629" t="s">
        <v>1619</v>
      </c>
      <c r="N2629">
        <v>30.64</v>
      </c>
      <c r="O2629" s="49">
        <v>44395</v>
      </c>
      <c r="P2629" s="50">
        <v>26.127000000000002</v>
      </c>
    </row>
    <row r="2630" spans="4:16" x14ac:dyDescent="0.2">
      <c r="D2630">
        <v>100001586</v>
      </c>
      <c r="E2630" s="49">
        <v>44466</v>
      </c>
      <c r="F2630" t="s">
        <v>3394</v>
      </c>
      <c r="G2630" t="s">
        <v>1851</v>
      </c>
      <c r="H2630">
        <v>7</v>
      </c>
      <c r="I2630">
        <v>95.57</v>
      </c>
      <c r="J2630" s="50">
        <v>668.99</v>
      </c>
      <c r="K2630" t="s">
        <v>1632</v>
      </c>
      <c r="M2630" t="s">
        <v>1624</v>
      </c>
      <c r="N2630">
        <v>50.44</v>
      </c>
      <c r="O2630" s="49">
        <v>44469</v>
      </c>
      <c r="P2630" s="50">
        <v>301.0455</v>
      </c>
    </row>
    <row r="2631" spans="4:16" x14ac:dyDescent="0.2">
      <c r="D2631">
        <v>100001587</v>
      </c>
      <c r="E2631" s="49">
        <v>44471</v>
      </c>
      <c r="F2631" t="s">
        <v>3395</v>
      </c>
      <c r="G2631" t="s">
        <v>1762</v>
      </c>
      <c r="H2631">
        <v>5</v>
      </c>
      <c r="I2631">
        <v>37.21</v>
      </c>
      <c r="J2631" s="50">
        <v>186.05</v>
      </c>
      <c r="K2631" t="s">
        <v>1618</v>
      </c>
      <c r="M2631" t="s">
        <v>1629</v>
      </c>
      <c r="N2631">
        <v>19.64</v>
      </c>
      <c r="O2631" s="49">
        <v>44476</v>
      </c>
      <c r="P2631" s="50">
        <v>83.722500000000011</v>
      </c>
    </row>
    <row r="2632" spans="4:16" x14ac:dyDescent="0.2">
      <c r="D2632">
        <v>100001588</v>
      </c>
      <c r="E2632" s="49">
        <v>45487</v>
      </c>
      <c r="F2632" t="s">
        <v>3396</v>
      </c>
      <c r="G2632" t="s">
        <v>1671</v>
      </c>
      <c r="H2632">
        <v>4</v>
      </c>
      <c r="I2632">
        <v>114.67</v>
      </c>
      <c r="J2632" s="50">
        <v>458.68</v>
      </c>
      <c r="K2632" t="s">
        <v>1618</v>
      </c>
      <c r="M2632" t="s">
        <v>1627</v>
      </c>
      <c r="N2632">
        <v>60.52</v>
      </c>
      <c r="O2632" s="49">
        <v>45492</v>
      </c>
      <c r="P2632" s="50">
        <v>206.40600000000001</v>
      </c>
    </row>
    <row r="2633" spans="4:16" x14ac:dyDescent="0.2">
      <c r="D2633">
        <v>100001590</v>
      </c>
      <c r="E2633" s="49">
        <v>45362</v>
      </c>
      <c r="F2633" t="s">
        <v>3397</v>
      </c>
      <c r="G2633" t="s">
        <v>1646</v>
      </c>
      <c r="H2633">
        <v>8</v>
      </c>
      <c r="I2633">
        <v>64.760000000000005</v>
      </c>
      <c r="J2633" s="50">
        <v>518.08000000000004</v>
      </c>
      <c r="K2633" t="s">
        <v>1632</v>
      </c>
      <c r="M2633" t="s">
        <v>1624</v>
      </c>
      <c r="N2633">
        <v>34.18</v>
      </c>
      <c r="O2633" s="49">
        <v>45364</v>
      </c>
      <c r="P2633" s="50">
        <v>233.13600000000002</v>
      </c>
    </row>
    <row r="2634" spans="4:16" x14ac:dyDescent="0.2">
      <c r="D2634">
        <v>100001591</v>
      </c>
      <c r="E2634" s="49">
        <v>44861</v>
      </c>
      <c r="F2634" t="s">
        <v>3398</v>
      </c>
      <c r="G2634" t="s">
        <v>1841</v>
      </c>
      <c r="H2634">
        <v>2</v>
      </c>
      <c r="I2634">
        <v>98.21</v>
      </c>
      <c r="J2634" s="50">
        <v>196.42</v>
      </c>
      <c r="K2634" t="s">
        <v>1618</v>
      </c>
      <c r="M2634" t="s">
        <v>1619</v>
      </c>
      <c r="N2634">
        <v>51.83</v>
      </c>
      <c r="O2634" s="49">
        <v>44865</v>
      </c>
      <c r="P2634" s="50">
        <v>88.388999999999996</v>
      </c>
    </row>
    <row r="2635" spans="4:16" x14ac:dyDescent="0.2">
      <c r="D2635">
        <v>100001591</v>
      </c>
      <c r="E2635" s="49">
        <v>45271</v>
      </c>
      <c r="F2635" t="s">
        <v>3398</v>
      </c>
      <c r="G2635" t="s">
        <v>1982</v>
      </c>
      <c r="H2635">
        <v>4</v>
      </c>
      <c r="I2635">
        <v>23.93</v>
      </c>
      <c r="J2635" s="50">
        <v>95.72</v>
      </c>
      <c r="K2635" t="s">
        <v>1618</v>
      </c>
      <c r="M2635" t="s">
        <v>1627</v>
      </c>
      <c r="N2635">
        <v>12.63</v>
      </c>
      <c r="O2635" s="49">
        <v>45272</v>
      </c>
      <c r="P2635" s="50">
        <v>43.073999999999998</v>
      </c>
    </row>
    <row r="2636" spans="4:16" x14ac:dyDescent="0.2">
      <c r="D2636">
        <v>100001592</v>
      </c>
      <c r="E2636" s="49">
        <v>45482</v>
      </c>
      <c r="F2636" t="s">
        <v>3399</v>
      </c>
      <c r="G2636" t="s">
        <v>2766</v>
      </c>
      <c r="H2636">
        <v>5</v>
      </c>
      <c r="I2636">
        <v>93.02</v>
      </c>
      <c r="J2636" s="50">
        <v>465.1</v>
      </c>
      <c r="K2636" t="s">
        <v>1632</v>
      </c>
      <c r="M2636" t="s">
        <v>1619</v>
      </c>
      <c r="N2636">
        <v>49.09</v>
      </c>
      <c r="O2636" s="49">
        <v>45486</v>
      </c>
      <c r="P2636" s="50">
        <v>209.29500000000002</v>
      </c>
    </row>
    <row r="2637" spans="4:16" x14ac:dyDescent="0.2">
      <c r="D2637">
        <v>100001592</v>
      </c>
      <c r="E2637" s="49">
        <v>44634</v>
      </c>
      <c r="F2637" t="s">
        <v>3399</v>
      </c>
      <c r="G2637" t="s">
        <v>2550</v>
      </c>
      <c r="H2637">
        <v>6</v>
      </c>
      <c r="I2637">
        <v>45.57</v>
      </c>
      <c r="J2637" s="50">
        <v>273.42</v>
      </c>
      <c r="K2637" t="s">
        <v>1632</v>
      </c>
      <c r="M2637" t="s">
        <v>1619</v>
      </c>
      <c r="N2637">
        <v>24.05</v>
      </c>
      <c r="O2637" s="49">
        <v>44635</v>
      </c>
      <c r="P2637" s="50">
        <v>123.03900000000002</v>
      </c>
    </row>
    <row r="2638" spans="4:16" x14ac:dyDescent="0.2">
      <c r="D2638">
        <v>100001592</v>
      </c>
      <c r="E2638" s="49">
        <v>44998</v>
      </c>
      <c r="F2638" t="s">
        <v>3399</v>
      </c>
      <c r="G2638" t="s">
        <v>1807</v>
      </c>
      <c r="H2638">
        <v>7</v>
      </c>
      <c r="I2638">
        <v>40.630000000000003</v>
      </c>
      <c r="J2638" s="50">
        <v>284.41000000000003</v>
      </c>
      <c r="K2638" t="s">
        <v>1632</v>
      </c>
      <c r="M2638" t="s">
        <v>1627</v>
      </c>
      <c r="N2638">
        <v>21.44</v>
      </c>
      <c r="O2638" s="49">
        <v>45002</v>
      </c>
      <c r="P2638" s="50">
        <v>127.98450000000001</v>
      </c>
    </row>
    <row r="2639" spans="4:16" x14ac:dyDescent="0.2">
      <c r="D2639">
        <v>100001593</v>
      </c>
      <c r="E2639" s="49">
        <v>44507</v>
      </c>
      <c r="F2639" t="s">
        <v>3400</v>
      </c>
      <c r="G2639" t="s">
        <v>1897</v>
      </c>
      <c r="H2639">
        <v>5</v>
      </c>
      <c r="I2639">
        <v>62.96</v>
      </c>
      <c r="J2639" s="50">
        <v>314.8</v>
      </c>
      <c r="K2639" t="s">
        <v>1618</v>
      </c>
      <c r="M2639" t="s">
        <v>1627</v>
      </c>
      <c r="N2639">
        <v>33.229999999999997</v>
      </c>
      <c r="O2639" s="49">
        <v>44511</v>
      </c>
      <c r="P2639" s="50">
        <v>141.66</v>
      </c>
    </row>
    <row r="2640" spans="4:16" x14ac:dyDescent="0.2">
      <c r="D2640">
        <v>100001593</v>
      </c>
      <c r="E2640" s="49">
        <v>44272</v>
      </c>
      <c r="F2640" t="s">
        <v>3400</v>
      </c>
      <c r="G2640" t="s">
        <v>1690</v>
      </c>
      <c r="H2640">
        <v>4</v>
      </c>
      <c r="I2640">
        <v>67.650000000000006</v>
      </c>
      <c r="J2640" s="50">
        <v>270.60000000000002</v>
      </c>
      <c r="K2640" t="s">
        <v>1618</v>
      </c>
      <c r="M2640" t="s">
        <v>1621</v>
      </c>
      <c r="N2640">
        <v>35.700000000000003</v>
      </c>
      <c r="O2640" s="49">
        <v>44274</v>
      </c>
      <c r="P2640" s="50">
        <v>121.77000000000001</v>
      </c>
    </row>
    <row r="2641" spans="4:16" x14ac:dyDescent="0.2">
      <c r="D2641">
        <v>100001594</v>
      </c>
      <c r="E2641" s="49">
        <v>44788</v>
      </c>
      <c r="F2641" t="s">
        <v>3401</v>
      </c>
      <c r="G2641" t="s">
        <v>1827</v>
      </c>
      <c r="H2641">
        <v>4</v>
      </c>
      <c r="I2641">
        <v>66.02</v>
      </c>
      <c r="J2641" s="50">
        <v>264.08</v>
      </c>
      <c r="K2641" t="s">
        <v>1632</v>
      </c>
      <c r="M2641" t="s">
        <v>1621</v>
      </c>
      <c r="N2641">
        <v>34.840000000000003</v>
      </c>
      <c r="O2641" s="49">
        <v>44789</v>
      </c>
      <c r="P2641" s="50">
        <v>118.836</v>
      </c>
    </row>
    <row r="2642" spans="4:16" x14ac:dyDescent="0.2">
      <c r="D2642">
        <v>100001595</v>
      </c>
      <c r="E2642" s="49">
        <v>45124</v>
      </c>
      <c r="F2642" t="s">
        <v>3402</v>
      </c>
      <c r="G2642" t="s">
        <v>2048</v>
      </c>
      <c r="H2642">
        <v>8</v>
      </c>
      <c r="I2642">
        <v>107.25</v>
      </c>
      <c r="J2642" s="50">
        <v>858</v>
      </c>
      <c r="K2642" t="s">
        <v>1618</v>
      </c>
      <c r="L2642" t="s">
        <v>3403</v>
      </c>
      <c r="M2642" t="s">
        <v>1621</v>
      </c>
      <c r="N2642">
        <v>56.6</v>
      </c>
      <c r="O2642" s="49">
        <v>45127</v>
      </c>
      <c r="P2642" s="50">
        <v>386.1</v>
      </c>
    </row>
    <row r="2643" spans="4:16" x14ac:dyDescent="0.2">
      <c r="D2643">
        <v>100001595</v>
      </c>
      <c r="E2643" s="49">
        <v>44824</v>
      </c>
      <c r="F2643" t="s">
        <v>3402</v>
      </c>
      <c r="G2643" t="s">
        <v>2084</v>
      </c>
      <c r="H2643">
        <v>2</v>
      </c>
      <c r="I2643">
        <v>15.22</v>
      </c>
      <c r="J2643" s="50">
        <v>30.44</v>
      </c>
      <c r="K2643" t="s">
        <v>1618</v>
      </c>
      <c r="L2643" t="s">
        <v>3403</v>
      </c>
      <c r="M2643" t="s">
        <v>1619</v>
      </c>
      <c r="N2643">
        <v>8.0299999999999994</v>
      </c>
      <c r="O2643" s="49">
        <v>44827</v>
      </c>
      <c r="P2643" s="50">
        <v>13.698</v>
      </c>
    </row>
    <row r="2644" spans="4:16" x14ac:dyDescent="0.2">
      <c r="D2644">
        <v>100001596</v>
      </c>
      <c r="E2644" s="49">
        <v>44314</v>
      </c>
      <c r="F2644" t="s">
        <v>3404</v>
      </c>
      <c r="G2644" t="s">
        <v>1953</v>
      </c>
      <c r="H2644">
        <v>2</v>
      </c>
      <c r="I2644">
        <v>101.84</v>
      </c>
      <c r="J2644" s="50">
        <v>203.68</v>
      </c>
      <c r="K2644" t="s">
        <v>1632</v>
      </c>
      <c r="M2644" t="s">
        <v>1621</v>
      </c>
      <c r="N2644">
        <v>53.75</v>
      </c>
      <c r="O2644" s="49">
        <v>44317</v>
      </c>
      <c r="P2644" s="50">
        <v>91.656000000000006</v>
      </c>
    </row>
    <row r="2645" spans="4:16" x14ac:dyDescent="0.2">
      <c r="D2645">
        <v>100001597</v>
      </c>
      <c r="E2645" s="49">
        <v>44293</v>
      </c>
      <c r="F2645" t="s">
        <v>3405</v>
      </c>
      <c r="G2645" t="s">
        <v>1641</v>
      </c>
      <c r="H2645">
        <v>2</v>
      </c>
      <c r="I2645">
        <v>15.17</v>
      </c>
      <c r="J2645" s="50">
        <v>30.34</v>
      </c>
      <c r="K2645" t="s">
        <v>1618</v>
      </c>
      <c r="M2645" t="s">
        <v>1627</v>
      </c>
      <c r="N2645">
        <v>8.01</v>
      </c>
      <c r="O2645" s="49">
        <v>44295</v>
      </c>
      <c r="P2645" s="50">
        <v>13.653</v>
      </c>
    </row>
    <row r="2646" spans="4:16" x14ac:dyDescent="0.2">
      <c r="D2646">
        <v>100001597</v>
      </c>
      <c r="E2646" s="49">
        <v>44242</v>
      </c>
      <c r="F2646" t="s">
        <v>3405</v>
      </c>
      <c r="G2646" t="s">
        <v>1877</v>
      </c>
      <c r="H2646">
        <v>6</v>
      </c>
      <c r="I2646">
        <v>33.549999999999997</v>
      </c>
      <c r="J2646" s="50">
        <v>201.3</v>
      </c>
      <c r="K2646" t="s">
        <v>1618</v>
      </c>
      <c r="M2646" t="s">
        <v>1621</v>
      </c>
      <c r="N2646">
        <v>17.71</v>
      </c>
      <c r="O2646" s="49">
        <v>44243</v>
      </c>
      <c r="P2646" s="50">
        <v>90.585000000000008</v>
      </c>
    </row>
    <row r="2647" spans="4:16" x14ac:dyDescent="0.2">
      <c r="D2647">
        <v>100001597</v>
      </c>
      <c r="E2647" s="49">
        <v>44777</v>
      </c>
      <c r="F2647" t="s">
        <v>3405</v>
      </c>
      <c r="G2647" t="s">
        <v>1765</v>
      </c>
      <c r="H2647">
        <v>8</v>
      </c>
      <c r="I2647">
        <v>81.88</v>
      </c>
      <c r="J2647" s="50">
        <v>655.04</v>
      </c>
      <c r="K2647" t="s">
        <v>1618</v>
      </c>
      <c r="M2647" t="s">
        <v>1629</v>
      </c>
      <c r="N2647">
        <v>43.21</v>
      </c>
      <c r="O2647" s="49">
        <v>44780</v>
      </c>
      <c r="P2647" s="50">
        <v>294.76799999999997</v>
      </c>
    </row>
    <row r="2648" spans="4:16" x14ac:dyDescent="0.2">
      <c r="D2648">
        <v>100001597</v>
      </c>
      <c r="E2648" s="49">
        <v>44972</v>
      </c>
      <c r="F2648" t="s">
        <v>3405</v>
      </c>
      <c r="G2648" t="s">
        <v>1677</v>
      </c>
      <c r="H2648">
        <v>1</v>
      </c>
      <c r="I2648">
        <v>39.07</v>
      </c>
      <c r="J2648" s="50">
        <v>39.07</v>
      </c>
      <c r="K2648" t="s">
        <v>1618</v>
      </c>
      <c r="M2648" t="s">
        <v>1629</v>
      </c>
      <c r="N2648">
        <v>20.62</v>
      </c>
      <c r="O2648" s="49">
        <v>44977</v>
      </c>
      <c r="P2648" s="50">
        <v>17.581500000000002</v>
      </c>
    </row>
    <row r="2649" spans="4:16" x14ac:dyDescent="0.2">
      <c r="D2649">
        <v>100001597</v>
      </c>
      <c r="E2649" s="49">
        <v>44427</v>
      </c>
      <c r="F2649" t="s">
        <v>3405</v>
      </c>
      <c r="G2649" t="s">
        <v>2076</v>
      </c>
      <c r="H2649">
        <v>7</v>
      </c>
      <c r="I2649">
        <v>102.53</v>
      </c>
      <c r="J2649" s="50">
        <v>717.71</v>
      </c>
      <c r="K2649" t="s">
        <v>1618</v>
      </c>
      <c r="M2649" t="s">
        <v>1624</v>
      </c>
      <c r="N2649">
        <v>54.11</v>
      </c>
      <c r="O2649" s="49">
        <v>44430</v>
      </c>
      <c r="P2649" s="50">
        <v>322.96950000000004</v>
      </c>
    </row>
    <row r="2650" spans="4:16" x14ac:dyDescent="0.2">
      <c r="D2650">
        <v>100001597</v>
      </c>
      <c r="E2650" s="49">
        <v>45305</v>
      </c>
      <c r="F2650" t="s">
        <v>3405</v>
      </c>
      <c r="G2650" t="s">
        <v>1639</v>
      </c>
      <c r="H2650">
        <v>7</v>
      </c>
      <c r="I2650">
        <v>82.48</v>
      </c>
      <c r="J2650" s="50">
        <v>577.36</v>
      </c>
      <c r="K2650" t="s">
        <v>1618</v>
      </c>
      <c r="M2650" t="s">
        <v>1627</v>
      </c>
      <c r="N2650">
        <v>43.53</v>
      </c>
      <c r="O2650" s="49">
        <v>45306</v>
      </c>
      <c r="P2650" s="50">
        <v>259.81200000000001</v>
      </c>
    </row>
    <row r="2651" spans="4:16" x14ac:dyDescent="0.2">
      <c r="D2651">
        <v>100001598</v>
      </c>
      <c r="E2651" s="49">
        <v>44929</v>
      </c>
      <c r="F2651" t="s">
        <v>3406</v>
      </c>
      <c r="G2651" t="s">
        <v>1985</v>
      </c>
      <c r="H2651">
        <v>6</v>
      </c>
      <c r="I2651">
        <v>118.4</v>
      </c>
      <c r="J2651" s="50">
        <v>710.40000000000009</v>
      </c>
      <c r="K2651" t="s">
        <v>1618</v>
      </c>
      <c r="M2651" t="s">
        <v>1621</v>
      </c>
      <c r="N2651">
        <v>62.49</v>
      </c>
      <c r="O2651" s="49">
        <v>44934</v>
      </c>
      <c r="P2651" s="50">
        <v>319.68000000000006</v>
      </c>
    </row>
    <row r="2652" spans="4:16" x14ac:dyDescent="0.2">
      <c r="D2652">
        <v>100001599</v>
      </c>
      <c r="E2652" s="49">
        <v>45330</v>
      </c>
      <c r="F2652" t="s">
        <v>3407</v>
      </c>
      <c r="G2652" t="s">
        <v>1701</v>
      </c>
      <c r="H2652">
        <v>1</v>
      </c>
      <c r="I2652">
        <v>42.94</v>
      </c>
      <c r="J2652" s="50">
        <v>42.94</v>
      </c>
      <c r="K2652" t="s">
        <v>1618</v>
      </c>
      <c r="M2652" t="s">
        <v>1627</v>
      </c>
      <c r="N2652">
        <v>22.66</v>
      </c>
      <c r="O2652" s="49">
        <v>45334</v>
      </c>
      <c r="P2652" s="50">
        <v>19.323</v>
      </c>
    </row>
    <row r="2653" spans="4:16" x14ac:dyDescent="0.2">
      <c r="D2653">
        <v>100001600</v>
      </c>
      <c r="E2653" s="49">
        <v>44888</v>
      </c>
      <c r="F2653" t="s">
        <v>3408</v>
      </c>
      <c r="G2653" t="s">
        <v>1702</v>
      </c>
      <c r="H2653">
        <v>8</v>
      </c>
      <c r="I2653">
        <v>26.66</v>
      </c>
      <c r="J2653" s="50">
        <v>213.28</v>
      </c>
      <c r="K2653" t="s">
        <v>1618</v>
      </c>
      <c r="M2653" t="s">
        <v>1629</v>
      </c>
      <c r="N2653">
        <v>14.07</v>
      </c>
      <c r="O2653" s="49">
        <v>44889</v>
      </c>
      <c r="P2653" s="50">
        <v>95.975999999999999</v>
      </c>
    </row>
    <row r="2654" spans="4:16" x14ac:dyDescent="0.2">
      <c r="D2654">
        <v>100001600</v>
      </c>
      <c r="E2654" s="49">
        <v>44610</v>
      </c>
      <c r="F2654" t="s">
        <v>3408</v>
      </c>
      <c r="G2654" t="s">
        <v>1830</v>
      </c>
      <c r="H2654">
        <v>5</v>
      </c>
      <c r="I2654">
        <v>30.6</v>
      </c>
      <c r="J2654" s="50">
        <v>153</v>
      </c>
      <c r="K2654" t="s">
        <v>1618</v>
      </c>
      <c r="M2654" t="s">
        <v>1621</v>
      </c>
      <c r="N2654">
        <v>16.149999999999999</v>
      </c>
      <c r="O2654" s="49">
        <v>44612</v>
      </c>
      <c r="P2654" s="50">
        <v>68.850000000000009</v>
      </c>
    </row>
    <row r="2655" spans="4:16" x14ac:dyDescent="0.2">
      <c r="D2655">
        <v>100001600</v>
      </c>
      <c r="E2655" s="49">
        <v>45418</v>
      </c>
      <c r="F2655" t="s">
        <v>3408</v>
      </c>
      <c r="G2655" t="s">
        <v>2191</v>
      </c>
      <c r="H2655">
        <v>3</v>
      </c>
      <c r="I2655">
        <v>67.489999999999995</v>
      </c>
      <c r="J2655" s="50">
        <v>202.47</v>
      </c>
      <c r="K2655" t="s">
        <v>1618</v>
      </c>
      <c r="M2655" t="s">
        <v>1621</v>
      </c>
      <c r="N2655">
        <v>35.619999999999997</v>
      </c>
      <c r="O2655" s="49">
        <v>45419</v>
      </c>
      <c r="P2655" s="50">
        <v>91.111500000000007</v>
      </c>
    </row>
    <row r="2656" spans="4:16" x14ac:dyDescent="0.2">
      <c r="D2656">
        <v>100001600</v>
      </c>
      <c r="E2656" s="49">
        <v>45296</v>
      </c>
      <c r="F2656" t="s">
        <v>3408</v>
      </c>
      <c r="G2656" t="s">
        <v>1705</v>
      </c>
      <c r="H2656">
        <v>10</v>
      </c>
      <c r="I2656">
        <v>117.28</v>
      </c>
      <c r="J2656" s="50">
        <v>1172.8</v>
      </c>
      <c r="K2656" t="s">
        <v>1618</v>
      </c>
      <c r="M2656" t="s">
        <v>1621</v>
      </c>
      <c r="N2656">
        <v>61.9</v>
      </c>
      <c r="O2656" s="49">
        <v>45300</v>
      </c>
      <c r="P2656" s="50">
        <v>527.76</v>
      </c>
    </row>
    <row r="2657" spans="4:16" x14ac:dyDescent="0.2">
      <c r="D2657">
        <v>100001600</v>
      </c>
      <c r="E2657" s="49">
        <v>45402</v>
      </c>
      <c r="F2657" t="s">
        <v>3408</v>
      </c>
      <c r="G2657" t="s">
        <v>1789</v>
      </c>
      <c r="H2657">
        <v>8</v>
      </c>
      <c r="I2657">
        <v>23.37</v>
      </c>
      <c r="J2657" s="50">
        <v>186.96</v>
      </c>
      <c r="K2657" t="s">
        <v>1618</v>
      </c>
      <c r="M2657" t="s">
        <v>1627</v>
      </c>
      <c r="N2657">
        <v>12.33</v>
      </c>
      <c r="O2657" s="49">
        <v>45403</v>
      </c>
      <c r="P2657" s="50">
        <v>84.132000000000005</v>
      </c>
    </row>
    <row r="2658" spans="4:16" x14ac:dyDescent="0.2">
      <c r="D2658">
        <v>100001600</v>
      </c>
      <c r="E2658" s="49">
        <v>45139</v>
      </c>
      <c r="F2658" t="s">
        <v>3408</v>
      </c>
      <c r="G2658" t="s">
        <v>1969</v>
      </c>
      <c r="H2658">
        <v>8</v>
      </c>
      <c r="I2658">
        <v>11.29</v>
      </c>
      <c r="J2658" s="50">
        <v>90.32</v>
      </c>
      <c r="K2658" t="s">
        <v>1618</v>
      </c>
      <c r="M2658" t="s">
        <v>1627</v>
      </c>
      <c r="N2658">
        <v>5.96</v>
      </c>
      <c r="O2658" s="49">
        <v>45140</v>
      </c>
      <c r="P2658" s="50">
        <v>40.643999999999998</v>
      </c>
    </row>
    <row r="2659" spans="4:16" x14ac:dyDescent="0.2">
      <c r="D2659">
        <v>100001600</v>
      </c>
      <c r="E2659" s="49">
        <v>44379</v>
      </c>
      <c r="F2659" t="s">
        <v>3408</v>
      </c>
      <c r="G2659" t="s">
        <v>1666</v>
      </c>
      <c r="H2659">
        <v>10</v>
      </c>
      <c r="I2659">
        <v>54.44</v>
      </c>
      <c r="J2659" s="50">
        <v>544.4</v>
      </c>
      <c r="K2659" t="s">
        <v>1618</v>
      </c>
      <c r="M2659" t="s">
        <v>1629</v>
      </c>
      <c r="N2659">
        <v>28.73</v>
      </c>
      <c r="O2659" s="49">
        <v>44380</v>
      </c>
      <c r="P2659" s="50">
        <v>244.98</v>
      </c>
    </row>
    <row r="2660" spans="4:16" x14ac:dyDescent="0.2">
      <c r="D2660">
        <v>100001600</v>
      </c>
      <c r="E2660" s="49">
        <v>45158</v>
      </c>
      <c r="F2660" t="s">
        <v>3408</v>
      </c>
      <c r="G2660" t="s">
        <v>1740</v>
      </c>
      <c r="H2660">
        <v>9</v>
      </c>
      <c r="I2660">
        <v>78.680000000000007</v>
      </c>
      <c r="J2660" s="50">
        <v>708.12000000000012</v>
      </c>
      <c r="K2660" t="s">
        <v>1618</v>
      </c>
      <c r="M2660" t="s">
        <v>1621</v>
      </c>
      <c r="N2660">
        <v>41.53</v>
      </c>
      <c r="O2660" s="49">
        <v>45163</v>
      </c>
      <c r="P2660" s="50">
        <v>318.65400000000005</v>
      </c>
    </row>
    <row r="2661" spans="4:16" x14ac:dyDescent="0.2">
      <c r="D2661">
        <v>100001600</v>
      </c>
      <c r="E2661" s="49">
        <v>44238</v>
      </c>
      <c r="F2661" t="s">
        <v>3408</v>
      </c>
      <c r="G2661" t="s">
        <v>2242</v>
      </c>
      <c r="H2661">
        <v>3</v>
      </c>
      <c r="I2661">
        <v>35.46</v>
      </c>
      <c r="J2661" s="50">
        <v>106.38</v>
      </c>
      <c r="K2661" t="s">
        <v>1618</v>
      </c>
      <c r="M2661" t="s">
        <v>1627</v>
      </c>
      <c r="N2661">
        <v>18.71</v>
      </c>
      <c r="O2661" s="49">
        <v>44243</v>
      </c>
      <c r="P2661" s="50">
        <v>47.871000000000002</v>
      </c>
    </row>
    <row r="2662" spans="4:16" x14ac:dyDescent="0.2">
      <c r="D2662">
        <v>100001600</v>
      </c>
      <c r="E2662" s="49">
        <v>45221</v>
      </c>
      <c r="F2662" t="s">
        <v>3408</v>
      </c>
      <c r="G2662" t="s">
        <v>2550</v>
      </c>
      <c r="H2662">
        <v>4</v>
      </c>
      <c r="I2662">
        <v>97</v>
      </c>
      <c r="J2662" s="50">
        <v>388</v>
      </c>
      <c r="K2662" t="s">
        <v>1618</v>
      </c>
      <c r="M2662" t="s">
        <v>1629</v>
      </c>
      <c r="N2662">
        <v>51.19</v>
      </c>
      <c r="O2662" s="49">
        <v>45225</v>
      </c>
      <c r="P2662" s="50">
        <v>174.6</v>
      </c>
    </row>
    <row r="2663" spans="4:16" x14ac:dyDescent="0.2">
      <c r="D2663">
        <v>100001600</v>
      </c>
      <c r="E2663" s="49">
        <v>45593</v>
      </c>
      <c r="F2663" t="s">
        <v>3408</v>
      </c>
      <c r="G2663" t="s">
        <v>1864</v>
      </c>
      <c r="H2663">
        <v>4</v>
      </c>
      <c r="I2663">
        <v>88.12</v>
      </c>
      <c r="J2663" s="50">
        <v>352.48</v>
      </c>
      <c r="K2663" t="s">
        <v>1618</v>
      </c>
      <c r="M2663" t="s">
        <v>1619</v>
      </c>
      <c r="N2663">
        <v>46.51</v>
      </c>
      <c r="O2663" s="49">
        <v>45595</v>
      </c>
      <c r="P2663" s="50">
        <v>158.61600000000001</v>
      </c>
    </row>
    <row r="2664" spans="4:16" x14ac:dyDescent="0.2">
      <c r="D2664">
        <v>100001601</v>
      </c>
      <c r="E2664" s="49">
        <v>45200</v>
      </c>
      <c r="F2664" t="s">
        <v>3409</v>
      </c>
      <c r="G2664" t="s">
        <v>1651</v>
      </c>
      <c r="H2664">
        <v>8</v>
      </c>
      <c r="I2664">
        <v>108.55</v>
      </c>
      <c r="J2664" s="50">
        <v>868.4</v>
      </c>
      <c r="K2664" t="s">
        <v>1618</v>
      </c>
      <c r="M2664" t="s">
        <v>1621</v>
      </c>
      <c r="N2664">
        <v>57.29</v>
      </c>
      <c r="O2664" s="49">
        <v>45201</v>
      </c>
      <c r="P2664" s="50">
        <v>390.78</v>
      </c>
    </row>
    <row r="2665" spans="4:16" x14ac:dyDescent="0.2">
      <c r="D2665">
        <v>100001601</v>
      </c>
      <c r="E2665" s="49">
        <v>44384</v>
      </c>
      <c r="F2665" t="s">
        <v>3409</v>
      </c>
      <c r="G2665" t="s">
        <v>1717</v>
      </c>
      <c r="H2665">
        <v>6</v>
      </c>
      <c r="I2665">
        <v>116.47</v>
      </c>
      <c r="J2665" s="50">
        <v>698.81999999999994</v>
      </c>
      <c r="K2665" t="s">
        <v>1618</v>
      </c>
      <c r="M2665" t="s">
        <v>1619</v>
      </c>
      <c r="N2665">
        <v>61.47</v>
      </c>
      <c r="O2665" s="49">
        <v>44389</v>
      </c>
      <c r="P2665" s="50">
        <v>314.46899999999999</v>
      </c>
    </row>
    <row r="2666" spans="4:16" x14ac:dyDescent="0.2">
      <c r="D2666">
        <v>100001601</v>
      </c>
      <c r="E2666" s="49">
        <v>44982</v>
      </c>
      <c r="F2666" t="s">
        <v>3409</v>
      </c>
      <c r="G2666" t="s">
        <v>2050</v>
      </c>
      <c r="H2666">
        <v>6</v>
      </c>
      <c r="I2666">
        <v>116.53</v>
      </c>
      <c r="J2666" s="50">
        <v>699.18000000000006</v>
      </c>
      <c r="K2666" t="s">
        <v>1618</v>
      </c>
      <c r="M2666" t="s">
        <v>1627</v>
      </c>
      <c r="N2666">
        <v>61.5</v>
      </c>
      <c r="O2666" s="49">
        <v>44985</v>
      </c>
      <c r="P2666" s="50">
        <v>314.63100000000003</v>
      </c>
    </row>
    <row r="2667" spans="4:16" x14ac:dyDescent="0.2">
      <c r="D2667">
        <v>100001602</v>
      </c>
      <c r="E2667" s="49">
        <v>45655</v>
      </c>
      <c r="F2667" t="s">
        <v>3410</v>
      </c>
      <c r="G2667" t="s">
        <v>2180</v>
      </c>
      <c r="H2667">
        <v>1</v>
      </c>
      <c r="I2667">
        <v>112.49</v>
      </c>
      <c r="J2667" s="50">
        <v>112.49</v>
      </c>
      <c r="K2667" t="s">
        <v>1618</v>
      </c>
      <c r="L2667" t="s">
        <v>3359</v>
      </c>
      <c r="M2667" t="s">
        <v>1619</v>
      </c>
      <c r="N2667">
        <v>59.37</v>
      </c>
      <c r="O2667" s="49">
        <v>45656</v>
      </c>
      <c r="P2667" s="50">
        <v>50.6205</v>
      </c>
    </row>
    <row r="2668" spans="4:16" x14ac:dyDescent="0.2">
      <c r="D2668">
        <v>100001602</v>
      </c>
      <c r="E2668" s="49">
        <v>44574</v>
      </c>
      <c r="F2668" t="s">
        <v>3410</v>
      </c>
      <c r="G2668" t="s">
        <v>1950</v>
      </c>
      <c r="H2668">
        <v>5</v>
      </c>
      <c r="I2668">
        <v>21.45</v>
      </c>
      <c r="J2668" s="50">
        <v>107.25</v>
      </c>
      <c r="K2668" t="s">
        <v>1618</v>
      </c>
      <c r="L2668" t="s">
        <v>3359</v>
      </c>
      <c r="M2668" t="s">
        <v>1627</v>
      </c>
      <c r="N2668">
        <v>11.32</v>
      </c>
      <c r="O2668" s="49">
        <v>44579</v>
      </c>
      <c r="P2668" s="50">
        <v>48.262500000000003</v>
      </c>
    </row>
    <row r="2669" spans="4:16" x14ac:dyDescent="0.2">
      <c r="D2669">
        <v>100001603</v>
      </c>
      <c r="E2669" s="49">
        <v>44482</v>
      </c>
      <c r="F2669" t="s">
        <v>3411</v>
      </c>
      <c r="G2669" t="s">
        <v>1727</v>
      </c>
      <c r="H2669">
        <v>2</v>
      </c>
      <c r="I2669">
        <v>67.739999999999995</v>
      </c>
      <c r="J2669" s="50">
        <v>135.47999999999999</v>
      </c>
      <c r="K2669" t="s">
        <v>1632</v>
      </c>
      <c r="M2669" t="s">
        <v>1624</v>
      </c>
      <c r="N2669">
        <v>35.75</v>
      </c>
      <c r="O2669" s="49">
        <v>44483</v>
      </c>
      <c r="P2669" s="50">
        <v>60.965999999999994</v>
      </c>
    </row>
    <row r="2670" spans="4:16" x14ac:dyDescent="0.2">
      <c r="D2670">
        <v>100001603</v>
      </c>
      <c r="E2670" s="49">
        <v>44367</v>
      </c>
      <c r="F2670" t="s">
        <v>3411</v>
      </c>
      <c r="G2670" t="s">
        <v>1815</v>
      </c>
      <c r="H2670">
        <v>4</v>
      </c>
      <c r="I2670">
        <v>113.59</v>
      </c>
      <c r="J2670" s="50">
        <v>454.36</v>
      </c>
      <c r="K2670" t="s">
        <v>1632</v>
      </c>
      <c r="M2670" t="s">
        <v>1629</v>
      </c>
      <c r="N2670">
        <v>59.95</v>
      </c>
      <c r="O2670" s="49">
        <v>44372</v>
      </c>
      <c r="P2670" s="50">
        <v>204.46200000000002</v>
      </c>
    </row>
    <row r="2671" spans="4:16" x14ac:dyDescent="0.2">
      <c r="D2671">
        <v>100001604</v>
      </c>
      <c r="E2671" s="49">
        <v>45207</v>
      </c>
      <c r="F2671" t="s">
        <v>3412</v>
      </c>
      <c r="G2671" t="s">
        <v>1880</v>
      </c>
      <c r="H2671">
        <v>10</v>
      </c>
      <c r="I2671">
        <v>96.41</v>
      </c>
      <c r="J2671" s="50">
        <v>964.09999999999991</v>
      </c>
      <c r="K2671" t="s">
        <v>1618</v>
      </c>
      <c r="M2671" t="s">
        <v>1619</v>
      </c>
      <c r="N2671">
        <v>50.88</v>
      </c>
      <c r="O2671" s="49">
        <v>45209</v>
      </c>
      <c r="P2671" s="50">
        <v>433.84499999999997</v>
      </c>
    </row>
    <row r="2672" spans="4:16" x14ac:dyDescent="0.2">
      <c r="D2672">
        <v>100001605</v>
      </c>
      <c r="E2672" s="49">
        <v>44773</v>
      </c>
      <c r="F2672" t="s">
        <v>3413</v>
      </c>
      <c r="G2672" t="s">
        <v>2145</v>
      </c>
      <c r="H2672">
        <v>10</v>
      </c>
      <c r="I2672">
        <v>72.62</v>
      </c>
      <c r="J2672" s="50">
        <v>726.2</v>
      </c>
      <c r="K2672" t="s">
        <v>1632</v>
      </c>
      <c r="L2672" t="s">
        <v>3414</v>
      </c>
      <c r="M2672" t="s">
        <v>1621</v>
      </c>
      <c r="N2672">
        <v>38.33</v>
      </c>
      <c r="O2672" s="49">
        <v>44777</v>
      </c>
      <c r="P2672" s="50">
        <v>326.79000000000002</v>
      </c>
    </row>
    <row r="2673" spans="4:16" x14ac:dyDescent="0.2">
      <c r="D2673">
        <v>100001605</v>
      </c>
      <c r="E2673" s="49">
        <v>44358</v>
      </c>
      <c r="F2673" t="s">
        <v>3413</v>
      </c>
      <c r="G2673" t="s">
        <v>2168</v>
      </c>
      <c r="H2673">
        <v>8</v>
      </c>
      <c r="I2673">
        <v>94.31</v>
      </c>
      <c r="J2673" s="50">
        <v>754.48</v>
      </c>
      <c r="K2673" t="s">
        <v>1632</v>
      </c>
      <c r="L2673" t="s">
        <v>3414</v>
      </c>
      <c r="M2673" t="s">
        <v>1629</v>
      </c>
      <c r="N2673">
        <v>49.77</v>
      </c>
      <c r="O2673" s="49">
        <v>44361</v>
      </c>
      <c r="P2673" s="50">
        <v>339.51600000000002</v>
      </c>
    </row>
    <row r="2674" spans="4:16" x14ac:dyDescent="0.2">
      <c r="D2674">
        <v>100001605</v>
      </c>
      <c r="E2674" s="49">
        <v>45597</v>
      </c>
      <c r="F2674" t="s">
        <v>3413</v>
      </c>
      <c r="G2674" t="s">
        <v>2079</v>
      </c>
      <c r="H2674">
        <v>3</v>
      </c>
      <c r="I2674">
        <v>70.3</v>
      </c>
      <c r="J2674" s="50">
        <v>210.9</v>
      </c>
      <c r="K2674" t="s">
        <v>1632</v>
      </c>
      <c r="L2674" t="s">
        <v>3414</v>
      </c>
      <c r="M2674" t="s">
        <v>1621</v>
      </c>
      <c r="N2674">
        <v>37.1</v>
      </c>
      <c r="O2674" s="49">
        <v>45598</v>
      </c>
      <c r="P2674" s="50">
        <v>94.905000000000001</v>
      </c>
    </row>
    <row r="2675" spans="4:16" x14ac:dyDescent="0.2">
      <c r="D2675">
        <v>100001605</v>
      </c>
      <c r="E2675" s="49">
        <v>44662</v>
      </c>
      <c r="F2675" t="s">
        <v>3413</v>
      </c>
      <c r="G2675" t="s">
        <v>1649</v>
      </c>
      <c r="H2675">
        <v>5</v>
      </c>
      <c r="I2675">
        <v>41.43</v>
      </c>
      <c r="J2675" s="50">
        <v>207.15</v>
      </c>
      <c r="K2675" t="s">
        <v>1632</v>
      </c>
      <c r="L2675" t="s">
        <v>3414</v>
      </c>
      <c r="M2675" t="s">
        <v>1627</v>
      </c>
      <c r="N2675">
        <v>21.87</v>
      </c>
      <c r="O2675" s="49">
        <v>44664</v>
      </c>
      <c r="P2675" s="50">
        <v>93.217500000000001</v>
      </c>
    </row>
    <row r="2676" spans="4:16" x14ac:dyDescent="0.2">
      <c r="D2676">
        <v>100001605</v>
      </c>
      <c r="E2676" s="49">
        <v>45347</v>
      </c>
      <c r="F2676" t="s">
        <v>3413</v>
      </c>
      <c r="G2676" t="s">
        <v>1623</v>
      </c>
      <c r="H2676">
        <v>3</v>
      </c>
      <c r="I2676">
        <v>11.66</v>
      </c>
      <c r="J2676" s="50">
        <v>34.979999999999997</v>
      </c>
      <c r="K2676" t="s">
        <v>1632</v>
      </c>
      <c r="L2676" t="s">
        <v>3414</v>
      </c>
      <c r="M2676" t="s">
        <v>1629</v>
      </c>
      <c r="N2676">
        <v>6.15</v>
      </c>
      <c r="O2676" s="49">
        <v>45351</v>
      </c>
      <c r="P2676" s="50">
        <v>15.741</v>
      </c>
    </row>
    <row r="2677" spans="4:16" x14ac:dyDescent="0.2">
      <c r="D2677">
        <v>100001606</v>
      </c>
      <c r="E2677" s="49">
        <v>45102</v>
      </c>
      <c r="F2677" t="s">
        <v>3415</v>
      </c>
      <c r="G2677" t="s">
        <v>2158</v>
      </c>
      <c r="H2677">
        <v>4</v>
      </c>
      <c r="I2677">
        <v>36.26</v>
      </c>
      <c r="J2677" s="50">
        <v>145.04</v>
      </c>
      <c r="K2677" t="s">
        <v>1632</v>
      </c>
      <c r="L2677" t="s">
        <v>3416</v>
      </c>
      <c r="M2677" t="s">
        <v>1619</v>
      </c>
      <c r="N2677">
        <v>19.14</v>
      </c>
      <c r="O2677" s="49">
        <v>45105</v>
      </c>
      <c r="P2677" s="50">
        <v>65.268000000000001</v>
      </c>
    </row>
    <row r="2678" spans="4:16" x14ac:dyDescent="0.2">
      <c r="D2678">
        <v>100001607</v>
      </c>
      <c r="E2678" s="49">
        <v>45154</v>
      </c>
      <c r="F2678" t="s">
        <v>2735</v>
      </c>
      <c r="G2678" t="s">
        <v>2017</v>
      </c>
      <c r="H2678">
        <v>2</v>
      </c>
      <c r="I2678">
        <v>20.66</v>
      </c>
      <c r="J2678" s="50">
        <v>41.32</v>
      </c>
      <c r="K2678" t="s">
        <v>1618</v>
      </c>
      <c r="M2678" t="s">
        <v>1629</v>
      </c>
      <c r="N2678">
        <v>10.9</v>
      </c>
      <c r="O2678" s="49">
        <v>45156</v>
      </c>
      <c r="P2678" s="50">
        <v>18.594000000000001</v>
      </c>
    </row>
    <row r="2679" spans="4:16" x14ac:dyDescent="0.2">
      <c r="D2679">
        <v>100001608</v>
      </c>
      <c r="E2679" s="49">
        <v>44693</v>
      </c>
      <c r="F2679" t="s">
        <v>3417</v>
      </c>
      <c r="G2679" t="s">
        <v>1719</v>
      </c>
      <c r="H2679">
        <v>6</v>
      </c>
      <c r="I2679">
        <v>37.99</v>
      </c>
      <c r="J2679" s="50">
        <v>227.94</v>
      </c>
      <c r="K2679" t="s">
        <v>1618</v>
      </c>
      <c r="M2679" t="s">
        <v>1619</v>
      </c>
      <c r="N2679">
        <v>20.05</v>
      </c>
      <c r="O2679" s="49">
        <v>44696</v>
      </c>
      <c r="P2679" s="50">
        <v>102.57300000000001</v>
      </c>
    </row>
    <row r="2680" spans="4:16" x14ac:dyDescent="0.2">
      <c r="D2680">
        <v>100001609</v>
      </c>
      <c r="E2680" s="49">
        <v>44960</v>
      </c>
      <c r="F2680" t="s">
        <v>3418</v>
      </c>
      <c r="G2680" t="s">
        <v>1866</v>
      </c>
      <c r="H2680">
        <v>9</v>
      </c>
      <c r="I2680">
        <v>111.9</v>
      </c>
      <c r="J2680" s="50">
        <v>1007.1</v>
      </c>
      <c r="K2680" t="s">
        <v>1618</v>
      </c>
      <c r="M2680" t="s">
        <v>1629</v>
      </c>
      <c r="N2680">
        <v>59.06</v>
      </c>
      <c r="O2680" s="49">
        <v>44962</v>
      </c>
      <c r="P2680" s="50">
        <v>453.19499999999999</v>
      </c>
    </row>
    <row r="2681" spans="4:16" x14ac:dyDescent="0.2">
      <c r="D2681">
        <v>100001613</v>
      </c>
      <c r="E2681" s="49">
        <v>44751</v>
      </c>
      <c r="F2681" t="s">
        <v>3419</v>
      </c>
      <c r="G2681" t="s">
        <v>2460</v>
      </c>
      <c r="H2681">
        <v>1</v>
      </c>
      <c r="I2681">
        <v>111.49</v>
      </c>
      <c r="J2681" s="50">
        <v>111.49</v>
      </c>
      <c r="K2681" t="s">
        <v>1618</v>
      </c>
      <c r="M2681" t="s">
        <v>1619</v>
      </c>
      <c r="N2681">
        <v>58.84</v>
      </c>
      <c r="O2681" s="49">
        <v>44752</v>
      </c>
      <c r="P2681" s="50">
        <v>50.170499999999997</v>
      </c>
    </row>
    <row r="2682" spans="4:16" x14ac:dyDescent="0.2">
      <c r="D2682">
        <v>100001613</v>
      </c>
      <c r="E2682" s="49">
        <v>44609</v>
      </c>
      <c r="F2682" t="s">
        <v>3419</v>
      </c>
      <c r="G2682" t="s">
        <v>1700</v>
      </c>
      <c r="H2682">
        <v>2</v>
      </c>
      <c r="I2682">
        <v>113.03</v>
      </c>
      <c r="J2682" s="50">
        <v>226.06</v>
      </c>
      <c r="K2682" t="s">
        <v>1618</v>
      </c>
      <c r="M2682" t="s">
        <v>1621</v>
      </c>
      <c r="N2682">
        <v>59.65</v>
      </c>
      <c r="O2682" s="49">
        <v>44611</v>
      </c>
      <c r="P2682" s="50">
        <v>101.727</v>
      </c>
    </row>
    <row r="2683" spans="4:16" x14ac:dyDescent="0.2">
      <c r="D2683">
        <v>100001614</v>
      </c>
      <c r="E2683" s="49">
        <v>44306</v>
      </c>
      <c r="F2683" t="s">
        <v>3420</v>
      </c>
      <c r="G2683" t="s">
        <v>1910</v>
      </c>
      <c r="H2683">
        <v>6</v>
      </c>
      <c r="I2683">
        <v>23.13</v>
      </c>
      <c r="J2683" s="50">
        <v>138.78</v>
      </c>
      <c r="K2683" t="s">
        <v>1632</v>
      </c>
      <c r="M2683" t="s">
        <v>1629</v>
      </c>
      <c r="N2683">
        <v>12.21</v>
      </c>
      <c r="O2683" s="49">
        <v>44310</v>
      </c>
      <c r="P2683" s="50">
        <v>62.451000000000001</v>
      </c>
    </row>
    <row r="2684" spans="4:16" x14ac:dyDescent="0.2">
      <c r="D2684">
        <v>100001614</v>
      </c>
      <c r="E2684" s="49">
        <v>44579</v>
      </c>
      <c r="F2684" t="s">
        <v>3420</v>
      </c>
      <c r="G2684" t="s">
        <v>1653</v>
      </c>
      <c r="H2684">
        <v>6</v>
      </c>
      <c r="I2684">
        <v>77.12</v>
      </c>
      <c r="J2684" s="50">
        <v>462.72</v>
      </c>
      <c r="K2684" t="s">
        <v>1632</v>
      </c>
      <c r="M2684" t="s">
        <v>1619</v>
      </c>
      <c r="N2684">
        <v>40.700000000000003</v>
      </c>
      <c r="O2684" s="49">
        <v>44583</v>
      </c>
      <c r="P2684" s="50">
        <v>208.22400000000002</v>
      </c>
    </row>
    <row r="2685" spans="4:16" x14ac:dyDescent="0.2">
      <c r="D2685">
        <v>100001614</v>
      </c>
      <c r="E2685" s="49">
        <v>44441</v>
      </c>
      <c r="F2685" t="s">
        <v>3420</v>
      </c>
      <c r="G2685" t="s">
        <v>1758</v>
      </c>
      <c r="H2685">
        <v>8</v>
      </c>
      <c r="I2685">
        <v>91.15</v>
      </c>
      <c r="J2685" s="50">
        <v>729.2</v>
      </c>
      <c r="K2685" t="s">
        <v>1632</v>
      </c>
      <c r="M2685" t="s">
        <v>1624</v>
      </c>
      <c r="N2685">
        <v>48.11</v>
      </c>
      <c r="O2685" s="49">
        <v>44444</v>
      </c>
      <c r="P2685" s="50">
        <v>328.14000000000004</v>
      </c>
    </row>
    <row r="2686" spans="4:16" x14ac:dyDescent="0.2">
      <c r="D2686">
        <v>100001615</v>
      </c>
      <c r="E2686" s="49">
        <v>45277</v>
      </c>
      <c r="F2686" t="s">
        <v>3421</v>
      </c>
      <c r="G2686" t="s">
        <v>2134</v>
      </c>
      <c r="H2686">
        <v>7</v>
      </c>
      <c r="I2686">
        <v>17.71</v>
      </c>
      <c r="J2686" s="50">
        <v>123.97</v>
      </c>
      <c r="K2686" t="s">
        <v>1618</v>
      </c>
      <c r="M2686" t="s">
        <v>1619</v>
      </c>
      <c r="N2686">
        <v>9.35</v>
      </c>
      <c r="O2686" s="49">
        <v>45278</v>
      </c>
      <c r="P2686" s="50">
        <v>55.786500000000004</v>
      </c>
    </row>
    <row r="2687" spans="4:16" x14ac:dyDescent="0.2">
      <c r="D2687">
        <v>100001615</v>
      </c>
      <c r="E2687" s="49">
        <v>44714</v>
      </c>
      <c r="F2687" t="s">
        <v>3421</v>
      </c>
      <c r="G2687" t="s">
        <v>1958</v>
      </c>
      <c r="H2687">
        <v>1</v>
      </c>
      <c r="I2687">
        <v>93.8</v>
      </c>
      <c r="J2687" s="50">
        <v>93.8</v>
      </c>
      <c r="K2687" t="s">
        <v>1618</v>
      </c>
      <c r="M2687" t="s">
        <v>1627</v>
      </c>
      <c r="N2687">
        <v>49.51</v>
      </c>
      <c r="O2687" s="49">
        <v>44717</v>
      </c>
      <c r="P2687" s="50">
        <v>42.21</v>
      </c>
    </row>
    <row r="2688" spans="4:16" x14ac:dyDescent="0.2">
      <c r="D2688">
        <v>100001615</v>
      </c>
      <c r="E2688" s="49">
        <v>45482</v>
      </c>
      <c r="F2688" t="s">
        <v>3421</v>
      </c>
      <c r="G2688" t="s">
        <v>2191</v>
      </c>
      <c r="H2688">
        <v>5</v>
      </c>
      <c r="I2688">
        <v>95.01</v>
      </c>
      <c r="J2688" s="50">
        <v>475.05</v>
      </c>
      <c r="K2688" t="s">
        <v>1618</v>
      </c>
      <c r="M2688" t="s">
        <v>1621</v>
      </c>
      <c r="N2688">
        <v>50.14</v>
      </c>
      <c r="O2688" s="49">
        <v>45486</v>
      </c>
      <c r="P2688" s="50">
        <v>213.77250000000001</v>
      </c>
    </row>
    <row r="2689" spans="4:16" x14ac:dyDescent="0.2">
      <c r="D2689">
        <v>100001615</v>
      </c>
      <c r="E2689" s="49">
        <v>45619</v>
      </c>
      <c r="F2689" t="s">
        <v>3421</v>
      </c>
      <c r="G2689" t="s">
        <v>2291</v>
      </c>
      <c r="H2689">
        <v>4</v>
      </c>
      <c r="I2689">
        <v>92.28</v>
      </c>
      <c r="J2689" s="50">
        <v>369.12</v>
      </c>
      <c r="K2689" t="s">
        <v>1618</v>
      </c>
      <c r="M2689" t="s">
        <v>1627</v>
      </c>
      <c r="N2689">
        <v>48.7</v>
      </c>
      <c r="O2689" s="49">
        <v>45621</v>
      </c>
      <c r="P2689" s="50">
        <v>166.10400000000001</v>
      </c>
    </row>
    <row r="2690" spans="4:16" x14ac:dyDescent="0.2">
      <c r="D2690">
        <v>100001618</v>
      </c>
      <c r="E2690" s="49">
        <v>44288</v>
      </c>
      <c r="F2690" t="s">
        <v>3422</v>
      </c>
      <c r="G2690" t="s">
        <v>1980</v>
      </c>
      <c r="H2690">
        <v>7</v>
      </c>
      <c r="I2690">
        <v>61.26</v>
      </c>
      <c r="J2690" s="50">
        <v>428.82</v>
      </c>
      <c r="K2690" t="s">
        <v>1632</v>
      </c>
      <c r="M2690" t="s">
        <v>1621</v>
      </c>
      <c r="N2690">
        <v>32.33</v>
      </c>
      <c r="O2690" s="49">
        <v>44292</v>
      </c>
      <c r="P2690" s="50">
        <v>192.96899999999999</v>
      </c>
    </row>
    <row r="2691" spans="4:16" x14ac:dyDescent="0.2">
      <c r="D2691">
        <v>100001618</v>
      </c>
      <c r="E2691" s="49">
        <v>45268</v>
      </c>
      <c r="F2691" t="s">
        <v>3422</v>
      </c>
      <c r="G2691" t="s">
        <v>2112</v>
      </c>
      <c r="H2691">
        <v>2</v>
      </c>
      <c r="I2691">
        <v>51.24</v>
      </c>
      <c r="J2691" s="50">
        <v>102.48</v>
      </c>
      <c r="K2691" t="s">
        <v>1632</v>
      </c>
      <c r="M2691" t="s">
        <v>1624</v>
      </c>
      <c r="N2691">
        <v>27.04</v>
      </c>
      <c r="O2691" s="49">
        <v>45272</v>
      </c>
      <c r="P2691" s="50">
        <v>46.116</v>
      </c>
    </row>
    <row r="2692" spans="4:16" x14ac:dyDescent="0.2">
      <c r="D2692">
        <v>100001618</v>
      </c>
      <c r="E2692" s="49">
        <v>44988</v>
      </c>
      <c r="F2692" t="s">
        <v>3422</v>
      </c>
      <c r="G2692" t="s">
        <v>2707</v>
      </c>
      <c r="H2692">
        <v>4</v>
      </c>
      <c r="I2692">
        <v>119.69</v>
      </c>
      <c r="J2692" s="50">
        <v>478.76</v>
      </c>
      <c r="K2692" t="s">
        <v>1632</v>
      </c>
      <c r="M2692" t="s">
        <v>1629</v>
      </c>
      <c r="N2692">
        <v>63.17</v>
      </c>
      <c r="O2692" s="49">
        <v>44991</v>
      </c>
      <c r="P2692" s="50">
        <v>215.44200000000001</v>
      </c>
    </row>
    <row r="2693" spans="4:16" x14ac:dyDescent="0.2">
      <c r="D2693">
        <v>100001618</v>
      </c>
      <c r="E2693" s="49">
        <v>45644</v>
      </c>
      <c r="F2693" t="s">
        <v>3422</v>
      </c>
      <c r="G2693" t="s">
        <v>2698</v>
      </c>
      <c r="H2693">
        <v>7</v>
      </c>
      <c r="I2693">
        <v>49.87</v>
      </c>
      <c r="J2693" s="50">
        <v>349.09</v>
      </c>
      <c r="K2693" t="s">
        <v>1632</v>
      </c>
      <c r="M2693" t="s">
        <v>1627</v>
      </c>
      <c r="N2693">
        <v>26.32</v>
      </c>
      <c r="O2693" s="49">
        <v>45648</v>
      </c>
      <c r="P2693" s="50">
        <v>157.09049999999999</v>
      </c>
    </row>
    <row r="2694" spans="4:16" x14ac:dyDescent="0.2">
      <c r="D2694">
        <v>100001618</v>
      </c>
      <c r="E2694" s="49">
        <v>45204</v>
      </c>
      <c r="F2694" t="s">
        <v>3422</v>
      </c>
      <c r="G2694" t="s">
        <v>1687</v>
      </c>
      <c r="H2694">
        <v>9</v>
      </c>
      <c r="I2694">
        <v>68.91</v>
      </c>
      <c r="J2694" s="50">
        <v>620.18999999999994</v>
      </c>
      <c r="K2694" t="s">
        <v>1632</v>
      </c>
      <c r="M2694" t="s">
        <v>1627</v>
      </c>
      <c r="N2694">
        <v>36.369999999999997</v>
      </c>
      <c r="O2694" s="49">
        <v>45209</v>
      </c>
      <c r="P2694" s="50">
        <v>279.08549999999997</v>
      </c>
    </row>
    <row r="2695" spans="4:16" x14ac:dyDescent="0.2">
      <c r="D2695">
        <v>100001618</v>
      </c>
      <c r="E2695" s="49">
        <v>44935</v>
      </c>
      <c r="F2695" t="s">
        <v>3422</v>
      </c>
      <c r="G2695" t="s">
        <v>1728</v>
      </c>
      <c r="H2695">
        <v>4</v>
      </c>
      <c r="I2695">
        <v>55.48</v>
      </c>
      <c r="J2695" s="50">
        <v>221.92</v>
      </c>
      <c r="K2695" t="s">
        <v>1632</v>
      </c>
      <c r="M2695" t="s">
        <v>1627</v>
      </c>
      <c r="N2695">
        <v>29.28</v>
      </c>
      <c r="O2695" s="49">
        <v>44938</v>
      </c>
      <c r="P2695" s="50">
        <v>99.86399999999999</v>
      </c>
    </row>
    <row r="2696" spans="4:16" x14ac:dyDescent="0.2">
      <c r="D2696">
        <v>100001620</v>
      </c>
      <c r="E2696" s="49">
        <v>45471</v>
      </c>
      <c r="F2696" t="s">
        <v>3423</v>
      </c>
      <c r="G2696" t="s">
        <v>2099</v>
      </c>
      <c r="H2696">
        <v>2</v>
      </c>
      <c r="I2696">
        <v>116.35</v>
      </c>
      <c r="J2696" s="50">
        <v>232.7</v>
      </c>
      <c r="K2696" t="s">
        <v>1618</v>
      </c>
      <c r="L2696" t="s">
        <v>3424</v>
      </c>
      <c r="M2696" t="s">
        <v>1629</v>
      </c>
      <c r="N2696">
        <v>61.41</v>
      </c>
      <c r="O2696" s="49">
        <v>45472</v>
      </c>
      <c r="P2696" s="50">
        <v>104.715</v>
      </c>
    </row>
    <row r="2697" spans="4:16" x14ac:dyDescent="0.2">
      <c r="D2697">
        <v>100001621</v>
      </c>
      <c r="E2697" s="49">
        <v>44526</v>
      </c>
      <c r="F2697" t="s">
        <v>3425</v>
      </c>
      <c r="G2697" t="s">
        <v>3135</v>
      </c>
      <c r="H2697">
        <v>1</v>
      </c>
      <c r="I2697">
        <v>45.52</v>
      </c>
      <c r="J2697" s="50">
        <v>45.52</v>
      </c>
      <c r="K2697" t="s">
        <v>1618</v>
      </c>
      <c r="M2697" t="s">
        <v>1627</v>
      </c>
      <c r="N2697">
        <v>24.02</v>
      </c>
      <c r="O2697" s="49">
        <v>44527</v>
      </c>
      <c r="P2697" s="50">
        <v>20.484000000000002</v>
      </c>
    </row>
    <row r="2698" spans="4:16" x14ac:dyDescent="0.2">
      <c r="D2698">
        <v>100001621</v>
      </c>
      <c r="E2698" s="49">
        <v>45610</v>
      </c>
      <c r="F2698" t="s">
        <v>3425</v>
      </c>
      <c r="G2698" t="s">
        <v>1929</v>
      </c>
      <c r="H2698">
        <v>6</v>
      </c>
      <c r="I2698">
        <v>11.93</v>
      </c>
      <c r="J2698" s="50">
        <v>71.58</v>
      </c>
      <c r="K2698" t="s">
        <v>1618</v>
      </c>
      <c r="M2698" t="s">
        <v>1627</v>
      </c>
      <c r="N2698">
        <v>6.3</v>
      </c>
      <c r="O2698" s="49">
        <v>45613</v>
      </c>
      <c r="P2698" s="50">
        <v>32.210999999999999</v>
      </c>
    </row>
    <row r="2699" spans="4:16" x14ac:dyDescent="0.2">
      <c r="D2699">
        <v>100001623</v>
      </c>
      <c r="E2699" s="49">
        <v>44323</v>
      </c>
      <c r="F2699" t="s">
        <v>3426</v>
      </c>
      <c r="G2699" t="s">
        <v>2005</v>
      </c>
      <c r="H2699">
        <v>6</v>
      </c>
      <c r="I2699">
        <v>61.48</v>
      </c>
      <c r="J2699" s="50">
        <v>368.88</v>
      </c>
      <c r="K2699" t="s">
        <v>1618</v>
      </c>
      <c r="L2699" t="s">
        <v>2830</v>
      </c>
      <c r="M2699" t="s">
        <v>1624</v>
      </c>
      <c r="N2699">
        <v>32.450000000000003</v>
      </c>
      <c r="O2699" s="49">
        <v>44324</v>
      </c>
      <c r="P2699" s="50">
        <v>165.99600000000001</v>
      </c>
    </row>
    <row r="2700" spans="4:16" x14ac:dyDescent="0.2">
      <c r="D2700">
        <v>100001623</v>
      </c>
      <c r="E2700" s="49">
        <v>45012</v>
      </c>
      <c r="F2700" t="s">
        <v>3426</v>
      </c>
      <c r="G2700" t="s">
        <v>2180</v>
      </c>
      <c r="H2700">
        <v>7</v>
      </c>
      <c r="I2700">
        <v>52.09</v>
      </c>
      <c r="J2700" s="50">
        <v>364.63</v>
      </c>
      <c r="K2700" t="s">
        <v>1618</v>
      </c>
      <c r="L2700" t="s">
        <v>2830</v>
      </c>
      <c r="M2700" t="s">
        <v>1629</v>
      </c>
      <c r="N2700">
        <v>27.49</v>
      </c>
      <c r="O2700" s="49">
        <v>45016</v>
      </c>
      <c r="P2700" s="50">
        <v>164.08350000000002</v>
      </c>
    </row>
    <row r="2701" spans="4:16" x14ac:dyDescent="0.2">
      <c r="D2701">
        <v>100001624</v>
      </c>
      <c r="E2701" s="49">
        <v>44536</v>
      </c>
      <c r="F2701" t="s">
        <v>3427</v>
      </c>
      <c r="G2701" t="s">
        <v>1856</v>
      </c>
      <c r="H2701">
        <v>5</v>
      </c>
      <c r="I2701">
        <v>112.64</v>
      </c>
      <c r="J2701" s="50">
        <v>563.20000000000005</v>
      </c>
      <c r="K2701" t="s">
        <v>1618</v>
      </c>
      <c r="M2701" t="s">
        <v>1624</v>
      </c>
      <c r="N2701">
        <v>59.45</v>
      </c>
      <c r="O2701" s="49">
        <v>44541</v>
      </c>
      <c r="P2701" s="50">
        <v>253.44000000000003</v>
      </c>
    </row>
    <row r="2702" spans="4:16" x14ac:dyDescent="0.2">
      <c r="D2702">
        <v>100001624</v>
      </c>
      <c r="E2702" s="49">
        <v>45363</v>
      </c>
      <c r="F2702" t="s">
        <v>3427</v>
      </c>
      <c r="G2702" t="s">
        <v>1828</v>
      </c>
      <c r="H2702">
        <v>10</v>
      </c>
      <c r="I2702">
        <v>39.270000000000003</v>
      </c>
      <c r="J2702" s="50">
        <v>392.7</v>
      </c>
      <c r="K2702" t="s">
        <v>1618</v>
      </c>
      <c r="M2702" t="s">
        <v>1627</v>
      </c>
      <c r="N2702">
        <v>20.73</v>
      </c>
      <c r="O2702" s="49">
        <v>45367</v>
      </c>
      <c r="P2702" s="50">
        <v>176.715</v>
      </c>
    </row>
    <row r="2703" spans="4:16" x14ac:dyDescent="0.2">
      <c r="D2703">
        <v>100001624</v>
      </c>
      <c r="E2703" s="49">
        <v>44438</v>
      </c>
      <c r="F2703" t="s">
        <v>3427</v>
      </c>
      <c r="G2703" t="s">
        <v>2047</v>
      </c>
      <c r="H2703">
        <v>4</v>
      </c>
      <c r="I2703">
        <v>19.03</v>
      </c>
      <c r="J2703" s="50">
        <v>76.12</v>
      </c>
      <c r="K2703" t="s">
        <v>1618</v>
      </c>
      <c r="M2703" t="s">
        <v>1621</v>
      </c>
      <c r="N2703">
        <v>10.039999999999999</v>
      </c>
      <c r="O2703" s="49">
        <v>44441</v>
      </c>
      <c r="P2703" s="50">
        <v>34.254000000000005</v>
      </c>
    </row>
    <row r="2704" spans="4:16" x14ac:dyDescent="0.2">
      <c r="D2704">
        <v>100001624</v>
      </c>
      <c r="E2704" s="49">
        <v>45092</v>
      </c>
      <c r="F2704" t="s">
        <v>3427</v>
      </c>
      <c r="G2704" t="s">
        <v>2485</v>
      </c>
      <c r="H2704">
        <v>2</v>
      </c>
      <c r="I2704">
        <v>19.07</v>
      </c>
      <c r="J2704" s="50">
        <v>38.14</v>
      </c>
      <c r="K2704" t="s">
        <v>1618</v>
      </c>
      <c r="M2704" t="s">
        <v>1629</v>
      </c>
      <c r="N2704">
        <v>10.06</v>
      </c>
      <c r="O2704" s="49">
        <v>45093</v>
      </c>
      <c r="P2704" s="50">
        <v>17.163</v>
      </c>
    </row>
    <row r="2705" spans="4:16" x14ac:dyDescent="0.2">
      <c r="D2705">
        <v>100001626</v>
      </c>
      <c r="E2705" s="49">
        <v>45102</v>
      </c>
      <c r="F2705" t="s">
        <v>3428</v>
      </c>
      <c r="G2705" t="s">
        <v>1717</v>
      </c>
      <c r="H2705">
        <v>6</v>
      </c>
      <c r="I2705">
        <v>90.13</v>
      </c>
      <c r="J2705" s="50">
        <v>540.78</v>
      </c>
      <c r="K2705" t="s">
        <v>1618</v>
      </c>
      <c r="L2705" t="s">
        <v>3429</v>
      </c>
      <c r="M2705" t="s">
        <v>1624</v>
      </c>
      <c r="N2705">
        <v>47.57</v>
      </c>
      <c r="O2705" s="49">
        <v>45107</v>
      </c>
      <c r="P2705" s="50">
        <v>243.351</v>
      </c>
    </row>
    <row r="2706" spans="4:16" x14ac:dyDescent="0.2">
      <c r="D2706">
        <v>100001627</v>
      </c>
      <c r="E2706" s="49">
        <v>44404</v>
      </c>
      <c r="F2706" t="s">
        <v>1860</v>
      </c>
      <c r="G2706" t="s">
        <v>2028</v>
      </c>
      <c r="H2706">
        <v>2</v>
      </c>
      <c r="I2706">
        <v>20.149999999999999</v>
      </c>
      <c r="J2706" s="50">
        <v>40.299999999999997</v>
      </c>
      <c r="K2706" t="s">
        <v>1618</v>
      </c>
      <c r="M2706" t="s">
        <v>1621</v>
      </c>
      <c r="N2706">
        <v>10.63</v>
      </c>
      <c r="O2706" s="49">
        <v>44405</v>
      </c>
      <c r="P2706" s="50">
        <v>18.134999999999998</v>
      </c>
    </row>
    <row r="2707" spans="4:16" x14ac:dyDescent="0.2">
      <c r="D2707">
        <v>100001627</v>
      </c>
      <c r="E2707" s="49">
        <v>44856</v>
      </c>
      <c r="F2707" t="s">
        <v>1860</v>
      </c>
      <c r="G2707" t="s">
        <v>1718</v>
      </c>
      <c r="H2707">
        <v>3</v>
      </c>
      <c r="I2707">
        <v>33.299999999999997</v>
      </c>
      <c r="J2707" s="50">
        <v>99.899999999999991</v>
      </c>
      <c r="K2707" t="s">
        <v>1618</v>
      </c>
      <c r="M2707" t="s">
        <v>1627</v>
      </c>
      <c r="N2707">
        <v>17.57</v>
      </c>
      <c r="O2707" s="49">
        <v>44861</v>
      </c>
      <c r="P2707" s="50">
        <v>44.954999999999998</v>
      </c>
    </row>
    <row r="2708" spans="4:16" x14ac:dyDescent="0.2">
      <c r="D2708">
        <v>100001627</v>
      </c>
      <c r="E2708" s="49">
        <v>45087</v>
      </c>
      <c r="F2708" t="s">
        <v>1860</v>
      </c>
      <c r="G2708" t="s">
        <v>2427</v>
      </c>
      <c r="H2708">
        <v>4</v>
      </c>
      <c r="I2708">
        <v>31.32</v>
      </c>
      <c r="J2708" s="50">
        <v>125.28</v>
      </c>
      <c r="K2708" t="s">
        <v>1618</v>
      </c>
      <c r="M2708" t="s">
        <v>1621</v>
      </c>
      <c r="N2708">
        <v>16.53</v>
      </c>
      <c r="O2708" s="49">
        <v>45088</v>
      </c>
      <c r="P2708" s="50">
        <v>56.376000000000005</v>
      </c>
    </row>
    <row r="2709" spans="4:16" x14ac:dyDescent="0.2">
      <c r="D2709">
        <v>100001627</v>
      </c>
      <c r="E2709" s="49">
        <v>45531</v>
      </c>
      <c r="F2709" t="s">
        <v>1860</v>
      </c>
      <c r="G2709" t="s">
        <v>2278</v>
      </c>
      <c r="H2709">
        <v>4</v>
      </c>
      <c r="I2709">
        <v>107.11</v>
      </c>
      <c r="J2709" s="50">
        <v>428.44</v>
      </c>
      <c r="K2709" t="s">
        <v>1618</v>
      </c>
      <c r="M2709" t="s">
        <v>1621</v>
      </c>
      <c r="N2709">
        <v>56.53</v>
      </c>
      <c r="O2709" s="49">
        <v>45533</v>
      </c>
      <c r="P2709" s="50">
        <v>192.798</v>
      </c>
    </row>
    <row r="2710" spans="4:16" x14ac:dyDescent="0.2">
      <c r="D2710">
        <v>100001628</v>
      </c>
      <c r="E2710" s="49">
        <v>45182</v>
      </c>
      <c r="F2710" t="s">
        <v>3430</v>
      </c>
      <c r="G2710" t="s">
        <v>1865</v>
      </c>
      <c r="H2710">
        <v>10</v>
      </c>
      <c r="I2710">
        <v>51.4</v>
      </c>
      <c r="J2710" s="50">
        <v>514</v>
      </c>
      <c r="K2710" t="s">
        <v>1618</v>
      </c>
      <c r="M2710" t="s">
        <v>1624</v>
      </c>
      <c r="N2710">
        <v>27.13</v>
      </c>
      <c r="O2710" s="49">
        <v>45185</v>
      </c>
      <c r="P2710" s="50">
        <v>231.3</v>
      </c>
    </row>
    <row r="2711" spans="4:16" x14ac:dyDescent="0.2">
      <c r="D2711">
        <v>100001630</v>
      </c>
      <c r="E2711" s="49">
        <v>44581</v>
      </c>
      <c r="F2711" t="s">
        <v>3431</v>
      </c>
      <c r="G2711" t="s">
        <v>1676</v>
      </c>
      <c r="H2711">
        <v>7</v>
      </c>
      <c r="I2711">
        <v>62.54</v>
      </c>
      <c r="J2711" s="50">
        <v>437.78</v>
      </c>
      <c r="K2711" t="s">
        <v>1618</v>
      </c>
      <c r="M2711" t="s">
        <v>1629</v>
      </c>
      <c r="N2711">
        <v>33.01</v>
      </c>
      <c r="O2711" s="49">
        <v>44586</v>
      </c>
      <c r="P2711" s="50">
        <v>197.001</v>
      </c>
    </row>
    <row r="2712" spans="4:16" x14ac:dyDescent="0.2">
      <c r="D2712">
        <v>100001630</v>
      </c>
      <c r="E2712" s="49">
        <v>45404</v>
      </c>
      <c r="F2712" t="s">
        <v>3431</v>
      </c>
      <c r="G2712" t="s">
        <v>2025</v>
      </c>
      <c r="H2712">
        <v>10</v>
      </c>
      <c r="I2712">
        <v>29.27</v>
      </c>
      <c r="J2712" s="50">
        <v>292.7</v>
      </c>
      <c r="K2712" t="s">
        <v>1618</v>
      </c>
      <c r="M2712" t="s">
        <v>1627</v>
      </c>
      <c r="N2712">
        <v>15.45</v>
      </c>
      <c r="O2712" s="49">
        <v>45408</v>
      </c>
      <c r="P2712" s="50">
        <v>131.715</v>
      </c>
    </row>
    <row r="2713" spans="4:16" x14ac:dyDescent="0.2">
      <c r="D2713">
        <v>100001630</v>
      </c>
      <c r="E2713" s="49">
        <v>44425</v>
      </c>
      <c r="F2713" t="s">
        <v>3431</v>
      </c>
      <c r="G2713" t="s">
        <v>1857</v>
      </c>
      <c r="H2713">
        <v>10</v>
      </c>
      <c r="I2713">
        <v>10.88</v>
      </c>
      <c r="J2713" s="50">
        <v>108.8</v>
      </c>
      <c r="K2713" t="s">
        <v>1618</v>
      </c>
      <c r="M2713" t="s">
        <v>1624</v>
      </c>
      <c r="N2713">
        <v>5.74</v>
      </c>
      <c r="O2713" s="49">
        <v>44429</v>
      </c>
      <c r="P2713" s="50">
        <v>48.96</v>
      </c>
    </row>
    <row r="2714" spans="4:16" x14ac:dyDescent="0.2">
      <c r="D2714">
        <v>100001630</v>
      </c>
      <c r="E2714" s="49">
        <v>45345</v>
      </c>
      <c r="F2714" t="s">
        <v>3431</v>
      </c>
      <c r="G2714" t="s">
        <v>1690</v>
      </c>
      <c r="H2714">
        <v>7</v>
      </c>
      <c r="I2714">
        <v>32.17</v>
      </c>
      <c r="J2714" s="50">
        <v>225.19</v>
      </c>
      <c r="K2714" t="s">
        <v>1618</v>
      </c>
      <c r="M2714" t="s">
        <v>1619</v>
      </c>
      <c r="N2714">
        <v>16.98</v>
      </c>
      <c r="O2714" s="49">
        <v>45349</v>
      </c>
      <c r="P2714" s="50">
        <v>101.3355</v>
      </c>
    </row>
    <row r="2715" spans="4:16" x14ac:dyDescent="0.2">
      <c r="D2715">
        <v>100001631</v>
      </c>
      <c r="E2715" s="49">
        <v>45237</v>
      </c>
      <c r="F2715" t="s">
        <v>3432</v>
      </c>
      <c r="G2715" t="s">
        <v>1976</v>
      </c>
      <c r="H2715">
        <v>3</v>
      </c>
      <c r="I2715">
        <v>90.71</v>
      </c>
      <c r="J2715" s="50">
        <v>272.13</v>
      </c>
      <c r="K2715" t="s">
        <v>1632</v>
      </c>
      <c r="M2715" t="s">
        <v>1624</v>
      </c>
      <c r="N2715">
        <v>47.87</v>
      </c>
      <c r="O2715" s="49">
        <v>45239</v>
      </c>
      <c r="P2715" s="50">
        <v>122.4585</v>
      </c>
    </row>
    <row r="2716" spans="4:16" x14ac:dyDescent="0.2">
      <c r="D2716">
        <v>100001631</v>
      </c>
      <c r="E2716" s="49">
        <v>44616</v>
      </c>
      <c r="F2716" t="s">
        <v>3432</v>
      </c>
      <c r="G2716" t="s">
        <v>2232</v>
      </c>
      <c r="H2716">
        <v>3</v>
      </c>
      <c r="I2716">
        <v>18.079999999999998</v>
      </c>
      <c r="J2716" s="50">
        <v>54.239999999999988</v>
      </c>
      <c r="K2716" t="s">
        <v>1632</v>
      </c>
      <c r="M2716" t="s">
        <v>1627</v>
      </c>
      <c r="N2716">
        <v>9.5399999999999991</v>
      </c>
      <c r="O2716" s="49">
        <v>44618</v>
      </c>
      <c r="P2716" s="50">
        <v>24.407999999999994</v>
      </c>
    </row>
    <row r="2717" spans="4:16" x14ac:dyDescent="0.2">
      <c r="D2717">
        <v>100001631</v>
      </c>
      <c r="E2717" s="49">
        <v>45568</v>
      </c>
      <c r="F2717" t="s">
        <v>3432</v>
      </c>
      <c r="G2717" t="s">
        <v>2291</v>
      </c>
      <c r="H2717">
        <v>9</v>
      </c>
      <c r="I2717">
        <v>66.900000000000006</v>
      </c>
      <c r="J2717" s="50">
        <v>602.1</v>
      </c>
      <c r="K2717" t="s">
        <v>1632</v>
      </c>
      <c r="M2717" t="s">
        <v>1629</v>
      </c>
      <c r="N2717">
        <v>35.31</v>
      </c>
      <c r="O2717" s="49">
        <v>45573</v>
      </c>
      <c r="P2717" s="50">
        <v>270.94499999999999</v>
      </c>
    </row>
    <row r="2718" spans="4:16" x14ac:dyDescent="0.2">
      <c r="D2718">
        <v>100001631</v>
      </c>
      <c r="E2718" s="49">
        <v>45122</v>
      </c>
      <c r="F2718" t="s">
        <v>3432</v>
      </c>
      <c r="G2718" t="s">
        <v>1815</v>
      </c>
      <c r="H2718">
        <v>3</v>
      </c>
      <c r="I2718">
        <v>51.7</v>
      </c>
      <c r="J2718" s="50">
        <v>155.1</v>
      </c>
      <c r="K2718" t="s">
        <v>1632</v>
      </c>
      <c r="M2718" t="s">
        <v>1619</v>
      </c>
      <c r="N2718">
        <v>27.29</v>
      </c>
      <c r="O2718" s="49">
        <v>45123</v>
      </c>
      <c r="P2718" s="50">
        <v>69.795000000000002</v>
      </c>
    </row>
    <row r="2719" spans="4:16" x14ac:dyDescent="0.2">
      <c r="D2719">
        <v>100001631</v>
      </c>
      <c r="E2719" s="49">
        <v>44727</v>
      </c>
      <c r="F2719" t="s">
        <v>3432</v>
      </c>
      <c r="G2719" t="s">
        <v>1650</v>
      </c>
      <c r="H2719">
        <v>5</v>
      </c>
      <c r="I2719">
        <v>82.91</v>
      </c>
      <c r="J2719" s="50">
        <v>414.55</v>
      </c>
      <c r="K2719" t="s">
        <v>1632</v>
      </c>
      <c r="M2719" t="s">
        <v>1619</v>
      </c>
      <c r="N2719">
        <v>43.76</v>
      </c>
      <c r="O2719" s="49">
        <v>44731</v>
      </c>
      <c r="P2719" s="50">
        <v>186.54750000000001</v>
      </c>
    </row>
    <row r="2720" spans="4:16" x14ac:dyDescent="0.2">
      <c r="D2720">
        <v>100001632</v>
      </c>
      <c r="E2720" s="49">
        <v>44589</v>
      </c>
      <c r="F2720" t="s">
        <v>3433</v>
      </c>
      <c r="G2720" t="s">
        <v>1987</v>
      </c>
      <c r="H2720">
        <v>9</v>
      </c>
      <c r="I2720">
        <v>50.09</v>
      </c>
      <c r="J2720" s="50">
        <v>450.81000000000012</v>
      </c>
      <c r="K2720" t="s">
        <v>1618</v>
      </c>
      <c r="M2720" t="s">
        <v>1621</v>
      </c>
      <c r="N2720">
        <v>26.44</v>
      </c>
      <c r="O2720" s="49">
        <v>44592</v>
      </c>
      <c r="P2720" s="50">
        <v>202.86450000000005</v>
      </c>
    </row>
    <row r="2721" spans="4:16" x14ac:dyDescent="0.2">
      <c r="D2721">
        <v>100001632</v>
      </c>
      <c r="E2721" s="49">
        <v>44622</v>
      </c>
      <c r="F2721" t="s">
        <v>3433</v>
      </c>
      <c r="G2721" t="s">
        <v>2255</v>
      </c>
      <c r="H2721">
        <v>4</v>
      </c>
      <c r="I2721">
        <v>106.57</v>
      </c>
      <c r="J2721" s="50">
        <v>426.28</v>
      </c>
      <c r="K2721" t="s">
        <v>1618</v>
      </c>
      <c r="M2721" t="s">
        <v>1624</v>
      </c>
      <c r="N2721">
        <v>56.24</v>
      </c>
      <c r="O2721" s="49">
        <v>44625</v>
      </c>
      <c r="P2721" s="50">
        <v>191.82599999999999</v>
      </c>
    </row>
    <row r="2722" spans="4:16" x14ac:dyDescent="0.2">
      <c r="D2722">
        <v>100001632</v>
      </c>
      <c r="E2722" s="49">
        <v>45281</v>
      </c>
      <c r="F2722" t="s">
        <v>3433</v>
      </c>
      <c r="G2722" t="s">
        <v>1794</v>
      </c>
      <c r="H2722">
        <v>3</v>
      </c>
      <c r="I2722">
        <v>66.09</v>
      </c>
      <c r="J2722" s="50">
        <v>198.27</v>
      </c>
      <c r="K2722" t="s">
        <v>1618</v>
      </c>
      <c r="M2722" t="s">
        <v>1627</v>
      </c>
      <c r="N2722">
        <v>34.880000000000003</v>
      </c>
      <c r="O2722" s="49">
        <v>45283</v>
      </c>
      <c r="P2722" s="50">
        <v>89.221500000000006</v>
      </c>
    </row>
    <row r="2723" spans="4:16" x14ac:dyDescent="0.2">
      <c r="D2723">
        <v>100001632</v>
      </c>
      <c r="E2723" s="49">
        <v>44781</v>
      </c>
      <c r="F2723" t="s">
        <v>3433</v>
      </c>
      <c r="G2723" t="s">
        <v>2038</v>
      </c>
      <c r="H2723">
        <v>3</v>
      </c>
      <c r="I2723">
        <v>35.96</v>
      </c>
      <c r="J2723" s="50">
        <v>107.88</v>
      </c>
      <c r="K2723" t="s">
        <v>1618</v>
      </c>
      <c r="M2723" t="s">
        <v>1627</v>
      </c>
      <c r="N2723">
        <v>18.98</v>
      </c>
      <c r="O2723" s="49">
        <v>44783</v>
      </c>
      <c r="P2723" s="50">
        <v>48.545999999999999</v>
      </c>
    </row>
    <row r="2724" spans="4:16" x14ac:dyDescent="0.2">
      <c r="D2724">
        <v>100001633</v>
      </c>
      <c r="E2724" s="49">
        <v>45003</v>
      </c>
      <c r="F2724" t="s">
        <v>3434</v>
      </c>
      <c r="G2724" t="s">
        <v>1781</v>
      </c>
      <c r="H2724">
        <v>8</v>
      </c>
      <c r="I2724">
        <v>28.2</v>
      </c>
      <c r="J2724" s="50">
        <v>225.6</v>
      </c>
      <c r="K2724" t="s">
        <v>1632</v>
      </c>
      <c r="L2724" t="s">
        <v>1888</v>
      </c>
      <c r="M2724" t="s">
        <v>1629</v>
      </c>
      <c r="N2724">
        <v>14.88</v>
      </c>
      <c r="O2724" s="49">
        <v>45006</v>
      </c>
      <c r="P2724" s="50">
        <v>101.52</v>
      </c>
    </row>
    <row r="2725" spans="4:16" x14ac:dyDescent="0.2">
      <c r="D2725">
        <v>100001633</v>
      </c>
      <c r="E2725" s="49">
        <v>45343</v>
      </c>
      <c r="F2725" t="s">
        <v>3434</v>
      </c>
      <c r="G2725" t="s">
        <v>1623</v>
      </c>
      <c r="H2725">
        <v>4</v>
      </c>
      <c r="I2725">
        <v>114.64</v>
      </c>
      <c r="J2725" s="50">
        <v>458.56</v>
      </c>
      <c r="K2725" t="s">
        <v>1632</v>
      </c>
      <c r="L2725" t="s">
        <v>1888</v>
      </c>
      <c r="M2725" t="s">
        <v>1621</v>
      </c>
      <c r="N2725">
        <v>60.5</v>
      </c>
      <c r="O2725" s="49">
        <v>45344</v>
      </c>
      <c r="P2725" s="50">
        <v>206.352</v>
      </c>
    </row>
    <row r="2726" spans="4:16" x14ac:dyDescent="0.2">
      <c r="D2726">
        <v>100001633</v>
      </c>
      <c r="E2726" s="49">
        <v>45393</v>
      </c>
      <c r="F2726" t="s">
        <v>3434</v>
      </c>
      <c r="G2726" t="s">
        <v>2019</v>
      </c>
      <c r="H2726">
        <v>1</v>
      </c>
      <c r="I2726">
        <v>61.09</v>
      </c>
      <c r="J2726" s="50">
        <v>61.09</v>
      </c>
      <c r="K2726" t="s">
        <v>1632</v>
      </c>
      <c r="L2726" t="s">
        <v>1888</v>
      </c>
      <c r="M2726" t="s">
        <v>1624</v>
      </c>
      <c r="N2726">
        <v>32.24</v>
      </c>
      <c r="O2726" s="49">
        <v>45394</v>
      </c>
      <c r="P2726" s="50">
        <v>27.490500000000001</v>
      </c>
    </row>
    <row r="2727" spans="4:16" x14ac:dyDescent="0.2">
      <c r="D2727">
        <v>100001634</v>
      </c>
      <c r="E2727" s="49">
        <v>44751</v>
      </c>
      <c r="F2727" t="s">
        <v>3435</v>
      </c>
      <c r="G2727" t="s">
        <v>1913</v>
      </c>
      <c r="H2727">
        <v>8</v>
      </c>
      <c r="I2727">
        <v>64.94</v>
      </c>
      <c r="J2727" s="50">
        <v>519.52</v>
      </c>
      <c r="K2727" t="s">
        <v>1632</v>
      </c>
      <c r="L2727" t="s">
        <v>3436</v>
      </c>
      <c r="M2727" t="s">
        <v>1619</v>
      </c>
      <c r="N2727">
        <v>34.270000000000003</v>
      </c>
      <c r="O2727" s="49">
        <v>44754</v>
      </c>
      <c r="P2727" s="50">
        <v>233.78399999999999</v>
      </c>
    </row>
    <row r="2728" spans="4:16" x14ac:dyDescent="0.2">
      <c r="D2728">
        <v>100001634</v>
      </c>
      <c r="E2728" s="49">
        <v>45020</v>
      </c>
      <c r="F2728" t="s">
        <v>3435</v>
      </c>
      <c r="G2728" t="s">
        <v>2418</v>
      </c>
      <c r="H2728">
        <v>2</v>
      </c>
      <c r="I2728">
        <v>102.92</v>
      </c>
      <c r="J2728" s="50">
        <v>205.84</v>
      </c>
      <c r="K2728" t="s">
        <v>1632</v>
      </c>
      <c r="L2728" t="s">
        <v>3436</v>
      </c>
      <c r="M2728" t="s">
        <v>1619</v>
      </c>
      <c r="N2728">
        <v>54.32</v>
      </c>
      <c r="O2728" s="49">
        <v>45025</v>
      </c>
      <c r="P2728" s="50">
        <v>92.628</v>
      </c>
    </row>
    <row r="2729" spans="4:16" x14ac:dyDescent="0.2">
      <c r="D2729">
        <v>100001634</v>
      </c>
      <c r="E2729" s="49">
        <v>45355</v>
      </c>
      <c r="F2729" t="s">
        <v>3435</v>
      </c>
      <c r="G2729" t="s">
        <v>1921</v>
      </c>
      <c r="H2729">
        <v>10</v>
      </c>
      <c r="I2729">
        <v>81.8</v>
      </c>
      <c r="J2729" s="50">
        <v>818</v>
      </c>
      <c r="K2729" t="s">
        <v>1632</v>
      </c>
      <c r="L2729" t="s">
        <v>3436</v>
      </c>
      <c r="M2729" t="s">
        <v>1629</v>
      </c>
      <c r="N2729">
        <v>43.17</v>
      </c>
      <c r="O2729" s="49">
        <v>45356</v>
      </c>
      <c r="P2729" s="50">
        <v>368.1</v>
      </c>
    </row>
    <row r="2730" spans="4:16" x14ac:dyDescent="0.2">
      <c r="D2730">
        <v>100001634</v>
      </c>
      <c r="E2730" s="49">
        <v>45091</v>
      </c>
      <c r="F2730" t="s">
        <v>3435</v>
      </c>
      <c r="G2730" t="s">
        <v>2068</v>
      </c>
      <c r="H2730">
        <v>4</v>
      </c>
      <c r="I2730">
        <v>28.03</v>
      </c>
      <c r="J2730" s="50">
        <v>112.12</v>
      </c>
      <c r="K2730" t="s">
        <v>1632</v>
      </c>
      <c r="L2730" t="s">
        <v>3436</v>
      </c>
      <c r="M2730" t="s">
        <v>1621</v>
      </c>
      <c r="N2730">
        <v>14.79</v>
      </c>
      <c r="O2730" s="49">
        <v>45096</v>
      </c>
      <c r="P2730" s="50">
        <v>50.454000000000001</v>
      </c>
    </row>
    <row r="2731" spans="4:16" x14ac:dyDescent="0.2">
      <c r="D2731">
        <v>100001636</v>
      </c>
      <c r="E2731" s="49">
        <v>44573</v>
      </c>
      <c r="F2731" t="s">
        <v>3437</v>
      </c>
      <c r="G2731" t="s">
        <v>1910</v>
      </c>
      <c r="H2731">
        <v>9</v>
      </c>
      <c r="I2731">
        <v>80.56</v>
      </c>
      <c r="J2731" s="50">
        <v>725.04</v>
      </c>
      <c r="K2731" t="s">
        <v>1618</v>
      </c>
      <c r="M2731" t="s">
        <v>1624</v>
      </c>
      <c r="N2731">
        <v>42.52</v>
      </c>
      <c r="O2731" s="49">
        <v>44575</v>
      </c>
      <c r="P2731" s="50">
        <v>326.26799999999997</v>
      </c>
    </row>
    <row r="2732" spans="4:16" x14ac:dyDescent="0.2">
      <c r="D2732">
        <v>100001637</v>
      </c>
      <c r="E2732" s="49">
        <v>44936</v>
      </c>
      <c r="F2732" t="s">
        <v>3438</v>
      </c>
      <c r="G2732" t="s">
        <v>1669</v>
      </c>
      <c r="H2732">
        <v>7</v>
      </c>
      <c r="I2732">
        <v>90.16</v>
      </c>
      <c r="J2732" s="50">
        <v>631.12</v>
      </c>
      <c r="K2732" t="s">
        <v>1618</v>
      </c>
      <c r="L2732" t="s">
        <v>2882</v>
      </c>
      <c r="M2732" t="s">
        <v>1627</v>
      </c>
      <c r="N2732">
        <v>47.58</v>
      </c>
      <c r="O2732" s="49">
        <v>44941</v>
      </c>
      <c r="P2732" s="50">
        <v>284.00400000000002</v>
      </c>
    </row>
    <row r="2733" spans="4:16" x14ac:dyDescent="0.2">
      <c r="D2733">
        <v>100001637</v>
      </c>
      <c r="E2733" s="49">
        <v>44550</v>
      </c>
      <c r="F2733" t="s">
        <v>3438</v>
      </c>
      <c r="G2733" t="s">
        <v>1969</v>
      </c>
      <c r="H2733">
        <v>7</v>
      </c>
      <c r="I2733">
        <v>21.1</v>
      </c>
      <c r="J2733" s="50">
        <v>147.69999999999999</v>
      </c>
      <c r="K2733" t="s">
        <v>1618</v>
      </c>
      <c r="L2733" t="s">
        <v>2882</v>
      </c>
      <c r="M2733" t="s">
        <v>1619</v>
      </c>
      <c r="N2733">
        <v>11.14</v>
      </c>
      <c r="O2733" s="49">
        <v>44552</v>
      </c>
      <c r="P2733" s="50">
        <v>66.465000000000003</v>
      </c>
    </row>
    <row r="2734" spans="4:16" x14ac:dyDescent="0.2">
      <c r="D2734">
        <v>100001637</v>
      </c>
      <c r="E2734" s="49">
        <v>44373</v>
      </c>
      <c r="F2734" t="s">
        <v>3438</v>
      </c>
      <c r="G2734" t="s">
        <v>2005</v>
      </c>
      <c r="H2734">
        <v>5</v>
      </c>
      <c r="I2734">
        <v>116.95</v>
      </c>
      <c r="J2734" s="50">
        <v>584.75</v>
      </c>
      <c r="K2734" t="s">
        <v>1618</v>
      </c>
      <c r="L2734" t="s">
        <v>2882</v>
      </c>
      <c r="M2734" t="s">
        <v>1619</v>
      </c>
      <c r="N2734">
        <v>61.72</v>
      </c>
      <c r="O2734" s="49">
        <v>44378</v>
      </c>
      <c r="P2734" s="50">
        <v>263.13749999999999</v>
      </c>
    </row>
    <row r="2735" spans="4:16" x14ac:dyDescent="0.2">
      <c r="D2735">
        <v>100001639</v>
      </c>
      <c r="E2735" s="49">
        <v>44786</v>
      </c>
      <c r="F2735" t="s">
        <v>3439</v>
      </c>
      <c r="G2735" t="s">
        <v>1719</v>
      </c>
      <c r="H2735">
        <v>3</v>
      </c>
      <c r="I2735">
        <v>111.36</v>
      </c>
      <c r="J2735" s="50">
        <v>334.08</v>
      </c>
      <c r="K2735" t="s">
        <v>1618</v>
      </c>
      <c r="L2735" t="s">
        <v>3440</v>
      </c>
      <c r="M2735" t="s">
        <v>1621</v>
      </c>
      <c r="N2735">
        <v>58.77</v>
      </c>
      <c r="O2735" s="49">
        <v>44788</v>
      </c>
      <c r="P2735" s="50">
        <v>150.33599999999998</v>
      </c>
    </row>
    <row r="2736" spans="4:16" x14ac:dyDescent="0.2">
      <c r="D2736">
        <v>100001639</v>
      </c>
      <c r="E2736" s="49">
        <v>44798</v>
      </c>
      <c r="F2736" t="s">
        <v>3439</v>
      </c>
      <c r="G2736" t="s">
        <v>1857</v>
      </c>
      <c r="H2736">
        <v>9</v>
      </c>
      <c r="I2736">
        <v>68.77</v>
      </c>
      <c r="J2736" s="50">
        <v>618.92999999999995</v>
      </c>
      <c r="K2736" t="s">
        <v>1618</v>
      </c>
      <c r="L2736" t="s">
        <v>3440</v>
      </c>
      <c r="M2736" t="s">
        <v>1621</v>
      </c>
      <c r="N2736">
        <v>36.299999999999997</v>
      </c>
      <c r="O2736" s="49">
        <v>44801</v>
      </c>
      <c r="P2736" s="50">
        <v>278.51849999999996</v>
      </c>
    </row>
    <row r="2737" spans="4:16" x14ac:dyDescent="0.2">
      <c r="D2737">
        <v>100001640</v>
      </c>
      <c r="E2737" s="49">
        <v>44736</v>
      </c>
      <c r="F2737" t="s">
        <v>3441</v>
      </c>
      <c r="G2737" t="s">
        <v>1838</v>
      </c>
      <c r="H2737">
        <v>10</v>
      </c>
      <c r="I2737">
        <v>87.11</v>
      </c>
      <c r="J2737" s="50">
        <v>871.1</v>
      </c>
      <c r="K2737" t="s">
        <v>1632</v>
      </c>
      <c r="M2737" t="s">
        <v>1624</v>
      </c>
      <c r="N2737">
        <v>45.97</v>
      </c>
      <c r="O2737" s="49">
        <v>44738</v>
      </c>
      <c r="P2737" s="50">
        <v>391.995</v>
      </c>
    </row>
    <row r="2738" spans="4:16" x14ac:dyDescent="0.2">
      <c r="D2738">
        <v>100001640</v>
      </c>
      <c r="E2738" s="49">
        <v>44290</v>
      </c>
      <c r="F2738" t="s">
        <v>3441</v>
      </c>
      <c r="G2738" t="s">
        <v>2628</v>
      </c>
      <c r="H2738">
        <v>1</v>
      </c>
      <c r="I2738">
        <v>38.409999999999997</v>
      </c>
      <c r="J2738" s="50">
        <v>38.409999999999997</v>
      </c>
      <c r="K2738" t="s">
        <v>1632</v>
      </c>
      <c r="M2738" t="s">
        <v>1629</v>
      </c>
      <c r="N2738">
        <v>20.27</v>
      </c>
      <c r="O2738" s="49">
        <v>44293</v>
      </c>
      <c r="P2738" s="50">
        <v>17.284499999999998</v>
      </c>
    </row>
    <row r="2739" spans="4:16" x14ac:dyDescent="0.2">
      <c r="D2739">
        <v>100001640</v>
      </c>
      <c r="E2739" s="49">
        <v>44664</v>
      </c>
      <c r="F2739" t="s">
        <v>3441</v>
      </c>
      <c r="G2739" t="s">
        <v>1943</v>
      </c>
      <c r="H2739">
        <v>10</v>
      </c>
      <c r="I2739">
        <v>34.409999999999997</v>
      </c>
      <c r="J2739" s="50">
        <v>344.1</v>
      </c>
      <c r="K2739" t="s">
        <v>1632</v>
      </c>
      <c r="M2739" t="s">
        <v>1624</v>
      </c>
      <c r="N2739">
        <v>18.16</v>
      </c>
      <c r="O2739" s="49">
        <v>44669</v>
      </c>
      <c r="P2739" s="50">
        <v>154.84500000000003</v>
      </c>
    </row>
    <row r="2740" spans="4:16" x14ac:dyDescent="0.2">
      <c r="D2740">
        <v>100001641</v>
      </c>
      <c r="E2740" s="49">
        <v>45080</v>
      </c>
      <c r="F2740" t="s">
        <v>3442</v>
      </c>
      <c r="G2740" t="s">
        <v>2155</v>
      </c>
      <c r="H2740">
        <v>6</v>
      </c>
      <c r="I2740">
        <v>76.709999999999994</v>
      </c>
      <c r="J2740" s="50">
        <v>460.26</v>
      </c>
      <c r="K2740" t="s">
        <v>1618</v>
      </c>
      <c r="L2740" t="s">
        <v>2711</v>
      </c>
      <c r="M2740" t="s">
        <v>1629</v>
      </c>
      <c r="N2740">
        <v>40.49</v>
      </c>
      <c r="O2740" s="49">
        <v>45081</v>
      </c>
      <c r="P2740" s="50">
        <v>207.11699999999999</v>
      </c>
    </row>
    <row r="2741" spans="4:16" x14ac:dyDescent="0.2">
      <c r="D2741">
        <v>100001641</v>
      </c>
      <c r="E2741" s="49">
        <v>44524</v>
      </c>
      <c r="F2741" t="s">
        <v>3442</v>
      </c>
      <c r="G2741" t="s">
        <v>1963</v>
      </c>
      <c r="H2741">
        <v>3</v>
      </c>
      <c r="I2741">
        <v>96.88</v>
      </c>
      <c r="J2741" s="50">
        <v>290.64</v>
      </c>
      <c r="K2741" t="s">
        <v>1618</v>
      </c>
      <c r="L2741" t="s">
        <v>2711</v>
      </c>
      <c r="M2741" t="s">
        <v>1624</v>
      </c>
      <c r="N2741">
        <v>51.13</v>
      </c>
      <c r="O2741" s="49">
        <v>44525</v>
      </c>
      <c r="P2741" s="50">
        <v>130.78800000000001</v>
      </c>
    </row>
    <row r="2742" spans="4:16" x14ac:dyDescent="0.2">
      <c r="D2742">
        <v>100001642</v>
      </c>
      <c r="E2742" s="49">
        <v>44765</v>
      </c>
      <c r="F2742" t="s">
        <v>3443</v>
      </c>
      <c r="G2742" t="s">
        <v>2331</v>
      </c>
      <c r="H2742">
        <v>2</v>
      </c>
      <c r="I2742">
        <v>42.52</v>
      </c>
      <c r="J2742" s="50">
        <v>85.04</v>
      </c>
      <c r="K2742" t="s">
        <v>1632</v>
      </c>
      <c r="L2742" t="s">
        <v>2999</v>
      </c>
      <c r="M2742" t="s">
        <v>1624</v>
      </c>
      <c r="N2742">
        <v>22.44</v>
      </c>
      <c r="O2742" s="49">
        <v>44767</v>
      </c>
      <c r="P2742" s="50">
        <v>38.268000000000001</v>
      </c>
    </row>
    <row r="2743" spans="4:16" x14ac:dyDescent="0.2">
      <c r="D2743">
        <v>100001643</v>
      </c>
      <c r="E2743" s="49">
        <v>45360</v>
      </c>
      <c r="F2743" t="s">
        <v>3444</v>
      </c>
      <c r="G2743" t="s">
        <v>1721</v>
      </c>
      <c r="H2743">
        <v>5</v>
      </c>
      <c r="I2743">
        <v>53.93</v>
      </c>
      <c r="J2743" s="50">
        <v>269.64999999999998</v>
      </c>
      <c r="K2743" t="s">
        <v>1632</v>
      </c>
      <c r="M2743" t="s">
        <v>1629</v>
      </c>
      <c r="N2743">
        <v>28.46</v>
      </c>
      <c r="O2743" s="49">
        <v>45361</v>
      </c>
      <c r="P2743" s="50">
        <v>121.34249999999999</v>
      </c>
    </row>
    <row r="2744" spans="4:16" x14ac:dyDescent="0.2">
      <c r="D2744">
        <v>100001643</v>
      </c>
      <c r="E2744" s="49">
        <v>45268</v>
      </c>
      <c r="F2744" t="s">
        <v>3444</v>
      </c>
      <c r="G2744" t="s">
        <v>1693</v>
      </c>
      <c r="H2744">
        <v>2</v>
      </c>
      <c r="I2744">
        <v>109.68</v>
      </c>
      <c r="J2744" s="50">
        <v>219.36</v>
      </c>
      <c r="K2744" t="s">
        <v>1632</v>
      </c>
      <c r="M2744" t="s">
        <v>1621</v>
      </c>
      <c r="N2744">
        <v>57.89</v>
      </c>
      <c r="O2744" s="49">
        <v>45269</v>
      </c>
      <c r="P2744" s="50">
        <v>98.712000000000003</v>
      </c>
    </row>
    <row r="2745" spans="4:16" x14ac:dyDescent="0.2">
      <c r="D2745">
        <v>100001644</v>
      </c>
      <c r="E2745" s="49">
        <v>44300</v>
      </c>
      <c r="F2745" t="s">
        <v>3445</v>
      </c>
      <c r="G2745" t="s">
        <v>1969</v>
      </c>
      <c r="H2745">
        <v>7</v>
      </c>
      <c r="I2745">
        <v>119.6</v>
      </c>
      <c r="J2745" s="50">
        <v>837.19999999999993</v>
      </c>
      <c r="K2745" t="s">
        <v>1618</v>
      </c>
      <c r="M2745" t="s">
        <v>1619</v>
      </c>
      <c r="N2745">
        <v>63.12</v>
      </c>
      <c r="O2745" s="49">
        <v>44302</v>
      </c>
      <c r="P2745" s="50">
        <v>376.73999999999995</v>
      </c>
    </row>
    <row r="2746" spans="4:16" x14ac:dyDescent="0.2">
      <c r="D2746">
        <v>100001644</v>
      </c>
      <c r="E2746" s="49">
        <v>45492</v>
      </c>
      <c r="F2746" t="s">
        <v>3445</v>
      </c>
      <c r="G2746" t="s">
        <v>2007</v>
      </c>
      <c r="H2746">
        <v>1</v>
      </c>
      <c r="I2746">
        <v>55.37</v>
      </c>
      <c r="J2746" s="50">
        <v>55.37</v>
      </c>
      <c r="K2746" t="s">
        <v>1618</v>
      </c>
      <c r="M2746" t="s">
        <v>1619</v>
      </c>
      <c r="N2746">
        <v>29.22</v>
      </c>
      <c r="O2746" s="49">
        <v>45496</v>
      </c>
      <c r="P2746" s="50">
        <v>24.916499999999999</v>
      </c>
    </row>
    <row r="2747" spans="4:16" x14ac:dyDescent="0.2">
      <c r="D2747">
        <v>100001644</v>
      </c>
      <c r="E2747" s="49">
        <v>44700</v>
      </c>
      <c r="F2747" t="s">
        <v>3445</v>
      </c>
      <c r="G2747" t="s">
        <v>1975</v>
      </c>
      <c r="H2747">
        <v>8</v>
      </c>
      <c r="I2747">
        <v>75.180000000000007</v>
      </c>
      <c r="J2747" s="50">
        <v>601.44000000000005</v>
      </c>
      <c r="K2747" t="s">
        <v>1618</v>
      </c>
      <c r="M2747" t="s">
        <v>1627</v>
      </c>
      <c r="N2747">
        <v>39.68</v>
      </c>
      <c r="O2747" s="49">
        <v>44703</v>
      </c>
      <c r="P2747" s="50">
        <v>270.64800000000002</v>
      </c>
    </row>
    <row r="2748" spans="4:16" x14ac:dyDescent="0.2">
      <c r="D2748">
        <v>100001645</v>
      </c>
      <c r="E2748" s="49">
        <v>44484</v>
      </c>
      <c r="F2748" t="s">
        <v>3446</v>
      </c>
      <c r="G2748" t="s">
        <v>2084</v>
      </c>
      <c r="H2748">
        <v>1</v>
      </c>
      <c r="I2748">
        <v>102.39</v>
      </c>
      <c r="J2748" s="50">
        <v>102.39</v>
      </c>
      <c r="K2748" t="s">
        <v>1632</v>
      </c>
      <c r="M2748" t="s">
        <v>1629</v>
      </c>
      <c r="N2748">
        <v>54.04</v>
      </c>
      <c r="O2748" s="49">
        <v>44489</v>
      </c>
      <c r="P2748" s="50">
        <v>46.075499999999998</v>
      </c>
    </row>
    <row r="2749" spans="4:16" x14ac:dyDescent="0.2">
      <c r="D2749">
        <v>100001647</v>
      </c>
      <c r="E2749" s="49">
        <v>45146</v>
      </c>
      <c r="F2749" t="s">
        <v>3447</v>
      </c>
      <c r="G2749" t="s">
        <v>1799</v>
      </c>
      <c r="H2749">
        <v>3</v>
      </c>
      <c r="I2749">
        <v>25.15</v>
      </c>
      <c r="J2749" s="50">
        <v>75.449999999999989</v>
      </c>
      <c r="K2749" t="s">
        <v>1632</v>
      </c>
      <c r="L2749" t="s">
        <v>3448</v>
      </c>
      <c r="M2749" t="s">
        <v>1621</v>
      </c>
      <c r="N2749">
        <v>13.27</v>
      </c>
      <c r="O2749" s="49">
        <v>45149</v>
      </c>
      <c r="P2749" s="50">
        <v>33.952499999999993</v>
      </c>
    </row>
    <row r="2750" spans="4:16" x14ac:dyDescent="0.2">
      <c r="D2750">
        <v>100001647</v>
      </c>
      <c r="E2750" s="49">
        <v>45431</v>
      </c>
      <c r="F2750" t="s">
        <v>3447</v>
      </c>
      <c r="G2750" t="s">
        <v>1828</v>
      </c>
      <c r="H2750">
        <v>3</v>
      </c>
      <c r="I2750">
        <v>81.66</v>
      </c>
      <c r="J2750" s="50">
        <v>244.98</v>
      </c>
      <c r="K2750" t="s">
        <v>1632</v>
      </c>
      <c r="L2750" t="s">
        <v>3448</v>
      </c>
      <c r="M2750" t="s">
        <v>1624</v>
      </c>
      <c r="N2750">
        <v>43.1</v>
      </c>
      <c r="O2750" s="49">
        <v>45434</v>
      </c>
      <c r="P2750" s="50">
        <v>110.241</v>
      </c>
    </row>
    <row r="2751" spans="4:16" x14ac:dyDescent="0.2">
      <c r="D2751">
        <v>100001647</v>
      </c>
      <c r="E2751" s="49">
        <v>45557</v>
      </c>
      <c r="F2751" t="s">
        <v>3447</v>
      </c>
      <c r="G2751" t="s">
        <v>2346</v>
      </c>
      <c r="H2751">
        <v>10</v>
      </c>
      <c r="I2751">
        <v>19.14</v>
      </c>
      <c r="J2751" s="50">
        <v>191.4</v>
      </c>
      <c r="K2751" t="s">
        <v>1632</v>
      </c>
      <c r="L2751" t="s">
        <v>3448</v>
      </c>
      <c r="M2751" t="s">
        <v>1624</v>
      </c>
      <c r="N2751">
        <v>10.1</v>
      </c>
      <c r="O2751" s="49">
        <v>45560</v>
      </c>
      <c r="P2751" s="50">
        <v>86.13000000000001</v>
      </c>
    </row>
    <row r="2752" spans="4:16" x14ac:dyDescent="0.2">
      <c r="D2752">
        <v>100001648</v>
      </c>
      <c r="E2752" s="49">
        <v>45633</v>
      </c>
      <c r="F2752" t="s">
        <v>3449</v>
      </c>
      <c r="G2752" t="s">
        <v>1649</v>
      </c>
      <c r="H2752">
        <v>8</v>
      </c>
      <c r="I2752">
        <v>77.02</v>
      </c>
      <c r="J2752" s="50">
        <v>616.16</v>
      </c>
      <c r="K2752" t="s">
        <v>1618</v>
      </c>
      <c r="M2752" t="s">
        <v>1619</v>
      </c>
      <c r="N2752">
        <v>40.65</v>
      </c>
      <c r="O2752" s="49">
        <v>45635</v>
      </c>
      <c r="P2752" s="50">
        <v>277.27199999999999</v>
      </c>
    </row>
    <row r="2753" spans="4:16" x14ac:dyDescent="0.2">
      <c r="D2753">
        <v>100001648</v>
      </c>
      <c r="E2753" s="49">
        <v>44432</v>
      </c>
      <c r="F2753" t="s">
        <v>3449</v>
      </c>
      <c r="G2753" t="s">
        <v>1663</v>
      </c>
      <c r="H2753">
        <v>3</v>
      </c>
      <c r="I2753">
        <v>11.07</v>
      </c>
      <c r="J2753" s="50">
        <v>33.21</v>
      </c>
      <c r="K2753" t="s">
        <v>1618</v>
      </c>
      <c r="M2753" t="s">
        <v>1629</v>
      </c>
      <c r="N2753">
        <v>5.84</v>
      </c>
      <c r="O2753" s="49">
        <v>44436</v>
      </c>
      <c r="P2753" s="50">
        <v>14.944500000000001</v>
      </c>
    </row>
    <row r="2754" spans="4:16" x14ac:dyDescent="0.2">
      <c r="D2754">
        <v>100001649</v>
      </c>
      <c r="E2754" s="49">
        <v>45259</v>
      </c>
      <c r="F2754" t="s">
        <v>3450</v>
      </c>
      <c r="G2754" t="s">
        <v>2101</v>
      </c>
      <c r="H2754">
        <v>4</v>
      </c>
      <c r="I2754">
        <v>88.58</v>
      </c>
      <c r="J2754" s="50">
        <v>354.32</v>
      </c>
      <c r="K2754" t="s">
        <v>1618</v>
      </c>
      <c r="M2754" t="s">
        <v>1621</v>
      </c>
      <c r="N2754">
        <v>46.75</v>
      </c>
      <c r="O2754" s="49">
        <v>45260</v>
      </c>
      <c r="P2754" s="50">
        <v>159.44399999999999</v>
      </c>
    </row>
    <row r="2755" spans="4:16" x14ac:dyDescent="0.2">
      <c r="D2755">
        <v>100001649</v>
      </c>
      <c r="E2755" s="49">
        <v>44943</v>
      </c>
      <c r="F2755" t="s">
        <v>3450</v>
      </c>
      <c r="G2755" t="s">
        <v>2062</v>
      </c>
      <c r="H2755">
        <v>5</v>
      </c>
      <c r="I2755">
        <v>40.44</v>
      </c>
      <c r="J2755" s="50">
        <v>202.2</v>
      </c>
      <c r="K2755" t="s">
        <v>1618</v>
      </c>
      <c r="M2755" t="s">
        <v>1629</v>
      </c>
      <c r="N2755">
        <v>21.34</v>
      </c>
      <c r="O2755" s="49">
        <v>44945</v>
      </c>
      <c r="P2755" s="50">
        <v>90.99</v>
      </c>
    </row>
    <row r="2756" spans="4:16" x14ac:dyDescent="0.2">
      <c r="D2756">
        <v>100001649</v>
      </c>
      <c r="E2756" s="49">
        <v>44551</v>
      </c>
      <c r="F2756" t="s">
        <v>3450</v>
      </c>
      <c r="G2756" t="s">
        <v>2125</v>
      </c>
      <c r="H2756">
        <v>7</v>
      </c>
      <c r="I2756">
        <v>65.83</v>
      </c>
      <c r="J2756" s="50">
        <v>460.81</v>
      </c>
      <c r="K2756" t="s">
        <v>1618</v>
      </c>
      <c r="M2756" t="s">
        <v>1619</v>
      </c>
      <c r="N2756">
        <v>34.74</v>
      </c>
      <c r="O2756" s="49">
        <v>44553</v>
      </c>
      <c r="P2756" s="50">
        <v>207.36449999999999</v>
      </c>
    </row>
    <row r="2757" spans="4:16" x14ac:dyDescent="0.2">
      <c r="D2757">
        <v>100001649</v>
      </c>
      <c r="E2757" s="49">
        <v>45150</v>
      </c>
      <c r="F2757" t="s">
        <v>3450</v>
      </c>
      <c r="G2757" t="s">
        <v>2230</v>
      </c>
      <c r="H2757">
        <v>9</v>
      </c>
      <c r="I2757">
        <v>68.23</v>
      </c>
      <c r="J2757" s="50">
        <v>614.07000000000005</v>
      </c>
      <c r="K2757" t="s">
        <v>1618</v>
      </c>
      <c r="M2757" t="s">
        <v>1621</v>
      </c>
      <c r="N2757">
        <v>36.01</v>
      </c>
      <c r="O2757" s="49">
        <v>45154</v>
      </c>
      <c r="P2757" s="50">
        <v>276.33150000000001</v>
      </c>
    </row>
    <row r="2758" spans="4:16" x14ac:dyDescent="0.2">
      <c r="D2758">
        <v>100001650</v>
      </c>
      <c r="E2758" s="49">
        <v>45157</v>
      </c>
      <c r="F2758" t="s">
        <v>3451</v>
      </c>
      <c r="G2758" t="s">
        <v>2150</v>
      </c>
      <c r="H2758">
        <v>4</v>
      </c>
      <c r="I2758">
        <v>49.01</v>
      </c>
      <c r="J2758" s="50">
        <v>196.04</v>
      </c>
      <c r="K2758" t="s">
        <v>1632</v>
      </c>
      <c r="M2758" t="s">
        <v>1624</v>
      </c>
      <c r="N2758">
        <v>25.87</v>
      </c>
      <c r="O2758" s="49">
        <v>45162</v>
      </c>
      <c r="P2758" s="50">
        <v>88.218000000000004</v>
      </c>
    </row>
    <row r="2759" spans="4:16" x14ac:dyDescent="0.2">
      <c r="D2759">
        <v>100001651</v>
      </c>
      <c r="E2759" s="49">
        <v>44230</v>
      </c>
      <c r="F2759" t="s">
        <v>3452</v>
      </c>
      <c r="G2759" t="s">
        <v>2116</v>
      </c>
      <c r="H2759">
        <v>3</v>
      </c>
      <c r="I2759">
        <v>48.74</v>
      </c>
      <c r="J2759" s="50">
        <v>146.22</v>
      </c>
      <c r="K2759" t="s">
        <v>1618</v>
      </c>
      <c r="M2759" t="s">
        <v>1621</v>
      </c>
      <c r="N2759">
        <v>25.72</v>
      </c>
      <c r="O2759" s="49">
        <v>44233</v>
      </c>
      <c r="P2759" s="50">
        <v>65.799000000000007</v>
      </c>
    </row>
    <row r="2760" spans="4:16" x14ac:dyDescent="0.2">
      <c r="D2760">
        <v>100001651</v>
      </c>
      <c r="E2760" s="49">
        <v>44451</v>
      </c>
      <c r="F2760" t="s">
        <v>3452</v>
      </c>
      <c r="G2760" t="s">
        <v>1715</v>
      </c>
      <c r="H2760">
        <v>8</v>
      </c>
      <c r="I2760">
        <v>26.52</v>
      </c>
      <c r="J2760" s="50">
        <v>212.16</v>
      </c>
      <c r="K2760" t="s">
        <v>1618</v>
      </c>
      <c r="M2760" t="s">
        <v>1619</v>
      </c>
      <c r="N2760">
        <v>14</v>
      </c>
      <c r="O2760" s="49">
        <v>44454</v>
      </c>
      <c r="P2760" s="50">
        <v>95.471999999999994</v>
      </c>
    </row>
    <row r="2761" spans="4:16" x14ac:dyDescent="0.2">
      <c r="D2761">
        <v>100001652</v>
      </c>
      <c r="E2761" s="49">
        <v>44294</v>
      </c>
      <c r="F2761" t="s">
        <v>3453</v>
      </c>
      <c r="G2761" t="s">
        <v>1712</v>
      </c>
      <c r="H2761">
        <v>8</v>
      </c>
      <c r="I2761">
        <v>49.73</v>
      </c>
      <c r="J2761" s="50">
        <v>397.84</v>
      </c>
      <c r="K2761" t="s">
        <v>1618</v>
      </c>
      <c r="L2761" t="s">
        <v>3454</v>
      </c>
      <c r="M2761" t="s">
        <v>1629</v>
      </c>
      <c r="N2761">
        <v>26.25</v>
      </c>
      <c r="O2761" s="49">
        <v>44296</v>
      </c>
      <c r="P2761" s="50">
        <v>179.02799999999999</v>
      </c>
    </row>
    <row r="2762" spans="4:16" x14ac:dyDescent="0.2">
      <c r="D2762">
        <v>100001654</v>
      </c>
      <c r="E2762" s="49">
        <v>45221</v>
      </c>
      <c r="F2762" t="s">
        <v>3455</v>
      </c>
      <c r="G2762" t="s">
        <v>2328</v>
      </c>
      <c r="H2762">
        <v>1</v>
      </c>
      <c r="I2762">
        <v>87.36</v>
      </c>
      <c r="J2762" s="50">
        <v>87.36</v>
      </c>
      <c r="K2762" t="s">
        <v>1618</v>
      </c>
      <c r="M2762" t="s">
        <v>1619</v>
      </c>
      <c r="N2762">
        <v>46.11</v>
      </c>
      <c r="O2762" s="49">
        <v>45222</v>
      </c>
      <c r="P2762" s="50">
        <v>39.311999999999998</v>
      </c>
    </row>
    <row r="2763" spans="4:16" x14ac:dyDescent="0.2">
      <c r="D2763">
        <v>100001654</v>
      </c>
      <c r="E2763" s="49">
        <v>45342</v>
      </c>
      <c r="F2763" t="s">
        <v>3455</v>
      </c>
      <c r="G2763" t="s">
        <v>2380</v>
      </c>
      <c r="H2763">
        <v>8</v>
      </c>
      <c r="I2763">
        <v>61.02</v>
      </c>
      <c r="J2763" s="50">
        <v>488.16</v>
      </c>
      <c r="K2763" t="s">
        <v>1618</v>
      </c>
      <c r="M2763" t="s">
        <v>1629</v>
      </c>
      <c r="N2763">
        <v>32.200000000000003</v>
      </c>
      <c r="O2763" s="49">
        <v>45344</v>
      </c>
      <c r="P2763" s="50">
        <v>219.67200000000003</v>
      </c>
    </row>
    <row r="2764" spans="4:16" x14ac:dyDescent="0.2">
      <c r="D2764">
        <v>100001655</v>
      </c>
      <c r="E2764" s="49">
        <v>44276</v>
      </c>
      <c r="F2764" t="s">
        <v>3456</v>
      </c>
      <c r="G2764" t="s">
        <v>1661</v>
      </c>
      <c r="H2764">
        <v>5</v>
      </c>
      <c r="I2764">
        <v>69.36</v>
      </c>
      <c r="J2764" s="50">
        <v>346.8</v>
      </c>
      <c r="K2764" t="s">
        <v>1618</v>
      </c>
      <c r="L2764" t="s">
        <v>3189</v>
      </c>
      <c r="M2764" t="s">
        <v>1629</v>
      </c>
      <c r="N2764">
        <v>36.61</v>
      </c>
      <c r="O2764" s="49">
        <v>44277</v>
      </c>
      <c r="P2764" s="50">
        <v>156.06</v>
      </c>
    </row>
    <row r="2765" spans="4:16" x14ac:dyDescent="0.2">
      <c r="D2765">
        <v>100001655</v>
      </c>
      <c r="E2765" s="49">
        <v>45164</v>
      </c>
      <c r="F2765" t="s">
        <v>3456</v>
      </c>
      <c r="G2765" t="s">
        <v>2069</v>
      </c>
      <c r="H2765">
        <v>1</v>
      </c>
      <c r="I2765">
        <v>39.880000000000003</v>
      </c>
      <c r="J2765" s="50">
        <v>39.880000000000003</v>
      </c>
      <c r="K2765" t="s">
        <v>1618</v>
      </c>
      <c r="L2765" t="s">
        <v>3189</v>
      </c>
      <c r="M2765" t="s">
        <v>1619</v>
      </c>
      <c r="N2765">
        <v>21.05</v>
      </c>
      <c r="O2765" s="49">
        <v>45165</v>
      </c>
      <c r="P2765" s="50">
        <v>17.946000000000002</v>
      </c>
    </row>
    <row r="2766" spans="4:16" x14ac:dyDescent="0.2">
      <c r="D2766">
        <v>100001655</v>
      </c>
      <c r="E2766" s="49">
        <v>44657</v>
      </c>
      <c r="F2766" t="s">
        <v>3456</v>
      </c>
      <c r="G2766" t="s">
        <v>2762</v>
      </c>
      <c r="H2766">
        <v>5</v>
      </c>
      <c r="I2766">
        <v>109.42</v>
      </c>
      <c r="J2766" s="50">
        <v>547.1</v>
      </c>
      <c r="K2766" t="s">
        <v>1618</v>
      </c>
      <c r="L2766" t="s">
        <v>3189</v>
      </c>
      <c r="M2766" t="s">
        <v>1627</v>
      </c>
      <c r="N2766">
        <v>57.75</v>
      </c>
      <c r="O2766" s="49">
        <v>44661</v>
      </c>
      <c r="P2766" s="50">
        <v>246.19500000000002</v>
      </c>
    </row>
    <row r="2767" spans="4:16" x14ac:dyDescent="0.2">
      <c r="D2767">
        <v>100001656</v>
      </c>
      <c r="E2767" s="49">
        <v>44729</v>
      </c>
      <c r="F2767" t="s">
        <v>3457</v>
      </c>
      <c r="G2767" t="s">
        <v>1963</v>
      </c>
      <c r="H2767">
        <v>6</v>
      </c>
      <c r="I2767">
        <v>113.04</v>
      </c>
      <c r="J2767" s="50">
        <v>678.24</v>
      </c>
      <c r="K2767" t="s">
        <v>1618</v>
      </c>
      <c r="M2767" t="s">
        <v>1619</v>
      </c>
      <c r="N2767">
        <v>59.66</v>
      </c>
      <c r="O2767" s="49">
        <v>44731</v>
      </c>
      <c r="P2767" s="50">
        <v>305.20800000000003</v>
      </c>
    </row>
    <row r="2768" spans="4:16" x14ac:dyDescent="0.2">
      <c r="D2768">
        <v>100001656</v>
      </c>
      <c r="E2768" s="49">
        <v>44914</v>
      </c>
      <c r="F2768" t="s">
        <v>3457</v>
      </c>
      <c r="G2768" t="s">
        <v>1652</v>
      </c>
      <c r="H2768">
        <v>8</v>
      </c>
      <c r="I2768">
        <v>16.239999999999998</v>
      </c>
      <c r="J2768" s="50">
        <v>129.91999999999999</v>
      </c>
      <c r="K2768" t="s">
        <v>1618</v>
      </c>
      <c r="M2768" t="s">
        <v>1624</v>
      </c>
      <c r="N2768">
        <v>8.57</v>
      </c>
      <c r="O2768" s="49">
        <v>44915</v>
      </c>
      <c r="P2768" s="50">
        <v>58.463999999999999</v>
      </c>
    </row>
    <row r="2769" spans="4:16" x14ac:dyDescent="0.2">
      <c r="D2769">
        <v>100001657</v>
      </c>
      <c r="E2769" s="49">
        <v>45221</v>
      </c>
      <c r="F2769" t="s">
        <v>3458</v>
      </c>
      <c r="G2769" t="s">
        <v>1844</v>
      </c>
      <c r="H2769">
        <v>9</v>
      </c>
      <c r="I2769">
        <v>70.33</v>
      </c>
      <c r="J2769" s="50">
        <v>632.97</v>
      </c>
      <c r="K2769" t="s">
        <v>1618</v>
      </c>
      <c r="M2769" t="s">
        <v>1627</v>
      </c>
      <c r="N2769">
        <v>37.119999999999997</v>
      </c>
      <c r="O2769" s="49">
        <v>45223</v>
      </c>
      <c r="P2769" s="50">
        <v>284.8365</v>
      </c>
    </row>
    <row r="2770" spans="4:16" x14ac:dyDescent="0.2">
      <c r="D2770">
        <v>100001657</v>
      </c>
      <c r="E2770" s="49">
        <v>44602</v>
      </c>
      <c r="F2770" t="s">
        <v>3458</v>
      </c>
      <c r="G2770" t="s">
        <v>1902</v>
      </c>
      <c r="H2770">
        <v>10</v>
      </c>
      <c r="I2770">
        <v>12.04</v>
      </c>
      <c r="J2770" s="50">
        <v>120.4</v>
      </c>
      <c r="K2770" t="s">
        <v>1618</v>
      </c>
      <c r="M2770" t="s">
        <v>1624</v>
      </c>
      <c r="N2770">
        <v>6.35</v>
      </c>
      <c r="O2770" s="49">
        <v>44604</v>
      </c>
      <c r="P2770" s="50">
        <v>54.180000000000007</v>
      </c>
    </row>
    <row r="2771" spans="4:16" x14ac:dyDescent="0.2">
      <c r="D2771">
        <v>100001658</v>
      </c>
      <c r="E2771" s="49">
        <v>44239</v>
      </c>
      <c r="F2771" t="s">
        <v>3459</v>
      </c>
      <c r="G2771" t="s">
        <v>2084</v>
      </c>
      <c r="H2771">
        <v>10</v>
      </c>
      <c r="I2771">
        <v>112.14</v>
      </c>
      <c r="J2771" s="50">
        <v>1121.4000000000001</v>
      </c>
      <c r="K2771" t="s">
        <v>1618</v>
      </c>
      <c r="M2771" t="s">
        <v>1624</v>
      </c>
      <c r="N2771">
        <v>59.18</v>
      </c>
      <c r="O2771" s="49">
        <v>44240</v>
      </c>
      <c r="P2771" s="50">
        <v>504.63000000000005</v>
      </c>
    </row>
    <row r="2772" spans="4:16" x14ac:dyDescent="0.2">
      <c r="D2772">
        <v>100001658</v>
      </c>
      <c r="E2772" s="49">
        <v>45631</v>
      </c>
      <c r="F2772" t="s">
        <v>3459</v>
      </c>
      <c r="G2772" t="s">
        <v>2147</v>
      </c>
      <c r="H2772">
        <v>4</v>
      </c>
      <c r="I2772">
        <v>116.34</v>
      </c>
      <c r="J2772" s="50">
        <v>465.36</v>
      </c>
      <c r="K2772" t="s">
        <v>1618</v>
      </c>
      <c r="M2772" t="s">
        <v>1619</v>
      </c>
      <c r="N2772">
        <v>61.4</v>
      </c>
      <c r="O2772" s="49">
        <v>45634</v>
      </c>
      <c r="P2772" s="50">
        <v>209.41200000000001</v>
      </c>
    </row>
    <row r="2773" spans="4:16" x14ac:dyDescent="0.2">
      <c r="D2773">
        <v>100001659</v>
      </c>
      <c r="E2773" s="49">
        <v>44491</v>
      </c>
      <c r="F2773" t="s">
        <v>3460</v>
      </c>
      <c r="G2773" t="s">
        <v>1830</v>
      </c>
      <c r="H2773">
        <v>9</v>
      </c>
      <c r="I2773">
        <v>25.58</v>
      </c>
      <c r="J2773" s="50">
        <v>230.22</v>
      </c>
      <c r="K2773" t="s">
        <v>1618</v>
      </c>
      <c r="M2773" t="s">
        <v>1627</v>
      </c>
      <c r="N2773">
        <v>13.5</v>
      </c>
      <c r="O2773" s="49">
        <v>44492</v>
      </c>
      <c r="P2773" s="50">
        <v>103.599</v>
      </c>
    </row>
    <row r="2774" spans="4:16" x14ac:dyDescent="0.2">
      <c r="D2774">
        <v>100001660</v>
      </c>
      <c r="E2774" s="49">
        <v>44901</v>
      </c>
      <c r="F2774" t="s">
        <v>3461</v>
      </c>
      <c r="G2774" t="s">
        <v>2099</v>
      </c>
      <c r="H2774">
        <v>2</v>
      </c>
      <c r="I2774">
        <v>99.05</v>
      </c>
      <c r="J2774" s="50">
        <v>198.1</v>
      </c>
      <c r="K2774" t="s">
        <v>1618</v>
      </c>
      <c r="M2774" t="s">
        <v>1629</v>
      </c>
      <c r="N2774">
        <v>52.28</v>
      </c>
      <c r="O2774" s="49">
        <v>44903</v>
      </c>
      <c r="P2774" s="50">
        <v>89.144999999999996</v>
      </c>
    </row>
    <row r="2775" spans="4:16" x14ac:dyDescent="0.2">
      <c r="D2775">
        <v>100001661</v>
      </c>
      <c r="E2775" s="49">
        <v>44903</v>
      </c>
      <c r="F2775" t="s">
        <v>3462</v>
      </c>
      <c r="G2775" t="s">
        <v>1842</v>
      </c>
      <c r="H2775">
        <v>9</v>
      </c>
      <c r="I2775">
        <v>99.17</v>
      </c>
      <c r="J2775" s="50">
        <v>892.53</v>
      </c>
      <c r="K2775" t="s">
        <v>1632</v>
      </c>
      <c r="L2775" t="s">
        <v>3463</v>
      </c>
      <c r="M2775" t="s">
        <v>1619</v>
      </c>
      <c r="N2775">
        <v>52.34</v>
      </c>
      <c r="O2775" s="49">
        <v>44906</v>
      </c>
      <c r="P2775" s="50">
        <v>401.63850000000002</v>
      </c>
    </row>
    <row r="2776" spans="4:16" x14ac:dyDescent="0.2">
      <c r="D2776">
        <v>100001661</v>
      </c>
      <c r="E2776" s="49">
        <v>44640</v>
      </c>
      <c r="F2776" t="s">
        <v>3462</v>
      </c>
      <c r="G2776" t="s">
        <v>1944</v>
      </c>
      <c r="H2776">
        <v>8</v>
      </c>
      <c r="I2776">
        <v>50.07</v>
      </c>
      <c r="J2776" s="50">
        <v>400.56</v>
      </c>
      <c r="K2776" t="s">
        <v>1632</v>
      </c>
      <c r="L2776" t="s">
        <v>3463</v>
      </c>
      <c r="M2776" t="s">
        <v>1621</v>
      </c>
      <c r="N2776">
        <v>26.43</v>
      </c>
      <c r="O2776" s="49">
        <v>44644</v>
      </c>
      <c r="P2776" s="50">
        <v>180.25200000000001</v>
      </c>
    </row>
    <row r="2777" spans="4:16" x14ac:dyDescent="0.2">
      <c r="D2777">
        <v>100001661</v>
      </c>
      <c r="E2777" s="49">
        <v>44305</v>
      </c>
      <c r="F2777" t="s">
        <v>3462</v>
      </c>
      <c r="G2777" t="s">
        <v>1679</v>
      </c>
      <c r="H2777">
        <v>8</v>
      </c>
      <c r="I2777">
        <v>44.26</v>
      </c>
      <c r="J2777" s="50">
        <v>354.08</v>
      </c>
      <c r="K2777" t="s">
        <v>1632</v>
      </c>
      <c r="L2777" t="s">
        <v>3463</v>
      </c>
      <c r="M2777" t="s">
        <v>1629</v>
      </c>
      <c r="N2777">
        <v>23.36</v>
      </c>
      <c r="O2777" s="49">
        <v>44310</v>
      </c>
      <c r="P2777" s="50">
        <v>159.33599999999998</v>
      </c>
    </row>
    <row r="2778" spans="4:16" x14ac:dyDescent="0.2">
      <c r="D2778">
        <v>100001661</v>
      </c>
      <c r="E2778" s="49">
        <v>44265</v>
      </c>
      <c r="F2778" t="s">
        <v>3462</v>
      </c>
      <c r="G2778" t="s">
        <v>1729</v>
      </c>
      <c r="H2778">
        <v>1</v>
      </c>
      <c r="I2778">
        <v>61.64</v>
      </c>
      <c r="J2778" s="50">
        <v>61.64</v>
      </c>
      <c r="K2778" t="s">
        <v>1632</v>
      </c>
      <c r="L2778" t="s">
        <v>3463</v>
      </c>
      <c r="M2778" t="s">
        <v>1624</v>
      </c>
      <c r="N2778">
        <v>32.53</v>
      </c>
      <c r="O2778" s="49">
        <v>44268</v>
      </c>
      <c r="P2778" s="50">
        <v>27.738</v>
      </c>
    </row>
    <row r="2779" spans="4:16" x14ac:dyDescent="0.2">
      <c r="D2779">
        <v>100001661</v>
      </c>
      <c r="E2779" s="49">
        <v>44338</v>
      </c>
      <c r="F2779" t="s">
        <v>3462</v>
      </c>
      <c r="G2779" t="s">
        <v>1617</v>
      </c>
      <c r="H2779">
        <v>9</v>
      </c>
      <c r="I2779">
        <v>95.93</v>
      </c>
      <c r="J2779" s="50">
        <v>863.37000000000012</v>
      </c>
      <c r="K2779" t="s">
        <v>1632</v>
      </c>
      <c r="L2779" t="s">
        <v>3463</v>
      </c>
      <c r="M2779" t="s">
        <v>1629</v>
      </c>
      <c r="N2779">
        <v>50.63</v>
      </c>
      <c r="O2779" s="49">
        <v>44340</v>
      </c>
      <c r="P2779" s="50">
        <v>388.51650000000006</v>
      </c>
    </row>
    <row r="2780" spans="4:16" x14ac:dyDescent="0.2">
      <c r="D2780">
        <v>100001661</v>
      </c>
      <c r="E2780" s="49">
        <v>44229</v>
      </c>
      <c r="F2780" t="s">
        <v>3462</v>
      </c>
      <c r="G2780" t="s">
        <v>2207</v>
      </c>
      <c r="H2780">
        <v>3</v>
      </c>
      <c r="I2780">
        <v>84.17</v>
      </c>
      <c r="J2780" s="50">
        <v>252.51</v>
      </c>
      <c r="K2780" t="s">
        <v>1632</v>
      </c>
      <c r="L2780" t="s">
        <v>3463</v>
      </c>
      <c r="M2780" t="s">
        <v>1629</v>
      </c>
      <c r="N2780">
        <v>44.42</v>
      </c>
      <c r="O2780" s="49">
        <v>44230</v>
      </c>
      <c r="P2780" s="50">
        <v>113.62949999999999</v>
      </c>
    </row>
    <row r="2781" spans="4:16" x14ac:dyDescent="0.2">
      <c r="D2781">
        <v>100001662</v>
      </c>
      <c r="E2781" s="49">
        <v>44775</v>
      </c>
      <c r="F2781" t="s">
        <v>3464</v>
      </c>
      <c r="G2781" t="s">
        <v>1781</v>
      </c>
      <c r="H2781">
        <v>3</v>
      </c>
      <c r="I2781">
        <v>112.78</v>
      </c>
      <c r="J2781" s="50">
        <v>338.34</v>
      </c>
      <c r="K2781" t="s">
        <v>1618</v>
      </c>
      <c r="L2781" t="s">
        <v>3465</v>
      </c>
      <c r="M2781" t="s">
        <v>1621</v>
      </c>
      <c r="N2781">
        <v>59.52</v>
      </c>
      <c r="O2781" s="49">
        <v>44778</v>
      </c>
      <c r="P2781" s="50">
        <v>152.25299999999999</v>
      </c>
    </row>
    <row r="2782" spans="4:16" x14ac:dyDescent="0.2">
      <c r="D2782">
        <v>100001663</v>
      </c>
      <c r="E2782" s="49">
        <v>44505</v>
      </c>
      <c r="F2782" t="s">
        <v>3466</v>
      </c>
      <c r="G2782" t="s">
        <v>1865</v>
      </c>
      <c r="H2782">
        <v>4</v>
      </c>
      <c r="I2782">
        <v>109.46</v>
      </c>
      <c r="J2782" s="50">
        <v>437.84</v>
      </c>
      <c r="K2782" t="s">
        <v>1618</v>
      </c>
      <c r="M2782" t="s">
        <v>1629</v>
      </c>
      <c r="N2782">
        <v>57.77</v>
      </c>
      <c r="O2782" s="49">
        <v>44508</v>
      </c>
      <c r="P2782" s="50">
        <v>197.02799999999999</v>
      </c>
    </row>
    <row r="2783" spans="4:16" x14ac:dyDescent="0.2">
      <c r="D2783">
        <v>100001664</v>
      </c>
      <c r="E2783" s="49">
        <v>44641</v>
      </c>
      <c r="F2783" t="s">
        <v>3467</v>
      </c>
      <c r="G2783" t="s">
        <v>2138</v>
      </c>
      <c r="H2783">
        <v>2</v>
      </c>
      <c r="I2783">
        <v>88.41</v>
      </c>
      <c r="J2783" s="50">
        <v>176.82</v>
      </c>
      <c r="K2783" t="s">
        <v>1618</v>
      </c>
      <c r="M2783" t="s">
        <v>1619</v>
      </c>
      <c r="N2783">
        <v>46.66</v>
      </c>
      <c r="O2783" s="49">
        <v>44643</v>
      </c>
      <c r="P2783" s="50">
        <v>79.569000000000003</v>
      </c>
    </row>
    <row r="2784" spans="4:16" x14ac:dyDescent="0.2">
      <c r="D2784">
        <v>100001665</v>
      </c>
      <c r="E2784" s="49">
        <v>44968</v>
      </c>
      <c r="F2784" t="s">
        <v>3468</v>
      </c>
      <c r="G2784" t="s">
        <v>2613</v>
      </c>
      <c r="H2784">
        <v>8</v>
      </c>
      <c r="I2784">
        <v>59.44</v>
      </c>
      <c r="J2784" s="50">
        <v>475.52</v>
      </c>
      <c r="K2784" t="s">
        <v>1632</v>
      </c>
      <c r="M2784" t="s">
        <v>1629</v>
      </c>
      <c r="N2784">
        <v>31.37</v>
      </c>
      <c r="O2784" s="49">
        <v>44970</v>
      </c>
      <c r="P2784" s="50">
        <v>213.98400000000001</v>
      </c>
    </row>
    <row r="2785" spans="4:16" x14ac:dyDescent="0.2">
      <c r="D2785">
        <v>100001665</v>
      </c>
      <c r="E2785" s="49">
        <v>44878</v>
      </c>
      <c r="F2785" t="s">
        <v>3468</v>
      </c>
      <c r="G2785" t="s">
        <v>1748</v>
      </c>
      <c r="H2785">
        <v>2</v>
      </c>
      <c r="I2785">
        <v>21.16</v>
      </c>
      <c r="J2785" s="50">
        <v>42.32</v>
      </c>
      <c r="K2785" t="s">
        <v>1632</v>
      </c>
      <c r="M2785" t="s">
        <v>1621</v>
      </c>
      <c r="N2785">
        <v>11.17</v>
      </c>
      <c r="O2785" s="49">
        <v>44881</v>
      </c>
      <c r="P2785" s="50">
        <v>19.044</v>
      </c>
    </row>
    <row r="2786" spans="4:16" x14ac:dyDescent="0.2">
      <c r="D2786">
        <v>100001665</v>
      </c>
      <c r="E2786" s="49">
        <v>45110</v>
      </c>
      <c r="F2786" t="s">
        <v>3468</v>
      </c>
      <c r="G2786" t="s">
        <v>1866</v>
      </c>
      <c r="H2786">
        <v>5</v>
      </c>
      <c r="I2786">
        <v>109.66</v>
      </c>
      <c r="J2786" s="50">
        <v>548.29999999999995</v>
      </c>
      <c r="K2786" t="s">
        <v>1632</v>
      </c>
      <c r="M2786" t="s">
        <v>1619</v>
      </c>
      <c r="N2786">
        <v>57.88</v>
      </c>
      <c r="O2786" s="49">
        <v>45111</v>
      </c>
      <c r="P2786" s="50">
        <v>246.73499999999999</v>
      </c>
    </row>
    <row r="2787" spans="4:16" x14ac:dyDescent="0.2">
      <c r="D2787">
        <v>100001665</v>
      </c>
      <c r="E2787" s="49">
        <v>45137</v>
      </c>
      <c r="F2787" t="s">
        <v>3468</v>
      </c>
      <c r="G2787" t="s">
        <v>1677</v>
      </c>
      <c r="H2787">
        <v>7</v>
      </c>
      <c r="I2787">
        <v>89.67</v>
      </c>
      <c r="J2787" s="50">
        <v>627.69000000000005</v>
      </c>
      <c r="K2787" t="s">
        <v>1632</v>
      </c>
      <c r="M2787" t="s">
        <v>1619</v>
      </c>
      <c r="N2787">
        <v>47.33</v>
      </c>
      <c r="O2787" s="49">
        <v>45141</v>
      </c>
      <c r="P2787" s="50">
        <v>282.46050000000002</v>
      </c>
    </row>
    <row r="2788" spans="4:16" x14ac:dyDescent="0.2">
      <c r="D2788">
        <v>100001665</v>
      </c>
      <c r="E2788" s="49">
        <v>45124</v>
      </c>
      <c r="F2788" t="s">
        <v>3468</v>
      </c>
      <c r="G2788" t="s">
        <v>1756</v>
      </c>
      <c r="H2788">
        <v>7</v>
      </c>
      <c r="I2788">
        <v>15.96</v>
      </c>
      <c r="J2788" s="50">
        <v>111.72</v>
      </c>
      <c r="K2788" t="s">
        <v>1632</v>
      </c>
      <c r="M2788" t="s">
        <v>1619</v>
      </c>
      <c r="N2788">
        <v>8.42</v>
      </c>
      <c r="O2788" s="49">
        <v>45125</v>
      </c>
      <c r="P2788" s="50">
        <v>50.274000000000001</v>
      </c>
    </row>
    <row r="2789" spans="4:16" x14ac:dyDescent="0.2">
      <c r="D2789">
        <v>100001666</v>
      </c>
      <c r="E2789" s="49">
        <v>45558</v>
      </c>
      <c r="F2789" t="s">
        <v>3469</v>
      </c>
      <c r="G2789" t="s">
        <v>1722</v>
      </c>
      <c r="H2789">
        <v>2</v>
      </c>
      <c r="I2789">
        <v>23.75</v>
      </c>
      <c r="J2789" s="50">
        <v>47.5</v>
      </c>
      <c r="K2789" t="s">
        <v>1632</v>
      </c>
      <c r="M2789" t="s">
        <v>1619</v>
      </c>
      <c r="N2789">
        <v>12.53</v>
      </c>
      <c r="O2789" s="49">
        <v>45562</v>
      </c>
      <c r="P2789" s="50">
        <v>21.375</v>
      </c>
    </row>
    <row r="2790" spans="4:16" x14ac:dyDescent="0.2">
      <c r="D2790">
        <v>100001666</v>
      </c>
      <c r="E2790" s="49">
        <v>44557</v>
      </c>
      <c r="F2790" t="s">
        <v>3469</v>
      </c>
      <c r="G2790" t="s">
        <v>2098</v>
      </c>
      <c r="H2790">
        <v>3</v>
      </c>
      <c r="I2790">
        <v>33.69</v>
      </c>
      <c r="J2790" s="50">
        <v>101.07</v>
      </c>
      <c r="K2790" t="s">
        <v>1632</v>
      </c>
      <c r="M2790" t="s">
        <v>1621</v>
      </c>
      <c r="N2790">
        <v>17.78</v>
      </c>
      <c r="O2790" s="49">
        <v>44560</v>
      </c>
      <c r="P2790" s="50">
        <v>45.481499999999997</v>
      </c>
    </row>
    <row r="2791" spans="4:16" x14ac:dyDescent="0.2">
      <c r="D2791">
        <v>100001666</v>
      </c>
      <c r="E2791" s="49">
        <v>44527</v>
      </c>
      <c r="F2791" t="s">
        <v>3469</v>
      </c>
      <c r="G2791" t="s">
        <v>1733</v>
      </c>
      <c r="H2791">
        <v>4</v>
      </c>
      <c r="I2791">
        <v>88.21</v>
      </c>
      <c r="J2791" s="50">
        <v>352.84</v>
      </c>
      <c r="K2791" t="s">
        <v>1632</v>
      </c>
      <c r="M2791" t="s">
        <v>1627</v>
      </c>
      <c r="N2791">
        <v>46.55</v>
      </c>
      <c r="O2791" s="49">
        <v>44529</v>
      </c>
      <c r="P2791" s="50">
        <v>158.77799999999999</v>
      </c>
    </row>
    <row r="2792" spans="4:16" x14ac:dyDescent="0.2">
      <c r="D2792">
        <v>100001667</v>
      </c>
      <c r="E2792" s="49">
        <v>44808</v>
      </c>
      <c r="F2792" t="s">
        <v>3470</v>
      </c>
      <c r="G2792" t="s">
        <v>2762</v>
      </c>
      <c r="H2792">
        <v>4</v>
      </c>
      <c r="I2792">
        <v>99.98</v>
      </c>
      <c r="J2792" s="50">
        <v>399.92</v>
      </c>
      <c r="K2792" t="s">
        <v>1618</v>
      </c>
      <c r="M2792" t="s">
        <v>1629</v>
      </c>
      <c r="N2792">
        <v>52.77</v>
      </c>
      <c r="O2792" s="49">
        <v>44810</v>
      </c>
      <c r="P2792" s="50">
        <v>179.964</v>
      </c>
    </row>
    <row r="2793" spans="4:16" x14ac:dyDescent="0.2">
      <c r="D2793">
        <v>100001669</v>
      </c>
      <c r="E2793" s="49">
        <v>44296</v>
      </c>
      <c r="F2793" t="s">
        <v>3471</v>
      </c>
      <c r="G2793" t="s">
        <v>2328</v>
      </c>
      <c r="H2793">
        <v>8</v>
      </c>
      <c r="I2793">
        <v>28.83</v>
      </c>
      <c r="J2793" s="50">
        <v>230.64</v>
      </c>
      <c r="K2793" t="s">
        <v>1618</v>
      </c>
      <c r="M2793" t="s">
        <v>1621</v>
      </c>
      <c r="N2793">
        <v>15.22</v>
      </c>
      <c r="O2793" s="49">
        <v>44301</v>
      </c>
      <c r="P2793" s="50">
        <v>103.788</v>
      </c>
    </row>
    <row r="2794" spans="4:16" x14ac:dyDescent="0.2">
      <c r="D2794">
        <v>100001670</v>
      </c>
      <c r="E2794" s="49">
        <v>44575</v>
      </c>
      <c r="F2794" t="s">
        <v>3472</v>
      </c>
      <c r="G2794" t="s">
        <v>1838</v>
      </c>
      <c r="H2794">
        <v>6</v>
      </c>
      <c r="I2794">
        <v>94.82</v>
      </c>
      <c r="J2794" s="50">
        <v>568.91999999999996</v>
      </c>
      <c r="K2794" t="s">
        <v>1618</v>
      </c>
      <c r="M2794" t="s">
        <v>1629</v>
      </c>
      <c r="N2794">
        <v>50.04</v>
      </c>
      <c r="O2794" s="49">
        <v>44578</v>
      </c>
      <c r="P2794" s="50">
        <v>256.01400000000001</v>
      </c>
    </row>
    <row r="2795" spans="4:16" x14ac:dyDescent="0.2">
      <c r="D2795">
        <v>100001670</v>
      </c>
      <c r="E2795" s="49">
        <v>45024</v>
      </c>
      <c r="F2795" t="s">
        <v>3472</v>
      </c>
      <c r="G2795" t="s">
        <v>1950</v>
      </c>
      <c r="H2795">
        <v>10</v>
      </c>
      <c r="I2795">
        <v>41.06</v>
      </c>
      <c r="J2795" s="50">
        <v>410.6</v>
      </c>
      <c r="K2795" t="s">
        <v>1618</v>
      </c>
      <c r="M2795" t="s">
        <v>1621</v>
      </c>
      <c r="N2795">
        <v>21.67</v>
      </c>
      <c r="O2795" s="49">
        <v>45028</v>
      </c>
      <c r="P2795" s="50">
        <v>184.77</v>
      </c>
    </row>
    <row r="2796" spans="4:16" x14ac:dyDescent="0.2">
      <c r="D2796">
        <v>100001670</v>
      </c>
      <c r="E2796" s="49">
        <v>45101</v>
      </c>
      <c r="F2796" t="s">
        <v>3472</v>
      </c>
      <c r="G2796" t="s">
        <v>1969</v>
      </c>
      <c r="H2796">
        <v>8</v>
      </c>
      <c r="I2796">
        <v>69.319999999999993</v>
      </c>
      <c r="J2796" s="50">
        <v>554.55999999999995</v>
      </c>
      <c r="K2796" t="s">
        <v>1618</v>
      </c>
      <c r="M2796" t="s">
        <v>1621</v>
      </c>
      <c r="N2796">
        <v>36.590000000000003</v>
      </c>
      <c r="O2796" s="49">
        <v>45102</v>
      </c>
      <c r="P2796" s="50">
        <v>249.55199999999999</v>
      </c>
    </row>
    <row r="2797" spans="4:16" x14ac:dyDescent="0.2">
      <c r="D2797">
        <v>100001672</v>
      </c>
      <c r="E2797" s="49">
        <v>45174</v>
      </c>
      <c r="F2797" t="s">
        <v>3473</v>
      </c>
      <c r="G2797" t="s">
        <v>2130</v>
      </c>
      <c r="H2797">
        <v>3</v>
      </c>
      <c r="I2797">
        <v>28.43</v>
      </c>
      <c r="J2797" s="50">
        <v>85.289999999999992</v>
      </c>
      <c r="K2797" t="s">
        <v>1618</v>
      </c>
      <c r="M2797" t="s">
        <v>1629</v>
      </c>
      <c r="N2797">
        <v>15</v>
      </c>
      <c r="O2797" s="49">
        <v>45179</v>
      </c>
      <c r="P2797" s="50">
        <v>38.380499999999998</v>
      </c>
    </row>
    <row r="2798" spans="4:16" x14ac:dyDescent="0.2">
      <c r="D2798">
        <v>100001672</v>
      </c>
      <c r="E2798" s="49">
        <v>44464</v>
      </c>
      <c r="F2798" t="s">
        <v>3473</v>
      </c>
      <c r="G2798" t="s">
        <v>1663</v>
      </c>
      <c r="H2798">
        <v>4</v>
      </c>
      <c r="I2798">
        <v>90.5</v>
      </c>
      <c r="J2798" s="50">
        <v>362</v>
      </c>
      <c r="K2798" t="s">
        <v>1618</v>
      </c>
      <c r="M2798" t="s">
        <v>1621</v>
      </c>
      <c r="N2798">
        <v>47.76</v>
      </c>
      <c r="O2798" s="49">
        <v>44468</v>
      </c>
      <c r="P2798" s="50">
        <v>162.9</v>
      </c>
    </row>
    <row r="2799" spans="4:16" x14ac:dyDescent="0.2">
      <c r="D2799">
        <v>100001673</v>
      </c>
      <c r="E2799" s="49">
        <v>45196</v>
      </c>
      <c r="F2799" t="s">
        <v>3474</v>
      </c>
      <c r="G2799" t="s">
        <v>2057</v>
      </c>
      <c r="H2799">
        <v>1</v>
      </c>
      <c r="I2799">
        <v>66.94</v>
      </c>
      <c r="J2799" s="50">
        <v>66.94</v>
      </c>
      <c r="K2799" t="s">
        <v>1632</v>
      </c>
      <c r="M2799" t="s">
        <v>1624</v>
      </c>
      <c r="N2799">
        <v>35.33</v>
      </c>
      <c r="O2799" s="49">
        <v>45200</v>
      </c>
      <c r="P2799" s="50">
        <v>30.123000000000001</v>
      </c>
    </row>
    <row r="2800" spans="4:16" x14ac:dyDescent="0.2">
      <c r="D2800">
        <v>100001674</v>
      </c>
      <c r="E2800" s="49">
        <v>44572</v>
      </c>
      <c r="F2800" t="s">
        <v>3475</v>
      </c>
      <c r="G2800" t="s">
        <v>2007</v>
      </c>
      <c r="H2800">
        <v>8</v>
      </c>
      <c r="I2800">
        <v>21.34</v>
      </c>
      <c r="J2800" s="50">
        <v>170.72</v>
      </c>
      <c r="K2800" t="s">
        <v>1632</v>
      </c>
      <c r="M2800" t="s">
        <v>1619</v>
      </c>
      <c r="N2800">
        <v>11.26</v>
      </c>
      <c r="O2800" s="49">
        <v>44573</v>
      </c>
      <c r="P2800" s="50">
        <v>76.823999999999998</v>
      </c>
    </row>
    <row r="2801" spans="4:16" x14ac:dyDescent="0.2">
      <c r="D2801">
        <v>100001674</v>
      </c>
      <c r="E2801" s="49">
        <v>44623</v>
      </c>
      <c r="F2801" t="s">
        <v>3475</v>
      </c>
      <c r="G2801" t="s">
        <v>2028</v>
      </c>
      <c r="H2801">
        <v>6</v>
      </c>
      <c r="I2801">
        <v>53.15</v>
      </c>
      <c r="J2801" s="50">
        <v>318.89999999999998</v>
      </c>
      <c r="K2801" t="s">
        <v>1632</v>
      </c>
      <c r="M2801" t="s">
        <v>1619</v>
      </c>
      <c r="N2801">
        <v>28.05</v>
      </c>
      <c r="O2801" s="49">
        <v>44624</v>
      </c>
      <c r="P2801" s="50">
        <v>143.505</v>
      </c>
    </row>
    <row r="2802" spans="4:16" x14ac:dyDescent="0.2">
      <c r="D2802">
        <v>100001674</v>
      </c>
      <c r="E2802" s="49">
        <v>45469</v>
      </c>
      <c r="F2802" t="s">
        <v>3475</v>
      </c>
      <c r="G2802" t="s">
        <v>1736</v>
      </c>
      <c r="H2802">
        <v>3</v>
      </c>
      <c r="I2802">
        <v>17.39</v>
      </c>
      <c r="J2802" s="50">
        <v>52.17</v>
      </c>
      <c r="K2802" t="s">
        <v>1632</v>
      </c>
      <c r="M2802" t="s">
        <v>1621</v>
      </c>
      <c r="N2802">
        <v>9.18</v>
      </c>
      <c r="O2802" s="49">
        <v>45473</v>
      </c>
      <c r="P2802" s="50">
        <v>23.476500000000001</v>
      </c>
    </row>
    <row r="2803" spans="4:16" x14ac:dyDescent="0.2">
      <c r="D2803">
        <v>100001674</v>
      </c>
      <c r="E2803" s="49">
        <v>44303</v>
      </c>
      <c r="F2803" t="s">
        <v>3475</v>
      </c>
      <c r="G2803" t="s">
        <v>2217</v>
      </c>
      <c r="H2803">
        <v>5</v>
      </c>
      <c r="I2803">
        <v>37.97</v>
      </c>
      <c r="J2803" s="50">
        <v>189.85</v>
      </c>
      <c r="K2803" t="s">
        <v>1632</v>
      </c>
      <c r="M2803" t="s">
        <v>1629</v>
      </c>
      <c r="N2803">
        <v>20.04</v>
      </c>
      <c r="O2803" s="49">
        <v>44307</v>
      </c>
      <c r="P2803" s="50">
        <v>85.432500000000005</v>
      </c>
    </row>
    <row r="2804" spans="4:16" x14ac:dyDescent="0.2">
      <c r="D2804">
        <v>100001674</v>
      </c>
      <c r="E2804" s="49">
        <v>44855</v>
      </c>
      <c r="F2804" t="s">
        <v>3475</v>
      </c>
      <c r="G2804" t="s">
        <v>1976</v>
      </c>
      <c r="H2804">
        <v>6</v>
      </c>
      <c r="I2804">
        <v>50.13</v>
      </c>
      <c r="J2804" s="50">
        <v>300.77999999999997</v>
      </c>
      <c r="K2804" t="s">
        <v>1632</v>
      </c>
      <c r="M2804" t="s">
        <v>1619</v>
      </c>
      <c r="N2804">
        <v>26.46</v>
      </c>
      <c r="O2804" s="49">
        <v>44856</v>
      </c>
      <c r="P2804" s="50">
        <v>135.351</v>
      </c>
    </row>
    <row r="2805" spans="4:16" x14ac:dyDescent="0.2">
      <c r="D2805">
        <v>100001674</v>
      </c>
      <c r="E2805" s="49">
        <v>45647</v>
      </c>
      <c r="F2805" t="s">
        <v>3475</v>
      </c>
      <c r="G2805" t="s">
        <v>1767</v>
      </c>
      <c r="H2805">
        <v>4</v>
      </c>
      <c r="I2805">
        <v>78.33</v>
      </c>
      <c r="J2805" s="50">
        <v>313.32</v>
      </c>
      <c r="K2805" t="s">
        <v>1632</v>
      </c>
      <c r="M2805" t="s">
        <v>1624</v>
      </c>
      <c r="N2805">
        <v>41.34</v>
      </c>
      <c r="O2805" s="49">
        <v>45650</v>
      </c>
      <c r="P2805" s="50">
        <v>140.994</v>
      </c>
    </row>
    <row r="2806" spans="4:16" x14ac:dyDescent="0.2">
      <c r="D2806">
        <v>100001675</v>
      </c>
      <c r="E2806" s="49">
        <v>45215</v>
      </c>
      <c r="F2806" t="s">
        <v>3476</v>
      </c>
      <c r="G2806" t="s">
        <v>2093</v>
      </c>
      <c r="H2806">
        <v>1</v>
      </c>
      <c r="I2806">
        <v>119.51</v>
      </c>
      <c r="J2806" s="50">
        <v>119.51</v>
      </c>
      <c r="K2806" t="s">
        <v>1632</v>
      </c>
      <c r="M2806" t="s">
        <v>1624</v>
      </c>
      <c r="N2806">
        <v>63.07</v>
      </c>
      <c r="O2806" s="49">
        <v>45219</v>
      </c>
      <c r="P2806" s="50">
        <v>53.779500000000006</v>
      </c>
    </row>
    <row r="2807" spans="4:16" x14ac:dyDescent="0.2">
      <c r="D2807">
        <v>100001675</v>
      </c>
      <c r="E2807" s="49">
        <v>45134</v>
      </c>
      <c r="F2807" t="s">
        <v>3476</v>
      </c>
      <c r="G2807" t="s">
        <v>1969</v>
      </c>
      <c r="H2807">
        <v>9</v>
      </c>
      <c r="I2807">
        <v>59.01</v>
      </c>
      <c r="J2807" s="50">
        <v>531.09</v>
      </c>
      <c r="K2807" t="s">
        <v>1632</v>
      </c>
      <c r="M2807" t="s">
        <v>1619</v>
      </c>
      <c r="N2807">
        <v>31.14</v>
      </c>
      <c r="O2807" s="49">
        <v>45139</v>
      </c>
      <c r="P2807" s="50">
        <v>238.99050000000003</v>
      </c>
    </row>
    <row r="2808" spans="4:16" x14ac:dyDescent="0.2">
      <c r="D2808">
        <v>100001676</v>
      </c>
      <c r="E2808" s="49">
        <v>45171</v>
      </c>
      <c r="F2808" t="s">
        <v>3477</v>
      </c>
      <c r="G2808" t="s">
        <v>2305</v>
      </c>
      <c r="H2808">
        <v>9</v>
      </c>
      <c r="I2808">
        <v>42.1</v>
      </c>
      <c r="J2808" s="50">
        <v>378.9</v>
      </c>
      <c r="K2808" t="s">
        <v>1618</v>
      </c>
      <c r="M2808" t="s">
        <v>1624</v>
      </c>
      <c r="N2808">
        <v>22.22</v>
      </c>
      <c r="O2808" s="49">
        <v>45172</v>
      </c>
      <c r="P2808" s="50">
        <v>170.505</v>
      </c>
    </row>
    <row r="2809" spans="4:16" x14ac:dyDescent="0.2">
      <c r="D2809">
        <v>100001676</v>
      </c>
      <c r="E2809" s="49">
        <v>45519</v>
      </c>
      <c r="F2809" t="s">
        <v>3477</v>
      </c>
      <c r="G2809" t="s">
        <v>2038</v>
      </c>
      <c r="H2809">
        <v>1</v>
      </c>
      <c r="I2809">
        <v>113.49</v>
      </c>
      <c r="J2809" s="50">
        <v>113.49</v>
      </c>
      <c r="K2809" t="s">
        <v>1618</v>
      </c>
      <c r="M2809" t="s">
        <v>1627</v>
      </c>
      <c r="N2809">
        <v>59.9</v>
      </c>
      <c r="O2809" s="49">
        <v>45521</v>
      </c>
      <c r="P2809" s="50">
        <v>51.070499999999996</v>
      </c>
    </row>
    <row r="2810" spans="4:16" x14ac:dyDescent="0.2">
      <c r="D2810">
        <v>100001676</v>
      </c>
      <c r="E2810" s="49">
        <v>45527</v>
      </c>
      <c r="F2810" t="s">
        <v>3477</v>
      </c>
      <c r="G2810" t="s">
        <v>1748</v>
      </c>
      <c r="H2810">
        <v>6</v>
      </c>
      <c r="I2810">
        <v>118.1</v>
      </c>
      <c r="J2810" s="50">
        <v>708.59999999999991</v>
      </c>
      <c r="K2810" t="s">
        <v>1618</v>
      </c>
      <c r="M2810" t="s">
        <v>1629</v>
      </c>
      <c r="N2810">
        <v>62.33</v>
      </c>
      <c r="O2810" s="49">
        <v>45530</v>
      </c>
      <c r="P2810" s="50">
        <v>318.86999999999995</v>
      </c>
    </row>
    <row r="2811" spans="4:16" x14ac:dyDescent="0.2">
      <c r="D2811">
        <v>100001677</v>
      </c>
      <c r="E2811" s="49">
        <v>44623</v>
      </c>
      <c r="F2811" t="s">
        <v>3478</v>
      </c>
      <c r="G2811" t="s">
        <v>2098</v>
      </c>
      <c r="H2811">
        <v>1</v>
      </c>
      <c r="I2811">
        <v>97.88</v>
      </c>
      <c r="J2811" s="50">
        <v>97.88</v>
      </c>
      <c r="K2811" t="s">
        <v>1618</v>
      </c>
      <c r="M2811" t="s">
        <v>1621</v>
      </c>
      <c r="N2811">
        <v>51.66</v>
      </c>
      <c r="O2811" s="49">
        <v>44628</v>
      </c>
      <c r="P2811" s="50">
        <v>44.045999999999999</v>
      </c>
    </row>
    <row r="2812" spans="4:16" x14ac:dyDescent="0.2">
      <c r="D2812">
        <v>100001678</v>
      </c>
      <c r="E2812" s="49">
        <v>45437</v>
      </c>
      <c r="F2812" t="s">
        <v>3479</v>
      </c>
      <c r="G2812" t="s">
        <v>1724</v>
      </c>
      <c r="H2812">
        <v>5</v>
      </c>
      <c r="I2812">
        <v>14.34</v>
      </c>
      <c r="J2812" s="50">
        <v>71.7</v>
      </c>
      <c r="K2812" t="s">
        <v>1632</v>
      </c>
      <c r="M2812" t="s">
        <v>1621</v>
      </c>
      <c r="N2812">
        <v>7.57</v>
      </c>
      <c r="O2812" s="49">
        <v>45438</v>
      </c>
      <c r="P2812" s="50">
        <v>32.265000000000001</v>
      </c>
    </row>
    <row r="2813" spans="4:16" x14ac:dyDescent="0.2">
      <c r="D2813">
        <v>100001679</v>
      </c>
      <c r="E2813" s="49">
        <v>44380</v>
      </c>
      <c r="F2813" t="s">
        <v>3480</v>
      </c>
      <c r="G2813" t="s">
        <v>1724</v>
      </c>
      <c r="H2813">
        <v>4</v>
      </c>
      <c r="I2813">
        <v>68.7</v>
      </c>
      <c r="J2813" s="50">
        <v>274.8</v>
      </c>
      <c r="K2813" t="s">
        <v>1632</v>
      </c>
      <c r="M2813" t="s">
        <v>1624</v>
      </c>
      <c r="N2813">
        <v>36.26</v>
      </c>
      <c r="O2813" s="49">
        <v>44385</v>
      </c>
      <c r="P2813" s="50">
        <v>123.66000000000001</v>
      </c>
    </row>
    <row r="2814" spans="4:16" x14ac:dyDescent="0.2">
      <c r="D2814">
        <v>100001680</v>
      </c>
      <c r="E2814" s="49">
        <v>45441</v>
      </c>
      <c r="F2814" t="s">
        <v>3481</v>
      </c>
      <c r="G2814" t="s">
        <v>2344</v>
      </c>
      <c r="H2814">
        <v>6</v>
      </c>
      <c r="I2814">
        <v>57.62</v>
      </c>
      <c r="J2814" s="50">
        <v>345.72</v>
      </c>
      <c r="K2814" t="s">
        <v>1618</v>
      </c>
      <c r="M2814" t="s">
        <v>1627</v>
      </c>
      <c r="N2814">
        <v>30.41</v>
      </c>
      <c r="O2814" s="49">
        <v>45444</v>
      </c>
      <c r="P2814" s="50">
        <v>155.57400000000001</v>
      </c>
    </row>
    <row r="2815" spans="4:16" x14ac:dyDescent="0.2">
      <c r="D2815">
        <v>100001680</v>
      </c>
      <c r="E2815" s="49">
        <v>44229</v>
      </c>
      <c r="F2815" t="s">
        <v>3481</v>
      </c>
      <c r="G2815" t="s">
        <v>2707</v>
      </c>
      <c r="H2815">
        <v>9</v>
      </c>
      <c r="I2815">
        <v>119.12</v>
      </c>
      <c r="J2815" s="50">
        <v>1072.08</v>
      </c>
      <c r="K2815" t="s">
        <v>1618</v>
      </c>
      <c r="M2815" t="s">
        <v>1624</v>
      </c>
      <c r="N2815">
        <v>62.87</v>
      </c>
      <c r="O2815" s="49">
        <v>44233</v>
      </c>
      <c r="P2815" s="50">
        <v>482.43599999999998</v>
      </c>
    </row>
    <row r="2816" spans="4:16" x14ac:dyDescent="0.2">
      <c r="D2816">
        <v>100001681</v>
      </c>
      <c r="E2816" s="49">
        <v>44884</v>
      </c>
      <c r="F2816" t="s">
        <v>3482</v>
      </c>
      <c r="G2816" t="s">
        <v>1739</v>
      </c>
      <c r="H2816">
        <v>3</v>
      </c>
      <c r="I2816">
        <v>85.4</v>
      </c>
      <c r="J2816" s="50">
        <v>256.2</v>
      </c>
      <c r="K2816" t="s">
        <v>1618</v>
      </c>
      <c r="L2816" t="s">
        <v>2680</v>
      </c>
      <c r="M2816" t="s">
        <v>1627</v>
      </c>
      <c r="N2816">
        <v>45.07</v>
      </c>
      <c r="O2816" s="49">
        <v>44888</v>
      </c>
      <c r="P2816" s="50">
        <v>115.28999999999999</v>
      </c>
    </row>
    <row r="2817" spans="4:16" x14ac:dyDescent="0.2">
      <c r="D2817">
        <v>100001681</v>
      </c>
      <c r="E2817" s="49">
        <v>44892</v>
      </c>
      <c r="F2817" t="s">
        <v>3482</v>
      </c>
      <c r="G2817" t="s">
        <v>1976</v>
      </c>
      <c r="H2817">
        <v>5</v>
      </c>
      <c r="I2817">
        <v>58.96</v>
      </c>
      <c r="J2817" s="50">
        <v>294.8</v>
      </c>
      <c r="K2817" t="s">
        <v>1618</v>
      </c>
      <c r="L2817" t="s">
        <v>2680</v>
      </c>
      <c r="M2817" t="s">
        <v>1629</v>
      </c>
      <c r="N2817">
        <v>31.12</v>
      </c>
      <c r="O2817" s="49">
        <v>44896</v>
      </c>
      <c r="P2817" s="50">
        <v>132.66</v>
      </c>
    </row>
    <row r="2818" spans="4:16" x14ac:dyDescent="0.2">
      <c r="D2818">
        <v>100001682</v>
      </c>
      <c r="E2818" s="49">
        <v>45638</v>
      </c>
      <c r="F2818" t="s">
        <v>3483</v>
      </c>
      <c r="G2818" t="s">
        <v>1738</v>
      </c>
      <c r="H2818">
        <v>1</v>
      </c>
      <c r="I2818">
        <v>48.74</v>
      </c>
      <c r="J2818" s="50">
        <v>48.74</v>
      </c>
      <c r="K2818" t="s">
        <v>1632</v>
      </c>
      <c r="M2818" t="s">
        <v>1621</v>
      </c>
      <c r="N2818">
        <v>25.72</v>
      </c>
      <c r="O2818" s="49">
        <v>45642</v>
      </c>
      <c r="P2818" s="50">
        <v>21.933</v>
      </c>
    </row>
    <row r="2819" spans="4:16" x14ac:dyDescent="0.2">
      <c r="D2819">
        <v>100001683</v>
      </c>
      <c r="E2819" s="49">
        <v>45085</v>
      </c>
      <c r="F2819" t="s">
        <v>3484</v>
      </c>
      <c r="G2819" t="s">
        <v>2480</v>
      </c>
      <c r="H2819">
        <v>8</v>
      </c>
      <c r="I2819">
        <v>48.09</v>
      </c>
      <c r="J2819" s="50">
        <v>384.72</v>
      </c>
      <c r="K2819" t="s">
        <v>1618</v>
      </c>
      <c r="M2819" t="s">
        <v>1627</v>
      </c>
      <c r="N2819">
        <v>25.38</v>
      </c>
      <c r="O2819" s="49">
        <v>45086</v>
      </c>
      <c r="P2819" s="50">
        <v>173.12400000000002</v>
      </c>
    </row>
    <row r="2820" spans="4:16" x14ac:dyDescent="0.2">
      <c r="D2820">
        <v>100001683</v>
      </c>
      <c r="E2820" s="49">
        <v>45286</v>
      </c>
      <c r="F2820" t="s">
        <v>3484</v>
      </c>
      <c r="G2820" t="s">
        <v>1971</v>
      </c>
      <c r="H2820">
        <v>4</v>
      </c>
      <c r="I2820">
        <v>48.87</v>
      </c>
      <c r="J2820" s="50">
        <v>195.48</v>
      </c>
      <c r="K2820" t="s">
        <v>1618</v>
      </c>
      <c r="M2820" t="s">
        <v>1624</v>
      </c>
      <c r="N2820">
        <v>25.79</v>
      </c>
      <c r="O2820" s="49">
        <v>45288</v>
      </c>
      <c r="P2820" s="50">
        <v>87.965999999999994</v>
      </c>
    </row>
    <row r="2821" spans="4:16" x14ac:dyDescent="0.2">
      <c r="D2821">
        <v>100001683</v>
      </c>
      <c r="E2821" s="49">
        <v>44540</v>
      </c>
      <c r="F2821" t="s">
        <v>3484</v>
      </c>
      <c r="G2821" t="s">
        <v>2136</v>
      </c>
      <c r="H2821">
        <v>9</v>
      </c>
      <c r="I2821">
        <v>55.32</v>
      </c>
      <c r="J2821" s="50">
        <v>497.88</v>
      </c>
      <c r="K2821" t="s">
        <v>1618</v>
      </c>
      <c r="M2821" t="s">
        <v>1624</v>
      </c>
      <c r="N2821">
        <v>29.2</v>
      </c>
      <c r="O2821" s="49">
        <v>44542</v>
      </c>
      <c r="P2821" s="50">
        <v>224.04599999999999</v>
      </c>
    </row>
    <row r="2822" spans="4:16" x14ac:dyDescent="0.2">
      <c r="D2822">
        <v>100001684</v>
      </c>
      <c r="E2822" s="49">
        <v>44340</v>
      </c>
      <c r="F2822" t="s">
        <v>3485</v>
      </c>
      <c r="G2822" t="s">
        <v>1729</v>
      </c>
      <c r="H2822">
        <v>6</v>
      </c>
      <c r="I2822">
        <v>62.59</v>
      </c>
      <c r="J2822" s="50">
        <v>375.54</v>
      </c>
      <c r="K2822" t="s">
        <v>1632</v>
      </c>
      <c r="M2822" t="s">
        <v>1629</v>
      </c>
      <c r="N2822">
        <v>33.03</v>
      </c>
      <c r="O2822" s="49">
        <v>44345</v>
      </c>
      <c r="P2822" s="50">
        <v>168.99300000000002</v>
      </c>
    </row>
    <row r="2823" spans="4:16" x14ac:dyDescent="0.2">
      <c r="D2823">
        <v>100001685</v>
      </c>
      <c r="E2823" s="49">
        <v>44416</v>
      </c>
      <c r="F2823" t="s">
        <v>3486</v>
      </c>
      <c r="G2823" t="s">
        <v>1700</v>
      </c>
      <c r="H2823">
        <v>4</v>
      </c>
      <c r="I2823">
        <v>104.91</v>
      </c>
      <c r="J2823" s="50">
        <v>419.64</v>
      </c>
      <c r="K2823" t="s">
        <v>1618</v>
      </c>
      <c r="M2823" t="s">
        <v>1619</v>
      </c>
      <c r="N2823">
        <v>55.37</v>
      </c>
      <c r="O2823" s="49">
        <v>44417</v>
      </c>
      <c r="P2823" s="50">
        <v>188.83799999999999</v>
      </c>
    </row>
    <row r="2824" spans="4:16" x14ac:dyDescent="0.2">
      <c r="D2824">
        <v>100001686</v>
      </c>
      <c r="E2824" s="49">
        <v>45032</v>
      </c>
      <c r="F2824" t="s">
        <v>3487</v>
      </c>
      <c r="G2824" t="s">
        <v>2103</v>
      </c>
      <c r="H2824">
        <v>9</v>
      </c>
      <c r="I2824">
        <v>66.56</v>
      </c>
      <c r="J2824" s="50">
        <v>599.04</v>
      </c>
      <c r="K2824" t="s">
        <v>1632</v>
      </c>
      <c r="M2824" t="s">
        <v>1619</v>
      </c>
      <c r="N2824">
        <v>35.130000000000003</v>
      </c>
      <c r="O2824" s="49">
        <v>45037</v>
      </c>
      <c r="P2824" s="50">
        <v>269.56799999999998</v>
      </c>
    </row>
    <row r="2825" spans="4:16" x14ac:dyDescent="0.2">
      <c r="D2825">
        <v>100001686</v>
      </c>
      <c r="E2825" s="49">
        <v>44686</v>
      </c>
      <c r="F2825" t="s">
        <v>3487</v>
      </c>
      <c r="G2825" t="s">
        <v>1631</v>
      </c>
      <c r="H2825">
        <v>3</v>
      </c>
      <c r="I2825">
        <v>85.45</v>
      </c>
      <c r="J2825" s="50">
        <v>256.35000000000002</v>
      </c>
      <c r="K2825" t="s">
        <v>1632</v>
      </c>
      <c r="M2825" t="s">
        <v>1629</v>
      </c>
      <c r="N2825">
        <v>45.1</v>
      </c>
      <c r="O2825" s="49">
        <v>44687</v>
      </c>
      <c r="P2825" s="50">
        <v>115.35750000000002</v>
      </c>
    </row>
    <row r="2826" spans="4:16" x14ac:dyDescent="0.2">
      <c r="D2826">
        <v>100001686</v>
      </c>
      <c r="E2826" s="49">
        <v>44674</v>
      </c>
      <c r="F2826" t="s">
        <v>3487</v>
      </c>
      <c r="G2826" t="s">
        <v>1731</v>
      </c>
      <c r="H2826">
        <v>9</v>
      </c>
      <c r="I2826">
        <v>91.85</v>
      </c>
      <c r="J2826" s="50">
        <v>826.65</v>
      </c>
      <c r="K2826" t="s">
        <v>1632</v>
      </c>
      <c r="M2826" t="s">
        <v>1619</v>
      </c>
      <c r="N2826">
        <v>48.48</v>
      </c>
      <c r="O2826" s="49">
        <v>44678</v>
      </c>
      <c r="P2826" s="50">
        <v>371.99250000000001</v>
      </c>
    </row>
    <row r="2827" spans="4:16" x14ac:dyDescent="0.2">
      <c r="D2827">
        <v>100001686</v>
      </c>
      <c r="E2827" s="49">
        <v>44612</v>
      </c>
      <c r="F2827" t="s">
        <v>3487</v>
      </c>
      <c r="G2827" t="s">
        <v>2465</v>
      </c>
      <c r="H2827">
        <v>2</v>
      </c>
      <c r="I2827">
        <v>87.97</v>
      </c>
      <c r="J2827" s="50">
        <v>175.94</v>
      </c>
      <c r="K2827" t="s">
        <v>1632</v>
      </c>
      <c r="M2827" t="s">
        <v>1629</v>
      </c>
      <c r="N2827">
        <v>46.43</v>
      </c>
      <c r="O2827" s="49">
        <v>44617</v>
      </c>
      <c r="P2827" s="50">
        <v>79.173000000000002</v>
      </c>
    </row>
    <row r="2828" spans="4:16" x14ac:dyDescent="0.2">
      <c r="D2828">
        <v>100001688</v>
      </c>
      <c r="E2828" s="49">
        <v>45550</v>
      </c>
      <c r="F2828" t="s">
        <v>3488</v>
      </c>
      <c r="G2828" t="s">
        <v>1833</v>
      </c>
      <c r="H2828">
        <v>10</v>
      </c>
      <c r="I2828">
        <v>52.6</v>
      </c>
      <c r="J2828" s="50">
        <v>526</v>
      </c>
      <c r="K2828" t="s">
        <v>1618</v>
      </c>
      <c r="L2828" t="s">
        <v>3489</v>
      </c>
      <c r="M2828" t="s">
        <v>1619</v>
      </c>
      <c r="N2828">
        <v>27.76</v>
      </c>
      <c r="O2828" s="49">
        <v>45552</v>
      </c>
      <c r="P2828" s="50">
        <v>236.70000000000002</v>
      </c>
    </row>
    <row r="2829" spans="4:16" x14ac:dyDescent="0.2">
      <c r="D2829">
        <v>100001689</v>
      </c>
      <c r="E2829" s="49">
        <v>45073</v>
      </c>
      <c r="F2829" t="s">
        <v>3490</v>
      </c>
      <c r="G2829" t="s">
        <v>1924</v>
      </c>
      <c r="H2829">
        <v>9</v>
      </c>
      <c r="I2829">
        <v>94.39</v>
      </c>
      <c r="J2829" s="50">
        <v>849.51</v>
      </c>
      <c r="K2829" t="s">
        <v>1618</v>
      </c>
      <c r="M2829" t="s">
        <v>1619</v>
      </c>
      <c r="N2829">
        <v>49.82</v>
      </c>
      <c r="O2829" s="49">
        <v>45078</v>
      </c>
      <c r="P2829" s="50">
        <v>382.27949999999998</v>
      </c>
    </row>
    <row r="2830" spans="4:16" x14ac:dyDescent="0.2">
      <c r="D2830">
        <v>100001689</v>
      </c>
      <c r="E2830" s="49">
        <v>45146</v>
      </c>
      <c r="F2830" t="s">
        <v>3490</v>
      </c>
      <c r="G2830" t="s">
        <v>3135</v>
      </c>
      <c r="H2830">
        <v>9</v>
      </c>
      <c r="I2830">
        <v>64.97</v>
      </c>
      <c r="J2830" s="50">
        <v>584.73</v>
      </c>
      <c r="K2830" t="s">
        <v>1618</v>
      </c>
      <c r="M2830" t="s">
        <v>1624</v>
      </c>
      <c r="N2830">
        <v>34.29</v>
      </c>
      <c r="O2830" s="49">
        <v>45150</v>
      </c>
      <c r="P2830" s="50">
        <v>263.12850000000003</v>
      </c>
    </row>
    <row r="2831" spans="4:16" x14ac:dyDescent="0.2">
      <c r="D2831">
        <v>100001689</v>
      </c>
      <c r="E2831" s="49">
        <v>44448</v>
      </c>
      <c r="F2831" t="s">
        <v>3490</v>
      </c>
      <c r="G2831" t="s">
        <v>2344</v>
      </c>
      <c r="H2831">
        <v>6</v>
      </c>
      <c r="I2831">
        <v>60.06</v>
      </c>
      <c r="J2831" s="50">
        <v>360.36</v>
      </c>
      <c r="K2831" t="s">
        <v>1618</v>
      </c>
      <c r="M2831" t="s">
        <v>1624</v>
      </c>
      <c r="N2831">
        <v>31.7</v>
      </c>
      <c r="O2831" s="49">
        <v>44451</v>
      </c>
      <c r="P2831" s="50">
        <v>162.16200000000001</v>
      </c>
    </row>
    <row r="2832" spans="4:16" x14ac:dyDescent="0.2">
      <c r="D2832">
        <v>100001690</v>
      </c>
      <c r="E2832" s="49">
        <v>44909</v>
      </c>
      <c r="F2832" t="s">
        <v>3491</v>
      </c>
      <c r="G2832" t="s">
        <v>1721</v>
      </c>
      <c r="H2832">
        <v>10</v>
      </c>
      <c r="I2832">
        <v>96.27</v>
      </c>
      <c r="J2832" s="50">
        <v>962.69999999999993</v>
      </c>
      <c r="K2832" t="s">
        <v>1618</v>
      </c>
      <c r="M2832" t="s">
        <v>1621</v>
      </c>
      <c r="N2832">
        <v>50.81</v>
      </c>
      <c r="O2832" s="49">
        <v>44911</v>
      </c>
      <c r="P2832" s="50">
        <v>433.21499999999997</v>
      </c>
    </row>
    <row r="2833" spans="4:16" x14ac:dyDescent="0.2">
      <c r="D2833">
        <v>100001690</v>
      </c>
      <c r="E2833" s="49">
        <v>45624</v>
      </c>
      <c r="F2833" t="s">
        <v>3491</v>
      </c>
      <c r="G2833" t="s">
        <v>1982</v>
      </c>
      <c r="H2833">
        <v>10</v>
      </c>
      <c r="I2833">
        <v>41.84</v>
      </c>
      <c r="J2833" s="50">
        <v>418.4</v>
      </c>
      <c r="K2833" t="s">
        <v>1618</v>
      </c>
      <c r="M2833" t="s">
        <v>1624</v>
      </c>
      <c r="N2833">
        <v>22.08</v>
      </c>
      <c r="O2833" s="49">
        <v>45628</v>
      </c>
      <c r="P2833" s="50">
        <v>188.28</v>
      </c>
    </row>
    <row r="2834" spans="4:16" x14ac:dyDescent="0.2">
      <c r="D2834">
        <v>100001691</v>
      </c>
      <c r="E2834" s="49">
        <v>45370</v>
      </c>
      <c r="F2834" t="s">
        <v>3492</v>
      </c>
      <c r="G2834" t="s">
        <v>1947</v>
      </c>
      <c r="H2834">
        <v>9</v>
      </c>
      <c r="I2834">
        <v>44</v>
      </c>
      <c r="J2834" s="50">
        <v>396</v>
      </c>
      <c r="K2834" t="s">
        <v>1618</v>
      </c>
      <c r="M2834" t="s">
        <v>1624</v>
      </c>
      <c r="N2834">
        <v>23.22</v>
      </c>
      <c r="O2834" s="49">
        <v>45374</v>
      </c>
      <c r="P2834" s="50">
        <v>178.20000000000002</v>
      </c>
    </row>
    <row r="2835" spans="4:16" x14ac:dyDescent="0.2">
      <c r="D2835">
        <v>100001691</v>
      </c>
      <c r="E2835" s="49">
        <v>44942</v>
      </c>
      <c r="F2835" t="s">
        <v>3492</v>
      </c>
      <c r="G2835" t="s">
        <v>1953</v>
      </c>
      <c r="H2835">
        <v>3</v>
      </c>
      <c r="I2835">
        <v>72.66</v>
      </c>
      <c r="J2835" s="50">
        <v>217.98</v>
      </c>
      <c r="K2835" t="s">
        <v>1618</v>
      </c>
      <c r="M2835" t="s">
        <v>1629</v>
      </c>
      <c r="N2835">
        <v>38.35</v>
      </c>
      <c r="O2835" s="49">
        <v>44945</v>
      </c>
      <c r="P2835" s="50">
        <v>98.090999999999994</v>
      </c>
    </row>
    <row r="2836" spans="4:16" x14ac:dyDescent="0.2">
      <c r="D2836">
        <v>100001691</v>
      </c>
      <c r="E2836" s="49">
        <v>44883</v>
      </c>
      <c r="F2836" t="s">
        <v>3492</v>
      </c>
      <c r="G2836" t="s">
        <v>1650</v>
      </c>
      <c r="H2836">
        <v>8</v>
      </c>
      <c r="I2836">
        <v>24.66</v>
      </c>
      <c r="J2836" s="50">
        <v>197.28</v>
      </c>
      <c r="K2836" t="s">
        <v>1618</v>
      </c>
      <c r="M2836" t="s">
        <v>1627</v>
      </c>
      <c r="N2836">
        <v>13.01</v>
      </c>
      <c r="O2836" s="49">
        <v>44887</v>
      </c>
      <c r="P2836" s="50">
        <v>88.775999999999996</v>
      </c>
    </row>
    <row r="2837" spans="4:16" x14ac:dyDescent="0.2">
      <c r="D2837">
        <v>100001692</v>
      </c>
      <c r="E2837" s="49">
        <v>45355</v>
      </c>
      <c r="F2837" t="s">
        <v>2931</v>
      </c>
      <c r="G2837" t="s">
        <v>1722</v>
      </c>
      <c r="H2837">
        <v>10</v>
      </c>
      <c r="I2837">
        <v>104.84</v>
      </c>
      <c r="J2837" s="50">
        <v>1048.4000000000001</v>
      </c>
      <c r="K2837" t="s">
        <v>1618</v>
      </c>
      <c r="M2837" t="s">
        <v>1621</v>
      </c>
      <c r="N2837">
        <v>55.33</v>
      </c>
      <c r="O2837" s="49">
        <v>45360</v>
      </c>
      <c r="P2837" s="50">
        <v>471.78000000000003</v>
      </c>
    </row>
    <row r="2838" spans="4:16" x14ac:dyDescent="0.2">
      <c r="D2838">
        <v>100001692</v>
      </c>
      <c r="E2838" s="49">
        <v>44563</v>
      </c>
      <c r="F2838" t="s">
        <v>2931</v>
      </c>
      <c r="G2838" t="s">
        <v>2628</v>
      </c>
      <c r="H2838">
        <v>10</v>
      </c>
      <c r="I2838">
        <v>49.93</v>
      </c>
      <c r="J2838" s="50">
        <v>499.3</v>
      </c>
      <c r="K2838" t="s">
        <v>1618</v>
      </c>
      <c r="M2838" t="s">
        <v>1619</v>
      </c>
      <c r="N2838">
        <v>26.35</v>
      </c>
      <c r="O2838" s="49">
        <v>44564</v>
      </c>
      <c r="P2838" s="50">
        <v>224.685</v>
      </c>
    </row>
    <row r="2839" spans="4:16" x14ac:dyDescent="0.2">
      <c r="D2839">
        <v>100001693</v>
      </c>
      <c r="E2839" s="49">
        <v>44233</v>
      </c>
      <c r="F2839" t="s">
        <v>3493</v>
      </c>
      <c r="G2839" t="s">
        <v>1967</v>
      </c>
      <c r="H2839">
        <v>10</v>
      </c>
      <c r="I2839">
        <v>83.92</v>
      </c>
      <c r="J2839" s="50">
        <v>839.2</v>
      </c>
      <c r="K2839" t="s">
        <v>1618</v>
      </c>
      <c r="L2839" t="s">
        <v>3414</v>
      </c>
      <c r="M2839" t="s">
        <v>1619</v>
      </c>
      <c r="N2839">
        <v>44.29</v>
      </c>
      <c r="O2839" s="49">
        <v>44235</v>
      </c>
      <c r="P2839" s="50">
        <v>377.64000000000004</v>
      </c>
    </row>
    <row r="2840" spans="4:16" x14ac:dyDescent="0.2">
      <c r="D2840">
        <v>100001693</v>
      </c>
      <c r="E2840" s="49">
        <v>45092</v>
      </c>
      <c r="F2840" t="s">
        <v>3493</v>
      </c>
      <c r="G2840" t="s">
        <v>2093</v>
      </c>
      <c r="H2840">
        <v>3</v>
      </c>
      <c r="I2840">
        <v>102.54</v>
      </c>
      <c r="J2840" s="50">
        <v>307.62</v>
      </c>
      <c r="K2840" t="s">
        <v>1618</v>
      </c>
      <c r="L2840" t="s">
        <v>3414</v>
      </c>
      <c r="M2840" t="s">
        <v>1621</v>
      </c>
      <c r="N2840">
        <v>54.12</v>
      </c>
      <c r="O2840" s="49">
        <v>45095</v>
      </c>
      <c r="P2840" s="50">
        <v>138.429</v>
      </c>
    </row>
    <row r="2841" spans="4:16" x14ac:dyDescent="0.2">
      <c r="D2841">
        <v>100001693</v>
      </c>
      <c r="E2841" s="49">
        <v>45272</v>
      </c>
      <c r="F2841" t="s">
        <v>3493</v>
      </c>
      <c r="G2841" t="s">
        <v>1834</v>
      </c>
      <c r="H2841">
        <v>10</v>
      </c>
      <c r="I2841">
        <v>98.8</v>
      </c>
      <c r="J2841" s="50">
        <v>988</v>
      </c>
      <c r="K2841" t="s">
        <v>1618</v>
      </c>
      <c r="L2841" t="s">
        <v>3414</v>
      </c>
      <c r="M2841" t="s">
        <v>1629</v>
      </c>
      <c r="N2841">
        <v>52.14</v>
      </c>
      <c r="O2841" s="49">
        <v>45274</v>
      </c>
      <c r="P2841" s="50">
        <v>444.6</v>
      </c>
    </row>
    <row r="2842" spans="4:16" x14ac:dyDescent="0.2">
      <c r="D2842">
        <v>100001693</v>
      </c>
      <c r="E2842" s="49">
        <v>44805</v>
      </c>
      <c r="F2842" t="s">
        <v>3493</v>
      </c>
      <c r="G2842" t="s">
        <v>1646</v>
      </c>
      <c r="H2842">
        <v>1</v>
      </c>
      <c r="I2842">
        <v>63.29</v>
      </c>
      <c r="J2842" s="50">
        <v>63.29</v>
      </c>
      <c r="K2842" t="s">
        <v>1618</v>
      </c>
      <c r="L2842" t="s">
        <v>3414</v>
      </c>
      <c r="M2842" t="s">
        <v>1627</v>
      </c>
      <c r="N2842">
        <v>33.4</v>
      </c>
      <c r="O2842" s="49">
        <v>44808</v>
      </c>
      <c r="P2842" s="50">
        <v>28.480499999999999</v>
      </c>
    </row>
    <row r="2843" spans="4:16" x14ac:dyDescent="0.2">
      <c r="D2843">
        <v>100001693</v>
      </c>
      <c r="E2843" s="49">
        <v>44571</v>
      </c>
      <c r="F2843" t="s">
        <v>3493</v>
      </c>
      <c r="G2843" t="s">
        <v>1729</v>
      </c>
      <c r="H2843">
        <v>10</v>
      </c>
      <c r="I2843">
        <v>26.47</v>
      </c>
      <c r="J2843" s="50">
        <v>264.7</v>
      </c>
      <c r="K2843" t="s">
        <v>1618</v>
      </c>
      <c r="L2843" t="s">
        <v>3414</v>
      </c>
      <c r="M2843" t="s">
        <v>1629</v>
      </c>
      <c r="N2843">
        <v>13.97</v>
      </c>
      <c r="O2843" s="49">
        <v>44576</v>
      </c>
      <c r="P2843" s="50">
        <v>119.11499999999999</v>
      </c>
    </row>
    <row r="2844" spans="4:16" x14ac:dyDescent="0.2">
      <c r="D2844">
        <v>100001693</v>
      </c>
      <c r="E2844" s="49">
        <v>44210</v>
      </c>
      <c r="F2844" t="s">
        <v>3493</v>
      </c>
      <c r="G2844" t="s">
        <v>1901</v>
      </c>
      <c r="H2844">
        <v>4</v>
      </c>
      <c r="I2844">
        <v>55.36</v>
      </c>
      <c r="J2844" s="50">
        <v>221.44</v>
      </c>
      <c r="K2844" t="s">
        <v>1618</v>
      </c>
      <c r="L2844" t="s">
        <v>3414</v>
      </c>
      <c r="M2844" t="s">
        <v>1624</v>
      </c>
      <c r="N2844">
        <v>29.22</v>
      </c>
      <c r="O2844" s="49">
        <v>44212</v>
      </c>
      <c r="P2844" s="50">
        <v>99.647999999999996</v>
      </c>
    </row>
    <row r="2845" spans="4:16" x14ac:dyDescent="0.2">
      <c r="D2845">
        <v>100001693</v>
      </c>
      <c r="E2845" s="49">
        <v>44781</v>
      </c>
      <c r="F2845" t="s">
        <v>3493</v>
      </c>
      <c r="G2845" t="s">
        <v>1738</v>
      </c>
      <c r="H2845">
        <v>9</v>
      </c>
      <c r="I2845">
        <v>110.43</v>
      </c>
      <c r="J2845" s="50">
        <v>993.87000000000012</v>
      </c>
      <c r="K2845" t="s">
        <v>1618</v>
      </c>
      <c r="L2845" t="s">
        <v>3414</v>
      </c>
      <c r="M2845" t="s">
        <v>1627</v>
      </c>
      <c r="N2845">
        <v>58.28</v>
      </c>
      <c r="O2845" s="49">
        <v>44783</v>
      </c>
      <c r="P2845" s="50">
        <v>447.24150000000009</v>
      </c>
    </row>
    <row r="2846" spans="4:16" x14ac:dyDescent="0.2">
      <c r="D2846">
        <v>100001694</v>
      </c>
      <c r="E2846" s="49">
        <v>45579</v>
      </c>
      <c r="F2846" t="s">
        <v>3494</v>
      </c>
      <c r="G2846" t="s">
        <v>1702</v>
      </c>
      <c r="H2846">
        <v>10</v>
      </c>
      <c r="I2846">
        <v>76.02</v>
      </c>
      <c r="J2846" s="50">
        <v>760.19999999999993</v>
      </c>
      <c r="K2846" t="s">
        <v>1632</v>
      </c>
      <c r="M2846" t="s">
        <v>1619</v>
      </c>
      <c r="N2846">
        <v>40.119999999999997</v>
      </c>
      <c r="O2846" s="49">
        <v>45581</v>
      </c>
      <c r="P2846" s="50">
        <v>342.09</v>
      </c>
    </row>
    <row r="2847" spans="4:16" x14ac:dyDescent="0.2">
      <c r="D2847">
        <v>100001694</v>
      </c>
      <c r="E2847" s="49">
        <v>44866</v>
      </c>
      <c r="F2847" t="s">
        <v>3494</v>
      </c>
      <c r="G2847" t="s">
        <v>1655</v>
      </c>
      <c r="H2847">
        <v>7</v>
      </c>
      <c r="I2847">
        <v>25.76</v>
      </c>
      <c r="J2847" s="50">
        <v>180.32</v>
      </c>
      <c r="K2847" t="s">
        <v>1632</v>
      </c>
      <c r="M2847" t="s">
        <v>1619</v>
      </c>
      <c r="N2847">
        <v>13.6</v>
      </c>
      <c r="O2847" s="49">
        <v>44867</v>
      </c>
      <c r="P2847" s="50">
        <v>81.144000000000005</v>
      </c>
    </row>
    <row r="2848" spans="4:16" x14ac:dyDescent="0.2">
      <c r="D2848">
        <v>100001694</v>
      </c>
      <c r="E2848" s="49">
        <v>44613</v>
      </c>
      <c r="F2848" t="s">
        <v>3494</v>
      </c>
      <c r="G2848" t="s">
        <v>1681</v>
      </c>
      <c r="H2848">
        <v>5</v>
      </c>
      <c r="I2848">
        <v>112.22</v>
      </c>
      <c r="J2848" s="50">
        <v>561.1</v>
      </c>
      <c r="K2848" t="s">
        <v>1632</v>
      </c>
      <c r="M2848" t="s">
        <v>1629</v>
      </c>
      <c r="N2848">
        <v>59.23</v>
      </c>
      <c r="O2848" s="49">
        <v>44614</v>
      </c>
      <c r="P2848" s="50">
        <v>252.495</v>
      </c>
    </row>
    <row r="2849" spans="4:16" x14ac:dyDescent="0.2">
      <c r="D2849">
        <v>100001695</v>
      </c>
      <c r="E2849" s="49">
        <v>44548</v>
      </c>
      <c r="F2849" t="s">
        <v>3495</v>
      </c>
      <c r="G2849" t="s">
        <v>1971</v>
      </c>
      <c r="H2849">
        <v>1</v>
      </c>
      <c r="I2849">
        <v>74.83</v>
      </c>
      <c r="J2849" s="50">
        <v>74.83</v>
      </c>
      <c r="K2849" t="s">
        <v>1618</v>
      </c>
      <c r="M2849" t="s">
        <v>1627</v>
      </c>
      <c r="N2849">
        <v>39.49</v>
      </c>
      <c r="O2849" s="49">
        <v>44552</v>
      </c>
      <c r="P2849" s="50">
        <v>33.673499999999997</v>
      </c>
    </row>
    <row r="2850" spans="4:16" x14ac:dyDescent="0.2">
      <c r="D2850">
        <v>100001696</v>
      </c>
      <c r="E2850" s="49">
        <v>45032</v>
      </c>
      <c r="F2850" t="s">
        <v>3496</v>
      </c>
      <c r="G2850" t="s">
        <v>2373</v>
      </c>
      <c r="H2850">
        <v>5</v>
      </c>
      <c r="I2850">
        <v>87.93</v>
      </c>
      <c r="J2850" s="50">
        <v>439.65</v>
      </c>
      <c r="K2850" t="s">
        <v>1632</v>
      </c>
      <c r="M2850" t="s">
        <v>1619</v>
      </c>
      <c r="N2850">
        <v>46.41</v>
      </c>
      <c r="O2850" s="49">
        <v>45034</v>
      </c>
      <c r="P2850" s="50">
        <v>197.8425</v>
      </c>
    </row>
    <row r="2851" spans="4:16" x14ac:dyDescent="0.2">
      <c r="D2851">
        <v>100001697</v>
      </c>
      <c r="E2851" s="49">
        <v>45336</v>
      </c>
      <c r="F2851" t="s">
        <v>3497</v>
      </c>
      <c r="G2851" t="s">
        <v>1626</v>
      </c>
      <c r="H2851">
        <v>2</v>
      </c>
      <c r="I2851">
        <v>95.08</v>
      </c>
      <c r="J2851" s="50">
        <v>190.16</v>
      </c>
      <c r="K2851" t="s">
        <v>1632</v>
      </c>
      <c r="M2851" t="s">
        <v>1627</v>
      </c>
      <c r="N2851">
        <v>50.18</v>
      </c>
      <c r="O2851" s="49">
        <v>45338</v>
      </c>
      <c r="P2851" s="50">
        <v>85.572000000000003</v>
      </c>
    </row>
    <row r="2852" spans="4:16" x14ac:dyDescent="0.2">
      <c r="D2852">
        <v>100001698</v>
      </c>
      <c r="E2852" s="49">
        <v>45304</v>
      </c>
      <c r="F2852" t="s">
        <v>3498</v>
      </c>
      <c r="G2852" t="s">
        <v>2057</v>
      </c>
      <c r="H2852">
        <v>8</v>
      </c>
      <c r="I2852">
        <v>98.31</v>
      </c>
      <c r="J2852" s="50">
        <v>786.48</v>
      </c>
      <c r="K2852" t="s">
        <v>1632</v>
      </c>
      <c r="M2852" t="s">
        <v>1624</v>
      </c>
      <c r="N2852">
        <v>51.89</v>
      </c>
      <c r="O2852" s="49">
        <v>45307</v>
      </c>
      <c r="P2852" s="50">
        <v>353.916</v>
      </c>
    </row>
    <row r="2853" spans="4:16" x14ac:dyDescent="0.2">
      <c r="D2853">
        <v>100001698</v>
      </c>
      <c r="E2853" s="49">
        <v>44597</v>
      </c>
      <c r="F2853" t="s">
        <v>3498</v>
      </c>
      <c r="G2853" t="s">
        <v>1620</v>
      </c>
      <c r="H2853">
        <v>6</v>
      </c>
      <c r="I2853">
        <v>118.21</v>
      </c>
      <c r="J2853" s="50">
        <v>709.26</v>
      </c>
      <c r="K2853" t="s">
        <v>1632</v>
      </c>
      <c r="M2853" t="s">
        <v>1621</v>
      </c>
      <c r="N2853">
        <v>62.39</v>
      </c>
      <c r="O2853" s="49">
        <v>44599</v>
      </c>
      <c r="P2853" s="50">
        <v>319.16700000000003</v>
      </c>
    </row>
    <row r="2854" spans="4:16" x14ac:dyDescent="0.2">
      <c r="D2854">
        <v>100001698</v>
      </c>
      <c r="E2854" s="49">
        <v>44517</v>
      </c>
      <c r="F2854" t="s">
        <v>3498</v>
      </c>
      <c r="G2854" t="s">
        <v>2086</v>
      </c>
      <c r="H2854">
        <v>6</v>
      </c>
      <c r="I2854">
        <v>69.94</v>
      </c>
      <c r="J2854" s="50">
        <v>419.64</v>
      </c>
      <c r="K2854" t="s">
        <v>1632</v>
      </c>
      <c r="M2854" t="s">
        <v>1624</v>
      </c>
      <c r="N2854">
        <v>36.909999999999997</v>
      </c>
      <c r="O2854" s="49">
        <v>44518</v>
      </c>
      <c r="P2854" s="50">
        <v>188.83799999999999</v>
      </c>
    </row>
    <row r="2855" spans="4:16" x14ac:dyDescent="0.2">
      <c r="D2855">
        <v>100001698</v>
      </c>
      <c r="E2855" s="49">
        <v>44802</v>
      </c>
      <c r="F2855" t="s">
        <v>3498</v>
      </c>
      <c r="G2855" t="s">
        <v>2090</v>
      </c>
      <c r="H2855">
        <v>6</v>
      </c>
      <c r="I2855">
        <v>68.5</v>
      </c>
      <c r="J2855" s="50">
        <v>411</v>
      </c>
      <c r="K2855" t="s">
        <v>1632</v>
      </c>
      <c r="M2855" t="s">
        <v>1621</v>
      </c>
      <c r="N2855">
        <v>36.15</v>
      </c>
      <c r="O2855" s="49">
        <v>44805</v>
      </c>
      <c r="P2855" s="50">
        <v>184.95000000000002</v>
      </c>
    </row>
    <row r="2856" spans="4:16" x14ac:dyDescent="0.2">
      <c r="D2856">
        <v>100001699</v>
      </c>
      <c r="E2856" s="49">
        <v>44931</v>
      </c>
      <c r="F2856" t="s">
        <v>3499</v>
      </c>
      <c r="G2856" t="s">
        <v>2480</v>
      </c>
      <c r="H2856">
        <v>8</v>
      </c>
      <c r="I2856">
        <v>80.39</v>
      </c>
      <c r="J2856" s="50">
        <v>643.12</v>
      </c>
      <c r="K2856" t="s">
        <v>1632</v>
      </c>
      <c r="M2856" t="s">
        <v>1624</v>
      </c>
      <c r="N2856">
        <v>42.43</v>
      </c>
      <c r="O2856" s="49">
        <v>44936</v>
      </c>
      <c r="P2856" s="50">
        <v>289.404</v>
      </c>
    </row>
    <row r="2857" spans="4:16" x14ac:dyDescent="0.2">
      <c r="D2857">
        <v>100001699</v>
      </c>
      <c r="E2857" s="49">
        <v>45542</v>
      </c>
      <c r="F2857" t="s">
        <v>3499</v>
      </c>
      <c r="G2857" t="s">
        <v>1687</v>
      </c>
      <c r="H2857">
        <v>6</v>
      </c>
      <c r="I2857">
        <v>25.88</v>
      </c>
      <c r="J2857" s="50">
        <v>155.28</v>
      </c>
      <c r="K2857" t="s">
        <v>1632</v>
      </c>
      <c r="M2857" t="s">
        <v>1629</v>
      </c>
      <c r="N2857">
        <v>13.66</v>
      </c>
      <c r="O2857" s="49">
        <v>45545</v>
      </c>
      <c r="P2857" s="50">
        <v>69.876000000000005</v>
      </c>
    </row>
    <row r="2858" spans="4:16" x14ac:dyDescent="0.2">
      <c r="D2858">
        <v>100001700</v>
      </c>
      <c r="E2858" s="49">
        <v>44536</v>
      </c>
      <c r="F2858" t="s">
        <v>3500</v>
      </c>
      <c r="G2858" t="s">
        <v>2213</v>
      </c>
      <c r="H2858">
        <v>3</v>
      </c>
      <c r="I2858">
        <v>61.37</v>
      </c>
      <c r="J2858" s="50">
        <v>184.11</v>
      </c>
      <c r="K2858" t="s">
        <v>1632</v>
      </c>
      <c r="M2858" t="s">
        <v>1621</v>
      </c>
      <c r="N2858">
        <v>32.39</v>
      </c>
      <c r="O2858" s="49">
        <v>44540</v>
      </c>
      <c r="P2858" s="50">
        <v>82.849500000000006</v>
      </c>
    </row>
    <row r="2859" spans="4:16" x14ac:dyDescent="0.2">
      <c r="D2859">
        <v>100001702</v>
      </c>
      <c r="E2859" s="49">
        <v>45243</v>
      </c>
      <c r="F2859" t="s">
        <v>3501</v>
      </c>
      <c r="G2859" t="s">
        <v>2062</v>
      </c>
      <c r="H2859">
        <v>8</v>
      </c>
      <c r="I2859">
        <v>26.21</v>
      </c>
      <c r="J2859" s="50">
        <v>209.68</v>
      </c>
      <c r="K2859" t="s">
        <v>1618</v>
      </c>
      <c r="M2859" t="s">
        <v>1629</v>
      </c>
      <c r="N2859">
        <v>13.83</v>
      </c>
      <c r="O2859" s="49">
        <v>45244</v>
      </c>
      <c r="P2859" s="50">
        <v>94.356000000000009</v>
      </c>
    </row>
    <row r="2860" spans="4:16" x14ac:dyDescent="0.2">
      <c r="D2860">
        <v>100001703</v>
      </c>
      <c r="E2860" s="49">
        <v>45253</v>
      </c>
      <c r="F2860" t="s">
        <v>3502</v>
      </c>
      <c r="G2860" t="s">
        <v>1902</v>
      </c>
      <c r="H2860">
        <v>9</v>
      </c>
      <c r="I2860">
        <v>98.28</v>
      </c>
      <c r="J2860" s="50">
        <v>884.52</v>
      </c>
      <c r="K2860" t="s">
        <v>1632</v>
      </c>
      <c r="M2860" t="s">
        <v>1627</v>
      </c>
      <c r="N2860">
        <v>51.87</v>
      </c>
      <c r="O2860" s="49">
        <v>45257</v>
      </c>
      <c r="P2860" s="50">
        <v>398.03399999999999</v>
      </c>
    </row>
    <row r="2861" spans="4:16" x14ac:dyDescent="0.2">
      <c r="D2861">
        <v>100001703</v>
      </c>
      <c r="E2861" s="49">
        <v>45542</v>
      </c>
      <c r="F2861" t="s">
        <v>3502</v>
      </c>
      <c r="G2861" t="s">
        <v>2633</v>
      </c>
      <c r="H2861">
        <v>8</v>
      </c>
      <c r="I2861">
        <v>27.49</v>
      </c>
      <c r="J2861" s="50">
        <v>219.92</v>
      </c>
      <c r="K2861" t="s">
        <v>1632</v>
      </c>
      <c r="M2861" t="s">
        <v>1621</v>
      </c>
      <c r="N2861">
        <v>14.51</v>
      </c>
      <c r="O2861" s="49">
        <v>45547</v>
      </c>
      <c r="P2861" s="50">
        <v>98.963999999999999</v>
      </c>
    </row>
    <row r="2862" spans="4:16" x14ac:dyDescent="0.2">
      <c r="D2862">
        <v>100001703</v>
      </c>
      <c r="E2862" s="49">
        <v>45414</v>
      </c>
      <c r="F2862" t="s">
        <v>3502</v>
      </c>
      <c r="G2862" t="s">
        <v>1650</v>
      </c>
      <c r="H2862">
        <v>4</v>
      </c>
      <c r="I2862">
        <v>46.83</v>
      </c>
      <c r="J2862" s="50">
        <v>187.32</v>
      </c>
      <c r="K2862" t="s">
        <v>1632</v>
      </c>
      <c r="M2862" t="s">
        <v>1621</v>
      </c>
      <c r="N2862">
        <v>24.72</v>
      </c>
      <c r="O2862" s="49">
        <v>45416</v>
      </c>
      <c r="P2862" s="50">
        <v>84.293999999999997</v>
      </c>
    </row>
    <row r="2863" spans="4:16" x14ac:dyDescent="0.2">
      <c r="D2863">
        <v>100001703</v>
      </c>
      <c r="E2863" s="49">
        <v>44587</v>
      </c>
      <c r="F2863" t="s">
        <v>3502</v>
      </c>
      <c r="G2863" t="s">
        <v>1729</v>
      </c>
      <c r="H2863">
        <v>9</v>
      </c>
      <c r="I2863">
        <v>24.54</v>
      </c>
      <c r="J2863" s="50">
        <v>220.86</v>
      </c>
      <c r="K2863" t="s">
        <v>1632</v>
      </c>
      <c r="M2863" t="s">
        <v>1627</v>
      </c>
      <c r="N2863">
        <v>12.95</v>
      </c>
      <c r="O2863" s="49">
        <v>44590</v>
      </c>
      <c r="P2863" s="50">
        <v>99.387000000000015</v>
      </c>
    </row>
    <row r="2864" spans="4:16" x14ac:dyDescent="0.2">
      <c r="D2864">
        <v>100001704</v>
      </c>
      <c r="E2864" s="49">
        <v>45460</v>
      </c>
      <c r="F2864" t="s">
        <v>3503</v>
      </c>
      <c r="G2864" t="s">
        <v>1841</v>
      </c>
      <c r="H2864">
        <v>4</v>
      </c>
      <c r="I2864">
        <v>27.01</v>
      </c>
      <c r="J2864" s="50">
        <v>108.04</v>
      </c>
      <c r="K2864" t="s">
        <v>1618</v>
      </c>
      <c r="M2864" t="s">
        <v>1629</v>
      </c>
      <c r="N2864">
        <v>14.26</v>
      </c>
      <c r="O2864" s="49">
        <v>45462</v>
      </c>
      <c r="P2864" s="50">
        <v>48.618000000000002</v>
      </c>
    </row>
    <row r="2865" spans="4:16" x14ac:dyDescent="0.2">
      <c r="D2865">
        <v>100001704</v>
      </c>
      <c r="E2865" s="49">
        <v>45490</v>
      </c>
      <c r="F2865" t="s">
        <v>3503</v>
      </c>
      <c r="G2865" t="s">
        <v>1752</v>
      </c>
      <c r="H2865">
        <v>9</v>
      </c>
      <c r="I2865">
        <v>76.63</v>
      </c>
      <c r="J2865" s="50">
        <v>689.67</v>
      </c>
      <c r="K2865" t="s">
        <v>1618</v>
      </c>
      <c r="M2865" t="s">
        <v>1629</v>
      </c>
      <c r="N2865">
        <v>40.44</v>
      </c>
      <c r="O2865" s="49">
        <v>45493</v>
      </c>
      <c r="P2865" s="50">
        <v>310.35149999999999</v>
      </c>
    </row>
    <row r="2866" spans="4:16" x14ac:dyDescent="0.2">
      <c r="D2866">
        <v>100001704</v>
      </c>
      <c r="E2866" s="49">
        <v>44398</v>
      </c>
      <c r="F2866" t="s">
        <v>3503</v>
      </c>
      <c r="G2866" t="s">
        <v>2151</v>
      </c>
      <c r="H2866">
        <v>1</v>
      </c>
      <c r="I2866">
        <v>106.03</v>
      </c>
      <c r="J2866" s="50">
        <v>106.03</v>
      </c>
      <c r="K2866" t="s">
        <v>1618</v>
      </c>
      <c r="M2866" t="s">
        <v>1629</v>
      </c>
      <c r="N2866">
        <v>55.96</v>
      </c>
      <c r="O2866" s="49">
        <v>44399</v>
      </c>
      <c r="P2866" s="50">
        <v>47.713500000000003</v>
      </c>
    </row>
    <row r="2867" spans="4:16" x14ac:dyDescent="0.2">
      <c r="D2867">
        <v>100001704</v>
      </c>
      <c r="E2867" s="49">
        <v>45344</v>
      </c>
      <c r="F2867" t="s">
        <v>3503</v>
      </c>
      <c r="G2867" t="s">
        <v>1853</v>
      </c>
      <c r="H2867">
        <v>4</v>
      </c>
      <c r="I2867">
        <v>18.11</v>
      </c>
      <c r="J2867" s="50">
        <v>72.44</v>
      </c>
      <c r="K2867" t="s">
        <v>1618</v>
      </c>
      <c r="M2867" t="s">
        <v>1624</v>
      </c>
      <c r="N2867">
        <v>9.56</v>
      </c>
      <c r="O2867" s="49">
        <v>45349</v>
      </c>
      <c r="P2867" s="50">
        <v>32.597999999999999</v>
      </c>
    </row>
    <row r="2868" spans="4:16" x14ac:dyDescent="0.2">
      <c r="D2868">
        <v>100001704</v>
      </c>
      <c r="E2868" s="49">
        <v>44890</v>
      </c>
      <c r="F2868" t="s">
        <v>3503</v>
      </c>
      <c r="G2868" t="s">
        <v>1963</v>
      </c>
      <c r="H2868">
        <v>3</v>
      </c>
      <c r="I2868">
        <v>53.08</v>
      </c>
      <c r="J2868" s="50">
        <v>159.24</v>
      </c>
      <c r="K2868" t="s">
        <v>1618</v>
      </c>
      <c r="M2868" t="s">
        <v>1624</v>
      </c>
      <c r="N2868">
        <v>28.01</v>
      </c>
      <c r="O2868" s="49">
        <v>44894</v>
      </c>
      <c r="P2868" s="50">
        <v>71.658000000000001</v>
      </c>
    </row>
    <row r="2869" spans="4:16" x14ac:dyDescent="0.2">
      <c r="D2869">
        <v>100001705</v>
      </c>
      <c r="E2869" s="49">
        <v>44806</v>
      </c>
      <c r="F2869" t="s">
        <v>3504</v>
      </c>
      <c r="G2869" t="s">
        <v>1724</v>
      </c>
      <c r="H2869">
        <v>3</v>
      </c>
      <c r="I2869">
        <v>96.6</v>
      </c>
      <c r="J2869" s="50">
        <v>289.8</v>
      </c>
      <c r="K2869" t="s">
        <v>1618</v>
      </c>
      <c r="L2869" t="s">
        <v>1798</v>
      </c>
      <c r="M2869" t="s">
        <v>1627</v>
      </c>
      <c r="N2869">
        <v>50.98</v>
      </c>
      <c r="O2869" s="49">
        <v>44810</v>
      </c>
      <c r="P2869" s="50">
        <v>130.41</v>
      </c>
    </row>
    <row r="2870" spans="4:16" x14ac:dyDescent="0.2">
      <c r="D2870">
        <v>100001705</v>
      </c>
      <c r="E2870" s="49">
        <v>44461</v>
      </c>
      <c r="F2870" t="s">
        <v>3504</v>
      </c>
      <c r="G2870" t="s">
        <v>1645</v>
      </c>
      <c r="H2870">
        <v>2</v>
      </c>
      <c r="I2870">
        <v>73.959999999999994</v>
      </c>
      <c r="J2870" s="50">
        <v>147.91999999999999</v>
      </c>
      <c r="K2870" t="s">
        <v>1618</v>
      </c>
      <c r="L2870" t="s">
        <v>1798</v>
      </c>
      <c r="M2870" t="s">
        <v>1619</v>
      </c>
      <c r="N2870">
        <v>39.03</v>
      </c>
      <c r="O2870" s="49">
        <v>44465</v>
      </c>
      <c r="P2870" s="50">
        <v>66.563999999999993</v>
      </c>
    </row>
    <row r="2871" spans="4:16" x14ac:dyDescent="0.2">
      <c r="D2871">
        <v>100001705</v>
      </c>
      <c r="E2871" s="49">
        <v>45304</v>
      </c>
      <c r="F2871" t="s">
        <v>3504</v>
      </c>
      <c r="G2871" t="s">
        <v>2138</v>
      </c>
      <c r="H2871">
        <v>7</v>
      </c>
      <c r="I2871">
        <v>119.07</v>
      </c>
      <c r="J2871" s="50">
        <v>833.49</v>
      </c>
      <c r="K2871" t="s">
        <v>1618</v>
      </c>
      <c r="L2871" t="s">
        <v>1798</v>
      </c>
      <c r="M2871" t="s">
        <v>1629</v>
      </c>
      <c r="N2871">
        <v>62.84</v>
      </c>
      <c r="O2871" s="49">
        <v>45309</v>
      </c>
      <c r="P2871" s="50">
        <v>375.07050000000004</v>
      </c>
    </row>
    <row r="2872" spans="4:16" x14ac:dyDescent="0.2">
      <c r="D2872">
        <v>100001706</v>
      </c>
      <c r="E2872" s="49">
        <v>45490</v>
      </c>
      <c r="F2872" t="s">
        <v>3505</v>
      </c>
      <c r="G2872" t="s">
        <v>1947</v>
      </c>
      <c r="H2872">
        <v>8</v>
      </c>
      <c r="I2872">
        <v>112.14</v>
      </c>
      <c r="J2872" s="50">
        <v>897.12</v>
      </c>
      <c r="K2872" t="s">
        <v>1618</v>
      </c>
      <c r="L2872" t="s">
        <v>3506</v>
      </c>
      <c r="M2872" t="s">
        <v>1619</v>
      </c>
      <c r="N2872">
        <v>59.18</v>
      </c>
      <c r="O2872" s="49">
        <v>45491</v>
      </c>
      <c r="P2872" s="50">
        <v>403.70400000000001</v>
      </c>
    </row>
    <row r="2873" spans="4:16" x14ac:dyDescent="0.2">
      <c r="D2873">
        <v>100001706</v>
      </c>
      <c r="E2873" s="49">
        <v>45315</v>
      </c>
      <c r="F2873" t="s">
        <v>3505</v>
      </c>
      <c r="G2873" t="s">
        <v>2023</v>
      </c>
      <c r="H2873">
        <v>5</v>
      </c>
      <c r="I2873">
        <v>89.72</v>
      </c>
      <c r="J2873" s="50">
        <v>448.6</v>
      </c>
      <c r="K2873" t="s">
        <v>1618</v>
      </c>
      <c r="L2873" t="s">
        <v>3506</v>
      </c>
      <c r="M2873" t="s">
        <v>1627</v>
      </c>
      <c r="N2873">
        <v>47.35</v>
      </c>
      <c r="O2873" s="49">
        <v>45318</v>
      </c>
      <c r="P2873" s="50">
        <v>201.87</v>
      </c>
    </row>
    <row r="2874" spans="4:16" x14ac:dyDescent="0.2">
      <c r="D2874">
        <v>100001709</v>
      </c>
      <c r="E2874" s="49">
        <v>44655</v>
      </c>
      <c r="F2874" t="s">
        <v>3507</v>
      </c>
      <c r="G2874" t="s">
        <v>1702</v>
      </c>
      <c r="H2874">
        <v>5</v>
      </c>
      <c r="I2874">
        <v>38.450000000000003</v>
      </c>
      <c r="J2874" s="50">
        <v>192.25</v>
      </c>
      <c r="K2874" t="s">
        <v>1632</v>
      </c>
      <c r="M2874" t="s">
        <v>1627</v>
      </c>
      <c r="N2874">
        <v>20.29</v>
      </c>
      <c r="O2874" s="49">
        <v>44657</v>
      </c>
      <c r="P2874" s="50">
        <v>86.512500000000003</v>
      </c>
    </row>
    <row r="2875" spans="4:16" x14ac:dyDescent="0.2">
      <c r="D2875">
        <v>100001709</v>
      </c>
      <c r="E2875" s="49">
        <v>44651</v>
      </c>
      <c r="F2875" t="s">
        <v>3507</v>
      </c>
      <c r="G2875" t="s">
        <v>1868</v>
      </c>
      <c r="H2875">
        <v>8</v>
      </c>
      <c r="I2875">
        <v>84.86</v>
      </c>
      <c r="J2875" s="50">
        <v>678.88</v>
      </c>
      <c r="K2875" t="s">
        <v>1632</v>
      </c>
      <c r="M2875" t="s">
        <v>1624</v>
      </c>
      <c r="N2875">
        <v>44.79</v>
      </c>
      <c r="O2875" s="49">
        <v>44653</v>
      </c>
      <c r="P2875" s="50">
        <v>305.49599999999998</v>
      </c>
    </row>
    <row r="2876" spans="4:16" x14ac:dyDescent="0.2">
      <c r="D2876">
        <v>100001709</v>
      </c>
      <c r="E2876" s="49">
        <v>44345</v>
      </c>
      <c r="F2876" t="s">
        <v>3507</v>
      </c>
      <c r="G2876" t="s">
        <v>2387</v>
      </c>
      <c r="H2876">
        <v>6</v>
      </c>
      <c r="I2876">
        <v>115.79</v>
      </c>
      <c r="J2876" s="50">
        <v>694.74</v>
      </c>
      <c r="K2876" t="s">
        <v>1632</v>
      </c>
      <c r="M2876" t="s">
        <v>1624</v>
      </c>
      <c r="N2876">
        <v>61.11</v>
      </c>
      <c r="O2876" s="49">
        <v>44347</v>
      </c>
      <c r="P2876" s="50">
        <v>312.63300000000004</v>
      </c>
    </row>
    <row r="2877" spans="4:16" x14ac:dyDescent="0.2">
      <c r="D2877">
        <v>100001710</v>
      </c>
      <c r="E2877" s="49">
        <v>45650</v>
      </c>
      <c r="F2877" t="s">
        <v>3508</v>
      </c>
      <c r="G2877" t="s">
        <v>1701</v>
      </c>
      <c r="H2877">
        <v>1</v>
      </c>
      <c r="I2877">
        <v>32.74</v>
      </c>
      <c r="J2877" s="50">
        <v>32.74</v>
      </c>
      <c r="K2877" t="s">
        <v>1632</v>
      </c>
      <c r="L2877" t="s">
        <v>3509</v>
      </c>
      <c r="M2877" t="s">
        <v>1629</v>
      </c>
      <c r="N2877">
        <v>17.28</v>
      </c>
      <c r="O2877" s="49">
        <v>45653</v>
      </c>
      <c r="P2877" s="50">
        <v>14.733000000000001</v>
      </c>
    </row>
    <row r="2878" spans="4:16" x14ac:dyDescent="0.2">
      <c r="D2878">
        <v>100001710</v>
      </c>
      <c r="E2878" s="49">
        <v>45158</v>
      </c>
      <c r="F2878" t="s">
        <v>3508</v>
      </c>
      <c r="G2878" t="s">
        <v>1646</v>
      </c>
      <c r="H2878">
        <v>8</v>
      </c>
      <c r="I2878">
        <v>29.19</v>
      </c>
      <c r="J2878" s="50">
        <v>233.52</v>
      </c>
      <c r="K2878" t="s">
        <v>1632</v>
      </c>
      <c r="L2878" t="s">
        <v>3509</v>
      </c>
      <c r="M2878" t="s">
        <v>1629</v>
      </c>
      <c r="N2878">
        <v>15.41</v>
      </c>
      <c r="O2878" s="49">
        <v>45163</v>
      </c>
      <c r="P2878" s="50">
        <v>105.084</v>
      </c>
    </row>
    <row r="2879" spans="4:16" x14ac:dyDescent="0.2">
      <c r="D2879">
        <v>100001710</v>
      </c>
      <c r="E2879" s="49">
        <v>44497</v>
      </c>
      <c r="F2879" t="s">
        <v>3508</v>
      </c>
      <c r="G2879" t="s">
        <v>1648</v>
      </c>
      <c r="H2879">
        <v>5</v>
      </c>
      <c r="I2879">
        <v>107.38</v>
      </c>
      <c r="J2879" s="50">
        <v>536.9</v>
      </c>
      <c r="K2879" t="s">
        <v>1632</v>
      </c>
      <c r="L2879" t="s">
        <v>3509</v>
      </c>
      <c r="M2879" t="s">
        <v>1619</v>
      </c>
      <c r="N2879">
        <v>56.67</v>
      </c>
      <c r="O2879" s="49">
        <v>44499</v>
      </c>
      <c r="P2879" s="50">
        <v>241.60499999999999</v>
      </c>
    </row>
    <row r="2880" spans="4:16" x14ac:dyDescent="0.2">
      <c r="D2880">
        <v>100001711</v>
      </c>
      <c r="E2880" s="49">
        <v>45011</v>
      </c>
      <c r="F2880" t="s">
        <v>3510</v>
      </c>
      <c r="G2880" t="s">
        <v>1709</v>
      </c>
      <c r="H2880">
        <v>9</v>
      </c>
      <c r="I2880">
        <v>23.59</v>
      </c>
      <c r="J2880" s="50">
        <v>212.31</v>
      </c>
      <c r="K2880" t="s">
        <v>1632</v>
      </c>
      <c r="L2880" t="s">
        <v>3511</v>
      </c>
      <c r="M2880" t="s">
        <v>1627</v>
      </c>
      <c r="N2880">
        <v>12.45</v>
      </c>
      <c r="O2880" s="49">
        <v>45015</v>
      </c>
      <c r="P2880" s="50">
        <v>95.539500000000004</v>
      </c>
    </row>
    <row r="2881" spans="4:16" x14ac:dyDescent="0.2">
      <c r="D2881">
        <v>100001712</v>
      </c>
      <c r="E2881" s="49">
        <v>44410</v>
      </c>
      <c r="F2881" t="s">
        <v>3512</v>
      </c>
      <c r="G2881" t="s">
        <v>1895</v>
      </c>
      <c r="H2881">
        <v>2</v>
      </c>
      <c r="I2881">
        <v>110.61</v>
      </c>
      <c r="J2881" s="50">
        <v>221.22</v>
      </c>
      <c r="K2881" t="s">
        <v>1632</v>
      </c>
      <c r="M2881" t="s">
        <v>1619</v>
      </c>
      <c r="N2881">
        <v>58.38</v>
      </c>
      <c r="O2881" s="49">
        <v>44412</v>
      </c>
      <c r="P2881" s="50">
        <v>99.549000000000007</v>
      </c>
    </row>
    <row r="2882" spans="4:16" x14ac:dyDescent="0.2">
      <c r="D2882">
        <v>100001713</v>
      </c>
      <c r="E2882" s="49">
        <v>44426</v>
      </c>
      <c r="F2882" t="s">
        <v>3513</v>
      </c>
      <c r="G2882" t="s">
        <v>2357</v>
      </c>
      <c r="H2882">
        <v>10</v>
      </c>
      <c r="I2882">
        <v>58.92</v>
      </c>
      <c r="J2882" s="50">
        <v>589.20000000000005</v>
      </c>
      <c r="K2882" t="s">
        <v>1632</v>
      </c>
      <c r="L2882" t="s">
        <v>3514</v>
      </c>
      <c r="M2882" t="s">
        <v>1621</v>
      </c>
      <c r="N2882">
        <v>31.1</v>
      </c>
      <c r="O2882" s="49">
        <v>44428</v>
      </c>
      <c r="P2882" s="50">
        <v>265.14000000000004</v>
      </c>
    </row>
    <row r="2883" spans="4:16" x14ac:dyDescent="0.2">
      <c r="D2883">
        <v>100001714</v>
      </c>
      <c r="E2883" s="49">
        <v>44241</v>
      </c>
      <c r="F2883" t="s">
        <v>3515</v>
      </c>
      <c r="G2883" t="s">
        <v>1890</v>
      </c>
      <c r="H2883">
        <v>7</v>
      </c>
      <c r="I2883">
        <v>95.16</v>
      </c>
      <c r="J2883" s="50">
        <v>666.12</v>
      </c>
      <c r="K2883" t="s">
        <v>1618</v>
      </c>
      <c r="M2883" t="s">
        <v>1627</v>
      </c>
      <c r="N2883">
        <v>50.22</v>
      </c>
      <c r="O2883" s="49">
        <v>44242</v>
      </c>
      <c r="P2883" s="50">
        <v>299.75400000000002</v>
      </c>
    </row>
    <row r="2884" spans="4:16" x14ac:dyDescent="0.2">
      <c r="D2884">
        <v>100001714</v>
      </c>
      <c r="E2884" s="49">
        <v>45229</v>
      </c>
      <c r="F2884" t="s">
        <v>3515</v>
      </c>
      <c r="G2884" t="s">
        <v>1693</v>
      </c>
      <c r="H2884">
        <v>10</v>
      </c>
      <c r="I2884">
        <v>39.770000000000003</v>
      </c>
      <c r="J2884" s="50">
        <v>397.7</v>
      </c>
      <c r="K2884" t="s">
        <v>1618</v>
      </c>
      <c r="M2884" t="s">
        <v>1621</v>
      </c>
      <c r="N2884">
        <v>20.99</v>
      </c>
      <c r="O2884" s="49">
        <v>45233</v>
      </c>
      <c r="P2884" s="50">
        <v>178.965</v>
      </c>
    </row>
    <row r="2885" spans="4:16" x14ac:dyDescent="0.2">
      <c r="D2885">
        <v>100001714</v>
      </c>
      <c r="E2885" s="49">
        <v>44962</v>
      </c>
      <c r="F2885" t="s">
        <v>3515</v>
      </c>
      <c r="G2885" t="s">
        <v>1710</v>
      </c>
      <c r="H2885">
        <v>9</v>
      </c>
      <c r="I2885">
        <v>54.14</v>
      </c>
      <c r="J2885" s="50">
        <v>487.26</v>
      </c>
      <c r="K2885" t="s">
        <v>1618</v>
      </c>
      <c r="M2885" t="s">
        <v>1624</v>
      </c>
      <c r="N2885">
        <v>28.57</v>
      </c>
      <c r="O2885" s="49">
        <v>44967</v>
      </c>
      <c r="P2885" s="50">
        <v>219.267</v>
      </c>
    </row>
    <row r="2886" spans="4:16" x14ac:dyDescent="0.2">
      <c r="D2886">
        <v>100001715</v>
      </c>
      <c r="E2886" s="49">
        <v>45264</v>
      </c>
      <c r="F2886" t="s">
        <v>3516</v>
      </c>
      <c r="G2886" t="s">
        <v>1738</v>
      </c>
      <c r="H2886">
        <v>5</v>
      </c>
      <c r="I2886">
        <v>33.549999999999997</v>
      </c>
      <c r="J2886" s="50">
        <v>167.75</v>
      </c>
      <c r="K2886" t="s">
        <v>1632</v>
      </c>
      <c r="M2886" t="s">
        <v>1627</v>
      </c>
      <c r="N2886">
        <v>17.71</v>
      </c>
      <c r="O2886" s="49">
        <v>45267</v>
      </c>
      <c r="P2886" s="50">
        <v>75.487499999999997</v>
      </c>
    </row>
    <row r="2887" spans="4:16" x14ac:dyDescent="0.2">
      <c r="D2887">
        <v>100001715</v>
      </c>
      <c r="E2887" s="49">
        <v>45137</v>
      </c>
      <c r="F2887" t="s">
        <v>3516</v>
      </c>
      <c r="G2887" t="s">
        <v>1636</v>
      </c>
      <c r="H2887">
        <v>1</v>
      </c>
      <c r="I2887">
        <v>37.1</v>
      </c>
      <c r="J2887" s="50">
        <v>37.1</v>
      </c>
      <c r="K2887" t="s">
        <v>1632</v>
      </c>
      <c r="M2887" t="s">
        <v>1624</v>
      </c>
      <c r="N2887">
        <v>19.579999999999998</v>
      </c>
      <c r="O2887" s="49">
        <v>45141</v>
      </c>
      <c r="P2887" s="50">
        <v>16.695</v>
      </c>
    </row>
    <row r="2888" spans="4:16" x14ac:dyDescent="0.2">
      <c r="D2888">
        <v>100001717</v>
      </c>
      <c r="E2888" s="49">
        <v>44842</v>
      </c>
      <c r="F2888" t="s">
        <v>3517</v>
      </c>
      <c r="G2888" t="s">
        <v>2079</v>
      </c>
      <c r="H2888">
        <v>1</v>
      </c>
      <c r="I2888">
        <v>24.96</v>
      </c>
      <c r="J2888" s="50">
        <v>24.96</v>
      </c>
      <c r="K2888" t="s">
        <v>1632</v>
      </c>
      <c r="L2888" t="s">
        <v>3518</v>
      </c>
      <c r="M2888" t="s">
        <v>1621</v>
      </c>
      <c r="N2888">
        <v>13.17</v>
      </c>
      <c r="O2888" s="49">
        <v>44843</v>
      </c>
      <c r="P2888" s="50">
        <v>11.232000000000001</v>
      </c>
    </row>
    <row r="2889" spans="4:16" x14ac:dyDescent="0.2">
      <c r="D2889">
        <v>100001718</v>
      </c>
      <c r="E2889" s="49">
        <v>45468</v>
      </c>
      <c r="F2889" t="s">
        <v>3519</v>
      </c>
      <c r="G2889" t="s">
        <v>1722</v>
      </c>
      <c r="H2889">
        <v>1</v>
      </c>
      <c r="I2889">
        <v>35.869999999999997</v>
      </c>
      <c r="J2889" s="50">
        <v>35.869999999999997</v>
      </c>
      <c r="K2889" t="s">
        <v>1632</v>
      </c>
      <c r="M2889" t="s">
        <v>1627</v>
      </c>
      <c r="N2889">
        <v>18.93</v>
      </c>
      <c r="O2889" s="49">
        <v>45472</v>
      </c>
      <c r="P2889" s="50">
        <v>16.141500000000001</v>
      </c>
    </row>
    <row r="2890" spans="4:16" x14ac:dyDescent="0.2">
      <c r="D2890">
        <v>100001719</v>
      </c>
      <c r="E2890" s="49">
        <v>44857</v>
      </c>
      <c r="F2890" t="s">
        <v>3520</v>
      </c>
      <c r="G2890" t="s">
        <v>1623</v>
      </c>
      <c r="H2890">
        <v>5</v>
      </c>
      <c r="I2890">
        <v>57.73</v>
      </c>
      <c r="J2890" s="50">
        <v>288.64999999999998</v>
      </c>
      <c r="K2890" t="s">
        <v>1632</v>
      </c>
      <c r="M2890" t="s">
        <v>1627</v>
      </c>
      <c r="N2890">
        <v>30.47</v>
      </c>
      <c r="O2890" s="49">
        <v>44859</v>
      </c>
      <c r="P2890" s="50">
        <v>129.89249999999998</v>
      </c>
    </row>
    <row r="2891" spans="4:16" x14ac:dyDescent="0.2">
      <c r="D2891">
        <v>100001719</v>
      </c>
      <c r="E2891" s="49">
        <v>44262</v>
      </c>
      <c r="F2891" t="s">
        <v>3520</v>
      </c>
      <c r="G2891" t="s">
        <v>2038</v>
      </c>
      <c r="H2891">
        <v>1</v>
      </c>
      <c r="I2891">
        <v>62.78</v>
      </c>
      <c r="J2891" s="50">
        <v>62.78</v>
      </c>
      <c r="K2891" t="s">
        <v>1632</v>
      </c>
      <c r="M2891" t="s">
        <v>1629</v>
      </c>
      <c r="N2891">
        <v>33.130000000000003</v>
      </c>
      <c r="O2891" s="49">
        <v>44265</v>
      </c>
      <c r="P2891" s="50">
        <v>28.251000000000001</v>
      </c>
    </row>
    <row r="2892" spans="4:16" x14ac:dyDescent="0.2">
      <c r="D2892">
        <v>100001719</v>
      </c>
      <c r="E2892" s="49">
        <v>45088</v>
      </c>
      <c r="F2892" t="s">
        <v>3520</v>
      </c>
      <c r="G2892" t="s">
        <v>2372</v>
      </c>
      <c r="H2892">
        <v>9</v>
      </c>
      <c r="I2892">
        <v>70.540000000000006</v>
      </c>
      <c r="J2892" s="50">
        <v>634.86</v>
      </c>
      <c r="K2892" t="s">
        <v>1632</v>
      </c>
      <c r="M2892" t="s">
        <v>1627</v>
      </c>
      <c r="N2892">
        <v>37.229999999999997</v>
      </c>
      <c r="O2892" s="49">
        <v>45090</v>
      </c>
      <c r="P2892" s="50">
        <v>285.68700000000001</v>
      </c>
    </row>
    <row r="2893" spans="4:16" x14ac:dyDescent="0.2">
      <c r="D2893">
        <v>100001719</v>
      </c>
      <c r="E2893" s="49">
        <v>45470</v>
      </c>
      <c r="F2893" t="s">
        <v>3520</v>
      </c>
      <c r="G2893" t="s">
        <v>2217</v>
      </c>
      <c r="H2893">
        <v>8</v>
      </c>
      <c r="I2893">
        <v>82.32</v>
      </c>
      <c r="J2893" s="50">
        <v>658.56</v>
      </c>
      <c r="K2893" t="s">
        <v>1632</v>
      </c>
      <c r="M2893" t="s">
        <v>1619</v>
      </c>
      <c r="N2893">
        <v>43.45</v>
      </c>
      <c r="O2893" s="49">
        <v>45471</v>
      </c>
      <c r="P2893" s="50">
        <v>296.35199999999998</v>
      </c>
    </row>
    <row r="2894" spans="4:16" x14ac:dyDescent="0.2">
      <c r="D2894">
        <v>100001719</v>
      </c>
      <c r="E2894" s="49">
        <v>44807</v>
      </c>
      <c r="F2894" t="s">
        <v>3520</v>
      </c>
      <c r="G2894" t="s">
        <v>2390</v>
      </c>
      <c r="H2894">
        <v>2</v>
      </c>
      <c r="I2894">
        <v>98.58</v>
      </c>
      <c r="J2894" s="50">
        <v>197.16</v>
      </c>
      <c r="K2894" t="s">
        <v>1632</v>
      </c>
      <c r="M2894" t="s">
        <v>1629</v>
      </c>
      <c r="N2894">
        <v>52.03</v>
      </c>
      <c r="O2894" s="49">
        <v>44811</v>
      </c>
      <c r="P2894" s="50">
        <v>88.721999999999994</v>
      </c>
    </row>
    <row r="2895" spans="4:16" x14ac:dyDescent="0.2">
      <c r="D2895">
        <v>100001719</v>
      </c>
      <c r="E2895" s="49">
        <v>45565</v>
      </c>
      <c r="F2895" t="s">
        <v>3520</v>
      </c>
      <c r="G2895" t="s">
        <v>1874</v>
      </c>
      <c r="H2895">
        <v>10</v>
      </c>
      <c r="I2895">
        <v>34.19</v>
      </c>
      <c r="J2895" s="50">
        <v>341.9</v>
      </c>
      <c r="K2895" t="s">
        <v>1632</v>
      </c>
      <c r="M2895" t="s">
        <v>1627</v>
      </c>
      <c r="N2895">
        <v>18.04</v>
      </c>
      <c r="O2895" s="49">
        <v>45569</v>
      </c>
      <c r="P2895" s="50">
        <v>153.85499999999999</v>
      </c>
    </row>
    <row r="2896" spans="4:16" x14ac:dyDescent="0.2">
      <c r="D2896">
        <v>100001720</v>
      </c>
      <c r="E2896" s="49">
        <v>44812</v>
      </c>
      <c r="F2896" t="s">
        <v>3521</v>
      </c>
      <c r="G2896" t="s">
        <v>1642</v>
      </c>
      <c r="H2896">
        <v>8</v>
      </c>
      <c r="I2896">
        <v>92.53</v>
      </c>
      <c r="J2896" s="50">
        <v>740.24</v>
      </c>
      <c r="K2896" t="s">
        <v>1632</v>
      </c>
      <c r="M2896" t="s">
        <v>1629</v>
      </c>
      <c r="N2896">
        <v>48.83</v>
      </c>
      <c r="O2896" s="49">
        <v>44815</v>
      </c>
      <c r="P2896" s="50">
        <v>333.108</v>
      </c>
    </row>
    <row r="2897" spans="4:16" x14ac:dyDescent="0.2">
      <c r="D2897">
        <v>100001722</v>
      </c>
      <c r="E2897" s="49">
        <v>45149</v>
      </c>
      <c r="F2897" t="s">
        <v>3522</v>
      </c>
      <c r="G2897" t="s">
        <v>1644</v>
      </c>
      <c r="H2897">
        <v>3</v>
      </c>
      <c r="I2897">
        <v>68.83</v>
      </c>
      <c r="J2897" s="50">
        <v>206.49</v>
      </c>
      <c r="K2897" t="s">
        <v>1632</v>
      </c>
      <c r="M2897" t="s">
        <v>1621</v>
      </c>
      <c r="N2897">
        <v>36.33</v>
      </c>
      <c r="O2897" s="49">
        <v>45151</v>
      </c>
      <c r="P2897" s="50">
        <v>92.920500000000004</v>
      </c>
    </row>
    <row r="2898" spans="4:16" x14ac:dyDescent="0.2">
      <c r="D2898">
        <v>100001723</v>
      </c>
      <c r="E2898" s="49">
        <v>45461</v>
      </c>
      <c r="F2898" t="s">
        <v>3523</v>
      </c>
      <c r="G2898" t="s">
        <v>1783</v>
      </c>
      <c r="H2898">
        <v>3</v>
      </c>
      <c r="I2898">
        <v>13.48</v>
      </c>
      <c r="J2898" s="50">
        <v>40.44</v>
      </c>
      <c r="K2898" t="s">
        <v>1632</v>
      </c>
      <c r="M2898" t="s">
        <v>1619</v>
      </c>
      <c r="N2898">
        <v>7.11</v>
      </c>
      <c r="O2898" s="49">
        <v>45464</v>
      </c>
      <c r="P2898" s="50">
        <v>18.198</v>
      </c>
    </row>
    <row r="2899" spans="4:16" x14ac:dyDescent="0.2">
      <c r="D2899">
        <v>100001723</v>
      </c>
      <c r="E2899" s="49">
        <v>45125</v>
      </c>
      <c r="F2899" t="s">
        <v>3523</v>
      </c>
      <c r="G2899" t="s">
        <v>1855</v>
      </c>
      <c r="H2899">
        <v>1</v>
      </c>
      <c r="I2899">
        <v>47.64</v>
      </c>
      <c r="J2899" s="50">
        <v>47.64</v>
      </c>
      <c r="K2899" t="s">
        <v>1632</v>
      </c>
      <c r="M2899" t="s">
        <v>1629</v>
      </c>
      <c r="N2899">
        <v>25.14</v>
      </c>
      <c r="O2899" s="49">
        <v>45128</v>
      </c>
      <c r="P2899" s="50">
        <v>21.438000000000002</v>
      </c>
    </row>
    <row r="2900" spans="4:16" x14ac:dyDescent="0.2">
      <c r="D2900">
        <v>100001724</v>
      </c>
      <c r="E2900" s="49">
        <v>44412</v>
      </c>
      <c r="F2900" t="s">
        <v>3524</v>
      </c>
      <c r="G2900" t="s">
        <v>1674</v>
      </c>
      <c r="H2900">
        <v>2</v>
      </c>
      <c r="I2900">
        <v>111.32</v>
      </c>
      <c r="J2900" s="50">
        <v>222.64</v>
      </c>
      <c r="K2900" t="s">
        <v>1618</v>
      </c>
      <c r="M2900" t="s">
        <v>1629</v>
      </c>
      <c r="N2900">
        <v>58.75</v>
      </c>
      <c r="O2900" s="49">
        <v>44415</v>
      </c>
      <c r="P2900" s="50">
        <v>100.188</v>
      </c>
    </row>
    <row r="2901" spans="4:16" x14ac:dyDescent="0.2">
      <c r="D2901">
        <v>100001725</v>
      </c>
      <c r="E2901" s="49">
        <v>45311</v>
      </c>
      <c r="F2901" t="s">
        <v>3525</v>
      </c>
      <c r="G2901" t="s">
        <v>2132</v>
      </c>
      <c r="H2901">
        <v>4</v>
      </c>
      <c r="I2901">
        <v>57.44</v>
      </c>
      <c r="J2901" s="50">
        <v>229.76</v>
      </c>
      <c r="K2901" t="s">
        <v>1632</v>
      </c>
      <c r="L2901" t="s">
        <v>3526</v>
      </c>
      <c r="M2901" t="s">
        <v>1629</v>
      </c>
      <c r="N2901">
        <v>30.32</v>
      </c>
      <c r="O2901" s="49">
        <v>45314</v>
      </c>
      <c r="P2901" s="50">
        <v>103.392</v>
      </c>
    </row>
    <row r="2902" spans="4:16" x14ac:dyDescent="0.2">
      <c r="D2902">
        <v>100001726</v>
      </c>
      <c r="E2902" s="49">
        <v>44338</v>
      </c>
      <c r="F2902" t="s">
        <v>2648</v>
      </c>
      <c r="G2902" t="s">
        <v>1736</v>
      </c>
      <c r="H2902">
        <v>3</v>
      </c>
      <c r="I2902">
        <v>62.31</v>
      </c>
      <c r="J2902" s="50">
        <v>186.93</v>
      </c>
      <c r="K2902" t="s">
        <v>1632</v>
      </c>
      <c r="L2902" t="s">
        <v>2444</v>
      </c>
      <c r="M2902" t="s">
        <v>1629</v>
      </c>
      <c r="N2902">
        <v>32.89</v>
      </c>
      <c r="O2902" s="49">
        <v>44343</v>
      </c>
      <c r="P2902" s="50">
        <v>84.118500000000012</v>
      </c>
    </row>
    <row r="2903" spans="4:16" x14ac:dyDescent="0.2">
      <c r="D2903">
        <v>100001727</v>
      </c>
      <c r="E2903" s="49">
        <v>45438</v>
      </c>
      <c r="F2903" t="s">
        <v>3527</v>
      </c>
      <c r="G2903" t="s">
        <v>2460</v>
      </c>
      <c r="H2903">
        <v>8</v>
      </c>
      <c r="I2903">
        <v>13.56</v>
      </c>
      <c r="J2903" s="50">
        <v>108.48</v>
      </c>
      <c r="K2903" t="s">
        <v>1632</v>
      </c>
      <c r="M2903" t="s">
        <v>1619</v>
      </c>
      <c r="N2903">
        <v>7.16</v>
      </c>
      <c r="O2903" s="49">
        <v>45442</v>
      </c>
      <c r="P2903" s="50">
        <v>48.816000000000003</v>
      </c>
    </row>
    <row r="2904" spans="4:16" x14ac:dyDescent="0.2">
      <c r="D2904">
        <v>100001728</v>
      </c>
      <c r="E2904" s="49">
        <v>44314</v>
      </c>
      <c r="F2904" t="s">
        <v>3528</v>
      </c>
      <c r="G2904" t="s">
        <v>1874</v>
      </c>
      <c r="H2904">
        <v>2</v>
      </c>
      <c r="I2904">
        <v>72.94</v>
      </c>
      <c r="J2904" s="50">
        <v>145.88</v>
      </c>
      <c r="K2904" t="s">
        <v>1618</v>
      </c>
      <c r="L2904" t="s">
        <v>3529</v>
      </c>
      <c r="M2904" t="s">
        <v>1627</v>
      </c>
      <c r="N2904">
        <v>38.5</v>
      </c>
      <c r="O2904" s="49">
        <v>44317</v>
      </c>
      <c r="P2904" s="50">
        <v>65.646000000000001</v>
      </c>
    </row>
    <row r="2905" spans="4:16" x14ac:dyDescent="0.2">
      <c r="D2905">
        <v>100001728</v>
      </c>
      <c r="E2905" s="49">
        <v>44802</v>
      </c>
      <c r="F2905" t="s">
        <v>3528</v>
      </c>
      <c r="G2905" t="s">
        <v>1751</v>
      </c>
      <c r="H2905">
        <v>1</v>
      </c>
      <c r="I2905">
        <v>27.26</v>
      </c>
      <c r="J2905" s="50">
        <v>27.26</v>
      </c>
      <c r="K2905" t="s">
        <v>1618</v>
      </c>
      <c r="L2905" t="s">
        <v>3529</v>
      </c>
      <c r="M2905" t="s">
        <v>1629</v>
      </c>
      <c r="N2905">
        <v>14.39</v>
      </c>
      <c r="O2905" s="49">
        <v>44805</v>
      </c>
      <c r="P2905" s="50">
        <v>12.267000000000001</v>
      </c>
    </row>
    <row r="2906" spans="4:16" x14ac:dyDescent="0.2">
      <c r="D2906">
        <v>100001730</v>
      </c>
      <c r="E2906" s="49">
        <v>44793</v>
      </c>
      <c r="F2906" t="s">
        <v>3530</v>
      </c>
      <c r="G2906" t="s">
        <v>2057</v>
      </c>
      <c r="H2906">
        <v>7</v>
      </c>
      <c r="I2906">
        <v>111.04</v>
      </c>
      <c r="J2906" s="50">
        <v>777.28000000000009</v>
      </c>
      <c r="K2906" t="s">
        <v>1618</v>
      </c>
      <c r="L2906" t="s">
        <v>1988</v>
      </c>
      <c r="M2906" t="s">
        <v>1629</v>
      </c>
      <c r="N2906">
        <v>58.6</v>
      </c>
      <c r="O2906" s="49">
        <v>44796</v>
      </c>
      <c r="P2906" s="50">
        <v>349.77600000000007</v>
      </c>
    </row>
    <row r="2907" spans="4:16" x14ac:dyDescent="0.2">
      <c r="D2907">
        <v>100001731</v>
      </c>
      <c r="E2907" s="49">
        <v>45490</v>
      </c>
      <c r="F2907" t="s">
        <v>3531</v>
      </c>
      <c r="G2907" t="s">
        <v>2084</v>
      </c>
      <c r="H2907">
        <v>2</v>
      </c>
      <c r="I2907">
        <v>59.9</v>
      </c>
      <c r="J2907" s="50">
        <v>119.8</v>
      </c>
      <c r="K2907" t="s">
        <v>1632</v>
      </c>
      <c r="M2907" t="s">
        <v>1624</v>
      </c>
      <c r="N2907">
        <v>31.61</v>
      </c>
      <c r="O2907" s="49">
        <v>45492</v>
      </c>
      <c r="P2907" s="50">
        <v>53.91</v>
      </c>
    </row>
    <row r="2908" spans="4:16" x14ac:dyDescent="0.2">
      <c r="D2908">
        <v>100001733</v>
      </c>
      <c r="E2908" s="49">
        <v>44568</v>
      </c>
      <c r="F2908" t="s">
        <v>3532</v>
      </c>
      <c r="G2908" t="s">
        <v>1675</v>
      </c>
      <c r="H2908">
        <v>2</v>
      </c>
      <c r="I2908">
        <v>75.53</v>
      </c>
      <c r="J2908" s="50">
        <v>151.06</v>
      </c>
      <c r="K2908" t="s">
        <v>1618</v>
      </c>
      <c r="M2908" t="s">
        <v>1621</v>
      </c>
      <c r="N2908">
        <v>39.86</v>
      </c>
      <c r="O2908" s="49">
        <v>44572</v>
      </c>
      <c r="P2908" s="50">
        <v>67.977000000000004</v>
      </c>
    </row>
    <row r="2909" spans="4:16" x14ac:dyDescent="0.2">
      <c r="D2909">
        <v>100001734</v>
      </c>
      <c r="E2909" s="49">
        <v>44920</v>
      </c>
      <c r="F2909" t="s">
        <v>3533</v>
      </c>
      <c r="G2909" t="s">
        <v>1709</v>
      </c>
      <c r="H2909">
        <v>3</v>
      </c>
      <c r="I2909">
        <v>89.66</v>
      </c>
      <c r="J2909" s="50">
        <v>268.98</v>
      </c>
      <c r="K2909" t="s">
        <v>1618</v>
      </c>
      <c r="M2909" t="s">
        <v>1619</v>
      </c>
      <c r="N2909">
        <v>47.32</v>
      </c>
      <c r="O2909" s="49">
        <v>44925</v>
      </c>
      <c r="P2909" s="50">
        <v>121.04100000000001</v>
      </c>
    </row>
    <row r="2910" spans="4:16" x14ac:dyDescent="0.2">
      <c r="D2910">
        <v>100001734</v>
      </c>
      <c r="E2910" s="49">
        <v>44238</v>
      </c>
      <c r="F2910" t="s">
        <v>3533</v>
      </c>
      <c r="G2910" t="s">
        <v>1947</v>
      </c>
      <c r="H2910">
        <v>6</v>
      </c>
      <c r="I2910">
        <v>23.88</v>
      </c>
      <c r="J2910" s="50">
        <v>143.28</v>
      </c>
      <c r="K2910" t="s">
        <v>1618</v>
      </c>
      <c r="M2910" t="s">
        <v>1621</v>
      </c>
      <c r="N2910">
        <v>12.6</v>
      </c>
      <c r="O2910" s="49">
        <v>44241</v>
      </c>
      <c r="P2910" s="50">
        <v>64.475999999999999</v>
      </c>
    </row>
    <row r="2911" spans="4:16" x14ac:dyDescent="0.2">
      <c r="D2911">
        <v>100001734</v>
      </c>
      <c r="E2911" s="49">
        <v>44251</v>
      </c>
      <c r="F2911" t="s">
        <v>3533</v>
      </c>
      <c r="G2911" t="s">
        <v>1851</v>
      </c>
      <c r="H2911">
        <v>10</v>
      </c>
      <c r="I2911">
        <v>40.24</v>
      </c>
      <c r="J2911" s="50">
        <v>402.4</v>
      </c>
      <c r="K2911" t="s">
        <v>1618</v>
      </c>
      <c r="M2911" t="s">
        <v>1627</v>
      </c>
      <c r="N2911">
        <v>21.24</v>
      </c>
      <c r="O2911" s="49">
        <v>44254</v>
      </c>
      <c r="P2911" s="50">
        <v>181.07999999999998</v>
      </c>
    </row>
    <row r="2912" spans="4:16" x14ac:dyDescent="0.2">
      <c r="D2912">
        <v>100001736</v>
      </c>
      <c r="E2912" s="49">
        <v>45471</v>
      </c>
      <c r="F2912" t="s">
        <v>3534</v>
      </c>
      <c r="G2912" t="s">
        <v>2323</v>
      </c>
      <c r="H2912">
        <v>3</v>
      </c>
      <c r="I2912">
        <v>63.97</v>
      </c>
      <c r="J2912" s="50">
        <v>191.91</v>
      </c>
      <c r="K2912" t="s">
        <v>1632</v>
      </c>
      <c r="M2912" t="s">
        <v>1629</v>
      </c>
      <c r="N2912">
        <v>33.76</v>
      </c>
      <c r="O2912" s="49">
        <v>45472</v>
      </c>
      <c r="P2912" s="50">
        <v>86.359499999999997</v>
      </c>
    </row>
    <row r="2913" spans="4:16" x14ac:dyDescent="0.2">
      <c r="D2913">
        <v>100001737</v>
      </c>
      <c r="E2913" s="49">
        <v>44242</v>
      </c>
      <c r="F2913" t="s">
        <v>3535</v>
      </c>
      <c r="G2913" t="s">
        <v>1636</v>
      </c>
      <c r="H2913">
        <v>3</v>
      </c>
      <c r="I2913">
        <v>117.44</v>
      </c>
      <c r="J2913" s="50">
        <v>352.32</v>
      </c>
      <c r="K2913" t="s">
        <v>1618</v>
      </c>
      <c r="L2913" t="s">
        <v>3536</v>
      </c>
      <c r="M2913" t="s">
        <v>1619</v>
      </c>
      <c r="N2913">
        <v>61.98</v>
      </c>
      <c r="O2913" s="49">
        <v>44244</v>
      </c>
      <c r="P2913" s="50">
        <v>158.54400000000001</v>
      </c>
    </row>
    <row r="2914" spans="4:16" x14ac:dyDescent="0.2">
      <c r="D2914">
        <v>100001738</v>
      </c>
      <c r="E2914" s="49">
        <v>45144</v>
      </c>
      <c r="F2914" t="s">
        <v>3537</v>
      </c>
      <c r="G2914" t="s">
        <v>1752</v>
      </c>
      <c r="H2914">
        <v>4</v>
      </c>
      <c r="I2914">
        <v>111.93</v>
      </c>
      <c r="J2914" s="50">
        <v>447.72</v>
      </c>
      <c r="K2914" t="s">
        <v>1618</v>
      </c>
      <c r="M2914" t="s">
        <v>1621</v>
      </c>
      <c r="N2914">
        <v>59.07</v>
      </c>
      <c r="O2914" s="49">
        <v>45148</v>
      </c>
      <c r="P2914" s="50">
        <v>201.47400000000002</v>
      </c>
    </row>
    <row r="2915" spans="4:16" x14ac:dyDescent="0.2">
      <c r="D2915">
        <v>100001738</v>
      </c>
      <c r="E2915" s="49">
        <v>44254</v>
      </c>
      <c r="F2915" t="s">
        <v>3537</v>
      </c>
      <c r="G2915" t="s">
        <v>1749</v>
      </c>
      <c r="H2915">
        <v>10</v>
      </c>
      <c r="I2915">
        <v>33.869999999999997</v>
      </c>
      <c r="J2915" s="50">
        <v>338.7</v>
      </c>
      <c r="K2915" t="s">
        <v>1618</v>
      </c>
      <c r="M2915" t="s">
        <v>1627</v>
      </c>
      <c r="N2915">
        <v>17.88</v>
      </c>
      <c r="O2915" s="49">
        <v>44256</v>
      </c>
      <c r="P2915" s="50">
        <v>152.41499999999999</v>
      </c>
    </row>
    <row r="2916" spans="4:16" x14ac:dyDescent="0.2">
      <c r="D2916">
        <v>100001739</v>
      </c>
      <c r="E2916" s="49">
        <v>45557</v>
      </c>
      <c r="F2916" t="s">
        <v>3538</v>
      </c>
      <c r="G2916" t="s">
        <v>1742</v>
      </c>
      <c r="H2916">
        <v>4</v>
      </c>
      <c r="I2916">
        <v>110.67</v>
      </c>
      <c r="J2916" s="50">
        <v>442.68</v>
      </c>
      <c r="K2916" t="s">
        <v>1618</v>
      </c>
      <c r="M2916" t="s">
        <v>1627</v>
      </c>
      <c r="N2916">
        <v>58.41</v>
      </c>
      <c r="O2916" s="49">
        <v>45558</v>
      </c>
      <c r="P2916" s="50">
        <v>199.20600000000002</v>
      </c>
    </row>
    <row r="2917" spans="4:16" x14ac:dyDescent="0.2">
      <c r="D2917">
        <v>100001739</v>
      </c>
      <c r="E2917" s="49">
        <v>44277</v>
      </c>
      <c r="F2917" t="s">
        <v>3538</v>
      </c>
      <c r="G2917" t="s">
        <v>1642</v>
      </c>
      <c r="H2917">
        <v>1</v>
      </c>
      <c r="I2917">
        <v>79.44</v>
      </c>
      <c r="J2917" s="50">
        <v>79.44</v>
      </c>
      <c r="K2917" t="s">
        <v>1618</v>
      </c>
      <c r="M2917" t="s">
        <v>1627</v>
      </c>
      <c r="N2917">
        <v>41.93</v>
      </c>
      <c r="O2917" s="49">
        <v>44279</v>
      </c>
      <c r="P2917" s="50">
        <v>35.747999999999998</v>
      </c>
    </row>
    <row r="2918" spans="4:16" x14ac:dyDescent="0.2">
      <c r="D2918">
        <v>100001740</v>
      </c>
      <c r="E2918" s="49">
        <v>45150</v>
      </c>
      <c r="F2918" t="s">
        <v>3539</v>
      </c>
      <c r="G2918" t="s">
        <v>2163</v>
      </c>
      <c r="H2918">
        <v>4</v>
      </c>
      <c r="I2918">
        <v>74.88</v>
      </c>
      <c r="J2918" s="50">
        <v>299.52</v>
      </c>
      <c r="K2918" t="s">
        <v>1618</v>
      </c>
      <c r="M2918" t="s">
        <v>1629</v>
      </c>
      <c r="N2918">
        <v>39.520000000000003</v>
      </c>
      <c r="O2918" s="49">
        <v>45152</v>
      </c>
      <c r="P2918" s="50">
        <v>134.78399999999999</v>
      </c>
    </row>
    <row r="2919" spans="4:16" x14ac:dyDescent="0.2">
      <c r="D2919">
        <v>100001741</v>
      </c>
      <c r="E2919" s="49">
        <v>44258</v>
      </c>
      <c r="F2919" t="s">
        <v>3540</v>
      </c>
      <c r="G2919" t="s">
        <v>1872</v>
      </c>
      <c r="H2919">
        <v>1</v>
      </c>
      <c r="I2919">
        <v>11.75</v>
      </c>
      <c r="J2919" s="50">
        <v>11.75</v>
      </c>
      <c r="K2919" t="s">
        <v>1632</v>
      </c>
      <c r="M2919" t="s">
        <v>1629</v>
      </c>
      <c r="N2919">
        <v>6.2</v>
      </c>
      <c r="O2919" s="49">
        <v>44260</v>
      </c>
      <c r="P2919" s="50">
        <v>5.2875000000000005</v>
      </c>
    </row>
    <row r="2920" spans="4:16" x14ac:dyDescent="0.2">
      <c r="D2920">
        <v>100001741</v>
      </c>
      <c r="E2920" s="49">
        <v>45257</v>
      </c>
      <c r="F2920" t="s">
        <v>3540</v>
      </c>
      <c r="G2920" t="s">
        <v>2155</v>
      </c>
      <c r="H2920">
        <v>8</v>
      </c>
      <c r="I2920">
        <v>72.8</v>
      </c>
      <c r="J2920" s="50">
        <v>582.4</v>
      </c>
      <c r="K2920" t="s">
        <v>1632</v>
      </c>
      <c r="M2920" t="s">
        <v>1629</v>
      </c>
      <c r="N2920">
        <v>38.42</v>
      </c>
      <c r="O2920" s="49">
        <v>45261</v>
      </c>
      <c r="P2920" s="50">
        <v>262.08</v>
      </c>
    </row>
    <row r="2921" spans="4:16" x14ac:dyDescent="0.2">
      <c r="D2921">
        <v>100001741</v>
      </c>
      <c r="E2921" s="49">
        <v>45605</v>
      </c>
      <c r="F2921" t="s">
        <v>3540</v>
      </c>
      <c r="G2921" t="s">
        <v>1675</v>
      </c>
      <c r="H2921">
        <v>4</v>
      </c>
      <c r="I2921">
        <v>13.09</v>
      </c>
      <c r="J2921" s="50">
        <v>52.36</v>
      </c>
      <c r="K2921" t="s">
        <v>1632</v>
      </c>
      <c r="M2921" t="s">
        <v>1621</v>
      </c>
      <c r="N2921">
        <v>6.91</v>
      </c>
      <c r="O2921" s="49">
        <v>45608</v>
      </c>
      <c r="P2921" s="50">
        <v>23.562000000000001</v>
      </c>
    </row>
    <row r="2922" spans="4:16" x14ac:dyDescent="0.2">
      <c r="D2922">
        <v>100001741</v>
      </c>
      <c r="E2922" s="49">
        <v>45344</v>
      </c>
      <c r="F2922" t="s">
        <v>3540</v>
      </c>
      <c r="G2922" t="s">
        <v>1645</v>
      </c>
      <c r="H2922">
        <v>7</v>
      </c>
      <c r="I2922">
        <v>73.319999999999993</v>
      </c>
      <c r="J2922" s="50">
        <v>513.24</v>
      </c>
      <c r="K2922" t="s">
        <v>1632</v>
      </c>
      <c r="M2922" t="s">
        <v>1619</v>
      </c>
      <c r="N2922">
        <v>38.700000000000003</v>
      </c>
      <c r="O2922" s="49">
        <v>45348</v>
      </c>
      <c r="P2922" s="50">
        <v>230.958</v>
      </c>
    </row>
    <row r="2923" spans="4:16" x14ac:dyDescent="0.2">
      <c r="D2923">
        <v>100001742</v>
      </c>
      <c r="E2923" s="49">
        <v>44628</v>
      </c>
      <c r="F2923" t="s">
        <v>3541</v>
      </c>
      <c r="G2923" t="s">
        <v>1704</v>
      </c>
      <c r="H2923">
        <v>3</v>
      </c>
      <c r="I2923">
        <v>18.22</v>
      </c>
      <c r="J2923" s="50">
        <v>54.66</v>
      </c>
      <c r="K2923" t="s">
        <v>1618</v>
      </c>
      <c r="M2923" t="s">
        <v>1619</v>
      </c>
      <c r="N2923">
        <v>9.6199999999999992</v>
      </c>
      <c r="O2923" s="49">
        <v>44633</v>
      </c>
      <c r="P2923" s="50">
        <v>24.596999999999998</v>
      </c>
    </row>
    <row r="2924" spans="4:16" x14ac:dyDescent="0.2">
      <c r="D2924">
        <v>100001742</v>
      </c>
      <c r="E2924" s="49">
        <v>44207</v>
      </c>
      <c r="F2924" t="s">
        <v>3541</v>
      </c>
      <c r="G2924" t="s">
        <v>1928</v>
      </c>
      <c r="H2924">
        <v>10</v>
      </c>
      <c r="I2924">
        <v>61.55</v>
      </c>
      <c r="J2924" s="50">
        <v>615.5</v>
      </c>
      <c r="K2924" t="s">
        <v>1618</v>
      </c>
      <c r="M2924" t="s">
        <v>1619</v>
      </c>
      <c r="N2924">
        <v>32.479999999999997</v>
      </c>
      <c r="O2924" s="49">
        <v>44209</v>
      </c>
      <c r="P2924" s="50">
        <v>276.97500000000002</v>
      </c>
    </row>
    <row r="2925" spans="4:16" x14ac:dyDescent="0.2">
      <c r="D2925">
        <v>100001743</v>
      </c>
      <c r="E2925" s="49">
        <v>45474</v>
      </c>
      <c r="F2925" t="s">
        <v>3542</v>
      </c>
      <c r="G2925" t="s">
        <v>1851</v>
      </c>
      <c r="H2925">
        <v>3</v>
      </c>
      <c r="I2925">
        <v>55.29</v>
      </c>
      <c r="J2925" s="50">
        <v>165.87</v>
      </c>
      <c r="K2925" t="s">
        <v>1618</v>
      </c>
      <c r="M2925" t="s">
        <v>1621</v>
      </c>
      <c r="N2925">
        <v>29.18</v>
      </c>
      <c r="O2925" s="49">
        <v>45475</v>
      </c>
      <c r="P2925" s="50">
        <v>74.641500000000008</v>
      </c>
    </row>
    <row r="2926" spans="4:16" x14ac:dyDescent="0.2">
      <c r="D2926">
        <v>100001746</v>
      </c>
      <c r="E2926" s="49">
        <v>45126</v>
      </c>
      <c r="F2926" t="s">
        <v>3543</v>
      </c>
      <c r="G2926" t="s">
        <v>3075</v>
      </c>
      <c r="H2926">
        <v>3</v>
      </c>
      <c r="I2926">
        <v>40.619999999999997</v>
      </c>
      <c r="J2926" s="50">
        <v>121.86</v>
      </c>
      <c r="K2926" t="s">
        <v>1632</v>
      </c>
      <c r="L2926" t="s">
        <v>3544</v>
      </c>
      <c r="M2926" t="s">
        <v>1619</v>
      </c>
      <c r="N2926">
        <v>21.44</v>
      </c>
      <c r="O2926" s="49">
        <v>45128</v>
      </c>
      <c r="P2926" s="50">
        <v>54.837000000000003</v>
      </c>
    </row>
    <row r="2927" spans="4:16" x14ac:dyDescent="0.2">
      <c r="D2927">
        <v>100001746</v>
      </c>
      <c r="E2927" s="49">
        <v>44580</v>
      </c>
      <c r="F2927" t="s">
        <v>3543</v>
      </c>
      <c r="G2927" t="s">
        <v>1765</v>
      </c>
      <c r="H2927">
        <v>2</v>
      </c>
      <c r="I2927">
        <v>113.83</v>
      </c>
      <c r="J2927" s="50">
        <v>227.66</v>
      </c>
      <c r="K2927" t="s">
        <v>1632</v>
      </c>
      <c r="L2927" t="s">
        <v>3544</v>
      </c>
      <c r="M2927" t="s">
        <v>1621</v>
      </c>
      <c r="N2927">
        <v>60.08</v>
      </c>
      <c r="O2927" s="49">
        <v>44582</v>
      </c>
      <c r="P2927" s="50">
        <v>102.447</v>
      </c>
    </row>
    <row r="2928" spans="4:16" x14ac:dyDescent="0.2">
      <c r="D2928">
        <v>100001747</v>
      </c>
      <c r="E2928" s="49">
        <v>45267</v>
      </c>
      <c r="F2928" t="s">
        <v>3545</v>
      </c>
      <c r="G2928" t="s">
        <v>1767</v>
      </c>
      <c r="H2928">
        <v>8</v>
      </c>
      <c r="I2928">
        <v>115.37</v>
      </c>
      <c r="J2928" s="50">
        <v>922.96</v>
      </c>
      <c r="K2928" t="s">
        <v>1632</v>
      </c>
      <c r="M2928" t="s">
        <v>1627</v>
      </c>
      <c r="N2928">
        <v>60.89</v>
      </c>
      <c r="O2928" s="49">
        <v>45272</v>
      </c>
      <c r="P2928" s="50">
        <v>415.33200000000005</v>
      </c>
    </row>
    <row r="2929" spans="4:16" x14ac:dyDescent="0.2">
      <c r="D2929">
        <v>100001749</v>
      </c>
      <c r="E2929" s="49">
        <v>45312</v>
      </c>
      <c r="F2929" t="s">
        <v>3546</v>
      </c>
      <c r="G2929" t="s">
        <v>2436</v>
      </c>
      <c r="H2929">
        <v>1</v>
      </c>
      <c r="I2929">
        <v>54.38</v>
      </c>
      <c r="J2929" s="50">
        <v>54.38</v>
      </c>
      <c r="K2929" t="s">
        <v>1618</v>
      </c>
      <c r="M2929" t="s">
        <v>1621</v>
      </c>
      <c r="N2929">
        <v>28.7</v>
      </c>
      <c r="O2929" s="49">
        <v>45316</v>
      </c>
      <c r="P2929" s="50">
        <v>24.471</v>
      </c>
    </row>
    <row r="2930" spans="4:16" x14ac:dyDescent="0.2">
      <c r="D2930">
        <v>100001750</v>
      </c>
      <c r="E2930" s="49">
        <v>44347</v>
      </c>
      <c r="F2930" t="s">
        <v>3547</v>
      </c>
      <c r="G2930" t="s">
        <v>1762</v>
      </c>
      <c r="H2930">
        <v>1</v>
      </c>
      <c r="I2930">
        <v>65.430000000000007</v>
      </c>
      <c r="J2930" s="50">
        <v>65.430000000000007</v>
      </c>
      <c r="K2930" t="s">
        <v>1618</v>
      </c>
      <c r="M2930" t="s">
        <v>1624</v>
      </c>
      <c r="N2930">
        <v>34.53</v>
      </c>
      <c r="O2930" s="49">
        <v>44348</v>
      </c>
      <c r="P2930" s="50">
        <v>29.443500000000004</v>
      </c>
    </row>
    <row r="2931" spans="4:16" x14ac:dyDescent="0.2">
      <c r="D2931">
        <v>100001752</v>
      </c>
      <c r="E2931" s="49">
        <v>45001</v>
      </c>
      <c r="F2931" t="s">
        <v>3548</v>
      </c>
      <c r="G2931" t="s">
        <v>1765</v>
      </c>
      <c r="H2931">
        <v>1</v>
      </c>
      <c r="I2931">
        <v>35.979999999999997</v>
      </c>
      <c r="J2931" s="50">
        <v>35.979999999999997</v>
      </c>
      <c r="K2931" t="s">
        <v>1632</v>
      </c>
      <c r="L2931" t="s">
        <v>3329</v>
      </c>
      <c r="M2931" t="s">
        <v>1629</v>
      </c>
      <c r="N2931">
        <v>18.989999999999998</v>
      </c>
      <c r="O2931" s="49">
        <v>45002</v>
      </c>
      <c r="P2931" s="50">
        <v>16.190999999999999</v>
      </c>
    </row>
    <row r="2932" spans="4:16" x14ac:dyDescent="0.2">
      <c r="D2932">
        <v>100001752</v>
      </c>
      <c r="E2932" s="49">
        <v>44441</v>
      </c>
      <c r="F2932" t="s">
        <v>3548</v>
      </c>
      <c r="G2932" t="s">
        <v>1671</v>
      </c>
      <c r="H2932">
        <v>4</v>
      </c>
      <c r="I2932">
        <v>77.540000000000006</v>
      </c>
      <c r="J2932" s="50">
        <v>310.16000000000003</v>
      </c>
      <c r="K2932" t="s">
        <v>1632</v>
      </c>
      <c r="L2932" t="s">
        <v>3329</v>
      </c>
      <c r="M2932" t="s">
        <v>1624</v>
      </c>
      <c r="N2932">
        <v>40.92</v>
      </c>
      <c r="O2932" s="49">
        <v>44442</v>
      </c>
      <c r="P2932" s="50">
        <v>139.572</v>
      </c>
    </row>
    <row r="2933" spans="4:16" x14ac:dyDescent="0.2">
      <c r="D2933">
        <v>100001752</v>
      </c>
      <c r="E2933" s="49">
        <v>45583</v>
      </c>
      <c r="F2933" t="s">
        <v>3548</v>
      </c>
      <c r="G2933" t="s">
        <v>1838</v>
      </c>
      <c r="H2933">
        <v>2</v>
      </c>
      <c r="I2933">
        <v>81.99</v>
      </c>
      <c r="J2933" s="50">
        <v>163.98</v>
      </c>
      <c r="K2933" t="s">
        <v>1632</v>
      </c>
      <c r="L2933" t="s">
        <v>3329</v>
      </c>
      <c r="M2933" t="s">
        <v>1624</v>
      </c>
      <c r="N2933">
        <v>43.27</v>
      </c>
      <c r="O2933" s="49">
        <v>45585</v>
      </c>
      <c r="P2933" s="50">
        <v>73.790999999999997</v>
      </c>
    </row>
    <row r="2934" spans="4:16" x14ac:dyDescent="0.2">
      <c r="D2934">
        <v>100001752</v>
      </c>
      <c r="E2934" s="49">
        <v>45277</v>
      </c>
      <c r="F2934" t="s">
        <v>3548</v>
      </c>
      <c r="G2934" t="s">
        <v>1795</v>
      </c>
      <c r="H2934">
        <v>7</v>
      </c>
      <c r="I2934">
        <v>17</v>
      </c>
      <c r="J2934" s="50">
        <v>119</v>
      </c>
      <c r="K2934" t="s">
        <v>1632</v>
      </c>
      <c r="L2934" t="s">
        <v>3329</v>
      </c>
      <c r="M2934" t="s">
        <v>1627</v>
      </c>
      <c r="N2934">
        <v>8.9700000000000006</v>
      </c>
      <c r="O2934" s="49">
        <v>45279</v>
      </c>
      <c r="P2934" s="50">
        <v>53.550000000000004</v>
      </c>
    </row>
    <row r="2935" spans="4:16" x14ac:dyDescent="0.2">
      <c r="D2935">
        <v>100001752</v>
      </c>
      <c r="E2935" s="49">
        <v>44860</v>
      </c>
      <c r="F2935" t="s">
        <v>3548</v>
      </c>
      <c r="G2935" t="s">
        <v>1799</v>
      </c>
      <c r="H2935">
        <v>8</v>
      </c>
      <c r="I2935">
        <v>52.18</v>
      </c>
      <c r="J2935" s="50">
        <v>417.44</v>
      </c>
      <c r="K2935" t="s">
        <v>1632</v>
      </c>
      <c r="L2935" t="s">
        <v>3329</v>
      </c>
      <c r="M2935" t="s">
        <v>1629</v>
      </c>
      <c r="N2935">
        <v>27.54</v>
      </c>
      <c r="O2935" s="49">
        <v>44865</v>
      </c>
      <c r="P2935" s="50">
        <v>187.84800000000001</v>
      </c>
    </row>
    <row r="2936" spans="4:16" x14ac:dyDescent="0.2">
      <c r="D2936">
        <v>100001752</v>
      </c>
      <c r="E2936" s="49">
        <v>44762</v>
      </c>
      <c r="F2936" t="s">
        <v>3548</v>
      </c>
      <c r="G2936" t="s">
        <v>2161</v>
      </c>
      <c r="H2936">
        <v>10</v>
      </c>
      <c r="I2936">
        <v>45.62</v>
      </c>
      <c r="J2936" s="50">
        <v>456.2</v>
      </c>
      <c r="K2936" t="s">
        <v>1632</v>
      </c>
      <c r="L2936" t="s">
        <v>3329</v>
      </c>
      <c r="M2936" t="s">
        <v>1624</v>
      </c>
      <c r="N2936">
        <v>24.08</v>
      </c>
      <c r="O2936" s="49">
        <v>44766</v>
      </c>
      <c r="P2936" s="50">
        <v>205.29</v>
      </c>
    </row>
    <row r="2937" spans="4:16" x14ac:dyDescent="0.2">
      <c r="D2937">
        <v>100001753</v>
      </c>
      <c r="E2937" s="49">
        <v>44401</v>
      </c>
      <c r="F2937" t="s">
        <v>3549</v>
      </c>
      <c r="G2937" t="s">
        <v>1842</v>
      </c>
      <c r="H2937">
        <v>7</v>
      </c>
      <c r="I2937">
        <v>68.73</v>
      </c>
      <c r="J2937" s="50">
        <v>481.11</v>
      </c>
      <c r="K2937" t="s">
        <v>1618</v>
      </c>
      <c r="M2937" t="s">
        <v>1621</v>
      </c>
      <c r="N2937">
        <v>36.270000000000003</v>
      </c>
      <c r="O2937" s="49">
        <v>44406</v>
      </c>
      <c r="P2937" s="50">
        <v>216.49950000000001</v>
      </c>
    </row>
    <row r="2938" spans="4:16" x14ac:dyDescent="0.2">
      <c r="D2938">
        <v>100001753</v>
      </c>
      <c r="E2938" s="49">
        <v>45104</v>
      </c>
      <c r="F2938" t="s">
        <v>3549</v>
      </c>
      <c r="G2938" t="s">
        <v>2161</v>
      </c>
      <c r="H2938">
        <v>3</v>
      </c>
      <c r="I2938">
        <v>70.56</v>
      </c>
      <c r="J2938" s="50">
        <v>211.68</v>
      </c>
      <c r="K2938" t="s">
        <v>1618</v>
      </c>
      <c r="M2938" t="s">
        <v>1619</v>
      </c>
      <c r="N2938">
        <v>37.24</v>
      </c>
      <c r="O2938" s="49">
        <v>45109</v>
      </c>
      <c r="P2938" s="50">
        <v>95.256</v>
      </c>
    </row>
    <row r="2939" spans="4:16" x14ac:dyDescent="0.2">
      <c r="D2939">
        <v>100001754</v>
      </c>
      <c r="E2939" s="49">
        <v>45030</v>
      </c>
      <c r="F2939" t="s">
        <v>3550</v>
      </c>
      <c r="G2939" t="s">
        <v>1731</v>
      </c>
      <c r="H2939">
        <v>7</v>
      </c>
      <c r="I2939">
        <v>62.83</v>
      </c>
      <c r="J2939" s="50">
        <v>439.81</v>
      </c>
      <c r="K2939" t="s">
        <v>1632</v>
      </c>
      <c r="M2939" t="s">
        <v>1619</v>
      </c>
      <c r="N2939">
        <v>33.159999999999997</v>
      </c>
      <c r="O2939" s="49">
        <v>45034</v>
      </c>
      <c r="P2939" s="50">
        <v>197.9145</v>
      </c>
    </row>
    <row r="2940" spans="4:16" x14ac:dyDescent="0.2">
      <c r="D2940">
        <v>100001755</v>
      </c>
      <c r="E2940" s="49">
        <v>45319</v>
      </c>
      <c r="F2940" t="s">
        <v>3551</v>
      </c>
      <c r="G2940" t="s">
        <v>1721</v>
      </c>
      <c r="H2940">
        <v>4</v>
      </c>
      <c r="I2940">
        <v>107.03</v>
      </c>
      <c r="J2940" s="50">
        <v>428.12</v>
      </c>
      <c r="K2940" t="s">
        <v>1618</v>
      </c>
      <c r="M2940" t="s">
        <v>1629</v>
      </c>
      <c r="N2940">
        <v>56.49</v>
      </c>
      <c r="O2940" s="49">
        <v>45321</v>
      </c>
      <c r="P2940" s="50">
        <v>192.654</v>
      </c>
    </row>
    <row r="2941" spans="4:16" x14ac:dyDescent="0.2">
      <c r="D2941">
        <v>100001758</v>
      </c>
      <c r="E2941" s="49">
        <v>45431</v>
      </c>
      <c r="F2941" t="s">
        <v>3552</v>
      </c>
      <c r="G2941" t="s">
        <v>1693</v>
      </c>
      <c r="H2941">
        <v>9</v>
      </c>
      <c r="I2941">
        <v>60.08</v>
      </c>
      <c r="J2941" s="50">
        <v>540.72</v>
      </c>
      <c r="K2941" t="s">
        <v>1632</v>
      </c>
      <c r="M2941" t="s">
        <v>1619</v>
      </c>
      <c r="N2941">
        <v>31.71</v>
      </c>
      <c r="O2941" s="49">
        <v>45432</v>
      </c>
      <c r="P2941" s="50">
        <v>243.32400000000001</v>
      </c>
    </row>
    <row r="2942" spans="4:16" x14ac:dyDescent="0.2">
      <c r="D2942">
        <v>100001759</v>
      </c>
      <c r="E2942" s="49">
        <v>45121</v>
      </c>
      <c r="F2942" t="s">
        <v>3553</v>
      </c>
      <c r="G2942" t="s">
        <v>1718</v>
      </c>
      <c r="H2942">
        <v>4</v>
      </c>
      <c r="I2942">
        <v>101.24</v>
      </c>
      <c r="J2942" s="50">
        <v>404.96</v>
      </c>
      <c r="K2942" t="s">
        <v>1618</v>
      </c>
      <c r="M2942" t="s">
        <v>1619</v>
      </c>
      <c r="N2942">
        <v>53.43</v>
      </c>
      <c r="O2942" s="49">
        <v>45125</v>
      </c>
      <c r="P2942" s="50">
        <v>182.232</v>
      </c>
    </row>
    <row r="2943" spans="4:16" x14ac:dyDescent="0.2">
      <c r="D2943">
        <v>100001763</v>
      </c>
      <c r="E2943" s="49">
        <v>45338</v>
      </c>
      <c r="F2943" t="s">
        <v>3554</v>
      </c>
      <c r="G2943" t="s">
        <v>2698</v>
      </c>
      <c r="H2943">
        <v>2</v>
      </c>
      <c r="I2943">
        <v>50.69</v>
      </c>
      <c r="J2943" s="50">
        <v>101.38</v>
      </c>
      <c r="K2943" t="s">
        <v>1632</v>
      </c>
      <c r="M2943" t="s">
        <v>1627</v>
      </c>
      <c r="N2943">
        <v>26.75</v>
      </c>
      <c r="O2943" s="49">
        <v>45342</v>
      </c>
      <c r="P2943" s="50">
        <v>45.621000000000002</v>
      </c>
    </row>
    <row r="2944" spans="4:16" x14ac:dyDescent="0.2">
      <c r="D2944">
        <v>100001763</v>
      </c>
      <c r="E2944" s="49">
        <v>45617</v>
      </c>
      <c r="F2944" t="s">
        <v>3554</v>
      </c>
      <c r="G2944" t="s">
        <v>1787</v>
      </c>
      <c r="H2944">
        <v>6</v>
      </c>
      <c r="I2944">
        <v>39.619999999999997</v>
      </c>
      <c r="J2944" s="50">
        <v>237.72</v>
      </c>
      <c r="K2944" t="s">
        <v>1632</v>
      </c>
      <c r="M2944" t="s">
        <v>1627</v>
      </c>
      <c r="N2944">
        <v>20.91</v>
      </c>
      <c r="O2944" s="49">
        <v>45622</v>
      </c>
      <c r="P2944" s="50">
        <v>106.974</v>
      </c>
    </row>
    <row r="2945" spans="4:16" x14ac:dyDescent="0.2">
      <c r="D2945">
        <v>100001766</v>
      </c>
      <c r="E2945" s="49">
        <v>44809</v>
      </c>
      <c r="F2945" t="s">
        <v>3555</v>
      </c>
      <c r="G2945" t="s">
        <v>2305</v>
      </c>
      <c r="H2945">
        <v>2</v>
      </c>
      <c r="I2945">
        <v>107.14</v>
      </c>
      <c r="J2945" s="50">
        <v>214.28</v>
      </c>
      <c r="K2945" t="s">
        <v>1632</v>
      </c>
      <c r="L2945" t="s">
        <v>2494</v>
      </c>
      <c r="M2945" t="s">
        <v>1619</v>
      </c>
      <c r="N2945">
        <v>56.55</v>
      </c>
      <c r="O2945" s="49">
        <v>44814</v>
      </c>
      <c r="P2945" s="50">
        <v>96.426000000000002</v>
      </c>
    </row>
    <row r="2946" spans="4:16" x14ac:dyDescent="0.2">
      <c r="D2946">
        <v>100001766</v>
      </c>
      <c r="E2946" s="49">
        <v>44833</v>
      </c>
      <c r="F2946" t="s">
        <v>3555</v>
      </c>
      <c r="G2946" t="s">
        <v>1844</v>
      </c>
      <c r="H2946">
        <v>2</v>
      </c>
      <c r="I2946">
        <v>79.84</v>
      </c>
      <c r="J2946" s="50">
        <v>159.68</v>
      </c>
      <c r="K2946" t="s">
        <v>1632</v>
      </c>
      <c r="L2946" t="s">
        <v>2494</v>
      </c>
      <c r="M2946" t="s">
        <v>1627</v>
      </c>
      <c r="N2946">
        <v>42.14</v>
      </c>
      <c r="O2946" s="49">
        <v>44834</v>
      </c>
      <c r="P2946" s="50">
        <v>71.856000000000009</v>
      </c>
    </row>
    <row r="2947" spans="4:16" x14ac:dyDescent="0.2">
      <c r="D2947">
        <v>100001766</v>
      </c>
      <c r="E2947" s="49">
        <v>44883</v>
      </c>
      <c r="F2947" t="s">
        <v>3555</v>
      </c>
      <c r="G2947" t="s">
        <v>1865</v>
      </c>
      <c r="H2947">
        <v>4</v>
      </c>
      <c r="I2947">
        <v>89.82</v>
      </c>
      <c r="J2947" s="50">
        <v>359.28</v>
      </c>
      <c r="K2947" t="s">
        <v>1632</v>
      </c>
      <c r="L2947" t="s">
        <v>2494</v>
      </c>
      <c r="M2947" t="s">
        <v>1627</v>
      </c>
      <c r="N2947">
        <v>47.4</v>
      </c>
      <c r="O2947" s="49">
        <v>44888</v>
      </c>
      <c r="P2947" s="50">
        <v>161.67599999999999</v>
      </c>
    </row>
    <row r="2948" spans="4:16" x14ac:dyDescent="0.2">
      <c r="D2948">
        <v>100001767</v>
      </c>
      <c r="E2948" s="49">
        <v>44578</v>
      </c>
      <c r="F2948" t="s">
        <v>3556</v>
      </c>
      <c r="G2948" t="s">
        <v>1872</v>
      </c>
      <c r="H2948">
        <v>10</v>
      </c>
      <c r="I2948">
        <v>114.79</v>
      </c>
      <c r="J2948" s="50">
        <v>1147.9000000000001</v>
      </c>
      <c r="K2948" t="s">
        <v>1618</v>
      </c>
      <c r="M2948" t="s">
        <v>1629</v>
      </c>
      <c r="N2948">
        <v>60.58</v>
      </c>
      <c r="O2948" s="49">
        <v>44579</v>
      </c>
      <c r="P2948" s="50">
        <v>516.55500000000006</v>
      </c>
    </row>
    <row r="2949" spans="4:16" x14ac:dyDescent="0.2">
      <c r="D2949">
        <v>100001769</v>
      </c>
      <c r="E2949" s="49">
        <v>45139</v>
      </c>
      <c r="F2949" t="s">
        <v>3557</v>
      </c>
      <c r="G2949" t="s">
        <v>1775</v>
      </c>
      <c r="H2949">
        <v>6</v>
      </c>
      <c r="I2949">
        <v>115.23</v>
      </c>
      <c r="J2949" s="50">
        <v>691.38</v>
      </c>
      <c r="K2949" t="s">
        <v>1618</v>
      </c>
      <c r="M2949" t="s">
        <v>1629</v>
      </c>
      <c r="N2949">
        <v>60.82</v>
      </c>
      <c r="O2949" s="49">
        <v>45144</v>
      </c>
      <c r="P2949" s="50">
        <v>311.12099999999998</v>
      </c>
    </row>
    <row r="2950" spans="4:16" x14ac:dyDescent="0.2">
      <c r="D2950">
        <v>100001770</v>
      </c>
      <c r="E2950" s="49">
        <v>44338</v>
      </c>
      <c r="F2950" t="s">
        <v>3558</v>
      </c>
      <c r="G2950" t="s">
        <v>2574</v>
      </c>
      <c r="H2950">
        <v>3</v>
      </c>
      <c r="I2950">
        <v>32.299999999999997</v>
      </c>
      <c r="J2950" s="50">
        <v>96.899999999999991</v>
      </c>
      <c r="K2950" t="s">
        <v>1618</v>
      </c>
      <c r="M2950" t="s">
        <v>1621</v>
      </c>
      <c r="N2950">
        <v>17.05</v>
      </c>
      <c r="O2950" s="49">
        <v>44341</v>
      </c>
      <c r="P2950" s="50">
        <v>43.604999999999997</v>
      </c>
    </row>
    <row r="2951" spans="4:16" x14ac:dyDescent="0.2">
      <c r="D2951">
        <v>100001771</v>
      </c>
      <c r="E2951" s="49">
        <v>44367</v>
      </c>
      <c r="F2951" t="s">
        <v>3559</v>
      </c>
      <c r="G2951" t="s">
        <v>1645</v>
      </c>
      <c r="H2951">
        <v>3</v>
      </c>
      <c r="I2951">
        <v>15.49</v>
      </c>
      <c r="J2951" s="50">
        <v>46.47</v>
      </c>
      <c r="K2951" t="s">
        <v>1618</v>
      </c>
      <c r="L2951" t="s">
        <v>3560</v>
      </c>
      <c r="M2951" t="s">
        <v>1621</v>
      </c>
      <c r="N2951">
        <v>8.18</v>
      </c>
      <c r="O2951" s="49">
        <v>44368</v>
      </c>
      <c r="P2951" s="50">
        <v>20.9115</v>
      </c>
    </row>
    <row r="2952" spans="4:16" x14ac:dyDescent="0.2">
      <c r="D2952">
        <v>100001771</v>
      </c>
      <c r="E2952" s="49">
        <v>45553</v>
      </c>
      <c r="F2952" t="s">
        <v>3559</v>
      </c>
      <c r="G2952" t="s">
        <v>1748</v>
      </c>
      <c r="H2952">
        <v>4</v>
      </c>
      <c r="I2952">
        <v>111.76</v>
      </c>
      <c r="J2952" s="50">
        <v>447.04</v>
      </c>
      <c r="K2952" t="s">
        <v>1618</v>
      </c>
      <c r="L2952" t="s">
        <v>3560</v>
      </c>
      <c r="M2952" t="s">
        <v>1627</v>
      </c>
      <c r="N2952">
        <v>58.98</v>
      </c>
      <c r="O2952" s="49">
        <v>45558</v>
      </c>
      <c r="P2952" s="50">
        <v>201.16800000000001</v>
      </c>
    </row>
    <row r="2953" spans="4:16" x14ac:dyDescent="0.2">
      <c r="D2953">
        <v>100001771</v>
      </c>
      <c r="E2953" s="49">
        <v>45378</v>
      </c>
      <c r="F2953" t="s">
        <v>3559</v>
      </c>
      <c r="G2953" t="s">
        <v>1999</v>
      </c>
      <c r="H2953">
        <v>10</v>
      </c>
      <c r="I2953">
        <v>110.83</v>
      </c>
      <c r="J2953" s="50">
        <v>1108.3</v>
      </c>
      <c r="K2953" t="s">
        <v>1618</v>
      </c>
      <c r="L2953" t="s">
        <v>3560</v>
      </c>
      <c r="M2953" t="s">
        <v>1624</v>
      </c>
      <c r="N2953">
        <v>58.49</v>
      </c>
      <c r="O2953" s="49">
        <v>45381</v>
      </c>
      <c r="P2953" s="50">
        <v>498.73500000000001</v>
      </c>
    </row>
    <row r="2954" spans="4:16" x14ac:dyDescent="0.2">
      <c r="D2954">
        <v>100001772</v>
      </c>
      <c r="E2954" s="49">
        <v>44976</v>
      </c>
      <c r="F2954" t="s">
        <v>3561</v>
      </c>
      <c r="G2954" t="s">
        <v>1688</v>
      </c>
      <c r="H2954">
        <v>7</v>
      </c>
      <c r="I2954">
        <v>39.28</v>
      </c>
      <c r="J2954" s="50">
        <v>274.95999999999998</v>
      </c>
      <c r="K2954" t="s">
        <v>1632</v>
      </c>
      <c r="M2954" t="s">
        <v>1629</v>
      </c>
      <c r="N2954">
        <v>20.73</v>
      </c>
      <c r="O2954" s="49">
        <v>44977</v>
      </c>
      <c r="P2954" s="50">
        <v>123.732</v>
      </c>
    </row>
    <row r="2955" spans="4:16" x14ac:dyDescent="0.2">
      <c r="D2955">
        <v>100001772</v>
      </c>
      <c r="E2955" s="49">
        <v>44614</v>
      </c>
      <c r="F2955" t="s">
        <v>3561</v>
      </c>
      <c r="G2955" t="s">
        <v>1937</v>
      </c>
      <c r="H2955">
        <v>6</v>
      </c>
      <c r="I2955">
        <v>46.87</v>
      </c>
      <c r="J2955" s="50">
        <v>281.22000000000003</v>
      </c>
      <c r="K2955" t="s">
        <v>1632</v>
      </c>
      <c r="M2955" t="s">
        <v>1624</v>
      </c>
      <c r="N2955">
        <v>24.74</v>
      </c>
      <c r="O2955" s="49">
        <v>44617</v>
      </c>
      <c r="P2955" s="50">
        <v>126.54900000000002</v>
      </c>
    </row>
    <row r="2956" spans="4:16" x14ac:dyDescent="0.2">
      <c r="D2956">
        <v>100001772</v>
      </c>
      <c r="E2956" s="49">
        <v>44623</v>
      </c>
      <c r="F2956" t="s">
        <v>3561</v>
      </c>
      <c r="G2956" t="s">
        <v>1760</v>
      </c>
      <c r="H2956">
        <v>7</v>
      </c>
      <c r="I2956">
        <v>36.520000000000003</v>
      </c>
      <c r="J2956" s="50">
        <v>255.64</v>
      </c>
      <c r="K2956" t="s">
        <v>1632</v>
      </c>
      <c r="M2956" t="s">
        <v>1619</v>
      </c>
      <c r="N2956">
        <v>19.27</v>
      </c>
      <c r="O2956" s="49">
        <v>44627</v>
      </c>
      <c r="P2956" s="50">
        <v>115.038</v>
      </c>
    </row>
    <row r="2957" spans="4:16" x14ac:dyDescent="0.2">
      <c r="D2957">
        <v>100001772</v>
      </c>
      <c r="E2957" s="49">
        <v>44402</v>
      </c>
      <c r="F2957" t="s">
        <v>3561</v>
      </c>
      <c r="G2957" t="s">
        <v>1807</v>
      </c>
      <c r="H2957">
        <v>9</v>
      </c>
      <c r="I2957">
        <v>45.31</v>
      </c>
      <c r="J2957" s="50">
        <v>407.79</v>
      </c>
      <c r="K2957" t="s">
        <v>1632</v>
      </c>
      <c r="M2957" t="s">
        <v>1627</v>
      </c>
      <c r="N2957">
        <v>23.91</v>
      </c>
      <c r="O2957" s="49">
        <v>44403</v>
      </c>
      <c r="P2957" s="50">
        <v>183.50550000000001</v>
      </c>
    </row>
    <row r="2958" spans="4:16" x14ac:dyDescent="0.2">
      <c r="D2958">
        <v>100001772</v>
      </c>
      <c r="E2958" s="49">
        <v>44810</v>
      </c>
      <c r="F2958" t="s">
        <v>3561</v>
      </c>
      <c r="G2958" t="s">
        <v>1787</v>
      </c>
      <c r="H2958">
        <v>5</v>
      </c>
      <c r="I2958">
        <v>12.12</v>
      </c>
      <c r="J2958" s="50">
        <v>60.599999999999987</v>
      </c>
      <c r="K2958" t="s">
        <v>1632</v>
      </c>
      <c r="M2958" t="s">
        <v>1629</v>
      </c>
      <c r="N2958">
        <v>6.4</v>
      </c>
      <c r="O2958" s="49">
        <v>44811</v>
      </c>
      <c r="P2958" s="50">
        <v>27.269999999999996</v>
      </c>
    </row>
    <row r="2959" spans="4:16" x14ac:dyDescent="0.2">
      <c r="D2959">
        <v>100001772</v>
      </c>
      <c r="E2959" s="49">
        <v>45278</v>
      </c>
      <c r="F2959" t="s">
        <v>3561</v>
      </c>
      <c r="G2959" t="s">
        <v>2155</v>
      </c>
      <c r="H2959">
        <v>9</v>
      </c>
      <c r="I2959">
        <v>29.86</v>
      </c>
      <c r="J2959" s="50">
        <v>268.74</v>
      </c>
      <c r="K2959" t="s">
        <v>1632</v>
      </c>
      <c r="M2959" t="s">
        <v>1629</v>
      </c>
      <c r="N2959">
        <v>15.76</v>
      </c>
      <c r="O2959" s="49">
        <v>45281</v>
      </c>
      <c r="P2959" s="50">
        <v>120.93300000000001</v>
      </c>
    </row>
    <row r="2960" spans="4:16" x14ac:dyDescent="0.2">
      <c r="D2960">
        <v>100001772</v>
      </c>
      <c r="E2960" s="49">
        <v>44980</v>
      </c>
      <c r="F2960" t="s">
        <v>3561</v>
      </c>
      <c r="G2960" t="s">
        <v>1947</v>
      </c>
      <c r="H2960">
        <v>6</v>
      </c>
      <c r="I2960">
        <v>114.38</v>
      </c>
      <c r="J2960" s="50">
        <v>686.28</v>
      </c>
      <c r="K2960" t="s">
        <v>1632</v>
      </c>
      <c r="M2960" t="s">
        <v>1624</v>
      </c>
      <c r="N2960">
        <v>60.37</v>
      </c>
      <c r="O2960" s="49">
        <v>44982</v>
      </c>
      <c r="P2960" s="50">
        <v>308.82600000000002</v>
      </c>
    </row>
    <row r="2961" spans="4:16" x14ac:dyDescent="0.2">
      <c r="D2961">
        <v>100001772</v>
      </c>
      <c r="E2961" s="49">
        <v>44885</v>
      </c>
      <c r="F2961" t="s">
        <v>3561</v>
      </c>
      <c r="G2961" t="s">
        <v>2150</v>
      </c>
      <c r="H2961">
        <v>2</v>
      </c>
      <c r="I2961">
        <v>96.41</v>
      </c>
      <c r="J2961" s="50">
        <v>192.82</v>
      </c>
      <c r="K2961" t="s">
        <v>1632</v>
      </c>
      <c r="M2961" t="s">
        <v>1619</v>
      </c>
      <c r="N2961">
        <v>50.88</v>
      </c>
      <c r="O2961" s="49">
        <v>44889</v>
      </c>
      <c r="P2961" s="50">
        <v>86.769000000000005</v>
      </c>
    </row>
    <row r="2962" spans="4:16" x14ac:dyDescent="0.2">
      <c r="D2962">
        <v>100001772</v>
      </c>
      <c r="E2962" s="49">
        <v>44543</v>
      </c>
      <c r="F2962" t="s">
        <v>3561</v>
      </c>
      <c r="G2962" t="s">
        <v>1739</v>
      </c>
      <c r="H2962">
        <v>6</v>
      </c>
      <c r="I2962">
        <v>92.95</v>
      </c>
      <c r="J2962" s="50">
        <v>557.70000000000005</v>
      </c>
      <c r="K2962" t="s">
        <v>1632</v>
      </c>
      <c r="M2962" t="s">
        <v>1629</v>
      </c>
      <c r="N2962">
        <v>49.06</v>
      </c>
      <c r="O2962" s="49">
        <v>44548</v>
      </c>
      <c r="P2962" s="50">
        <v>250.96500000000003</v>
      </c>
    </row>
    <row r="2963" spans="4:16" x14ac:dyDescent="0.2">
      <c r="D2963">
        <v>100001772</v>
      </c>
      <c r="E2963" s="49">
        <v>44238</v>
      </c>
      <c r="F2963" t="s">
        <v>3561</v>
      </c>
      <c r="G2963" t="s">
        <v>2337</v>
      </c>
      <c r="H2963">
        <v>6</v>
      </c>
      <c r="I2963">
        <v>66.81</v>
      </c>
      <c r="J2963" s="50">
        <v>400.86</v>
      </c>
      <c r="K2963" t="s">
        <v>1632</v>
      </c>
      <c r="M2963" t="s">
        <v>1629</v>
      </c>
      <c r="N2963">
        <v>35.26</v>
      </c>
      <c r="O2963" s="49">
        <v>44240</v>
      </c>
      <c r="P2963" s="50">
        <v>180.387</v>
      </c>
    </row>
    <row r="2964" spans="4:16" x14ac:dyDescent="0.2">
      <c r="D2964">
        <v>100001772</v>
      </c>
      <c r="E2964" s="49">
        <v>45339</v>
      </c>
      <c r="F2964" t="s">
        <v>3561</v>
      </c>
      <c r="G2964" t="s">
        <v>1928</v>
      </c>
      <c r="H2964">
        <v>5</v>
      </c>
      <c r="I2964">
        <v>113.57</v>
      </c>
      <c r="J2964" s="50">
        <v>567.84999999999991</v>
      </c>
      <c r="K2964" t="s">
        <v>1632</v>
      </c>
      <c r="M2964" t="s">
        <v>1624</v>
      </c>
      <c r="N2964">
        <v>59.94</v>
      </c>
      <c r="O2964" s="49">
        <v>45341</v>
      </c>
      <c r="P2964" s="50">
        <v>255.53249999999997</v>
      </c>
    </row>
    <row r="2965" spans="4:16" x14ac:dyDescent="0.2">
      <c r="D2965">
        <v>100001773</v>
      </c>
      <c r="E2965" s="49">
        <v>45651</v>
      </c>
      <c r="F2965" t="s">
        <v>3562</v>
      </c>
      <c r="G2965" t="s">
        <v>2063</v>
      </c>
      <c r="H2965">
        <v>4</v>
      </c>
      <c r="I2965">
        <v>110.72</v>
      </c>
      <c r="J2965" s="50">
        <v>442.88</v>
      </c>
      <c r="K2965" t="s">
        <v>1618</v>
      </c>
      <c r="M2965" t="s">
        <v>1629</v>
      </c>
      <c r="N2965">
        <v>58.44</v>
      </c>
      <c r="O2965" s="49">
        <v>45655</v>
      </c>
      <c r="P2965" s="50">
        <v>199.29599999999999</v>
      </c>
    </row>
    <row r="2966" spans="4:16" x14ac:dyDescent="0.2">
      <c r="D2966">
        <v>100001773</v>
      </c>
      <c r="E2966" s="49">
        <v>45559</v>
      </c>
      <c r="F2966" t="s">
        <v>3562</v>
      </c>
      <c r="G2966" t="s">
        <v>1893</v>
      </c>
      <c r="H2966">
        <v>5</v>
      </c>
      <c r="I2966">
        <v>64.45</v>
      </c>
      <c r="J2966" s="50">
        <v>322.25</v>
      </c>
      <c r="K2966" t="s">
        <v>1618</v>
      </c>
      <c r="M2966" t="s">
        <v>1621</v>
      </c>
      <c r="N2966">
        <v>34.020000000000003</v>
      </c>
      <c r="O2966" s="49">
        <v>45563</v>
      </c>
      <c r="P2966" s="50">
        <v>145.01250000000002</v>
      </c>
    </row>
    <row r="2967" spans="4:16" x14ac:dyDescent="0.2">
      <c r="D2967">
        <v>100001774</v>
      </c>
      <c r="E2967" s="49">
        <v>45600</v>
      </c>
      <c r="F2967" t="s">
        <v>3563</v>
      </c>
      <c r="G2967" t="s">
        <v>1792</v>
      </c>
      <c r="H2967">
        <v>8</v>
      </c>
      <c r="I2967">
        <v>16.07</v>
      </c>
      <c r="J2967" s="50">
        <v>128.56</v>
      </c>
      <c r="K2967" t="s">
        <v>1618</v>
      </c>
      <c r="M2967" t="s">
        <v>1619</v>
      </c>
      <c r="N2967">
        <v>8.48</v>
      </c>
      <c r="O2967" s="49">
        <v>45603</v>
      </c>
      <c r="P2967" s="50">
        <v>57.852000000000004</v>
      </c>
    </row>
    <row r="2968" spans="4:16" x14ac:dyDescent="0.2">
      <c r="D2968">
        <v>100001774</v>
      </c>
      <c r="E2968" s="49">
        <v>45393</v>
      </c>
      <c r="F2968" t="s">
        <v>3563</v>
      </c>
      <c r="G2968" t="s">
        <v>1787</v>
      </c>
      <c r="H2968">
        <v>1</v>
      </c>
      <c r="I2968">
        <v>115.68</v>
      </c>
      <c r="J2968" s="50">
        <v>115.68</v>
      </c>
      <c r="K2968" t="s">
        <v>1618</v>
      </c>
      <c r="M2968" t="s">
        <v>1619</v>
      </c>
      <c r="N2968">
        <v>61.05</v>
      </c>
      <c r="O2968" s="49">
        <v>45395</v>
      </c>
      <c r="P2968" s="50">
        <v>52.056000000000004</v>
      </c>
    </row>
    <row r="2969" spans="4:16" x14ac:dyDescent="0.2">
      <c r="D2969">
        <v>100001775</v>
      </c>
      <c r="E2969" s="49">
        <v>44780</v>
      </c>
      <c r="F2969" t="s">
        <v>2259</v>
      </c>
      <c r="G2969" t="s">
        <v>2261</v>
      </c>
      <c r="H2969">
        <v>9</v>
      </c>
      <c r="I2969">
        <v>101.94</v>
      </c>
      <c r="J2969" s="50">
        <v>917.46</v>
      </c>
      <c r="K2969" t="s">
        <v>1632</v>
      </c>
      <c r="L2969" t="s">
        <v>2396</v>
      </c>
      <c r="M2969" t="s">
        <v>1619</v>
      </c>
      <c r="N2969">
        <v>53.8</v>
      </c>
      <c r="O2969" s="49">
        <v>44784</v>
      </c>
      <c r="P2969" s="50">
        <v>412.85700000000003</v>
      </c>
    </row>
    <row r="2970" spans="4:16" x14ac:dyDescent="0.2">
      <c r="D2970">
        <v>100001775</v>
      </c>
      <c r="E2970" s="49">
        <v>45301</v>
      </c>
      <c r="F2970" t="s">
        <v>2259</v>
      </c>
      <c r="G2970" t="s">
        <v>1820</v>
      </c>
      <c r="H2970">
        <v>7</v>
      </c>
      <c r="I2970">
        <v>80.16</v>
      </c>
      <c r="J2970" s="50">
        <v>561.12</v>
      </c>
      <c r="K2970" t="s">
        <v>1632</v>
      </c>
      <c r="L2970" t="s">
        <v>2396</v>
      </c>
      <c r="M2970" t="s">
        <v>1619</v>
      </c>
      <c r="N2970">
        <v>42.31</v>
      </c>
      <c r="O2970" s="49">
        <v>45305</v>
      </c>
      <c r="P2970" s="50">
        <v>252.50400000000002</v>
      </c>
    </row>
    <row r="2971" spans="4:16" x14ac:dyDescent="0.2">
      <c r="D2971">
        <v>100001776</v>
      </c>
      <c r="E2971" s="49">
        <v>44467</v>
      </c>
      <c r="F2971" t="s">
        <v>3564</v>
      </c>
      <c r="G2971" t="s">
        <v>1973</v>
      </c>
      <c r="H2971">
        <v>2</v>
      </c>
      <c r="I2971">
        <v>64.62</v>
      </c>
      <c r="J2971" s="50">
        <v>129.24</v>
      </c>
      <c r="K2971" t="s">
        <v>1618</v>
      </c>
      <c r="M2971" t="s">
        <v>1621</v>
      </c>
      <c r="N2971">
        <v>34.1</v>
      </c>
      <c r="O2971" s="49">
        <v>44472</v>
      </c>
      <c r="P2971" s="50">
        <v>58.158000000000008</v>
      </c>
    </row>
    <row r="2972" spans="4:16" x14ac:dyDescent="0.2">
      <c r="D2972">
        <v>100001777</v>
      </c>
      <c r="E2972" s="49">
        <v>44626</v>
      </c>
      <c r="F2972" t="s">
        <v>3565</v>
      </c>
      <c r="G2972" t="s">
        <v>2337</v>
      </c>
      <c r="H2972">
        <v>5</v>
      </c>
      <c r="I2972">
        <v>75.16</v>
      </c>
      <c r="J2972" s="50">
        <v>375.8</v>
      </c>
      <c r="K2972" t="s">
        <v>1618</v>
      </c>
      <c r="M2972" t="s">
        <v>1619</v>
      </c>
      <c r="N2972">
        <v>39.67</v>
      </c>
      <c r="O2972" s="49">
        <v>44629</v>
      </c>
      <c r="P2972" s="50">
        <v>169.11</v>
      </c>
    </row>
    <row r="2973" spans="4:16" x14ac:dyDescent="0.2">
      <c r="D2973">
        <v>100001777</v>
      </c>
      <c r="E2973" s="49">
        <v>44209</v>
      </c>
      <c r="F2973" t="s">
        <v>3565</v>
      </c>
      <c r="G2973" t="s">
        <v>1655</v>
      </c>
      <c r="H2973">
        <v>5</v>
      </c>
      <c r="I2973">
        <v>56.38</v>
      </c>
      <c r="J2973" s="50">
        <v>281.89999999999998</v>
      </c>
      <c r="K2973" t="s">
        <v>1618</v>
      </c>
      <c r="M2973" t="s">
        <v>1627</v>
      </c>
      <c r="N2973">
        <v>29.76</v>
      </c>
      <c r="O2973" s="49">
        <v>44211</v>
      </c>
      <c r="P2973" s="50">
        <v>126.85499999999999</v>
      </c>
    </row>
    <row r="2974" spans="4:16" x14ac:dyDescent="0.2">
      <c r="D2974">
        <v>100001777</v>
      </c>
      <c r="E2974" s="49">
        <v>44811</v>
      </c>
      <c r="F2974" t="s">
        <v>3565</v>
      </c>
      <c r="G2974" t="s">
        <v>1913</v>
      </c>
      <c r="H2974">
        <v>5</v>
      </c>
      <c r="I2974">
        <v>36.9</v>
      </c>
      <c r="J2974" s="50">
        <v>184.5</v>
      </c>
      <c r="K2974" t="s">
        <v>1618</v>
      </c>
      <c r="M2974" t="s">
        <v>1629</v>
      </c>
      <c r="N2974">
        <v>19.47</v>
      </c>
      <c r="O2974" s="49">
        <v>44816</v>
      </c>
      <c r="P2974" s="50">
        <v>83.025000000000006</v>
      </c>
    </row>
    <row r="2975" spans="4:16" x14ac:dyDescent="0.2">
      <c r="D2975">
        <v>100001777</v>
      </c>
      <c r="E2975" s="49">
        <v>45437</v>
      </c>
      <c r="F2975" t="s">
        <v>3565</v>
      </c>
      <c r="G2975" t="s">
        <v>2745</v>
      </c>
      <c r="H2975">
        <v>1</v>
      </c>
      <c r="I2975">
        <v>80.56</v>
      </c>
      <c r="J2975" s="50">
        <v>80.56</v>
      </c>
      <c r="K2975" t="s">
        <v>1618</v>
      </c>
      <c r="M2975" t="s">
        <v>1624</v>
      </c>
      <c r="N2975">
        <v>42.52</v>
      </c>
      <c r="O2975" s="49">
        <v>45440</v>
      </c>
      <c r="P2975" s="50">
        <v>36.252000000000002</v>
      </c>
    </row>
    <row r="2976" spans="4:16" x14ac:dyDescent="0.2">
      <c r="D2976">
        <v>100001777</v>
      </c>
      <c r="E2976" s="49">
        <v>45082</v>
      </c>
      <c r="F2976" t="s">
        <v>3565</v>
      </c>
      <c r="G2976" t="s">
        <v>1781</v>
      </c>
      <c r="H2976">
        <v>9</v>
      </c>
      <c r="I2976">
        <v>114.76</v>
      </c>
      <c r="J2976" s="50">
        <v>1032.8399999999999</v>
      </c>
      <c r="K2976" t="s">
        <v>1618</v>
      </c>
      <c r="M2976" t="s">
        <v>1627</v>
      </c>
      <c r="N2976">
        <v>60.57</v>
      </c>
      <c r="O2976" s="49">
        <v>45085</v>
      </c>
      <c r="P2976" s="50">
        <v>464.77799999999996</v>
      </c>
    </row>
    <row r="2977" spans="4:16" x14ac:dyDescent="0.2">
      <c r="D2977">
        <v>100001778</v>
      </c>
      <c r="E2977" s="49">
        <v>44332</v>
      </c>
      <c r="F2977" t="s">
        <v>3566</v>
      </c>
      <c r="G2977" t="s">
        <v>1760</v>
      </c>
      <c r="H2977">
        <v>7</v>
      </c>
      <c r="I2977">
        <v>51.97</v>
      </c>
      <c r="J2977" s="50">
        <v>363.79</v>
      </c>
      <c r="K2977" t="s">
        <v>1618</v>
      </c>
      <c r="M2977" t="s">
        <v>1629</v>
      </c>
      <c r="N2977">
        <v>27.43</v>
      </c>
      <c r="O2977" s="49">
        <v>44337</v>
      </c>
      <c r="P2977" s="50">
        <v>163.7055</v>
      </c>
    </row>
    <row r="2978" spans="4:16" x14ac:dyDescent="0.2">
      <c r="D2978">
        <v>100001779</v>
      </c>
      <c r="E2978" s="49">
        <v>45211</v>
      </c>
      <c r="F2978" t="s">
        <v>3567</v>
      </c>
      <c r="G2978" t="s">
        <v>1944</v>
      </c>
      <c r="H2978">
        <v>4</v>
      </c>
      <c r="I2978">
        <v>62.19</v>
      </c>
      <c r="J2978" s="50">
        <v>248.76</v>
      </c>
      <c r="K2978" t="s">
        <v>1618</v>
      </c>
      <c r="L2978" t="s">
        <v>3568</v>
      </c>
      <c r="M2978" t="s">
        <v>1627</v>
      </c>
      <c r="N2978">
        <v>32.82</v>
      </c>
      <c r="O2978" s="49">
        <v>45216</v>
      </c>
      <c r="P2978" s="50">
        <v>111.94199999999999</v>
      </c>
    </row>
    <row r="2979" spans="4:16" x14ac:dyDescent="0.2">
      <c r="D2979">
        <v>100001780</v>
      </c>
      <c r="E2979" s="49">
        <v>45057</v>
      </c>
      <c r="F2979" t="s">
        <v>3569</v>
      </c>
      <c r="G2979" t="s">
        <v>2003</v>
      </c>
      <c r="H2979">
        <v>3</v>
      </c>
      <c r="I2979">
        <v>113.92</v>
      </c>
      <c r="J2979" s="50">
        <v>341.76</v>
      </c>
      <c r="K2979" t="s">
        <v>1632</v>
      </c>
      <c r="M2979" t="s">
        <v>1627</v>
      </c>
      <c r="N2979">
        <v>60.12</v>
      </c>
      <c r="O2979" s="49">
        <v>45061</v>
      </c>
      <c r="P2979" s="50">
        <v>153.792</v>
      </c>
    </row>
    <row r="2980" spans="4:16" x14ac:dyDescent="0.2">
      <c r="D2980">
        <v>100001780</v>
      </c>
      <c r="E2980" s="49">
        <v>44734</v>
      </c>
      <c r="F2980" t="s">
        <v>3569</v>
      </c>
      <c r="G2980" t="s">
        <v>2074</v>
      </c>
      <c r="H2980">
        <v>4</v>
      </c>
      <c r="I2980">
        <v>106.28</v>
      </c>
      <c r="J2980" s="50">
        <v>425.12</v>
      </c>
      <c r="K2980" t="s">
        <v>1632</v>
      </c>
      <c r="M2980" t="s">
        <v>1629</v>
      </c>
      <c r="N2980">
        <v>56.09</v>
      </c>
      <c r="O2980" s="49">
        <v>44738</v>
      </c>
      <c r="P2980" s="50">
        <v>191.304</v>
      </c>
    </row>
    <row r="2981" spans="4:16" x14ac:dyDescent="0.2">
      <c r="D2981">
        <v>100001780</v>
      </c>
      <c r="E2981" s="49">
        <v>44237</v>
      </c>
      <c r="F2981" t="s">
        <v>3569</v>
      </c>
      <c r="G2981" t="s">
        <v>2412</v>
      </c>
      <c r="H2981">
        <v>6</v>
      </c>
      <c r="I2981">
        <v>10.48</v>
      </c>
      <c r="J2981" s="50">
        <v>62.88</v>
      </c>
      <c r="K2981" t="s">
        <v>1632</v>
      </c>
      <c r="M2981" t="s">
        <v>1621</v>
      </c>
      <c r="N2981">
        <v>5.53</v>
      </c>
      <c r="O2981" s="49">
        <v>44242</v>
      </c>
      <c r="P2981" s="50">
        <v>28.296000000000003</v>
      </c>
    </row>
    <row r="2982" spans="4:16" x14ac:dyDescent="0.2">
      <c r="D2982">
        <v>100001780</v>
      </c>
      <c r="E2982" s="49">
        <v>45287</v>
      </c>
      <c r="F2982" t="s">
        <v>3569</v>
      </c>
      <c r="G2982" t="s">
        <v>2062</v>
      </c>
      <c r="H2982">
        <v>7</v>
      </c>
      <c r="I2982">
        <v>103.38</v>
      </c>
      <c r="J2982" s="50">
        <v>723.66</v>
      </c>
      <c r="K2982" t="s">
        <v>1632</v>
      </c>
      <c r="M2982" t="s">
        <v>1627</v>
      </c>
      <c r="N2982">
        <v>54.56</v>
      </c>
      <c r="O2982" s="49">
        <v>45289</v>
      </c>
      <c r="P2982" s="50">
        <v>325.64699999999999</v>
      </c>
    </row>
    <row r="2983" spans="4:16" x14ac:dyDescent="0.2">
      <c r="D2983">
        <v>100001782</v>
      </c>
      <c r="E2983" s="49">
        <v>44760</v>
      </c>
      <c r="F2983" t="s">
        <v>3570</v>
      </c>
      <c r="G2983" t="s">
        <v>1848</v>
      </c>
      <c r="H2983">
        <v>2</v>
      </c>
      <c r="I2983">
        <v>61.56</v>
      </c>
      <c r="J2983" s="50">
        <v>123.12</v>
      </c>
      <c r="K2983" t="s">
        <v>1618</v>
      </c>
      <c r="M2983" t="s">
        <v>1619</v>
      </c>
      <c r="N2983">
        <v>32.49</v>
      </c>
      <c r="O2983" s="49">
        <v>44762</v>
      </c>
      <c r="P2983" s="50">
        <v>55.404000000000003</v>
      </c>
    </row>
    <row r="2984" spans="4:16" x14ac:dyDescent="0.2">
      <c r="D2984">
        <v>100001783</v>
      </c>
      <c r="E2984" s="49">
        <v>44851</v>
      </c>
      <c r="F2984" t="s">
        <v>3114</v>
      </c>
      <c r="G2984" t="s">
        <v>1768</v>
      </c>
      <c r="H2984">
        <v>2</v>
      </c>
      <c r="I2984">
        <v>60.53</v>
      </c>
      <c r="J2984" s="50">
        <v>121.06</v>
      </c>
      <c r="K2984" t="s">
        <v>1618</v>
      </c>
      <c r="L2984" t="s">
        <v>3571</v>
      </c>
      <c r="M2984" t="s">
        <v>1621</v>
      </c>
      <c r="N2984">
        <v>31.95</v>
      </c>
      <c r="O2984" s="49">
        <v>44854</v>
      </c>
      <c r="P2984" s="50">
        <v>54.477000000000004</v>
      </c>
    </row>
    <row r="2985" spans="4:16" x14ac:dyDescent="0.2">
      <c r="D2985">
        <v>100001783</v>
      </c>
      <c r="E2985" s="49">
        <v>44736</v>
      </c>
      <c r="F2985" t="s">
        <v>3114</v>
      </c>
      <c r="G2985" t="s">
        <v>2025</v>
      </c>
      <c r="H2985">
        <v>4</v>
      </c>
      <c r="I2985">
        <v>57.99</v>
      </c>
      <c r="J2985" s="50">
        <v>231.96</v>
      </c>
      <c r="K2985" t="s">
        <v>1618</v>
      </c>
      <c r="L2985" t="s">
        <v>3571</v>
      </c>
      <c r="M2985" t="s">
        <v>1624</v>
      </c>
      <c r="N2985">
        <v>30.61</v>
      </c>
      <c r="O2985" s="49">
        <v>44737</v>
      </c>
      <c r="P2985" s="50">
        <v>104.38200000000001</v>
      </c>
    </row>
    <row r="2986" spans="4:16" x14ac:dyDescent="0.2">
      <c r="D2986">
        <v>100001783</v>
      </c>
      <c r="E2986" s="49">
        <v>45378</v>
      </c>
      <c r="F2986" t="s">
        <v>3114</v>
      </c>
      <c r="G2986" t="s">
        <v>2210</v>
      </c>
      <c r="H2986">
        <v>5</v>
      </c>
      <c r="I2986">
        <v>67.8</v>
      </c>
      <c r="J2986" s="50">
        <v>339</v>
      </c>
      <c r="K2986" t="s">
        <v>1618</v>
      </c>
      <c r="L2986" t="s">
        <v>3571</v>
      </c>
      <c r="M2986" t="s">
        <v>1621</v>
      </c>
      <c r="N2986">
        <v>35.78</v>
      </c>
      <c r="O2986" s="49">
        <v>45381</v>
      </c>
      <c r="P2986" s="50">
        <v>152.55000000000001</v>
      </c>
    </row>
    <row r="2987" spans="4:16" x14ac:dyDescent="0.2">
      <c r="D2987">
        <v>100001784</v>
      </c>
      <c r="E2987" s="49">
        <v>45296</v>
      </c>
      <c r="F2987" t="s">
        <v>3572</v>
      </c>
      <c r="G2987" t="s">
        <v>1945</v>
      </c>
      <c r="H2987">
        <v>3</v>
      </c>
      <c r="I2987">
        <v>71.510000000000005</v>
      </c>
      <c r="J2987" s="50">
        <v>214.53</v>
      </c>
      <c r="K2987" t="s">
        <v>1632</v>
      </c>
      <c r="M2987" t="s">
        <v>1629</v>
      </c>
      <c r="N2987">
        <v>37.74</v>
      </c>
      <c r="O2987" s="49">
        <v>45300</v>
      </c>
      <c r="P2987" s="50">
        <v>96.538499999999999</v>
      </c>
    </row>
    <row r="2988" spans="4:16" x14ac:dyDescent="0.2">
      <c r="D2988">
        <v>100001785</v>
      </c>
      <c r="E2988" s="49">
        <v>45108</v>
      </c>
      <c r="F2988" t="s">
        <v>3573</v>
      </c>
      <c r="G2988" t="s">
        <v>2733</v>
      </c>
      <c r="H2988">
        <v>5</v>
      </c>
      <c r="I2988">
        <v>118.04</v>
      </c>
      <c r="J2988" s="50">
        <v>590.20000000000005</v>
      </c>
      <c r="K2988" t="s">
        <v>1618</v>
      </c>
      <c r="M2988" t="s">
        <v>1619</v>
      </c>
      <c r="N2988">
        <v>62.3</v>
      </c>
      <c r="O2988" s="49">
        <v>45109</v>
      </c>
      <c r="P2988" s="50">
        <v>265.59000000000003</v>
      </c>
    </row>
    <row r="2989" spans="4:16" x14ac:dyDescent="0.2">
      <c r="D2989">
        <v>100001785</v>
      </c>
      <c r="E2989" s="49">
        <v>44946</v>
      </c>
      <c r="F2989" t="s">
        <v>3573</v>
      </c>
      <c r="G2989" t="s">
        <v>1644</v>
      </c>
      <c r="H2989">
        <v>1</v>
      </c>
      <c r="I2989">
        <v>119.36</v>
      </c>
      <c r="J2989" s="50">
        <v>119.36</v>
      </c>
      <c r="K2989" t="s">
        <v>1618</v>
      </c>
      <c r="M2989" t="s">
        <v>1629</v>
      </c>
      <c r="N2989">
        <v>63</v>
      </c>
      <c r="O2989" s="49">
        <v>44950</v>
      </c>
      <c r="P2989" s="50">
        <v>53.712000000000003</v>
      </c>
    </row>
    <row r="2990" spans="4:16" x14ac:dyDescent="0.2">
      <c r="D2990">
        <v>100001785</v>
      </c>
      <c r="E2990" s="49">
        <v>45015</v>
      </c>
      <c r="F2990" t="s">
        <v>3573</v>
      </c>
      <c r="G2990" t="s">
        <v>1727</v>
      </c>
      <c r="H2990">
        <v>10</v>
      </c>
      <c r="I2990">
        <v>29.59</v>
      </c>
      <c r="J2990" s="50">
        <v>295.89999999999998</v>
      </c>
      <c r="K2990" t="s">
        <v>1618</v>
      </c>
      <c r="M2990" t="s">
        <v>1627</v>
      </c>
      <c r="N2990">
        <v>15.62</v>
      </c>
      <c r="O2990" s="49">
        <v>45018</v>
      </c>
      <c r="P2990" s="50">
        <v>133.155</v>
      </c>
    </row>
    <row r="2991" spans="4:16" x14ac:dyDescent="0.2">
      <c r="D2991">
        <v>100001785</v>
      </c>
      <c r="E2991" s="49">
        <v>45227</v>
      </c>
      <c r="F2991" t="s">
        <v>3573</v>
      </c>
      <c r="G2991" t="s">
        <v>1649</v>
      </c>
      <c r="H2991">
        <v>4</v>
      </c>
      <c r="I2991">
        <v>15.58</v>
      </c>
      <c r="J2991" s="50">
        <v>62.32</v>
      </c>
      <c r="K2991" t="s">
        <v>1618</v>
      </c>
      <c r="M2991" t="s">
        <v>1629</v>
      </c>
      <c r="N2991">
        <v>8.2200000000000006</v>
      </c>
      <c r="O2991" s="49">
        <v>45229</v>
      </c>
      <c r="P2991" s="50">
        <v>28.044</v>
      </c>
    </row>
    <row r="2992" spans="4:16" x14ac:dyDescent="0.2">
      <c r="D2992">
        <v>100001785</v>
      </c>
      <c r="E2992" s="49">
        <v>44234</v>
      </c>
      <c r="F2992" t="s">
        <v>3573</v>
      </c>
      <c r="G2992" t="s">
        <v>1978</v>
      </c>
      <c r="H2992">
        <v>7</v>
      </c>
      <c r="I2992">
        <v>44.85</v>
      </c>
      <c r="J2992" s="50">
        <v>313.95</v>
      </c>
      <c r="K2992" t="s">
        <v>1618</v>
      </c>
      <c r="M2992" t="s">
        <v>1619</v>
      </c>
      <c r="N2992">
        <v>23.67</v>
      </c>
      <c r="O2992" s="49">
        <v>44235</v>
      </c>
      <c r="P2992" s="50">
        <v>141.2775</v>
      </c>
    </row>
    <row r="2993" spans="4:16" x14ac:dyDescent="0.2">
      <c r="D2993">
        <v>100001785</v>
      </c>
      <c r="E2993" s="49">
        <v>44921</v>
      </c>
      <c r="F2993" t="s">
        <v>3573</v>
      </c>
      <c r="G2993" t="s">
        <v>1799</v>
      </c>
      <c r="H2993">
        <v>1</v>
      </c>
      <c r="I2993">
        <v>59.74</v>
      </c>
      <c r="J2993" s="50">
        <v>59.74</v>
      </c>
      <c r="K2993" t="s">
        <v>1618</v>
      </c>
      <c r="M2993" t="s">
        <v>1624</v>
      </c>
      <c r="N2993">
        <v>31.53</v>
      </c>
      <c r="O2993" s="49">
        <v>44925</v>
      </c>
      <c r="P2993" s="50">
        <v>26.883000000000003</v>
      </c>
    </row>
    <row r="2994" spans="4:16" x14ac:dyDescent="0.2">
      <c r="D2994">
        <v>100001785</v>
      </c>
      <c r="E2994" s="49">
        <v>44939</v>
      </c>
      <c r="F2994" t="s">
        <v>3573</v>
      </c>
      <c r="G2994" t="s">
        <v>1812</v>
      </c>
      <c r="H2994">
        <v>8</v>
      </c>
      <c r="I2994">
        <v>82.56</v>
      </c>
      <c r="J2994" s="50">
        <v>660.48</v>
      </c>
      <c r="K2994" t="s">
        <v>1618</v>
      </c>
      <c r="M2994" t="s">
        <v>1619</v>
      </c>
      <c r="N2994">
        <v>43.57</v>
      </c>
      <c r="O2994" s="49">
        <v>44941</v>
      </c>
      <c r="P2994" s="50">
        <v>297.21600000000001</v>
      </c>
    </row>
    <row r="2995" spans="4:16" x14ac:dyDescent="0.2">
      <c r="D2995">
        <v>100001785</v>
      </c>
      <c r="E2995" s="49">
        <v>45064</v>
      </c>
      <c r="F2995" t="s">
        <v>3573</v>
      </c>
      <c r="G2995" t="s">
        <v>2484</v>
      </c>
      <c r="H2995">
        <v>1</v>
      </c>
      <c r="I2995">
        <v>45.12</v>
      </c>
      <c r="J2995" s="50">
        <v>45.12</v>
      </c>
      <c r="K2995" t="s">
        <v>1618</v>
      </c>
      <c r="M2995" t="s">
        <v>1627</v>
      </c>
      <c r="N2995">
        <v>23.81</v>
      </c>
      <c r="O2995" s="49">
        <v>45067</v>
      </c>
      <c r="P2995" s="50">
        <v>20.303999999999998</v>
      </c>
    </row>
    <row r="2996" spans="4:16" x14ac:dyDescent="0.2">
      <c r="D2996">
        <v>100001787</v>
      </c>
      <c r="E2996" s="49">
        <v>44925</v>
      </c>
      <c r="F2996" t="s">
        <v>3574</v>
      </c>
      <c r="G2996" t="s">
        <v>2553</v>
      </c>
      <c r="H2996">
        <v>5</v>
      </c>
      <c r="I2996">
        <v>79.709999999999994</v>
      </c>
      <c r="J2996" s="50">
        <v>398.55</v>
      </c>
      <c r="K2996" t="s">
        <v>1618</v>
      </c>
      <c r="L2996" t="s">
        <v>3575</v>
      </c>
      <c r="M2996" t="s">
        <v>1619</v>
      </c>
      <c r="N2996">
        <v>42.07</v>
      </c>
      <c r="O2996" s="49">
        <v>44928</v>
      </c>
      <c r="P2996" s="50">
        <v>179.3475</v>
      </c>
    </row>
    <row r="2997" spans="4:16" x14ac:dyDescent="0.2">
      <c r="D2997">
        <v>100001787</v>
      </c>
      <c r="E2997" s="49">
        <v>44564</v>
      </c>
      <c r="F2997" t="s">
        <v>3574</v>
      </c>
      <c r="G2997" t="s">
        <v>1666</v>
      </c>
      <c r="H2997">
        <v>8</v>
      </c>
      <c r="I2997">
        <v>94.41</v>
      </c>
      <c r="J2997" s="50">
        <v>755.28</v>
      </c>
      <c r="K2997" t="s">
        <v>1618</v>
      </c>
      <c r="L2997" t="s">
        <v>3575</v>
      </c>
      <c r="M2997" t="s">
        <v>1629</v>
      </c>
      <c r="N2997">
        <v>49.83</v>
      </c>
      <c r="O2997" s="49">
        <v>44569</v>
      </c>
      <c r="P2997" s="50">
        <v>339.87599999999998</v>
      </c>
    </row>
    <row r="2998" spans="4:16" x14ac:dyDescent="0.2">
      <c r="D2998">
        <v>100001790</v>
      </c>
      <c r="E2998" s="49">
        <v>44309</v>
      </c>
      <c r="F2998" t="s">
        <v>3576</v>
      </c>
      <c r="G2998" t="s">
        <v>1864</v>
      </c>
      <c r="H2998">
        <v>5</v>
      </c>
      <c r="I2998">
        <v>44.72</v>
      </c>
      <c r="J2998" s="50">
        <v>223.6</v>
      </c>
      <c r="K2998" t="s">
        <v>1632</v>
      </c>
      <c r="L2998" t="s">
        <v>3577</v>
      </c>
      <c r="M2998" t="s">
        <v>1627</v>
      </c>
      <c r="N2998">
        <v>23.6</v>
      </c>
      <c r="O2998" s="49">
        <v>44314</v>
      </c>
      <c r="P2998" s="50">
        <v>100.62</v>
      </c>
    </row>
    <row r="2999" spans="4:16" x14ac:dyDescent="0.2">
      <c r="D2999">
        <v>100001790</v>
      </c>
      <c r="E2999" s="49">
        <v>45213</v>
      </c>
      <c r="F2999" t="s">
        <v>3576</v>
      </c>
      <c r="G2999" t="s">
        <v>2230</v>
      </c>
      <c r="H2999">
        <v>3</v>
      </c>
      <c r="I2999">
        <v>106.89</v>
      </c>
      <c r="J2999" s="50">
        <v>320.67</v>
      </c>
      <c r="K2999" t="s">
        <v>1632</v>
      </c>
      <c r="L2999" t="s">
        <v>3577</v>
      </c>
      <c r="M2999" t="s">
        <v>1627</v>
      </c>
      <c r="N2999">
        <v>56.41</v>
      </c>
      <c r="O2999" s="49">
        <v>45214</v>
      </c>
      <c r="P2999" s="50">
        <v>144.3015</v>
      </c>
    </row>
    <row r="3000" spans="4:16" x14ac:dyDescent="0.2">
      <c r="D3000">
        <v>100001791</v>
      </c>
      <c r="E3000" s="49">
        <v>45161</v>
      </c>
      <c r="F3000" t="s">
        <v>3578</v>
      </c>
      <c r="G3000" t="s">
        <v>2050</v>
      </c>
      <c r="H3000">
        <v>2</v>
      </c>
      <c r="I3000">
        <v>57.56</v>
      </c>
      <c r="J3000" s="50">
        <v>115.12</v>
      </c>
      <c r="K3000" t="s">
        <v>1632</v>
      </c>
      <c r="L3000" t="s">
        <v>3579</v>
      </c>
      <c r="M3000" t="s">
        <v>1624</v>
      </c>
      <c r="N3000">
        <v>30.38</v>
      </c>
      <c r="O3000" s="49">
        <v>45166</v>
      </c>
      <c r="P3000" s="50">
        <v>51.804000000000002</v>
      </c>
    </row>
    <row r="3001" spans="4:16" x14ac:dyDescent="0.2">
      <c r="D3001">
        <v>100001791</v>
      </c>
      <c r="E3001" s="49">
        <v>44565</v>
      </c>
      <c r="F3001" t="s">
        <v>3578</v>
      </c>
      <c r="G3001" t="s">
        <v>1823</v>
      </c>
      <c r="H3001">
        <v>2</v>
      </c>
      <c r="I3001">
        <v>32</v>
      </c>
      <c r="J3001" s="50">
        <v>64</v>
      </c>
      <c r="K3001" t="s">
        <v>1632</v>
      </c>
      <c r="L3001" t="s">
        <v>3579</v>
      </c>
      <c r="M3001" t="s">
        <v>1619</v>
      </c>
      <c r="N3001">
        <v>16.89</v>
      </c>
      <c r="O3001" s="49">
        <v>44566</v>
      </c>
      <c r="P3001" s="50">
        <v>28.8</v>
      </c>
    </row>
    <row r="3002" spans="4:16" x14ac:dyDescent="0.2">
      <c r="D3002">
        <v>100001792</v>
      </c>
      <c r="E3002" s="49">
        <v>44909</v>
      </c>
      <c r="F3002" t="s">
        <v>3580</v>
      </c>
      <c r="G3002" t="s">
        <v>2301</v>
      </c>
      <c r="H3002">
        <v>9</v>
      </c>
      <c r="I3002">
        <v>82.06</v>
      </c>
      <c r="J3002" s="50">
        <v>738.54</v>
      </c>
      <c r="K3002" t="s">
        <v>1618</v>
      </c>
      <c r="M3002" t="s">
        <v>1627</v>
      </c>
      <c r="N3002">
        <v>43.31</v>
      </c>
      <c r="O3002" s="49">
        <v>44914</v>
      </c>
      <c r="P3002" s="50">
        <v>332.34300000000002</v>
      </c>
    </row>
    <row r="3003" spans="4:16" x14ac:dyDescent="0.2">
      <c r="D3003">
        <v>100001792</v>
      </c>
      <c r="E3003" s="49">
        <v>44539</v>
      </c>
      <c r="F3003" t="s">
        <v>3580</v>
      </c>
      <c r="G3003" t="s">
        <v>1760</v>
      </c>
      <c r="H3003">
        <v>9</v>
      </c>
      <c r="I3003">
        <v>116.63</v>
      </c>
      <c r="J3003" s="50">
        <v>1049.67</v>
      </c>
      <c r="K3003" t="s">
        <v>1618</v>
      </c>
      <c r="M3003" t="s">
        <v>1621</v>
      </c>
      <c r="N3003">
        <v>61.55</v>
      </c>
      <c r="O3003" s="49">
        <v>44540</v>
      </c>
      <c r="P3003" s="50">
        <v>472.35150000000004</v>
      </c>
    </row>
    <row r="3004" spans="4:16" x14ac:dyDescent="0.2">
      <c r="D3004">
        <v>100001793</v>
      </c>
      <c r="E3004" s="49">
        <v>45257</v>
      </c>
      <c r="F3004" t="s">
        <v>3581</v>
      </c>
      <c r="G3004" t="s">
        <v>2116</v>
      </c>
      <c r="H3004">
        <v>9</v>
      </c>
      <c r="I3004">
        <v>37.9</v>
      </c>
      <c r="J3004" s="50">
        <v>341.1</v>
      </c>
      <c r="K3004" t="s">
        <v>1618</v>
      </c>
      <c r="M3004" t="s">
        <v>1619</v>
      </c>
      <c r="N3004">
        <v>20</v>
      </c>
      <c r="O3004" s="49">
        <v>45259</v>
      </c>
      <c r="P3004" s="50">
        <v>153.495</v>
      </c>
    </row>
    <row r="3005" spans="4:16" x14ac:dyDescent="0.2">
      <c r="D3005">
        <v>100001794</v>
      </c>
      <c r="E3005" s="49">
        <v>45184</v>
      </c>
      <c r="F3005" t="s">
        <v>3582</v>
      </c>
      <c r="G3005" t="s">
        <v>1679</v>
      </c>
      <c r="H3005">
        <v>6</v>
      </c>
      <c r="I3005">
        <v>69.260000000000005</v>
      </c>
      <c r="J3005" s="50">
        <v>415.56000000000012</v>
      </c>
      <c r="K3005" t="s">
        <v>1632</v>
      </c>
      <c r="M3005" t="s">
        <v>1619</v>
      </c>
      <c r="N3005">
        <v>36.549999999999997</v>
      </c>
      <c r="O3005" s="49">
        <v>45186</v>
      </c>
      <c r="P3005" s="50">
        <v>187.00200000000007</v>
      </c>
    </row>
    <row r="3006" spans="4:16" x14ac:dyDescent="0.2">
      <c r="D3006">
        <v>100001794</v>
      </c>
      <c r="E3006" s="49">
        <v>45048</v>
      </c>
      <c r="F3006" t="s">
        <v>3582</v>
      </c>
      <c r="G3006" t="s">
        <v>2134</v>
      </c>
      <c r="H3006">
        <v>2</v>
      </c>
      <c r="I3006">
        <v>35.75</v>
      </c>
      <c r="J3006" s="50">
        <v>71.5</v>
      </c>
      <c r="K3006" t="s">
        <v>1632</v>
      </c>
      <c r="M3006" t="s">
        <v>1624</v>
      </c>
      <c r="N3006">
        <v>18.87</v>
      </c>
      <c r="O3006" s="49">
        <v>45050</v>
      </c>
      <c r="P3006" s="50">
        <v>32.175000000000004</v>
      </c>
    </row>
    <row r="3007" spans="4:16" x14ac:dyDescent="0.2">
      <c r="D3007">
        <v>100001794</v>
      </c>
      <c r="E3007" s="49">
        <v>44761</v>
      </c>
      <c r="F3007" t="s">
        <v>3582</v>
      </c>
      <c r="G3007" t="s">
        <v>1953</v>
      </c>
      <c r="H3007">
        <v>9</v>
      </c>
      <c r="I3007">
        <v>54.43</v>
      </c>
      <c r="J3007" s="50">
        <v>489.87</v>
      </c>
      <c r="K3007" t="s">
        <v>1632</v>
      </c>
      <c r="M3007" t="s">
        <v>1624</v>
      </c>
      <c r="N3007">
        <v>28.73</v>
      </c>
      <c r="O3007" s="49">
        <v>44765</v>
      </c>
      <c r="P3007" s="50">
        <v>220.44150000000002</v>
      </c>
    </row>
    <row r="3008" spans="4:16" x14ac:dyDescent="0.2">
      <c r="D3008">
        <v>100001794</v>
      </c>
      <c r="E3008" s="49">
        <v>45649</v>
      </c>
      <c r="F3008" t="s">
        <v>3582</v>
      </c>
      <c r="G3008" t="s">
        <v>1842</v>
      </c>
      <c r="H3008">
        <v>9</v>
      </c>
      <c r="I3008">
        <v>111.08</v>
      </c>
      <c r="J3008" s="50">
        <v>999.72</v>
      </c>
      <c r="K3008" t="s">
        <v>1632</v>
      </c>
      <c r="M3008" t="s">
        <v>1629</v>
      </c>
      <c r="N3008">
        <v>58.63</v>
      </c>
      <c r="O3008" s="49">
        <v>45654</v>
      </c>
      <c r="P3008" s="50">
        <v>449.87400000000002</v>
      </c>
    </row>
    <row r="3009" spans="4:16" x14ac:dyDescent="0.2">
      <c r="D3009">
        <v>100001796</v>
      </c>
      <c r="E3009" s="49">
        <v>44629</v>
      </c>
      <c r="F3009" t="s">
        <v>3583</v>
      </c>
      <c r="G3009" t="s">
        <v>1823</v>
      </c>
      <c r="H3009">
        <v>9</v>
      </c>
      <c r="I3009">
        <v>41.42</v>
      </c>
      <c r="J3009" s="50">
        <v>372.78</v>
      </c>
      <c r="K3009" t="s">
        <v>1618</v>
      </c>
      <c r="M3009" t="s">
        <v>1621</v>
      </c>
      <c r="N3009">
        <v>21.86</v>
      </c>
      <c r="O3009" s="49">
        <v>44631</v>
      </c>
      <c r="P3009" s="50">
        <v>167.751</v>
      </c>
    </row>
    <row r="3010" spans="4:16" x14ac:dyDescent="0.2">
      <c r="D3010">
        <v>100001796</v>
      </c>
      <c r="E3010" s="49">
        <v>45007</v>
      </c>
      <c r="F3010" t="s">
        <v>3583</v>
      </c>
      <c r="G3010" t="s">
        <v>2042</v>
      </c>
      <c r="H3010">
        <v>10</v>
      </c>
      <c r="I3010">
        <v>66.16</v>
      </c>
      <c r="J3010" s="50">
        <v>661.59999999999991</v>
      </c>
      <c r="K3010" t="s">
        <v>1618</v>
      </c>
      <c r="M3010" t="s">
        <v>1621</v>
      </c>
      <c r="N3010">
        <v>34.92</v>
      </c>
      <c r="O3010" s="49">
        <v>45012</v>
      </c>
      <c r="P3010" s="50">
        <v>297.71999999999997</v>
      </c>
    </row>
    <row r="3011" spans="4:16" x14ac:dyDescent="0.2">
      <c r="D3011">
        <v>100001798</v>
      </c>
      <c r="E3011" s="49">
        <v>44228</v>
      </c>
      <c r="F3011" t="s">
        <v>3584</v>
      </c>
      <c r="G3011" t="s">
        <v>1647</v>
      </c>
      <c r="H3011">
        <v>9</v>
      </c>
      <c r="I3011">
        <v>95.64</v>
      </c>
      <c r="J3011" s="50">
        <v>860.76</v>
      </c>
      <c r="K3011" t="s">
        <v>1632</v>
      </c>
      <c r="M3011" t="s">
        <v>1624</v>
      </c>
      <c r="N3011">
        <v>50.48</v>
      </c>
      <c r="O3011" s="49">
        <v>44229</v>
      </c>
      <c r="P3011" s="50">
        <v>387.34199999999998</v>
      </c>
    </row>
    <row r="3012" spans="4:16" x14ac:dyDescent="0.2">
      <c r="D3012">
        <v>100001799</v>
      </c>
      <c r="E3012" s="49">
        <v>44896</v>
      </c>
      <c r="F3012" t="s">
        <v>3585</v>
      </c>
      <c r="G3012" t="s">
        <v>2390</v>
      </c>
      <c r="H3012">
        <v>9</v>
      </c>
      <c r="I3012">
        <v>81.38</v>
      </c>
      <c r="J3012" s="50">
        <v>732.42</v>
      </c>
      <c r="K3012" t="s">
        <v>1632</v>
      </c>
      <c r="M3012" t="s">
        <v>1624</v>
      </c>
      <c r="N3012">
        <v>42.95</v>
      </c>
      <c r="O3012" s="49">
        <v>44901</v>
      </c>
      <c r="P3012" s="50">
        <v>329.589</v>
      </c>
    </row>
    <row r="3013" spans="4:16" x14ac:dyDescent="0.2">
      <c r="D3013">
        <v>100001799</v>
      </c>
      <c r="E3013" s="49">
        <v>45164</v>
      </c>
      <c r="F3013" t="s">
        <v>3585</v>
      </c>
      <c r="G3013" t="s">
        <v>2004</v>
      </c>
      <c r="H3013">
        <v>9</v>
      </c>
      <c r="I3013">
        <v>41.26</v>
      </c>
      <c r="J3013" s="50">
        <v>371.34</v>
      </c>
      <c r="K3013" t="s">
        <v>1632</v>
      </c>
      <c r="M3013" t="s">
        <v>1627</v>
      </c>
      <c r="N3013">
        <v>21.78</v>
      </c>
      <c r="O3013" s="49">
        <v>45165</v>
      </c>
      <c r="P3013" s="50">
        <v>167.10299999999998</v>
      </c>
    </row>
    <row r="3014" spans="4:16" x14ac:dyDescent="0.2">
      <c r="D3014">
        <v>100001800</v>
      </c>
      <c r="E3014" s="49">
        <v>45261</v>
      </c>
      <c r="F3014" t="s">
        <v>3586</v>
      </c>
      <c r="G3014" t="s">
        <v>2484</v>
      </c>
      <c r="H3014">
        <v>2</v>
      </c>
      <c r="I3014">
        <v>96.72</v>
      </c>
      <c r="J3014" s="50">
        <v>193.44</v>
      </c>
      <c r="K3014" t="s">
        <v>1618</v>
      </c>
      <c r="M3014" t="s">
        <v>1629</v>
      </c>
      <c r="N3014">
        <v>51.05</v>
      </c>
      <c r="O3014" s="49">
        <v>45266</v>
      </c>
      <c r="P3014" s="50">
        <v>87.048000000000002</v>
      </c>
    </row>
    <row r="3015" spans="4:16" x14ac:dyDescent="0.2">
      <c r="D3015">
        <v>100001801</v>
      </c>
      <c r="E3015" s="49">
        <v>45119</v>
      </c>
      <c r="F3015" t="s">
        <v>3587</v>
      </c>
      <c r="G3015" t="s">
        <v>1719</v>
      </c>
      <c r="H3015">
        <v>4</v>
      </c>
      <c r="I3015">
        <v>58.75</v>
      </c>
      <c r="J3015" s="50">
        <v>235</v>
      </c>
      <c r="K3015" t="s">
        <v>1618</v>
      </c>
      <c r="M3015" t="s">
        <v>1629</v>
      </c>
      <c r="N3015">
        <v>31.01</v>
      </c>
      <c r="O3015" s="49">
        <v>45123</v>
      </c>
      <c r="P3015" s="50">
        <v>105.75</v>
      </c>
    </row>
    <row r="3016" spans="4:16" x14ac:dyDescent="0.2">
      <c r="D3016">
        <v>100001801</v>
      </c>
      <c r="E3016" s="49">
        <v>44653</v>
      </c>
      <c r="F3016" t="s">
        <v>3587</v>
      </c>
      <c r="G3016" t="s">
        <v>1999</v>
      </c>
      <c r="H3016">
        <v>1</v>
      </c>
      <c r="I3016">
        <v>83.22</v>
      </c>
      <c r="J3016" s="50">
        <v>83.22</v>
      </c>
      <c r="K3016" t="s">
        <v>1618</v>
      </c>
      <c r="M3016" t="s">
        <v>1619</v>
      </c>
      <c r="N3016">
        <v>43.92</v>
      </c>
      <c r="O3016" s="49">
        <v>44654</v>
      </c>
      <c r="P3016" s="50">
        <v>37.448999999999998</v>
      </c>
    </row>
    <row r="3017" spans="4:16" x14ac:dyDescent="0.2">
      <c r="D3017">
        <v>100001801</v>
      </c>
      <c r="E3017" s="49">
        <v>44742</v>
      </c>
      <c r="F3017" t="s">
        <v>3587</v>
      </c>
      <c r="G3017" t="s">
        <v>1975</v>
      </c>
      <c r="H3017">
        <v>9</v>
      </c>
      <c r="I3017">
        <v>93.11</v>
      </c>
      <c r="J3017" s="50">
        <v>837.99</v>
      </c>
      <c r="K3017" t="s">
        <v>1618</v>
      </c>
      <c r="M3017" t="s">
        <v>1624</v>
      </c>
      <c r="N3017">
        <v>49.14</v>
      </c>
      <c r="O3017" s="49">
        <v>44745</v>
      </c>
      <c r="P3017" s="50">
        <v>377.09550000000002</v>
      </c>
    </row>
    <row r="3018" spans="4:16" x14ac:dyDescent="0.2">
      <c r="D3018">
        <v>100001801</v>
      </c>
      <c r="E3018" s="49">
        <v>45041</v>
      </c>
      <c r="F3018" t="s">
        <v>3587</v>
      </c>
      <c r="G3018" t="s">
        <v>1882</v>
      </c>
      <c r="H3018">
        <v>4</v>
      </c>
      <c r="I3018">
        <v>75.180000000000007</v>
      </c>
      <c r="J3018" s="50">
        <v>300.72000000000003</v>
      </c>
      <c r="K3018" t="s">
        <v>1618</v>
      </c>
      <c r="M3018" t="s">
        <v>1619</v>
      </c>
      <c r="N3018">
        <v>39.68</v>
      </c>
      <c r="O3018" s="49">
        <v>45045</v>
      </c>
      <c r="P3018" s="50">
        <v>135.32400000000001</v>
      </c>
    </row>
    <row r="3019" spans="4:16" x14ac:dyDescent="0.2">
      <c r="D3019">
        <v>100001802</v>
      </c>
      <c r="E3019" s="49">
        <v>44916</v>
      </c>
      <c r="F3019" t="s">
        <v>3588</v>
      </c>
      <c r="G3019" t="s">
        <v>1696</v>
      </c>
      <c r="H3019">
        <v>10</v>
      </c>
      <c r="I3019">
        <v>55.51</v>
      </c>
      <c r="J3019" s="50">
        <v>555.1</v>
      </c>
      <c r="K3019" t="s">
        <v>1618</v>
      </c>
      <c r="M3019" t="s">
        <v>1627</v>
      </c>
      <c r="N3019">
        <v>29.3</v>
      </c>
      <c r="O3019" s="49">
        <v>44917</v>
      </c>
      <c r="P3019" s="50">
        <v>249.79500000000002</v>
      </c>
    </row>
    <row r="3020" spans="4:16" x14ac:dyDescent="0.2">
      <c r="D3020">
        <v>100001802</v>
      </c>
      <c r="E3020" s="49">
        <v>44206</v>
      </c>
      <c r="F3020" t="s">
        <v>3588</v>
      </c>
      <c r="G3020" t="s">
        <v>1950</v>
      </c>
      <c r="H3020">
        <v>1</v>
      </c>
      <c r="I3020">
        <v>111.57</v>
      </c>
      <c r="J3020" s="50">
        <v>111.57</v>
      </c>
      <c r="K3020" t="s">
        <v>1618</v>
      </c>
      <c r="M3020" t="s">
        <v>1627</v>
      </c>
      <c r="N3020">
        <v>58.88</v>
      </c>
      <c r="O3020" s="49">
        <v>44211</v>
      </c>
      <c r="P3020" s="50">
        <v>50.206499999999998</v>
      </c>
    </row>
    <row r="3021" spans="4:16" x14ac:dyDescent="0.2">
      <c r="D3021">
        <v>100001802</v>
      </c>
      <c r="E3021" s="49">
        <v>44739</v>
      </c>
      <c r="F3021" t="s">
        <v>3588</v>
      </c>
      <c r="G3021" t="s">
        <v>1833</v>
      </c>
      <c r="H3021">
        <v>2</v>
      </c>
      <c r="I3021">
        <v>116.7</v>
      </c>
      <c r="J3021" s="50">
        <v>233.4</v>
      </c>
      <c r="K3021" t="s">
        <v>1618</v>
      </c>
      <c r="M3021" t="s">
        <v>1619</v>
      </c>
      <c r="N3021">
        <v>61.59</v>
      </c>
      <c r="O3021" s="49">
        <v>44743</v>
      </c>
      <c r="P3021" s="50">
        <v>105.03</v>
      </c>
    </row>
    <row r="3022" spans="4:16" x14ac:dyDescent="0.2">
      <c r="D3022">
        <v>100001802</v>
      </c>
      <c r="E3022" s="49">
        <v>44634</v>
      </c>
      <c r="F3022" t="s">
        <v>3588</v>
      </c>
      <c r="G3022" t="s">
        <v>1702</v>
      </c>
      <c r="H3022">
        <v>2</v>
      </c>
      <c r="I3022">
        <v>119.07</v>
      </c>
      <c r="J3022" s="50">
        <v>238.14</v>
      </c>
      <c r="K3022" t="s">
        <v>1618</v>
      </c>
      <c r="M3022" t="s">
        <v>1619</v>
      </c>
      <c r="N3022">
        <v>62.84</v>
      </c>
      <c r="O3022" s="49">
        <v>44638</v>
      </c>
      <c r="P3022" s="50">
        <v>107.163</v>
      </c>
    </row>
    <row r="3023" spans="4:16" x14ac:dyDescent="0.2">
      <c r="D3023">
        <v>100001802</v>
      </c>
      <c r="E3023" s="49">
        <v>44274</v>
      </c>
      <c r="F3023" t="s">
        <v>3588</v>
      </c>
      <c r="G3023" t="s">
        <v>1729</v>
      </c>
      <c r="H3023">
        <v>10</v>
      </c>
      <c r="I3023">
        <v>90.2</v>
      </c>
      <c r="J3023" s="50">
        <v>902</v>
      </c>
      <c r="K3023" t="s">
        <v>1618</v>
      </c>
      <c r="M3023" t="s">
        <v>1619</v>
      </c>
      <c r="N3023">
        <v>47.61</v>
      </c>
      <c r="O3023" s="49">
        <v>44277</v>
      </c>
      <c r="P3023" s="50">
        <v>405.90000000000003</v>
      </c>
    </row>
    <row r="3024" spans="4:16" x14ac:dyDescent="0.2">
      <c r="D3024">
        <v>100001802</v>
      </c>
      <c r="E3024" s="49">
        <v>45613</v>
      </c>
      <c r="F3024" t="s">
        <v>3588</v>
      </c>
      <c r="G3024" t="s">
        <v>1950</v>
      </c>
      <c r="H3024">
        <v>6</v>
      </c>
      <c r="I3024">
        <v>77.209999999999994</v>
      </c>
      <c r="J3024" s="50">
        <v>463.26</v>
      </c>
      <c r="K3024" t="s">
        <v>1618</v>
      </c>
      <c r="M3024" t="s">
        <v>1629</v>
      </c>
      <c r="N3024">
        <v>40.75</v>
      </c>
      <c r="O3024" s="49">
        <v>45616</v>
      </c>
      <c r="P3024" s="50">
        <v>208.46700000000001</v>
      </c>
    </row>
    <row r="3025" spans="4:16" x14ac:dyDescent="0.2">
      <c r="D3025">
        <v>100001802</v>
      </c>
      <c r="E3025" s="49">
        <v>44756</v>
      </c>
      <c r="F3025" t="s">
        <v>3588</v>
      </c>
      <c r="G3025" t="s">
        <v>1819</v>
      </c>
      <c r="H3025">
        <v>7</v>
      </c>
      <c r="I3025">
        <v>41.47</v>
      </c>
      <c r="J3025" s="50">
        <v>290.29000000000002</v>
      </c>
      <c r="K3025" t="s">
        <v>1618</v>
      </c>
      <c r="M3025" t="s">
        <v>1624</v>
      </c>
      <c r="N3025">
        <v>21.89</v>
      </c>
      <c r="O3025" s="49">
        <v>44759</v>
      </c>
      <c r="P3025" s="50">
        <v>130.63050000000001</v>
      </c>
    </row>
    <row r="3026" spans="4:16" x14ac:dyDescent="0.2">
      <c r="D3026">
        <v>100001802</v>
      </c>
      <c r="E3026" s="49">
        <v>45076</v>
      </c>
      <c r="F3026" t="s">
        <v>3588</v>
      </c>
      <c r="G3026" t="s">
        <v>2194</v>
      </c>
      <c r="H3026">
        <v>3</v>
      </c>
      <c r="I3026">
        <v>46.79</v>
      </c>
      <c r="J3026" s="50">
        <v>140.37</v>
      </c>
      <c r="K3026" t="s">
        <v>1618</v>
      </c>
      <c r="M3026" t="s">
        <v>1621</v>
      </c>
      <c r="N3026">
        <v>24.69</v>
      </c>
      <c r="O3026" s="49">
        <v>45080</v>
      </c>
      <c r="P3026" s="50">
        <v>63.166500000000006</v>
      </c>
    </row>
    <row r="3027" spans="4:16" x14ac:dyDescent="0.2">
      <c r="D3027">
        <v>100001802</v>
      </c>
      <c r="E3027" s="49">
        <v>44876</v>
      </c>
      <c r="F3027" t="s">
        <v>3588</v>
      </c>
      <c r="G3027" t="s">
        <v>1737</v>
      </c>
      <c r="H3027">
        <v>5</v>
      </c>
      <c r="I3027">
        <v>77.709999999999994</v>
      </c>
      <c r="J3027" s="50">
        <v>388.55</v>
      </c>
      <c r="K3027" t="s">
        <v>1618</v>
      </c>
      <c r="M3027" t="s">
        <v>1629</v>
      </c>
      <c r="N3027">
        <v>41.01</v>
      </c>
      <c r="O3027" s="49">
        <v>44878</v>
      </c>
      <c r="P3027" s="50">
        <v>174.8475</v>
      </c>
    </row>
    <row r="3028" spans="4:16" x14ac:dyDescent="0.2">
      <c r="D3028">
        <v>100001803</v>
      </c>
      <c r="E3028" s="49">
        <v>44898</v>
      </c>
      <c r="F3028" t="s">
        <v>3589</v>
      </c>
      <c r="G3028" t="s">
        <v>2306</v>
      </c>
      <c r="H3028">
        <v>5</v>
      </c>
      <c r="I3028">
        <v>96.29</v>
      </c>
      <c r="J3028" s="50">
        <v>481.45</v>
      </c>
      <c r="K3028" t="s">
        <v>1632</v>
      </c>
      <c r="M3028" t="s">
        <v>1619</v>
      </c>
      <c r="N3028">
        <v>50.82</v>
      </c>
      <c r="O3028" s="49">
        <v>44899</v>
      </c>
      <c r="P3028" s="50">
        <v>216.6525</v>
      </c>
    </row>
    <row r="3029" spans="4:16" x14ac:dyDescent="0.2">
      <c r="D3029">
        <v>100001805</v>
      </c>
      <c r="E3029" s="49">
        <v>44960</v>
      </c>
      <c r="F3029" t="s">
        <v>3590</v>
      </c>
      <c r="G3029" t="s">
        <v>2101</v>
      </c>
      <c r="H3029">
        <v>5</v>
      </c>
      <c r="I3029">
        <v>95.08</v>
      </c>
      <c r="J3029" s="50">
        <v>475.4</v>
      </c>
      <c r="K3029" t="s">
        <v>1632</v>
      </c>
      <c r="M3029" t="s">
        <v>1627</v>
      </c>
      <c r="N3029">
        <v>50.18</v>
      </c>
      <c r="O3029" s="49">
        <v>44965</v>
      </c>
      <c r="P3029" s="50">
        <v>213.93</v>
      </c>
    </row>
    <row r="3030" spans="4:16" x14ac:dyDescent="0.2">
      <c r="D3030">
        <v>100001805</v>
      </c>
      <c r="E3030" s="49">
        <v>44952</v>
      </c>
      <c r="F3030" t="s">
        <v>3590</v>
      </c>
      <c r="G3030" t="s">
        <v>1704</v>
      </c>
      <c r="H3030">
        <v>6</v>
      </c>
      <c r="I3030">
        <v>39.409999999999997</v>
      </c>
      <c r="J3030" s="50">
        <v>236.46</v>
      </c>
      <c r="K3030" t="s">
        <v>1632</v>
      </c>
      <c r="M3030" t="s">
        <v>1629</v>
      </c>
      <c r="N3030">
        <v>20.8</v>
      </c>
      <c r="O3030" s="49">
        <v>44956</v>
      </c>
      <c r="P3030" s="50">
        <v>106.40700000000001</v>
      </c>
    </row>
    <row r="3031" spans="4:16" x14ac:dyDescent="0.2">
      <c r="D3031">
        <v>100001805</v>
      </c>
      <c r="E3031" s="49">
        <v>44551</v>
      </c>
      <c r="F3031" t="s">
        <v>3590</v>
      </c>
      <c r="G3031" t="s">
        <v>2302</v>
      </c>
      <c r="H3031">
        <v>9</v>
      </c>
      <c r="I3031">
        <v>116.61</v>
      </c>
      <c r="J3031" s="50">
        <v>1049.49</v>
      </c>
      <c r="K3031" t="s">
        <v>1632</v>
      </c>
      <c r="M3031" t="s">
        <v>1624</v>
      </c>
      <c r="N3031">
        <v>61.54</v>
      </c>
      <c r="O3031" s="49">
        <v>44552</v>
      </c>
      <c r="P3031" s="50">
        <v>472.27050000000003</v>
      </c>
    </row>
    <row r="3032" spans="4:16" x14ac:dyDescent="0.2">
      <c r="D3032">
        <v>100001805</v>
      </c>
      <c r="E3032" s="49">
        <v>44716</v>
      </c>
      <c r="F3032" t="s">
        <v>3590</v>
      </c>
      <c r="G3032" t="s">
        <v>1794</v>
      </c>
      <c r="H3032">
        <v>6</v>
      </c>
      <c r="I3032">
        <v>59.13</v>
      </c>
      <c r="J3032" s="50">
        <v>354.78</v>
      </c>
      <c r="K3032" t="s">
        <v>1632</v>
      </c>
      <c r="M3032" t="s">
        <v>1627</v>
      </c>
      <c r="N3032">
        <v>31.21</v>
      </c>
      <c r="O3032" s="49">
        <v>44717</v>
      </c>
      <c r="P3032" s="50">
        <v>159.65099999999998</v>
      </c>
    </row>
    <row r="3033" spans="4:16" x14ac:dyDescent="0.2">
      <c r="D3033">
        <v>100001806</v>
      </c>
      <c r="E3033" s="49">
        <v>45305</v>
      </c>
      <c r="F3033" t="s">
        <v>3591</v>
      </c>
      <c r="G3033" t="s">
        <v>1853</v>
      </c>
      <c r="H3033">
        <v>5</v>
      </c>
      <c r="I3033">
        <v>84.49</v>
      </c>
      <c r="J3033" s="50">
        <v>422.45</v>
      </c>
      <c r="K3033" t="s">
        <v>1618</v>
      </c>
      <c r="M3033" t="s">
        <v>1627</v>
      </c>
      <c r="N3033">
        <v>44.59</v>
      </c>
      <c r="O3033" s="49">
        <v>45307</v>
      </c>
      <c r="P3033" s="50">
        <v>190.10249999999999</v>
      </c>
    </row>
    <row r="3034" spans="4:16" x14ac:dyDescent="0.2">
      <c r="D3034">
        <v>100001806</v>
      </c>
      <c r="E3034" s="49">
        <v>45076</v>
      </c>
      <c r="F3034" t="s">
        <v>3591</v>
      </c>
      <c r="G3034" t="s">
        <v>1695</v>
      </c>
      <c r="H3034">
        <v>2</v>
      </c>
      <c r="I3034">
        <v>101.71</v>
      </c>
      <c r="J3034" s="50">
        <v>203.42</v>
      </c>
      <c r="K3034" t="s">
        <v>1618</v>
      </c>
      <c r="M3034" t="s">
        <v>1629</v>
      </c>
      <c r="N3034">
        <v>53.68</v>
      </c>
      <c r="O3034" s="49">
        <v>45079</v>
      </c>
      <c r="P3034" s="50">
        <v>91.539000000000001</v>
      </c>
    </row>
    <row r="3035" spans="4:16" x14ac:dyDescent="0.2">
      <c r="D3035">
        <v>100001806</v>
      </c>
      <c r="E3035" s="49">
        <v>44937</v>
      </c>
      <c r="F3035" t="s">
        <v>3591</v>
      </c>
      <c r="G3035" t="s">
        <v>2330</v>
      </c>
      <c r="H3035">
        <v>9</v>
      </c>
      <c r="I3035">
        <v>43.21</v>
      </c>
      <c r="J3035" s="50">
        <v>388.89</v>
      </c>
      <c r="K3035" t="s">
        <v>1618</v>
      </c>
      <c r="M3035" t="s">
        <v>1621</v>
      </c>
      <c r="N3035">
        <v>22.81</v>
      </c>
      <c r="O3035" s="49">
        <v>44939</v>
      </c>
      <c r="P3035" s="50">
        <v>175.00049999999999</v>
      </c>
    </row>
    <row r="3036" spans="4:16" x14ac:dyDescent="0.2">
      <c r="D3036">
        <v>100001809</v>
      </c>
      <c r="E3036" s="49">
        <v>45047</v>
      </c>
      <c r="F3036" t="s">
        <v>3592</v>
      </c>
      <c r="G3036" t="s">
        <v>2182</v>
      </c>
      <c r="H3036">
        <v>2</v>
      </c>
      <c r="I3036">
        <v>87.83</v>
      </c>
      <c r="J3036" s="50">
        <v>175.66</v>
      </c>
      <c r="K3036" t="s">
        <v>1618</v>
      </c>
      <c r="L3036" t="s">
        <v>3593</v>
      </c>
      <c r="M3036" t="s">
        <v>1629</v>
      </c>
      <c r="N3036">
        <v>46.35</v>
      </c>
      <c r="O3036" s="49">
        <v>45048</v>
      </c>
      <c r="P3036" s="50">
        <v>79.046999999999997</v>
      </c>
    </row>
    <row r="3037" spans="4:16" x14ac:dyDescent="0.2">
      <c r="D3037">
        <v>100001809</v>
      </c>
      <c r="E3037" s="49">
        <v>45564</v>
      </c>
      <c r="F3037" t="s">
        <v>3592</v>
      </c>
      <c r="G3037" t="s">
        <v>1973</v>
      </c>
      <c r="H3037">
        <v>9</v>
      </c>
      <c r="I3037">
        <v>33.61</v>
      </c>
      <c r="J3037" s="50">
        <v>302.49</v>
      </c>
      <c r="K3037" t="s">
        <v>1618</v>
      </c>
      <c r="L3037" t="s">
        <v>3593</v>
      </c>
      <c r="M3037" t="s">
        <v>1621</v>
      </c>
      <c r="N3037">
        <v>17.739999999999998</v>
      </c>
      <c r="O3037" s="49">
        <v>45569</v>
      </c>
      <c r="P3037" s="50">
        <v>136.12050000000002</v>
      </c>
    </row>
    <row r="3038" spans="4:16" x14ac:dyDescent="0.2">
      <c r="D3038">
        <v>100001810</v>
      </c>
      <c r="E3038" s="49">
        <v>45493</v>
      </c>
      <c r="F3038" t="s">
        <v>3594</v>
      </c>
      <c r="G3038" t="s">
        <v>2147</v>
      </c>
      <c r="H3038">
        <v>9</v>
      </c>
      <c r="I3038">
        <v>95.96</v>
      </c>
      <c r="J3038" s="50">
        <v>863.64</v>
      </c>
      <c r="K3038" t="s">
        <v>1618</v>
      </c>
      <c r="M3038" t="s">
        <v>1629</v>
      </c>
      <c r="N3038">
        <v>50.65</v>
      </c>
      <c r="O3038" s="49">
        <v>45495</v>
      </c>
      <c r="P3038" s="50">
        <v>388.63799999999998</v>
      </c>
    </row>
    <row r="3039" spans="4:16" x14ac:dyDescent="0.2">
      <c r="D3039">
        <v>100001810</v>
      </c>
      <c r="E3039" s="49">
        <v>44806</v>
      </c>
      <c r="F3039" t="s">
        <v>3594</v>
      </c>
      <c r="G3039" t="s">
        <v>1637</v>
      </c>
      <c r="H3039">
        <v>8</v>
      </c>
      <c r="I3039">
        <v>90.45</v>
      </c>
      <c r="J3039" s="50">
        <v>723.6</v>
      </c>
      <c r="K3039" t="s">
        <v>1618</v>
      </c>
      <c r="M3039" t="s">
        <v>1619</v>
      </c>
      <c r="N3039">
        <v>47.74</v>
      </c>
      <c r="O3039" s="49">
        <v>44808</v>
      </c>
      <c r="P3039" s="50">
        <v>325.62</v>
      </c>
    </row>
    <row r="3040" spans="4:16" x14ac:dyDescent="0.2">
      <c r="D3040">
        <v>100001811</v>
      </c>
      <c r="E3040" s="49">
        <v>45645</v>
      </c>
      <c r="F3040" t="s">
        <v>3595</v>
      </c>
      <c r="G3040" t="s">
        <v>1768</v>
      </c>
      <c r="H3040">
        <v>2</v>
      </c>
      <c r="I3040">
        <v>19.809999999999999</v>
      </c>
      <c r="J3040" s="50">
        <v>39.619999999999997</v>
      </c>
      <c r="K3040" t="s">
        <v>1618</v>
      </c>
      <c r="M3040" t="s">
        <v>1621</v>
      </c>
      <c r="N3040">
        <v>10.46</v>
      </c>
      <c r="O3040" s="49">
        <v>45650</v>
      </c>
      <c r="P3040" s="50">
        <v>17.829000000000001</v>
      </c>
    </row>
    <row r="3041" spans="4:16" x14ac:dyDescent="0.2">
      <c r="D3041">
        <v>100001811</v>
      </c>
      <c r="E3041" s="49">
        <v>45633</v>
      </c>
      <c r="F3041" t="s">
        <v>3595</v>
      </c>
      <c r="G3041" t="s">
        <v>1859</v>
      </c>
      <c r="H3041">
        <v>9</v>
      </c>
      <c r="I3041">
        <v>63.82</v>
      </c>
      <c r="J3041" s="50">
        <v>574.38</v>
      </c>
      <c r="K3041" t="s">
        <v>1618</v>
      </c>
      <c r="M3041" t="s">
        <v>1619</v>
      </c>
      <c r="N3041">
        <v>33.68</v>
      </c>
      <c r="O3041" s="49">
        <v>45635</v>
      </c>
      <c r="P3041" s="50">
        <v>258.471</v>
      </c>
    </row>
    <row r="3042" spans="4:16" x14ac:dyDescent="0.2">
      <c r="D3042">
        <v>100001814</v>
      </c>
      <c r="E3042" s="49">
        <v>44449</v>
      </c>
      <c r="F3042" t="s">
        <v>3596</v>
      </c>
      <c r="G3042" t="s">
        <v>2328</v>
      </c>
      <c r="H3042">
        <v>4</v>
      </c>
      <c r="I3042">
        <v>105.72</v>
      </c>
      <c r="J3042" s="50">
        <v>422.88</v>
      </c>
      <c r="K3042" t="s">
        <v>1618</v>
      </c>
      <c r="M3042" t="s">
        <v>1627</v>
      </c>
      <c r="N3042">
        <v>55.8</v>
      </c>
      <c r="O3042" s="49">
        <v>44454</v>
      </c>
      <c r="P3042" s="50">
        <v>190.29599999999999</v>
      </c>
    </row>
    <row r="3043" spans="4:16" x14ac:dyDescent="0.2">
      <c r="D3043">
        <v>100001816</v>
      </c>
      <c r="E3043" s="49">
        <v>45433</v>
      </c>
      <c r="F3043" t="s">
        <v>3597</v>
      </c>
      <c r="G3043" t="s">
        <v>1856</v>
      </c>
      <c r="H3043">
        <v>2</v>
      </c>
      <c r="I3043">
        <v>26.29</v>
      </c>
      <c r="J3043" s="50">
        <v>52.58</v>
      </c>
      <c r="K3043" t="s">
        <v>1618</v>
      </c>
      <c r="M3043" t="s">
        <v>1624</v>
      </c>
      <c r="N3043">
        <v>13.88</v>
      </c>
      <c r="O3043" s="49">
        <v>45437</v>
      </c>
      <c r="P3043" s="50">
        <v>23.661000000000001</v>
      </c>
    </row>
    <row r="3044" spans="4:16" x14ac:dyDescent="0.2">
      <c r="D3044">
        <v>100001816</v>
      </c>
      <c r="E3044" s="49">
        <v>44589</v>
      </c>
      <c r="F3044" t="s">
        <v>3597</v>
      </c>
      <c r="G3044" t="s">
        <v>1676</v>
      </c>
      <c r="H3044">
        <v>2</v>
      </c>
      <c r="I3044">
        <v>107.12</v>
      </c>
      <c r="J3044" s="50">
        <v>214.24</v>
      </c>
      <c r="K3044" t="s">
        <v>1618</v>
      </c>
      <c r="M3044" t="s">
        <v>1619</v>
      </c>
      <c r="N3044">
        <v>56.54</v>
      </c>
      <c r="O3044" s="49">
        <v>44591</v>
      </c>
      <c r="P3044" s="50">
        <v>96.408000000000001</v>
      </c>
    </row>
    <row r="3045" spans="4:16" x14ac:dyDescent="0.2">
      <c r="D3045">
        <v>100001817</v>
      </c>
      <c r="E3045" s="49">
        <v>44516</v>
      </c>
      <c r="F3045" t="s">
        <v>3598</v>
      </c>
      <c r="G3045" t="s">
        <v>1667</v>
      </c>
      <c r="H3045">
        <v>2</v>
      </c>
      <c r="I3045">
        <v>97.24</v>
      </c>
      <c r="J3045" s="50">
        <v>194.48</v>
      </c>
      <c r="K3045" t="s">
        <v>1618</v>
      </c>
      <c r="L3045" t="s">
        <v>3599</v>
      </c>
      <c r="M3045" t="s">
        <v>1629</v>
      </c>
      <c r="N3045">
        <v>51.32</v>
      </c>
      <c r="O3045" s="49">
        <v>44519</v>
      </c>
      <c r="P3045" s="50">
        <v>87.515999999999991</v>
      </c>
    </row>
    <row r="3046" spans="4:16" x14ac:dyDescent="0.2">
      <c r="D3046">
        <v>100001817</v>
      </c>
      <c r="E3046" s="49">
        <v>44368</v>
      </c>
      <c r="F3046" t="s">
        <v>3598</v>
      </c>
      <c r="G3046" t="s">
        <v>1653</v>
      </c>
      <c r="H3046">
        <v>6</v>
      </c>
      <c r="I3046">
        <v>108.31</v>
      </c>
      <c r="J3046" s="50">
        <v>649.86</v>
      </c>
      <c r="K3046" t="s">
        <v>1618</v>
      </c>
      <c r="L3046" t="s">
        <v>3599</v>
      </c>
      <c r="M3046" t="s">
        <v>1627</v>
      </c>
      <c r="N3046">
        <v>57.16</v>
      </c>
      <c r="O3046" s="49">
        <v>44373</v>
      </c>
      <c r="P3046" s="50">
        <v>292.43700000000001</v>
      </c>
    </row>
    <row r="3047" spans="4:16" x14ac:dyDescent="0.2">
      <c r="D3047">
        <v>100001820</v>
      </c>
      <c r="E3047" s="49">
        <v>45565</v>
      </c>
      <c r="F3047" t="s">
        <v>3600</v>
      </c>
      <c r="G3047" t="s">
        <v>1631</v>
      </c>
      <c r="H3047">
        <v>1</v>
      </c>
      <c r="I3047">
        <v>89.95</v>
      </c>
      <c r="J3047" s="50">
        <v>89.95</v>
      </c>
      <c r="K3047" t="s">
        <v>1632</v>
      </c>
      <c r="M3047" t="s">
        <v>1629</v>
      </c>
      <c r="N3047">
        <v>47.47</v>
      </c>
      <c r="O3047" s="49">
        <v>45568</v>
      </c>
      <c r="P3047" s="50">
        <v>40.477499999999999</v>
      </c>
    </row>
    <row r="3048" spans="4:16" x14ac:dyDescent="0.2">
      <c r="D3048">
        <v>100001820</v>
      </c>
      <c r="E3048" s="49">
        <v>44370</v>
      </c>
      <c r="F3048" t="s">
        <v>3600</v>
      </c>
      <c r="G3048" t="s">
        <v>1720</v>
      </c>
      <c r="H3048">
        <v>6</v>
      </c>
      <c r="I3048">
        <v>61.87</v>
      </c>
      <c r="J3048" s="50">
        <v>371.22</v>
      </c>
      <c r="K3048" t="s">
        <v>1632</v>
      </c>
      <c r="M3048" t="s">
        <v>1621</v>
      </c>
      <c r="N3048">
        <v>32.65</v>
      </c>
      <c r="O3048" s="49">
        <v>44373</v>
      </c>
      <c r="P3048" s="50">
        <v>167.04900000000001</v>
      </c>
    </row>
    <row r="3049" spans="4:16" x14ac:dyDescent="0.2">
      <c r="D3049">
        <v>100001820</v>
      </c>
      <c r="E3049" s="49">
        <v>45277</v>
      </c>
      <c r="F3049" t="s">
        <v>3600</v>
      </c>
      <c r="G3049" t="s">
        <v>1658</v>
      </c>
      <c r="H3049">
        <v>6</v>
      </c>
      <c r="I3049">
        <v>32.03</v>
      </c>
      <c r="J3049" s="50">
        <v>192.18</v>
      </c>
      <c r="K3049" t="s">
        <v>1632</v>
      </c>
      <c r="M3049" t="s">
        <v>1624</v>
      </c>
      <c r="N3049">
        <v>16.899999999999999</v>
      </c>
      <c r="O3049" s="49">
        <v>45278</v>
      </c>
      <c r="P3049" s="50">
        <v>86.481000000000009</v>
      </c>
    </row>
    <row r="3050" spans="4:16" x14ac:dyDescent="0.2">
      <c r="D3050">
        <v>100001820</v>
      </c>
      <c r="E3050" s="49">
        <v>45176</v>
      </c>
      <c r="F3050" t="s">
        <v>3600</v>
      </c>
      <c r="G3050" t="s">
        <v>2074</v>
      </c>
      <c r="H3050">
        <v>6</v>
      </c>
      <c r="I3050">
        <v>35.58</v>
      </c>
      <c r="J3050" s="50">
        <v>213.48</v>
      </c>
      <c r="K3050" t="s">
        <v>1632</v>
      </c>
      <c r="M3050" t="s">
        <v>1621</v>
      </c>
      <c r="N3050">
        <v>18.78</v>
      </c>
      <c r="O3050" s="49">
        <v>45181</v>
      </c>
      <c r="P3050" s="50">
        <v>96.066000000000003</v>
      </c>
    </row>
    <row r="3051" spans="4:16" x14ac:dyDescent="0.2">
      <c r="D3051">
        <v>100001821</v>
      </c>
      <c r="E3051" s="49">
        <v>45349</v>
      </c>
      <c r="F3051" t="s">
        <v>3601</v>
      </c>
      <c r="G3051" t="s">
        <v>2103</v>
      </c>
      <c r="H3051">
        <v>2</v>
      </c>
      <c r="I3051">
        <v>35.590000000000003</v>
      </c>
      <c r="J3051" s="50">
        <v>71.180000000000007</v>
      </c>
      <c r="K3051" t="s">
        <v>1618</v>
      </c>
      <c r="M3051" t="s">
        <v>1629</v>
      </c>
      <c r="N3051">
        <v>18.78</v>
      </c>
      <c r="O3051" s="49">
        <v>45351</v>
      </c>
      <c r="P3051" s="50">
        <v>32.031000000000006</v>
      </c>
    </row>
    <row r="3052" spans="4:16" x14ac:dyDescent="0.2">
      <c r="D3052">
        <v>100001821</v>
      </c>
      <c r="E3052" s="49">
        <v>45373</v>
      </c>
      <c r="F3052" t="s">
        <v>3601</v>
      </c>
      <c r="G3052" t="s">
        <v>1655</v>
      </c>
      <c r="H3052">
        <v>4</v>
      </c>
      <c r="I3052">
        <v>115.3</v>
      </c>
      <c r="J3052" s="50">
        <v>461.2</v>
      </c>
      <c r="K3052" t="s">
        <v>1618</v>
      </c>
      <c r="M3052" t="s">
        <v>1629</v>
      </c>
      <c r="N3052">
        <v>60.85</v>
      </c>
      <c r="O3052" s="49">
        <v>45375</v>
      </c>
      <c r="P3052" s="50">
        <v>207.54</v>
      </c>
    </row>
    <row r="3053" spans="4:16" x14ac:dyDescent="0.2">
      <c r="D3053">
        <v>100001821</v>
      </c>
      <c r="E3053" s="49">
        <v>45356</v>
      </c>
      <c r="F3053" t="s">
        <v>3601</v>
      </c>
      <c r="G3053" t="s">
        <v>2613</v>
      </c>
      <c r="H3053">
        <v>1</v>
      </c>
      <c r="I3053">
        <v>33.090000000000003</v>
      </c>
      <c r="J3053" s="50">
        <v>33.090000000000003</v>
      </c>
      <c r="K3053" t="s">
        <v>1618</v>
      </c>
      <c r="M3053" t="s">
        <v>1629</v>
      </c>
      <c r="N3053">
        <v>17.46</v>
      </c>
      <c r="O3053" s="49">
        <v>45359</v>
      </c>
      <c r="P3053" s="50">
        <v>14.890500000000001</v>
      </c>
    </row>
    <row r="3054" spans="4:16" x14ac:dyDescent="0.2">
      <c r="D3054">
        <v>100001822</v>
      </c>
      <c r="E3054" s="49">
        <v>45391</v>
      </c>
      <c r="F3054" t="s">
        <v>3602</v>
      </c>
      <c r="G3054" t="s">
        <v>1985</v>
      </c>
      <c r="H3054">
        <v>9</v>
      </c>
      <c r="I3054">
        <v>29.83</v>
      </c>
      <c r="J3054" s="50">
        <v>268.47000000000003</v>
      </c>
      <c r="K3054" t="s">
        <v>1618</v>
      </c>
      <c r="M3054" t="s">
        <v>1624</v>
      </c>
      <c r="N3054">
        <v>15.74</v>
      </c>
      <c r="O3054" s="49">
        <v>45393</v>
      </c>
      <c r="P3054" s="50">
        <v>120.81150000000001</v>
      </c>
    </row>
    <row r="3055" spans="4:16" x14ac:dyDescent="0.2">
      <c r="D3055">
        <v>100001822</v>
      </c>
      <c r="E3055" s="49">
        <v>44596</v>
      </c>
      <c r="F3055" t="s">
        <v>3602</v>
      </c>
      <c r="G3055" t="s">
        <v>2202</v>
      </c>
      <c r="H3055">
        <v>9</v>
      </c>
      <c r="I3055">
        <v>64.64</v>
      </c>
      <c r="J3055" s="50">
        <v>581.76</v>
      </c>
      <c r="K3055" t="s">
        <v>1618</v>
      </c>
      <c r="M3055" t="s">
        <v>1624</v>
      </c>
      <c r="N3055">
        <v>34.119999999999997</v>
      </c>
      <c r="O3055" s="49">
        <v>44597</v>
      </c>
      <c r="P3055" s="50">
        <v>261.79200000000003</v>
      </c>
    </row>
    <row r="3056" spans="4:16" x14ac:dyDescent="0.2">
      <c r="D3056">
        <v>100001822</v>
      </c>
      <c r="E3056" s="49">
        <v>44372</v>
      </c>
      <c r="F3056" t="s">
        <v>3602</v>
      </c>
      <c r="G3056" t="s">
        <v>1767</v>
      </c>
      <c r="H3056">
        <v>10</v>
      </c>
      <c r="I3056">
        <v>71.67</v>
      </c>
      <c r="J3056" s="50">
        <v>716.7</v>
      </c>
      <c r="K3056" t="s">
        <v>1618</v>
      </c>
      <c r="M3056" t="s">
        <v>1619</v>
      </c>
      <c r="N3056">
        <v>37.83</v>
      </c>
      <c r="O3056" s="49">
        <v>44374</v>
      </c>
      <c r="P3056" s="50">
        <v>322.51500000000004</v>
      </c>
    </row>
    <row r="3057" spans="4:16" x14ac:dyDescent="0.2">
      <c r="D3057">
        <v>100001823</v>
      </c>
      <c r="E3057" s="49">
        <v>44372</v>
      </c>
      <c r="F3057" t="s">
        <v>3603</v>
      </c>
      <c r="G3057" t="s">
        <v>1722</v>
      </c>
      <c r="H3057">
        <v>10</v>
      </c>
      <c r="I3057">
        <v>83.55</v>
      </c>
      <c r="J3057" s="50">
        <v>835.5</v>
      </c>
      <c r="K3057" t="s">
        <v>1632</v>
      </c>
      <c r="M3057" t="s">
        <v>1619</v>
      </c>
      <c r="N3057">
        <v>44.1</v>
      </c>
      <c r="O3057" s="49">
        <v>44376</v>
      </c>
      <c r="P3057" s="50">
        <v>375.97500000000002</v>
      </c>
    </row>
    <row r="3058" spans="4:16" x14ac:dyDescent="0.2">
      <c r="D3058">
        <v>100001823</v>
      </c>
      <c r="E3058" s="49">
        <v>45007</v>
      </c>
      <c r="F3058" t="s">
        <v>3603</v>
      </c>
      <c r="G3058" t="s">
        <v>1737</v>
      </c>
      <c r="H3058">
        <v>3</v>
      </c>
      <c r="I3058">
        <v>104.52</v>
      </c>
      <c r="J3058" s="50">
        <v>313.56</v>
      </c>
      <c r="K3058" t="s">
        <v>1632</v>
      </c>
      <c r="M3058" t="s">
        <v>1621</v>
      </c>
      <c r="N3058">
        <v>55.16</v>
      </c>
      <c r="O3058" s="49">
        <v>45008</v>
      </c>
      <c r="P3058" s="50">
        <v>141.102</v>
      </c>
    </row>
    <row r="3059" spans="4:16" x14ac:dyDescent="0.2">
      <c r="D3059">
        <v>100001823</v>
      </c>
      <c r="E3059" s="49">
        <v>44340</v>
      </c>
      <c r="F3059" t="s">
        <v>3603</v>
      </c>
      <c r="G3059" t="s">
        <v>2480</v>
      </c>
      <c r="H3059">
        <v>7</v>
      </c>
      <c r="I3059">
        <v>112.89</v>
      </c>
      <c r="J3059" s="50">
        <v>790.23</v>
      </c>
      <c r="K3059" t="s">
        <v>1632</v>
      </c>
      <c r="M3059" t="s">
        <v>1619</v>
      </c>
      <c r="N3059">
        <v>59.58</v>
      </c>
      <c r="O3059" s="49">
        <v>44341</v>
      </c>
      <c r="P3059" s="50">
        <v>355.6035</v>
      </c>
    </row>
    <row r="3060" spans="4:16" x14ac:dyDescent="0.2">
      <c r="D3060">
        <v>100001824</v>
      </c>
      <c r="E3060" s="49">
        <v>45409</v>
      </c>
      <c r="F3060" t="s">
        <v>3604</v>
      </c>
      <c r="G3060" t="s">
        <v>2191</v>
      </c>
      <c r="H3060">
        <v>8</v>
      </c>
      <c r="I3060">
        <v>74.36</v>
      </c>
      <c r="J3060" s="50">
        <v>594.88</v>
      </c>
      <c r="K3060" t="s">
        <v>1632</v>
      </c>
      <c r="M3060" t="s">
        <v>1624</v>
      </c>
      <c r="N3060">
        <v>39.25</v>
      </c>
      <c r="O3060" s="49">
        <v>45411</v>
      </c>
      <c r="P3060" s="50">
        <v>267.69600000000003</v>
      </c>
    </row>
    <row r="3061" spans="4:16" x14ac:dyDescent="0.2">
      <c r="D3061">
        <v>100001827</v>
      </c>
      <c r="E3061" s="49">
        <v>44862</v>
      </c>
      <c r="F3061" t="s">
        <v>3605</v>
      </c>
      <c r="G3061" t="s">
        <v>1963</v>
      </c>
      <c r="H3061">
        <v>7</v>
      </c>
      <c r="I3061">
        <v>26.85</v>
      </c>
      <c r="J3061" s="50">
        <v>187.95</v>
      </c>
      <c r="K3061" t="s">
        <v>1632</v>
      </c>
      <c r="M3061" t="s">
        <v>1629</v>
      </c>
      <c r="N3061">
        <v>14.17</v>
      </c>
      <c r="O3061" s="49">
        <v>44865</v>
      </c>
      <c r="P3061" s="50">
        <v>84.577500000000001</v>
      </c>
    </row>
    <row r="3062" spans="4:16" x14ac:dyDescent="0.2">
      <c r="D3062">
        <v>100001828</v>
      </c>
      <c r="E3062" s="49">
        <v>45139</v>
      </c>
      <c r="F3062" t="s">
        <v>3606</v>
      </c>
      <c r="G3062" t="s">
        <v>1767</v>
      </c>
      <c r="H3062">
        <v>4</v>
      </c>
      <c r="I3062">
        <v>68.5</v>
      </c>
      <c r="J3062" s="50">
        <v>274</v>
      </c>
      <c r="K3062" t="s">
        <v>1618</v>
      </c>
      <c r="M3062" t="s">
        <v>1619</v>
      </c>
      <c r="N3062">
        <v>36.15</v>
      </c>
      <c r="O3062" s="49">
        <v>45142</v>
      </c>
      <c r="P3062" s="50">
        <v>123.3</v>
      </c>
    </row>
    <row r="3063" spans="4:16" x14ac:dyDescent="0.2">
      <c r="D3063">
        <v>100001828</v>
      </c>
      <c r="E3063" s="49">
        <v>44846</v>
      </c>
      <c r="F3063" t="s">
        <v>3606</v>
      </c>
      <c r="G3063" t="s">
        <v>2305</v>
      </c>
      <c r="H3063">
        <v>3</v>
      </c>
      <c r="I3063">
        <v>83.47</v>
      </c>
      <c r="J3063" s="50">
        <v>250.41</v>
      </c>
      <c r="K3063" t="s">
        <v>1618</v>
      </c>
      <c r="M3063" t="s">
        <v>1621</v>
      </c>
      <c r="N3063">
        <v>44.05</v>
      </c>
      <c r="O3063" s="49">
        <v>44849</v>
      </c>
      <c r="P3063" s="50">
        <v>112.6845</v>
      </c>
    </row>
    <row r="3064" spans="4:16" x14ac:dyDescent="0.2">
      <c r="D3064">
        <v>100001829</v>
      </c>
      <c r="E3064" s="49">
        <v>45087</v>
      </c>
      <c r="F3064" t="s">
        <v>3607</v>
      </c>
      <c r="G3064" t="s">
        <v>1715</v>
      </c>
      <c r="H3064">
        <v>4</v>
      </c>
      <c r="I3064">
        <v>104.32</v>
      </c>
      <c r="J3064" s="50">
        <v>417.28</v>
      </c>
      <c r="K3064" t="s">
        <v>1618</v>
      </c>
      <c r="M3064" t="s">
        <v>1621</v>
      </c>
      <c r="N3064">
        <v>55.06</v>
      </c>
      <c r="O3064" s="49">
        <v>45088</v>
      </c>
      <c r="P3064" s="50">
        <v>187.77599999999998</v>
      </c>
    </row>
    <row r="3065" spans="4:16" x14ac:dyDescent="0.2">
      <c r="D3065">
        <v>100001829</v>
      </c>
      <c r="E3065" s="49">
        <v>45373</v>
      </c>
      <c r="F3065" t="s">
        <v>3607</v>
      </c>
      <c r="G3065" t="s">
        <v>2028</v>
      </c>
      <c r="H3065">
        <v>2</v>
      </c>
      <c r="I3065">
        <v>82.62</v>
      </c>
      <c r="J3065" s="50">
        <v>165.24</v>
      </c>
      <c r="K3065" t="s">
        <v>1618</v>
      </c>
      <c r="M3065" t="s">
        <v>1624</v>
      </c>
      <c r="N3065">
        <v>43.6</v>
      </c>
      <c r="O3065" s="49">
        <v>45378</v>
      </c>
      <c r="P3065" s="50">
        <v>74.358000000000004</v>
      </c>
    </row>
    <row r="3066" spans="4:16" x14ac:dyDescent="0.2">
      <c r="D3066">
        <v>100001829</v>
      </c>
      <c r="E3066" s="49">
        <v>45334</v>
      </c>
      <c r="F3066" t="s">
        <v>3607</v>
      </c>
      <c r="G3066" t="s">
        <v>1738</v>
      </c>
      <c r="H3066">
        <v>8</v>
      </c>
      <c r="I3066">
        <v>109.59</v>
      </c>
      <c r="J3066" s="50">
        <v>876.72</v>
      </c>
      <c r="K3066" t="s">
        <v>1618</v>
      </c>
      <c r="M3066" t="s">
        <v>1619</v>
      </c>
      <c r="N3066">
        <v>57.84</v>
      </c>
      <c r="O3066" s="49">
        <v>45335</v>
      </c>
      <c r="P3066" s="50">
        <v>394.524</v>
      </c>
    </row>
    <row r="3067" spans="4:16" x14ac:dyDescent="0.2">
      <c r="D3067">
        <v>100001830</v>
      </c>
      <c r="E3067" s="49">
        <v>44441</v>
      </c>
      <c r="F3067" t="s">
        <v>3608</v>
      </c>
      <c r="G3067" t="s">
        <v>2328</v>
      </c>
      <c r="H3067">
        <v>7</v>
      </c>
      <c r="I3067">
        <v>58.37</v>
      </c>
      <c r="J3067" s="50">
        <v>408.59</v>
      </c>
      <c r="K3067" t="s">
        <v>1618</v>
      </c>
      <c r="M3067" t="s">
        <v>1627</v>
      </c>
      <c r="N3067">
        <v>30.81</v>
      </c>
      <c r="O3067" s="49">
        <v>44445</v>
      </c>
      <c r="P3067" s="50">
        <v>183.8655</v>
      </c>
    </row>
    <row r="3068" spans="4:16" x14ac:dyDescent="0.2">
      <c r="D3068">
        <v>100001833</v>
      </c>
      <c r="E3068" s="49">
        <v>45132</v>
      </c>
      <c r="F3068" t="s">
        <v>3609</v>
      </c>
      <c r="G3068" t="s">
        <v>1945</v>
      </c>
      <c r="H3068">
        <v>5</v>
      </c>
      <c r="I3068">
        <v>31.34</v>
      </c>
      <c r="J3068" s="50">
        <v>156.69999999999999</v>
      </c>
      <c r="K3068" t="s">
        <v>1618</v>
      </c>
      <c r="M3068" t="s">
        <v>1627</v>
      </c>
      <c r="N3068">
        <v>16.54</v>
      </c>
      <c r="O3068" s="49">
        <v>45135</v>
      </c>
      <c r="P3068" s="50">
        <v>70.515000000000001</v>
      </c>
    </row>
    <row r="3069" spans="4:16" x14ac:dyDescent="0.2">
      <c r="D3069">
        <v>100001834</v>
      </c>
      <c r="E3069" s="49">
        <v>44738</v>
      </c>
      <c r="F3069" t="s">
        <v>3610</v>
      </c>
      <c r="G3069" t="s">
        <v>2064</v>
      </c>
      <c r="H3069">
        <v>9</v>
      </c>
      <c r="I3069">
        <v>11.69</v>
      </c>
      <c r="J3069" s="50">
        <v>105.21</v>
      </c>
      <c r="K3069" t="s">
        <v>1618</v>
      </c>
      <c r="L3069" t="s">
        <v>3611</v>
      </c>
      <c r="M3069" t="s">
        <v>1621</v>
      </c>
      <c r="N3069">
        <v>6.17</v>
      </c>
      <c r="O3069" s="49">
        <v>44740</v>
      </c>
      <c r="P3069" s="50">
        <v>47.344499999999996</v>
      </c>
    </row>
    <row r="3070" spans="4:16" x14ac:dyDescent="0.2">
      <c r="D3070">
        <v>100001834</v>
      </c>
      <c r="E3070" s="49">
        <v>44801</v>
      </c>
      <c r="F3070" t="s">
        <v>3610</v>
      </c>
      <c r="G3070" t="s">
        <v>2330</v>
      </c>
      <c r="H3070">
        <v>4</v>
      </c>
      <c r="I3070">
        <v>66.94</v>
      </c>
      <c r="J3070" s="50">
        <v>267.76</v>
      </c>
      <c r="K3070" t="s">
        <v>1618</v>
      </c>
      <c r="L3070" t="s">
        <v>3611</v>
      </c>
      <c r="M3070" t="s">
        <v>1624</v>
      </c>
      <c r="N3070">
        <v>35.33</v>
      </c>
      <c r="O3070" s="49">
        <v>44805</v>
      </c>
      <c r="P3070" s="50">
        <v>120.492</v>
      </c>
    </row>
    <row r="3071" spans="4:16" x14ac:dyDescent="0.2">
      <c r="D3071">
        <v>100001835</v>
      </c>
      <c r="E3071" s="49">
        <v>45644</v>
      </c>
      <c r="F3071" t="s">
        <v>3612</v>
      </c>
      <c r="G3071" t="s">
        <v>2019</v>
      </c>
      <c r="H3071">
        <v>3</v>
      </c>
      <c r="I3071">
        <v>51.16</v>
      </c>
      <c r="J3071" s="50">
        <v>153.47999999999999</v>
      </c>
      <c r="K3071" t="s">
        <v>1632</v>
      </c>
      <c r="M3071" t="s">
        <v>1627</v>
      </c>
      <c r="N3071">
        <v>27</v>
      </c>
      <c r="O3071" s="49">
        <v>45649</v>
      </c>
      <c r="P3071" s="50">
        <v>69.066000000000003</v>
      </c>
    </row>
    <row r="3072" spans="4:16" x14ac:dyDescent="0.2">
      <c r="D3072">
        <v>100001835</v>
      </c>
      <c r="E3072" s="49">
        <v>44446</v>
      </c>
      <c r="F3072" t="s">
        <v>3612</v>
      </c>
      <c r="G3072" t="s">
        <v>1844</v>
      </c>
      <c r="H3072">
        <v>7</v>
      </c>
      <c r="I3072">
        <v>38.92</v>
      </c>
      <c r="J3072" s="50">
        <v>272.44</v>
      </c>
      <c r="K3072" t="s">
        <v>1632</v>
      </c>
      <c r="M3072" t="s">
        <v>1629</v>
      </c>
      <c r="N3072">
        <v>20.54</v>
      </c>
      <c r="O3072" s="49">
        <v>44449</v>
      </c>
      <c r="P3072" s="50">
        <v>122.598</v>
      </c>
    </row>
    <row r="3073" spans="4:16" x14ac:dyDescent="0.2">
      <c r="D3073">
        <v>100001835</v>
      </c>
      <c r="E3073" s="49">
        <v>45537</v>
      </c>
      <c r="F3073" t="s">
        <v>3612</v>
      </c>
      <c r="G3073" t="s">
        <v>1975</v>
      </c>
      <c r="H3073">
        <v>5</v>
      </c>
      <c r="I3073">
        <v>89.42</v>
      </c>
      <c r="J3073" s="50">
        <v>447.1</v>
      </c>
      <c r="K3073" t="s">
        <v>1632</v>
      </c>
      <c r="M3073" t="s">
        <v>1624</v>
      </c>
      <c r="N3073">
        <v>47.19</v>
      </c>
      <c r="O3073" s="49">
        <v>45538</v>
      </c>
      <c r="P3073" s="50">
        <v>201.19500000000002</v>
      </c>
    </row>
    <row r="3074" spans="4:16" x14ac:dyDescent="0.2">
      <c r="D3074">
        <v>100001835</v>
      </c>
      <c r="E3074" s="49">
        <v>44664</v>
      </c>
      <c r="F3074" t="s">
        <v>3612</v>
      </c>
      <c r="G3074" t="s">
        <v>2571</v>
      </c>
      <c r="H3074">
        <v>5</v>
      </c>
      <c r="I3074">
        <v>73.38</v>
      </c>
      <c r="J3074" s="50">
        <v>366.9</v>
      </c>
      <c r="K3074" t="s">
        <v>1632</v>
      </c>
      <c r="M3074" t="s">
        <v>1619</v>
      </c>
      <c r="N3074">
        <v>38.729999999999997</v>
      </c>
      <c r="O3074" s="49">
        <v>44667</v>
      </c>
      <c r="P3074" s="50">
        <v>165.10499999999999</v>
      </c>
    </row>
    <row r="3075" spans="4:16" x14ac:dyDescent="0.2">
      <c r="D3075">
        <v>100001835</v>
      </c>
      <c r="E3075" s="49">
        <v>45614</v>
      </c>
      <c r="F3075" t="s">
        <v>3612</v>
      </c>
      <c r="G3075" t="s">
        <v>2163</v>
      </c>
      <c r="H3075">
        <v>6</v>
      </c>
      <c r="I3075">
        <v>108.66</v>
      </c>
      <c r="J3075" s="50">
        <v>651.96</v>
      </c>
      <c r="K3075" t="s">
        <v>1632</v>
      </c>
      <c r="M3075" t="s">
        <v>1619</v>
      </c>
      <c r="N3075">
        <v>57.35</v>
      </c>
      <c r="O3075" s="49">
        <v>45615</v>
      </c>
      <c r="P3075" s="50">
        <v>293.38200000000001</v>
      </c>
    </row>
    <row r="3076" spans="4:16" x14ac:dyDescent="0.2">
      <c r="D3076">
        <v>100001835</v>
      </c>
      <c r="E3076" s="49">
        <v>45376</v>
      </c>
      <c r="F3076" t="s">
        <v>3612</v>
      </c>
      <c r="G3076" t="s">
        <v>2062</v>
      </c>
      <c r="H3076">
        <v>4</v>
      </c>
      <c r="I3076">
        <v>27.14</v>
      </c>
      <c r="J3076" s="50">
        <v>108.56</v>
      </c>
      <c r="K3076" t="s">
        <v>1632</v>
      </c>
      <c r="M3076" t="s">
        <v>1621</v>
      </c>
      <c r="N3076">
        <v>14.32</v>
      </c>
      <c r="O3076" s="49">
        <v>45378</v>
      </c>
      <c r="P3076" s="50">
        <v>48.852000000000004</v>
      </c>
    </row>
    <row r="3077" spans="4:16" x14ac:dyDescent="0.2">
      <c r="D3077">
        <v>100001835</v>
      </c>
      <c r="E3077" s="49">
        <v>44245</v>
      </c>
      <c r="F3077" t="s">
        <v>3612</v>
      </c>
      <c r="G3077" t="s">
        <v>1820</v>
      </c>
      <c r="H3077">
        <v>1</v>
      </c>
      <c r="I3077">
        <v>80.48</v>
      </c>
      <c r="J3077" s="50">
        <v>80.48</v>
      </c>
      <c r="K3077" t="s">
        <v>1632</v>
      </c>
      <c r="M3077" t="s">
        <v>1624</v>
      </c>
      <c r="N3077">
        <v>42.48</v>
      </c>
      <c r="O3077" s="49">
        <v>44250</v>
      </c>
      <c r="P3077" s="50">
        <v>36.216000000000001</v>
      </c>
    </row>
    <row r="3078" spans="4:16" x14ac:dyDescent="0.2">
      <c r="D3078">
        <v>100001836</v>
      </c>
      <c r="E3078" s="49">
        <v>44350</v>
      </c>
      <c r="F3078" t="s">
        <v>3613</v>
      </c>
      <c r="G3078" t="s">
        <v>2706</v>
      </c>
      <c r="H3078">
        <v>8</v>
      </c>
      <c r="I3078">
        <v>26.06</v>
      </c>
      <c r="J3078" s="50">
        <v>208.48</v>
      </c>
      <c r="K3078" t="s">
        <v>1618</v>
      </c>
      <c r="M3078" t="s">
        <v>1619</v>
      </c>
      <c r="N3078">
        <v>13.75</v>
      </c>
      <c r="O3078" s="49">
        <v>44353</v>
      </c>
      <c r="P3078" s="50">
        <v>93.816000000000003</v>
      </c>
    </row>
    <row r="3079" spans="4:16" x14ac:dyDescent="0.2">
      <c r="D3079">
        <v>100001836</v>
      </c>
      <c r="E3079" s="49">
        <v>45577</v>
      </c>
      <c r="F3079" t="s">
        <v>3613</v>
      </c>
      <c r="G3079" t="s">
        <v>1738</v>
      </c>
      <c r="H3079">
        <v>6</v>
      </c>
      <c r="I3079">
        <v>42.1</v>
      </c>
      <c r="J3079" s="50">
        <v>252.6</v>
      </c>
      <c r="K3079" t="s">
        <v>1618</v>
      </c>
      <c r="M3079" t="s">
        <v>1621</v>
      </c>
      <c r="N3079">
        <v>22.22</v>
      </c>
      <c r="O3079" s="49">
        <v>45580</v>
      </c>
      <c r="P3079" s="50">
        <v>113.67</v>
      </c>
    </row>
    <row r="3080" spans="4:16" x14ac:dyDescent="0.2">
      <c r="D3080">
        <v>100001840</v>
      </c>
      <c r="E3080" s="49">
        <v>44371</v>
      </c>
      <c r="F3080" t="s">
        <v>3614</v>
      </c>
      <c r="G3080" t="s">
        <v>1739</v>
      </c>
      <c r="H3080">
        <v>9</v>
      </c>
      <c r="I3080">
        <v>41.56</v>
      </c>
      <c r="J3080" s="50">
        <v>374.04</v>
      </c>
      <c r="K3080" t="s">
        <v>1632</v>
      </c>
      <c r="M3080" t="s">
        <v>1619</v>
      </c>
      <c r="N3080">
        <v>21.93</v>
      </c>
      <c r="O3080" s="49">
        <v>44373</v>
      </c>
      <c r="P3080" s="50">
        <v>168.31800000000001</v>
      </c>
    </row>
    <row r="3081" spans="4:16" x14ac:dyDescent="0.2">
      <c r="D3081">
        <v>100001840</v>
      </c>
      <c r="E3081" s="49">
        <v>44422</v>
      </c>
      <c r="F3081" t="s">
        <v>3614</v>
      </c>
      <c r="G3081" t="s">
        <v>1978</v>
      </c>
      <c r="H3081">
        <v>4</v>
      </c>
      <c r="I3081">
        <v>28.75</v>
      </c>
      <c r="J3081" s="50">
        <v>115</v>
      </c>
      <c r="K3081" t="s">
        <v>1632</v>
      </c>
      <c r="M3081" t="s">
        <v>1624</v>
      </c>
      <c r="N3081">
        <v>15.17</v>
      </c>
      <c r="O3081" s="49">
        <v>44425</v>
      </c>
      <c r="P3081" s="50">
        <v>51.75</v>
      </c>
    </row>
    <row r="3082" spans="4:16" x14ac:dyDescent="0.2">
      <c r="D3082">
        <v>100001840</v>
      </c>
      <c r="E3082" s="49">
        <v>44392</v>
      </c>
      <c r="F3082" t="s">
        <v>3614</v>
      </c>
      <c r="G3082" t="s">
        <v>1948</v>
      </c>
      <c r="H3082">
        <v>4</v>
      </c>
      <c r="I3082">
        <v>50.83</v>
      </c>
      <c r="J3082" s="50">
        <v>203.32</v>
      </c>
      <c r="K3082" t="s">
        <v>1632</v>
      </c>
      <c r="M3082" t="s">
        <v>1621</v>
      </c>
      <c r="N3082">
        <v>26.83</v>
      </c>
      <c r="O3082" s="49">
        <v>44397</v>
      </c>
      <c r="P3082" s="50">
        <v>91.494</v>
      </c>
    </row>
    <row r="3083" spans="4:16" x14ac:dyDescent="0.2">
      <c r="D3083">
        <v>100001841</v>
      </c>
      <c r="E3083" s="49">
        <v>45182</v>
      </c>
      <c r="F3083" t="s">
        <v>3615</v>
      </c>
      <c r="G3083" t="s">
        <v>2348</v>
      </c>
      <c r="H3083">
        <v>1</v>
      </c>
      <c r="I3083">
        <v>113.87</v>
      </c>
      <c r="J3083" s="50">
        <v>113.87</v>
      </c>
      <c r="K3083" t="s">
        <v>1632</v>
      </c>
      <c r="M3083" t="s">
        <v>1627</v>
      </c>
      <c r="N3083">
        <v>60.1</v>
      </c>
      <c r="O3083" s="49">
        <v>45187</v>
      </c>
      <c r="P3083" s="50">
        <v>51.241500000000002</v>
      </c>
    </row>
    <row r="3084" spans="4:16" x14ac:dyDescent="0.2">
      <c r="D3084">
        <v>100001842</v>
      </c>
      <c r="E3084" s="49">
        <v>45111</v>
      </c>
      <c r="F3084" t="s">
        <v>3616</v>
      </c>
      <c r="G3084" t="s">
        <v>3135</v>
      </c>
      <c r="H3084">
        <v>3</v>
      </c>
      <c r="I3084">
        <v>75.77</v>
      </c>
      <c r="J3084" s="50">
        <v>227.31</v>
      </c>
      <c r="K3084" t="s">
        <v>1618</v>
      </c>
      <c r="M3084" t="s">
        <v>1629</v>
      </c>
      <c r="N3084">
        <v>39.99</v>
      </c>
      <c r="O3084" s="49">
        <v>45116</v>
      </c>
      <c r="P3084" s="50">
        <v>102.2895</v>
      </c>
    </row>
    <row r="3085" spans="4:16" x14ac:dyDescent="0.2">
      <c r="D3085">
        <v>100001842</v>
      </c>
      <c r="E3085" s="49">
        <v>45288</v>
      </c>
      <c r="F3085" t="s">
        <v>3616</v>
      </c>
      <c r="G3085" t="s">
        <v>1765</v>
      </c>
      <c r="H3085">
        <v>3</v>
      </c>
      <c r="I3085">
        <v>66.42</v>
      </c>
      <c r="J3085" s="50">
        <v>199.26</v>
      </c>
      <c r="K3085" t="s">
        <v>1618</v>
      </c>
      <c r="M3085" t="s">
        <v>1627</v>
      </c>
      <c r="N3085">
        <v>35.049999999999997</v>
      </c>
      <c r="O3085" s="49">
        <v>45289</v>
      </c>
      <c r="P3085" s="50">
        <v>89.667000000000002</v>
      </c>
    </row>
    <row r="3086" spans="4:16" x14ac:dyDescent="0.2">
      <c r="D3086">
        <v>100001842</v>
      </c>
      <c r="E3086" s="49">
        <v>44535</v>
      </c>
      <c r="F3086" t="s">
        <v>3616</v>
      </c>
      <c r="G3086" t="s">
        <v>2071</v>
      </c>
      <c r="H3086">
        <v>1</v>
      </c>
      <c r="I3086">
        <v>35.82</v>
      </c>
      <c r="J3086" s="50">
        <v>35.82</v>
      </c>
      <c r="K3086" t="s">
        <v>1618</v>
      </c>
      <c r="M3086" t="s">
        <v>1627</v>
      </c>
      <c r="N3086">
        <v>18.899999999999999</v>
      </c>
      <c r="O3086" s="49">
        <v>44537</v>
      </c>
      <c r="P3086" s="50">
        <v>16.119</v>
      </c>
    </row>
    <row r="3087" spans="4:16" x14ac:dyDescent="0.2">
      <c r="D3087">
        <v>100001842</v>
      </c>
      <c r="E3087" s="49">
        <v>45257</v>
      </c>
      <c r="F3087" t="s">
        <v>3616</v>
      </c>
      <c r="G3087" t="s">
        <v>2151</v>
      </c>
      <c r="H3087">
        <v>3</v>
      </c>
      <c r="I3087">
        <v>70.12</v>
      </c>
      <c r="J3087" s="50">
        <v>210.36</v>
      </c>
      <c r="K3087" t="s">
        <v>1618</v>
      </c>
      <c r="M3087" t="s">
        <v>1621</v>
      </c>
      <c r="N3087">
        <v>37.01</v>
      </c>
      <c r="O3087" s="49">
        <v>45262</v>
      </c>
      <c r="P3087" s="50">
        <v>94.662000000000006</v>
      </c>
    </row>
    <row r="3088" spans="4:16" x14ac:dyDescent="0.2">
      <c r="D3088">
        <v>100001842</v>
      </c>
      <c r="E3088" s="49">
        <v>44322</v>
      </c>
      <c r="F3088" t="s">
        <v>3616</v>
      </c>
      <c r="G3088" t="s">
        <v>2278</v>
      </c>
      <c r="H3088">
        <v>7</v>
      </c>
      <c r="I3088">
        <v>76.73</v>
      </c>
      <c r="J3088" s="50">
        <v>537.11</v>
      </c>
      <c r="K3088" t="s">
        <v>1618</v>
      </c>
      <c r="M3088" t="s">
        <v>1624</v>
      </c>
      <c r="N3088">
        <v>40.5</v>
      </c>
      <c r="O3088" s="49">
        <v>44324</v>
      </c>
      <c r="P3088" s="50">
        <v>241.6995</v>
      </c>
    </row>
    <row r="3089" spans="4:16" x14ac:dyDescent="0.2">
      <c r="D3089">
        <v>100001842</v>
      </c>
      <c r="E3089" s="49">
        <v>45469</v>
      </c>
      <c r="F3089" t="s">
        <v>3616</v>
      </c>
      <c r="G3089" t="s">
        <v>2068</v>
      </c>
      <c r="H3089">
        <v>4</v>
      </c>
      <c r="I3089">
        <v>95.07</v>
      </c>
      <c r="J3089" s="50">
        <v>380.28</v>
      </c>
      <c r="K3089" t="s">
        <v>1618</v>
      </c>
      <c r="M3089" t="s">
        <v>1627</v>
      </c>
      <c r="N3089">
        <v>50.18</v>
      </c>
      <c r="O3089" s="49">
        <v>45473</v>
      </c>
      <c r="P3089" s="50">
        <v>171.126</v>
      </c>
    </row>
    <row r="3090" spans="4:16" x14ac:dyDescent="0.2">
      <c r="D3090">
        <v>100001842</v>
      </c>
      <c r="E3090" s="49">
        <v>44649</v>
      </c>
      <c r="F3090" t="s">
        <v>3616</v>
      </c>
      <c r="G3090" t="s">
        <v>1958</v>
      </c>
      <c r="H3090">
        <v>6</v>
      </c>
      <c r="I3090">
        <v>68.97</v>
      </c>
      <c r="J3090" s="50">
        <v>413.82</v>
      </c>
      <c r="K3090" t="s">
        <v>1618</v>
      </c>
      <c r="M3090" t="s">
        <v>1629</v>
      </c>
      <c r="N3090">
        <v>36.4</v>
      </c>
      <c r="O3090" s="49">
        <v>44650</v>
      </c>
      <c r="P3090" s="50">
        <v>186.21899999999999</v>
      </c>
    </row>
    <row r="3091" spans="4:16" x14ac:dyDescent="0.2">
      <c r="D3091">
        <v>100001843</v>
      </c>
      <c r="E3091" s="49">
        <v>45483</v>
      </c>
      <c r="F3091" t="s">
        <v>3617</v>
      </c>
      <c r="G3091" t="s">
        <v>2202</v>
      </c>
      <c r="H3091">
        <v>4</v>
      </c>
      <c r="I3091">
        <v>20.34</v>
      </c>
      <c r="J3091" s="50">
        <v>81.36</v>
      </c>
      <c r="K3091" t="s">
        <v>1632</v>
      </c>
      <c r="L3091" t="s">
        <v>3618</v>
      </c>
      <c r="M3091" t="s">
        <v>1627</v>
      </c>
      <c r="N3091">
        <v>10.73</v>
      </c>
      <c r="O3091" s="49">
        <v>45486</v>
      </c>
      <c r="P3091" s="50">
        <v>36.612000000000002</v>
      </c>
    </row>
    <row r="3092" spans="4:16" x14ac:dyDescent="0.2">
      <c r="D3092">
        <v>100001843</v>
      </c>
      <c r="E3092" s="49">
        <v>44744</v>
      </c>
      <c r="F3092" t="s">
        <v>3617</v>
      </c>
      <c r="G3092" t="s">
        <v>1866</v>
      </c>
      <c r="H3092">
        <v>3</v>
      </c>
      <c r="I3092">
        <v>10.32</v>
      </c>
      <c r="J3092" s="50">
        <v>30.96</v>
      </c>
      <c r="K3092" t="s">
        <v>1632</v>
      </c>
      <c r="L3092" t="s">
        <v>3618</v>
      </c>
      <c r="M3092" t="s">
        <v>1624</v>
      </c>
      <c r="N3092">
        <v>5.45</v>
      </c>
      <c r="O3092" s="49">
        <v>44749</v>
      </c>
      <c r="P3092" s="50">
        <v>13.932</v>
      </c>
    </row>
    <row r="3093" spans="4:16" x14ac:dyDescent="0.2">
      <c r="D3093">
        <v>100001844</v>
      </c>
      <c r="E3093" s="49">
        <v>44683</v>
      </c>
      <c r="F3093" t="s">
        <v>3619</v>
      </c>
      <c r="G3093" t="s">
        <v>2151</v>
      </c>
      <c r="H3093">
        <v>5</v>
      </c>
      <c r="I3093">
        <v>22.56</v>
      </c>
      <c r="J3093" s="50">
        <v>112.8</v>
      </c>
      <c r="K3093" t="s">
        <v>1632</v>
      </c>
      <c r="M3093" t="s">
        <v>1627</v>
      </c>
      <c r="N3093">
        <v>11.91</v>
      </c>
      <c r="O3093" s="49">
        <v>44686</v>
      </c>
      <c r="P3093" s="50">
        <v>50.76</v>
      </c>
    </row>
    <row r="3094" spans="4:16" x14ac:dyDescent="0.2">
      <c r="D3094">
        <v>100001844</v>
      </c>
      <c r="E3094" s="49">
        <v>44743</v>
      </c>
      <c r="F3094" t="s">
        <v>3619</v>
      </c>
      <c r="G3094" t="s">
        <v>1819</v>
      </c>
      <c r="H3094">
        <v>1</v>
      </c>
      <c r="I3094">
        <v>16.329999999999998</v>
      </c>
      <c r="J3094" s="50">
        <v>16.329999999999998</v>
      </c>
      <c r="K3094" t="s">
        <v>1632</v>
      </c>
      <c r="M3094" t="s">
        <v>1619</v>
      </c>
      <c r="N3094">
        <v>8.6199999999999992</v>
      </c>
      <c r="O3094" s="49">
        <v>44746</v>
      </c>
      <c r="P3094" s="50">
        <v>7.3484999999999996</v>
      </c>
    </row>
    <row r="3095" spans="4:16" x14ac:dyDescent="0.2">
      <c r="D3095">
        <v>100001844</v>
      </c>
      <c r="E3095" s="49">
        <v>45547</v>
      </c>
      <c r="F3095" t="s">
        <v>3619</v>
      </c>
      <c r="G3095" t="s">
        <v>2628</v>
      </c>
      <c r="H3095">
        <v>1</v>
      </c>
      <c r="I3095">
        <v>12.12</v>
      </c>
      <c r="J3095" s="50">
        <v>12.12</v>
      </c>
      <c r="K3095" t="s">
        <v>1632</v>
      </c>
      <c r="M3095" t="s">
        <v>1627</v>
      </c>
      <c r="N3095">
        <v>6.4</v>
      </c>
      <c r="O3095" s="49">
        <v>45548</v>
      </c>
      <c r="P3095" s="50">
        <v>5.4539999999999997</v>
      </c>
    </row>
    <row r="3096" spans="4:16" x14ac:dyDescent="0.2">
      <c r="D3096">
        <v>100001845</v>
      </c>
      <c r="E3096" s="49">
        <v>45234</v>
      </c>
      <c r="F3096" t="s">
        <v>3620</v>
      </c>
      <c r="G3096" t="s">
        <v>1865</v>
      </c>
      <c r="H3096">
        <v>5</v>
      </c>
      <c r="I3096">
        <v>91.42</v>
      </c>
      <c r="J3096" s="50">
        <v>457.1</v>
      </c>
      <c r="K3096" t="s">
        <v>1618</v>
      </c>
      <c r="M3096" t="s">
        <v>1624</v>
      </c>
      <c r="N3096">
        <v>48.25</v>
      </c>
      <c r="O3096" s="49">
        <v>45235</v>
      </c>
      <c r="P3096" s="50">
        <v>205.69500000000002</v>
      </c>
    </row>
    <row r="3097" spans="4:16" x14ac:dyDescent="0.2">
      <c r="D3097">
        <v>100001845</v>
      </c>
      <c r="E3097" s="49">
        <v>44692</v>
      </c>
      <c r="F3097" t="s">
        <v>3620</v>
      </c>
      <c r="G3097" t="s">
        <v>1953</v>
      </c>
      <c r="H3097">
        <v>7</v>
      </c>
      <c r="I3097">
        <v>42.55</v>
      </c>
      <c r="J3097" s="50">
        <v>297.85000000000002</v>
      </c>
      <c r="K3097" t="s">
        <v>1618</v>
      </c>
      <c r="M3097" t="s">
        <v>1629</v>
      </c>
      <c r="N3097">
        <v>22.46</v>
      </c>
      <c r="O3097" s="49">
        <v>44695</v>
      </c>
      <c r="P3097" s="50">
        <v>134.03250000000003</v>
      </c>
    </row>
    <row r="3098" spans="4:16" x14ac:dyDescent="0.2">
      <c r="D3098">
        <v>100001845</v>
      </c>
      <c r="E3098" s="49">
        <v>44636</v>
      </c>
      <c r="F3098" t="s">
        <v>3620</v>
      </c>
      <c r="G3098" t="s">
        <v>1693</v>
      </c>
      <c r="H3098">
        <v>5</v>
      </c>
      <c r="I3098">
        <v>38.42</v>
      </c>
      <c r="J3098" s="50">
        <v>192.1</v>
      </c>
      <c r="K3098" t="s">
        <v>1618</v>
      </c>
      <c r="M3098" t="s">
        <v>1629</v>
      </c>
      <c r="N3098">
        <v>20.28</v>
      </c>
      <c r="O3098" s="49">
        <v>44639</v>
      </c>
      <c r="P3098" s="50">
        <v>86.444999999999993</v>
      </c>
    </row>
    <row r="3099" spans="4:16" x14ac:dyDescent="0.2">
      <c r="D3099">
        <v>100001847</v>
      </c>
      <c r="E3099" s="49">
        <v>44766</v>
      </c>
      <c r="F3099" t="s">
        <v>3621</v>
      </c>
      <c r="G3099" t="s">
        <v>1987</v>
      </c>
      <c r="H3099">
        <v>1</v>
      </c>
      <c r="I3099">
        <v>27.71</v>
      </c>
      <c r="J3099" s="50">
        <v>27.71</v>
      </c>
      <c r="K3099" t="s">
        <v>1618</v>
      </c>
      <c r="M3099" t="s">
        <v>1624</v>
      </c>
      <c r="N3099">
        <v>14.62</v>
      </c>
      <c r="O3099" s="49">
        <v>44768</v>
      </c>
      <c r="P3099" s="50">
        <v>12.4695</v>
      </c>
    </row>
    <row r="3100" spans="4:16" x14ac:dyDescent="0.2">
      <c r="D3100">
        <v>100001847</v>
      </c>
      <c r="E3100" s="49">
        <v>44654</v>
      </c>
      <c r="F3100" t="s">
        <v>3621</v>
      </c>
      <c r="G3100" t="s">
        <v>3135</v>
      </c>
      <c r="H3100">
        <v>3</v>
      </c>
      <c r="I3100">
        <v>80.91</v>
      </c>
      <c r="J3100" s="50">
        <v>242.73</v>
      </c>
      <c r="K3100" t="s">
        <v>1618</v>
      </c>
      <c r="M3100" t="s">
        <v>1627</v>
      </c>
      <c r="N3100">
        <v>42.7</v>
      </c>
      <c r="O3100" s="49">
        <v>44656</v>
      </c>
      <c r="P3100" s="50">
        <v>109.2285</v>
      </c>
    </row>
    <row r="3101" spans="4:16" x14ac:dyDescent="0.2">
      <c r="D3101">
        <v>100001848</v>
      </c>
      <c r="E3101" s="49">
        <v>44471</v>
      </c>
      <c r="F3101" t="s">
        <v>3622</v>
      </c>
      <c r="G3101" t="s">
        <v>1720</v>
      </c>
      <c r="H3101">
        <v>6</v>
      </c>
      <c r="I3101">
        <v>38.44</v>
      </c>
      <c r="J3101" s="50">
        <v>230.64</v>
      </c>
      <c r="K3101" t="s">
        <v>1632</v>
      </c>
      <c r="L3101" t="s">
        <v>3623</v>
      </c>
      <c r="M3101" t="s">
        <v>1627</v>
      </c>
      <c r="N3101">
        <v>20.29</v>
      </c>
      <c r="O3101" s="49">
        <v>44476</v>
      </c>
      <c r="P3101" s="50">
        <v>103.788</v>
      </c>
    </row>
    <row r="3102" spans="4:16" x14ac:dyDescent="0.2">
      <c r="D3102">
        <v>100001848</v>
      </c>
      <c r="E3102" s="49">
        <v>44425</v>
      </c>
      <c r="F3102" t="s">
        <v>3622</v>
      </c>
      <c r="G3102" t="s">
        <v>2198</v>
      </c>
      <c r="H3102">
        <v>4</v>
      </c>
      <c r="I3102">
        <v>72.48</v>
      </c>
      <c r="J3102" s="50">
        <v>289.92</v>
      </c>
      <c r="K3102" t="s">
        <v>1632</v>
      </c>
      <c r="L3102" t="s">
        <v>3623</v>
      </c>
      <c r="M3102" t="s">
        <v>1627</v>
      </c>
      <c r="N3102">
        <v>38.25</v>
      </c>
      <c r="O3102" s="49">
        <v>44429</v>
      </c>
      <c r="P3102" s="50">
        <v>130.464</v>
      </c>
    </row>
    <row r="3103" spans="4:16" x14ac:dyDescent="0.2">
      <c r="D3103">
        <v>100001848</v>
      </c>
      <c r="E3103" s="49">
        <v>44419</v>
      </c>
      <c r="F3103" t="s">
        <v>3622</v>
      </c>
      <c r="G3103" t="s">
        <v>1801</v>
      </c>
      <c r="H3103">
        <v>5</v>
      </c>
      <c r="I3103">
        <v>100.57</v>
      </c>
      <c r="J3103" s="50">
        <v>502.85</v>
      </c>
      <c r="K3103" t="s">
        <v>1632</v>
      </c>
      <c r="L3103" t="s">
        <v>3623</v>
      </c>
      <c r="M3103" t="s">
        <v>1629</v>
      </c>
      <c r="N3103">
        <v>53.08</v>
      </c>
      <c r="O3103" s="49">
        <v>44422</v>
      </c>
      <c r="P3103" s="50">
        <v>226.28250000000003</v>
      </c>
    </row>
    <row r="3104" spans="4:16" x14ac:dyDescent="0.2">
      <c r="D3104">
        <v>100001848</v>
      </c>
      <c r="E3104" s="49">
        <v>45212</v>
      </c>
      <c r="F3104" t="s">
        <v>3622</v>
      </c>
      <c r="G3104" t="s">
        <v>2198</v>
      </c>
      <c r="H3104">
        <v>2</v>
      </c>
      <c r="I3104">
        <v>45.98</v>
      </c>
      <c r="J3104" s="50">
        <v>91.96</v>
      </c>
      <c r="K3104" t="s">
        <v>1632</v>
      </c>
      <c r="L3104" t="s">
        <v>3623</v>
      </c>
      <c r="M3104" t="s">
        <v>1619</v>
      </c>
      <c r="N3104">
        <v>24.27</v>
      </c>
      <c r="O3104" s="49">
        <v>45216</v>
      </c>
      <c r="P3104" s="50">
        <v>41.381999999999998</v>
      </c>
    </row>
    <row r="3105" spans="4:16" x14ac:dyDescent="0.2">
      <c r="D3105">
        <v>100001848</v>
      </c>
      <c r="E3105" s="49">
        <v>44512</v>
      </c>
      <c r="F3105" t="s">
        <v>3622</v>
      </c>
      <c r="G3105" t="s">
        <v>1634</v>
      </c>
      <c r="H3105">
        <v>4</v>
      </c>
      <c r="I3105">
        <v>67.44</v>
      </c>
      <c r="J3105" s="50">
        <v>269.76</v>
      </c>
      <c r="K3105" t="s">
        <v>1632</v>
      </c>
      <c r="L3105" t="s">
        <v>3623</v>
      </c>
      <c r="M3105" t="s">
        <v>1627</v>
      </c>
      <c r="N3105">
        <v>35.590000000000003</v>
      </c>
      <c r="O3105" s="49">
        <v>44514</v>
      </c>
      <c r="P3105" s="50">
        <v>121.392</v>
      </c>
    </row>
    <row r="3106" spans="4:16" x14ac:dyDescent="0.2">
      <c r="D3106">
        <v>100001851</v>
      </c>
      <c r="E3106" s="49">
        <v>45311</v>
      </c>
      <c r="F3106" t="s">
        <v>3624</v>
      </c>
      <c r="G3106" t="s">
        <v>2017</v>
      </c>
      <c r="H3106">
        <v>6</v>
      </c>
      <c r="I3106">
        <v>10.050000000000001</v>
      </c>
      <c r="J3106" s="50">
        <v>60.3</v>
      </c>
      <c r="K3106" t="s">
        <v>1618</v>
      </c>
      <c r="M3106" t="s">
        <v>1629</v>
      </c>
      <c r="N3106">
        <v>5.3</v>
      </c>
      <c r="O3106" s="49">
        <v>45312</v>
      </c>
      <c r="P3106" s="50">
        <v>27.134999999999998</v>
      </c>
    </row>
    <row r="3107" spans="4:16" x14ac:dyDescent="0.2">
      <c r="D3107">
        <v>100001853</v>
      </c>
      <c r="E3107" s="49">
        <v>44629</v>
      </c>
      <c r="F3107" t="s">
        <v>3625</v>
      </c>
      <c r="G3107" t="s">
        <v>2480</v>
      </c>
      <c r="H3107">
        <v>2</v>
      </c>
      <c r="I3107">
        <v>39.4</v>
      </c>
      <c r="J3107" s="50">
        <v>78.8</v>
      </c>
      <c r="K3107" t="s">
        <v>1618</v>
      </c>
      <c r="M3107" t="s">
        <v>1624</v>
      </c>
      <c r="N3107">
        <v>20.79</v>
      </c>
      <c r="O3107" s="49">
        <v>44634</v>
      </c>
      <c r="P3107" s="50">
        <v>35.46</v>
      </c>
    </row>
    <row r="3108" spans="4:16" x14ac:dyDescent="0.2">
      <c r="D3108">
        <v>100001854</v>
      </c>
      <c r="E3108" s="49">
        <v>44840</v>
      </c>
      <c r="F3108" t="s">
        <v>3565</v>
      </c>
      <c r="G3108" t="s">
        <v>2150</v>
      </c>
      <c r="H3108">
        <v>6</v>
      </c>
      <c r="I3108">
        <v>45.6</v>
      </c>
      <c r="J3108" s="50">
        <v>273.60000000000002</v>
      </c>
      <c r="K3108" t="s">
        <v>1632</v>
      </c>
      <c r="M3108" t="s">
        <v>1619</v>
      </c>
      <c r="N3108">
        <v>24.07</v>
      </c>
      <c r="O3108" s="49">
        <v>44841</v>
      </c>
      <c r="P3108" s="50">
        <v>123.12000000000002</v>
      </c>
    </row>
    <row r="3109" spans="4:16" x14ac:dyDescent="0.2">
      <c r="D3109">
        <v>100001854</v>
      </c>
      <c r="E3109" s="49">
        <v>45600</v>
      </c>
      <c r="F3109" t="s">
        <v>3565</v>
      </c>
      <c r="G3109" t="s">
        <v>1825</v>
      </c>
      <c r="H3109">
        <v>8</v>
      </c>
      <c r="I3109">
        <v>51.95</v>
      </c>
      <c r="J3109" s="50">
        <v>415.6</v>
      </c>
      <c r="K3109" t="s">
        <v>1632</v>
      </c>
      <c r="M3109" t="s">
        <v>1627</v>
      </c>
      <c r="N3109">
        <v>27.42</v>
      </c>
      <c r="O3109" s="49">
        <v>45603</v>
      </c>
      <c r="P3109" s="50">
        <v>187.02</v>
      </c>
    </row>
    <row r="3110" spans="4:16" x14ac:dyDescent="0.2">
      <c r="D3110">
        <v>100001855</v>
      </c>
      <c r="E3110" s="49">
        <v>44881</v>
      </c>
      <c r="F3110" t="s">
        <v>3626</v>
      </c>
      <c r="G3110" t="s">
        <v>2111</v>
      </c>
      <c r="H3110">
        <v>5</v>
      </c>
      <c r="I3110">
        <v>48.83</v>
      </c>
      <c r="J3110" s="50">
        <v>244.15</v>
      </c>
      <c r="K3110" t="s">
        <v>1618</v>
      </c>
      <c r="M3110" t="s">
        <v>1619</v>
      </c>
      <c r="N3110">
        <v>25.77</v>
      </c>
      <c r="O3110" s="49">
        <v>44884</v>
      </c>
      <c r="P3110" s="50">
        <v>109.86750000000001</v>
      </c>
    </row>
    <row r="3111" spans="4:16" x14ac:dyDescent="0.2">
      <c r="D3111">
        <v>100001856</v>
      </c>
      <c r="E3111" s="49">
        <v>45347</v>
      </c>
      <c r="F3111" t="s">
        <v>2015</v>
      </c>
      <c r="G3111" t="s">
        <v>1653</v>
      </c>
      <c r="H3111">
        <v>7</v>
      </c>
      <c r="I3111">
        <v>43.34</v>
      </c>
      <c r="J3111" s="50">
        <v>303.38</v>
      </c>
      <c r="K3111" t="s">
        <v>1632</v>
      </c>
      <c r="L3111" t="s">
        <v>3627</v>
      </c>
      <c r="M3111" t="s">
        <v>1629</v>
      </c>
      <c r="N3111">
        <v>22.87</v>
      </c>
      <c r="O3111" s="49">
        <v>45351</v>
      </c>
      <c r="P3111" s="50">
        <v>136.52100000000002</v>
      </c>
    </row>
    <row r="3112" spans="4:16" x14ac:dyDescent="0.2">
      <c r="D3112">
        <v>100001857</v>
      </c>
      <c r="E3112" s="49">
        <v>44319</v>
      </c>
      <c r="F3112" t="s">
        <v>3628</v>
      </c>
      <c r="G3112" t="s">
        <v>1855</v>
      </c>
      <c r="H3112">
        <v>10</v>
      </c>
      <c r="I3112">
        <v>65.45</v>
      </c>
      <c r="J3112" s="50">
        <v>654.5</v>
      </c>
      <c r="K3112" t="s">
        <v>1632</v>
      </c>
      <c r="M3112" t="s">
        <v>1627</v>
      </c>
      <c r="N3112">
        <v>34.54</v>
      </c>
      <c r="O3112" s="49">
        <v>44324</v>
      </c>
      <c r="P3112" s="50">
        <v>294.52500000000003</v>
      </c>
    </row>
    <row r="3113" spans="4:16" x14ac:dyDescent="0.2">
      <c r="D3113">
        <v>100001857</v>
      </c>
      <c r="E3113" s="49">
        <v>45024</v>
      </c>
      <c r="F3113" t="s">
        <v>3628</v>
      </c>
      <c r="G3113" t="s">
        <v>2380</v>
      </c>
      <c r="H3113">
        <v>10</v>
      </c>
      <c r="I3113">
        <v>14.71</v>
      </c>
      <c r="J3113" s="50">
        <v>147.1</v>
      </c>
      <c r="K3113" t="s">
        <v>1632</v>
      </c>
      <c r="M3113" t="s">
        <v>1621</v>
      </c>
      <c r="N3113">
        <v>7.76</v>
      </c>
      <c r="O3113" s="49">
        <v>45029</v>
      </c>
      <c r="P3113" s="50">
        <v>66.194999999999993</v>
      </c>
    </row>
    <row r="3114" spans="4:16" x14ac:dyDescent="0.2">
      <c r="D3114">
        <v>100001858</v>
      </c>
      <c r="E3114" s="49">
        <v>45439</v>
      </c>
      <c r="F3114" t="s">
        <v>3629</v>
      </c>
      <c r="G3114" t="s">
        <v>2706</v>
      </c>
      <c r="H3114">
        <v>3</v>
      </c>
      <c r="I3114">
        <v>53.56</v>
      </c>
      <c r="J3114" s="50">
        <v>160.68</v>
      </c>
      <c r="K3114" t="s">
        <v>1618</v>
      </c>
      <c r="M3114" t="s">
        <v>1624</v>
      </c>
      <c r="N3114">
        <v>28.27</v>
      </c>
      <c r="O3114" s="49">
        <v>45443</v>
      </c>
      <c r="P3114" s="50">
        <v>72.306000000000012</v>
      </c>
    </row>
    <row r="3115" spans="4:16" x14ac:dyDescent="0.2">
      <c r="D3115">
        <v>100001859</v>
      </c>
      <c r="E3115" s="49">
        <v>45373</v>
      </c>
      <c r="F3115" t="s">
        <v>3630</v>
      </c>
      <c r="G3115" t="s">
        <v>2733</v>
      </c>
      <c r="H3115">
        <v>4</v>
      </c>
      <c r="I3115">
        <v>61.3</v>
      </c>
      <c r="J3115" s="50">
        <v>245.2</v>
      </c>
      <c r="K3115" t="s">
        <v>1632</v>
      </c>
      <c r="L3115" t="s">
        <v>3631</v>
      </c>
      <c r="M3115" t="s">
        <v>1621</v>
      </c>
      <c r="N3115">
        <v>32.35</v>
      </c>
      <c r="O3115" s="49">
        <v>45377</v>
      </c>
      <c r="P3115" s="50">
        <v>110.34</v>
      </c>
    </row>
    <row r="3116" spans="4:16" x14ac:dyDescent="0.2">
      <c r="D3116">
        <v>100001860</v>
      </c>
      <c r="E3116" s="49">
        <v>45609</v>
      </c>
      <c r="F3116" t="s">
        <v>2100</v>
      </c>
      <c r="G3116" t="s">
        <v>1765</v>
      </c>
      <c r="H3116">
        <v>1</v>
      </c>
      <c r="I3116">
        <v>34.44</v>
      </c>
      <c r="J3116" s="50">
        <v>34.44</v>
      </c>
      <c r="K3116" t="s">
        <v>1632</v>
      </c>
      <c r="L3116" t="s">
        <v>3632</v>
      </c>
      <c r="M3116" t="s">
        <v>1624</v>
      </c>
      <c r="N3116">
        <v>18.18</v>
      </c>
      <c r="O3116" s="49">
        <v>45612</v>
      </c>
      <c r="P3116" s="50">
        <v>15.497999999999999</v>
      </c>
    </row>
    <row r="3117" spans="4:16" x14ac:dyDescent="0.2">
      <c r="D3117">
        <v>100001861</v>
      </c>
      <c r="E3117" s="49">
        <v>45329</v>
      </c>
      <c r="F3117" t="s">
        <v>3633</v>
      </c>
      <c r="G3117" t="s">
        <v>1950</v>
      </c>
      <c r="H3117">
        <v>2</v>
      </c>
      <c r="I3117">
        <v>105.73</v>
      </c>
      <c r="J3117" s="50">
        <v>211.46</v>
      </c>
      <c r="K3117" t="s">
        <v>1632</v>
      </c>
      <c r="M3117" t="s">
        <v>1627</v>
      </c>
      <c r="N3117">
        <v>55.8</v>
      </c>
      <c r="O3117" s="49">
        <v>45331</v>
      </c>
      <c r="P3117" s="50">
        <v>95.157000000000011</v>
      </c>
    </row>
    <row r="3118" spans="4:16" x14ac:dyDescent="0.2">
      <c r="D3118">
        <v>100001861</v>
      </c>
      <c r="E3118" s="49">
        <v>45260</v>
      </c>
      <c r="F3118" t="s">
        <v>3633</v>
      </c>
      <c r="G3118" t="s">
        <v>1945</v>
      </c>
      <c r="H3118">
        <v>5</v>
      </c>
      <c r="I3118">
        <v>98.5</v>
      </c>
      <c r="J3118" s="50">
        <v>492.5</v>
      </c>
      <c r="K3118" t="s">
        <v>1632</v>
      </c>
      <c r="M3118" t="s">
        <v>1629</v>
      </c>
      <c r="N3118">
        <v>51.99</v>
      </c>
      <c r="O3118" s="49">
        <v>45263</v>
      </c>
      <c r="P3118" s="50">
        <v>221.625</v>
      </c>
    </row>
    <row r="3119" spans="4:16" x14ac:dyDescent="0.2">
      <c r="D3119">
        <v>100001861</v>
      </c>
      <c r="E3119" s="49">
        <v>45532</v>
      </c>
      <c r="F3119" t="s">
        <v>3633</v>
      </c>
      <c r="G3119" t="s">
        <v>2112</v>
      </c>
      <c r="H3119">
        <v>6</v>
      </c>
      <c r="I3119">
        <v>64.400000000000006</v>
      </c>
      <c r="J3119" s="50">
        <v>386.4</v>
      </c>
      <c r="K3119" t="s">
        <v>1632</v>
      </c>
      <c r="M3119" t="s">
        <v>1619</v>
      </c>
      <c r="N3119">
        <v>33.99</v>
      </c>
      <c r="O3119" s="49">
        <v>45535</v>
      </c>
      <c r="P3119" s="50">
        <v>173.88</v>
      </c>
    </row>
    <row r="3120" spans="4:16" x14ac:dyDescent="0.2">
      <c r="D3120">
        <v>100001862</v>
      </c>
      <c r="E3120" s="49">
        <v>44475</v>
      </c>
      <c r="F3120" t="s">
        <v>3634</v>
      </c>
      <c r="G3120" t="s">
        <v>2019</v>
      </c>
      <c r="H3120">
        <v>8</v>
      </c>
      <c r="I3120">
        <v>17.190000000000001</v>
      </c>
      <c r="J3120" s="50">
        <v>137.52000000000001</v>
      </c>
      <c r="K3120" t="s">
        <v>1632</v>
      </c>
      <c r="L3120" t="s">
        <v>3635</v>
      </c>
      <c r="M3120" t="s">
        <v>1627</v>
      </c>
      <c r="N3120">
        <v>9.07</v>
      </c>
      <c r="O3120" s="49">
        <v>44477</v>
      </c>
      <c r="P3120" s="50">
        <v>61.884000000000007</v>
      </c>
    </row>
    <row r="3121" spans="4:16" x14ac:dyDescent="0.2">
      <c r="D3121">
        <v>100001866</v>
      </c>
      <c r="E3121" s="49">
        <v>44689</v>
      </c>
      <c r="F3121" t="s">
        <v>3636</v>
      </c>
      <c r="G3121" t="s">
        <v>2344</v>
      </c>
      <c r="H3121">
        <v>4</v>
      </c>
      <c r="I3121">
        <v>53.69</v>
      </c>
      <c r="J3121" s="50">
        <v>214.76</v>
      </c>
      <c r="K3121" t="s">
        <v>1632</v>
      </c>
      <c r="L3121" t="s">
        <v>3637</v>
      </c>
      <c r="M3121" t="s">
        <v>1621</v>
      </c>
      <c r="N3121">
        <v>28.34</v>
      </c>
      <c r="O3121" s="49">
        <v>44694</v>
      </c>
      <c r="P3121" s="50">
        <v>96.641999999999996</v>
      </c>
    </row>
    <row r="3122" spans="4:16" x14ac:dyDescent="0.2">
      <c r="D3122">
        <v>100001866</v>
      </c>
      <c r="E3122" s="49">
        <v>44209</v>
      </c>
      <c r="F3122" t="s">
        <v>3636</v>
      </c>
      <c r="G3122" t="s">
        <v>2658</v>
      </c>
      <c r="H3122">
        <v>8</v>
      </c>
      <c r="I3122">
        <v>105.2</v>
      </c>
      <c r="J3122" s="50">
        <v>841.6</v>
      </c>
      <c r="K3122" t="s">
        <v>1632</v>
      </c>
      <c r="L3122" t="s">
        <v>3637</v>
      </c>
      <c r="M3122" t="s">
        <v>1627</v>
      </c>
      <c r="N3122">
        <v>55.52</v>
      </c>
      <c r="O3122" s="49">
        <v>44213</v>
      </c>
      <c r="P3122" s="50">
        <v>378.72</v>
      </c>
    </row>
    <row r="3123" spans="4:16" x14ac:dyDescent="0.2">
      <c r="D3123">
        <v>100001866</v>
      </c>
      <c r="E3123" s="49">
        <v>45643</v>
      </c>
      <c r="F3123" t="s">
        <v>3636</v>
      </c>
      <c r="G3123" t="s">
        <v>1851</v>
      </c>
      <c r="H3123">
        <v>5</v>
      </c>
      <c r="I3123">
        <v>54.1</v>
      </c>
      <c r="J3123" s="50">
        <v>270.5</v>
      </c>
      <c r="K3123" t="s">
        <v>1632</v>
      </c>
      <c r="L3123" t="s">
        <v>3637</v>
      </c>
      <c r="M3123" t="s">
        <v>1624</v>
      </c>
      <c r="N3123">
        <v>28.55</v>
      </c>
      <c r="O3123" s="49">
        <v>45646</v>
      </c>
      <c r="P3123" s="50">
        <v>121.72500000000001</v>
      </c>
    </row>
    <row r="3124" spans="4:16" x14ac:dyDescent="0.2">
      <c r="D3124">
        <v>100001867</v>
      </c>
      <c r="E3124" s="49">
        <v>44243</v>
      </c>
      <c r="F3124" t="s">
        <v>3638</v>
      </c>
      <c r="G3124" t="s">
        <v>2574</v>
      </c>
      <c r="H3124">
        <v>9</v>
      </c>
      <c r="I3124">
        <v>91.45</v>
      </c>
      <c r="J3124" s="50">
        <v>823.05000000000007</v>
      </c>
      <c r="K3124" t="s">
        <v>1632</v>
      </c>
      <c r="L3124" t="s">
        <v>3639</v>
      </c>
      <c r="M3124" t="s">
        <v>1621</v>
      </c>
      <c r="N3124">
        <v>48.26</v>
      </c>
      <c r="O3124" s="49">
        <v>44245</v>
      </c>
      <c r="P3124" s="50">
        <v>370.37250000000006</v>
      </c>
    </row>
    <row r="3125" spans="4:16" x14ac:dyDescent="0.2">
      <c r="D3125">
        <v>100001868</v>
      </c>
      <c r="E3125" s="49">
        <v>45537</v>
      </c>
      <c r="F3125" t="s">
        <v>3640</v>
      </c>
      <c r="G3125" t="s">
        <v>2328</v>
      </c>
      <c r="H3125">
        <v>3</v>
      </c>
      <c r="I3125">
        <v>53.39</v>
      </c>
      <c r="J3125" s="50">
        <v>160.16999999999999</v>
      </c>
      <c r="K3125" t="s">
        <v>1632</v>
      </c>
      <c r="L3125" t="s">
        <v>2233</v>
      </c>
      <c r="M3125" t="s">
        <v>1627</v>
      </c>
      <c r="N3125">
        <v>28.18</v>
      </c>
      <c r="O3125" s="49">
        <v>45542</v>
      </c>
      <c r="P3125" s="50">
        <v>72.076499999999996</v>
      </c>
    </row>
    <row r="3126" spans="4:16" x14ac:dyDescent="0.2">
      <c r="D3126">
        <v>100001869</v>
      </c>
      <c r="E3126" s="49">
        <v>44934</v>
      </c>
      <c r="F3126" t="s">
        <v>3641</v>
      </c>
      <c r="G3126" t="s">
        <v>2159</v>
      </c>
      <c r="H3126">
        <v>1</v>
      </c>
      <c r="I3126">
        <v>100.64</v>
      </c>
      <c r="J3126" s="50">
        <v>100.64</v>
      </c>
      <c r="K3126" t="s">
        <v>1632</v>
      </c>
      <c r="M3126" t="s">
        <v>1621</v>
      </c>
      <c r="N3126">
        <v>53.12</v>
      </c>
      <c r="O3126" s="49">
        <v>44935</v>
      </c>
      <c r="P3126" s="50">
        <v>45.288000000000004</v>
      </c>
    </row>
    <row r="3127" spans="4:16" x14ac:dyDescent="0.2">
      <c r="D3127">
        <v>100001869</v>
      </c>
      <c r="E3127" s="49">
        <v>44679</v>
      </c>
      <c r="F3127" t="s">
        <v>3641</v>
      </c>
      <c r="G3127" t="s">
        <v>2323</v>
      </c>
      <c r="H3127">
        <v>4</v>
      </c>
      <c r="I3127">
        <v>11.9</v>
      </c>
      <c r="J3127" s="50">
        <v>47.6</v>
      </c>
      <c r="K3127" t="s">
        <v>1632</v>
      </c>
      <c r="M3127" t="s">
        <v>1629</v>
      </c>
      <c r="N3127">
        <v>6.28</v>
      </c>
      <c r="O3127" s="49">
        <v>44680</v>
      </c>
      <c r="P3127" s="50">
        <v>21.42</v>
      </c>
    </row>
    <row r="3128" spans="4:16" x14ac:dyDescent="0.2">
      <c r="D3128">
        <v>100001871</v>
      </c>
      <c r="E3128" s="49">
        <v>44292</v>
      </c>
      <c r="F3128" t="s">
        <v>3642</v>
      </c>
      <c r="G3128" t="s">
        <v>1999</v>
      </c>
      <c r="H3128">
        <v>3</v>
      </c>
      <c r="I3128">
        <v>71.989999999999995</v>
      </c>
      <c r="J3128" s="50">
        <v>215.97</v>
      </c>
      <c r="K3128" t="s">
        <v>1618</v>
      </c>
      <c r="M3128" t="s">
        <v>1627</v>
      </c>
      <c r="N3128">
        <v>37.99</v>
      </c>
      <c r="O3128" s="49">
        <v>44296</v>
      </c>
      <c r="P3128" s="50">
        <v>97.186499999999995</v>
      </c>
    </row>
    <row r="3129" spans="4:16" x14ac:dyDescent="0.2">
      <c r="D3129">
        <v>100001871</v>
      </c>
      <c r="E3129" s="49">
        <v>44775</v>
      </c>
      <c r="F3129" t="s">
        <v>3642</v>
      </c>
      <c r="G3129" t="s">
        <v>2079</v>
      </c>
      <c r="H3129">
        <v>5</v>
      </c>
      <c r="I3129">
        <v>23.63</v>
      </c>
      <c r="J3129" s="50">
        <v>118.15</v>
      </c>
      <c r="K3129" t="s">
        <v>1618</v>
      </c>
      <c r="M3129" t="s">
        <v>1627</v>
      </c>
      <c r="N3129">
        <v>12.47</v>
      </c>
      <c r="O3129" s="49">
        <v>44777</v>
      </c>
      <c r="P3129" s="50">
        <v>53.167500000000004</v>
      </c>
    </row>
    <row r="3130" spans="4:16" x14ac:dyDescent="0.2">
      <c r="D3130">
        <v>100001871</v>
      </c>
      <c r="E3130" s="49">
        <v>45595</v>
      </c>
      <c r="F3130" t="s">
        <v>3642</v>
      </c>
      <c r="G3130" t="s">
        <v>1834</v>
      </c>
      <c r="H3130">
        <v>9</v>
      </c>
      <c r="I3130">
        <v>33.299999999999997</v>
      </c>
      <c r="J3130" s="50">
        <v>299.7</v>
      </c>
      <c r="K3130" t="s">
        <v>1618</v>
      </c>
      <c r="M3130" t="s">
        <v>1619</v>
      </c>
      <c r="N3130">
        <v>17.57</v>
      </c>
      <c r="O3130" s="49">
        <v>45598</v>
      </c>
      <c r="P3130" s="50">
        <v>134.86500000000001</v>
      </c>
    </row>
    <row r="3131" spans="4:16" x14ac:dyDescent="0.2">
      <c r="D3131">
        <v>100001872</v>
      </c>
      <c r="E3131" s="49">
        <v>44623</v>
      </c>
      <c r="F3131" t="s">
        <v>3643</v>
      </c>
      <c r="G3131" t="s">
        <v>1785</v>
      </c>
      <c r="H3131">
        <v>10</v>
      </c>
      <c r="I3131">
        <v>25.29</v>
      </c>
      <c r="J3131" s="50">
        <v>252.9</v>
      </c>
      <c r="K3131" t="s">
        <v>1618</v>
      </c>
      <c r="L3131" t="s">
        <v>3644</v>
      </c>
      <c r="M3131" t="s">
        <v>1621</v>
      </c>
      <c r="N3131">
        <v>13.35</v>
      </c>
      <c r="O3131" s="49">
        <v>44624</v>
      </c>
      <c r="P3131" s="50">
        <v>113.80500000000001</v>
      </c>
    </row>
    <row r="3132" spans="4:16" x14ac:dyDescent="0.2">
      <c r="D3132">
        <v>100001873</v>
      </c>
      <c r="E3132" s="49">
        <v>44658</v>
      </c>
      <c r="F3132" t="s">
        <v>3645</v>
      </c>
      <c r="G3132" t="s">
        <v>2096</v>
      </c>
      <c r="H3132">
        <v>3</v>
      </c>
      <c r="I3132">
        <v>104.61</v>
      </c>
      <c r="J3132" s="50">
        <v>313.83</v>
      </c>
      <c r="K3132" t="s">
        <v>1618</v>
      </c>
      <c r="M3132" t="s">
        <v>1619</v>
      </c>
      <c r="N3132">
        <v>55.21</v>
      </c>
      <c r="O3132" s="49">
        <v>44661</v>
      </c>
      <c r="P3132" s="50">
        <v>141.2235</v>
      </c>
    </row>
    <row r="3133" spans="4:16" x14ac:dyDescent="0.2">
      <c r="D3133">
        <v>100001873</v>
      </c>
      <c r="E3133" s="49">
        <v>45038</v>
      </c>
      <c r="F3133" t="s">
        <v>3645</v>
      </c>
      <c r="G3133" t="s">
        <v>1702</v>
      </c>
      <c r="H3133">
        <v>1</v>
      </c>
      <c r="I3133">
        <v>13.79</v>
      </c>
      <c r="J3133" s="50">
        <v>13.79</v>
      </c>
      <c r="K3133" t="s">
        <v>1618</v>
      </c>
      <c r="M3133" t="s">
        <v>1621</v>
      </c>
      <c r="N3133">
        <v>7.28</v>
      </c>
      <c r="O3133" s="49">
        <v>45039</v>
      </c>
      <c r="P3133" s="50">
        <v>6.2054999999999998</v>
      </c>
    </row>
    <row r="3134" spans="4:16" x14ac:dyDescent="0.2">
      <c r="D3134">
        <v>100001874</v>
      </c>
      <c r="E3134" s="49">
        <v>44803</v>
      </c>
      <c r="F3134" t="s">
        <v>3646</v>
      </c>
      <c r="G3134" t="s">
        <v>2762</v>
      </c>
      <c r="H3134">
        <v>2</v>
      </c>
      <c r="I3134">
        <v>42.38</v>
      </c>
      <c r="J3134" s="50">
        <v>84.76</v>
      </c>
      <c r="K3134" t="s">
        <v>1632</v>
      </c>
      <c r="L3134" t="s">
        <v>3647</v>
      </c>
      <c r="M3134" t="s">
        <v>1624</v>
      </c>
      <c r="N3134">
        <v>22.37</v>
      </c>
      <c r="O3134" s="49">
        <v>44807</v>
      </c>
      <c r="P3134" s="50">
        <v>38.142000000000003</v>
      </c>
    </row>
    <row r="3135" spans="4:16" x14ac:dyDescent="0.2">
      <c r="D3135">
        <v>100001874</v>
      </c>
      <c r="E3135" s="49">
        <v>45239</v>
      </c>
      <c r="F3135" t="s">
        <v>3646</v>
      </c>
      <c r="G3135" t="s">
        <v>1928</v>
      </c>
      <c r="H3135">
        <v>1</v>
      </c>
      <c r="I3135">
        <v>85.33</v>
      </c>
      <c r="J3135" s="50">
        <v>85.33</v>
      </c>
      <c r="K3135" t="s">
        <v>1632</v>
      </c>
      <c r="L3135" t="s">
        <v>3647</v>
      </c>
      <c r="M3135" t="s">
        <v>1619</v>
      </c>
      <c r="N3135">
        <v>45.03</v>
      </c>
      <c r="O3135" s="49">
        <v>45244</v>
      </c>
      <c r="P3135" s="50">
        <v>38.398499999999999</v>
      </c>
    </row>
    <row r="3136" spans="4:16" x14ac:dyDescent="0.2">
      <c r="D3136">
        <v>100001875</v>
      </c>
      <c r="E3136" s="49">
        <v>45323</v>
      </c>
      <c r="F3136" t="s">
        <v>3648</v>
      </c>
      <c r="G3136" t="s">
        <v>2086</v>
      </c>
      <c r="H3136">
        <v>7</v>
      </c>
      <c r="I3136">
        <v>90.06</v>
      </c>
      <c r="J3136" s="50">
        <v>630.42000000000007</v>
      </c>
      <c r="K3136" t="s">
        <v>1618</v>
      </c>
      <c r="L3136" t="s">
        <v>3649</v>
      </c>
      <c r="M3136" t="s">
        <v>1619</v>
      </c>
      <c r="N3136">
        <v>47.53</v>
      </c>
      <c r="O3136" s="49">
        <v>45327</v>
      </c>
      <c r="P3136" s="50">
        <v>283.68900000000002</v>
      </c>
    </row>
    <row r="3137" spans="4:16" x14ac:dyDescent="0.2">
      <c r="D3137">
        <v>100001876</v>
      </c>
      <c r="E3137" s="49">
        <v>45142</v>
      </c>
      <c r="F3137" t="s">
        <v>3650</v>
      </c>
      <c r="G3137" t="s">
        <v>2263</v>
      </c>
      <c r="H3137">
        <v>3</v>
      </c>
      <c r="I3137">
        <v>28.57</v>
      </c>
      <c r="J3137" s="50">
        <v>85.710000000000008</v>
      </c>
      <c r="K3137" t="s">
        <v>1632</v>
      </c>
      <c r="M3137" t="s">
        <v>1629</v>
      </c>
      <c r="N3137">
        <v>15.08</v>
      </c>
      <c r="O3137" s="49">
        <v>45143</v>
      </c>
      <c r="P3137" s="50">
        <v>38.569500000000005</v>
      </c>
    </row>
    <row r="3138" spans="4:16" x14ac:dyDescent="0.2">
      <c r="D3138">
        <v>100001877</v>
      </c>
      <c r="E3138" s="49">
        <v>44415</v>
      </c>
      <c r="F3138" t="s">
        <v>3651</v>
      </c>
      <c r="G3138" t="s">
        <v>1699</v>
      </c>
      <c r="H3138">
        <v>10</v>
      </c>
      <c r="I3138">
        <v>76.59</v>
      </c>
      <c r="J3138" s="50">
        <v>765.90000000000009</v>
      </c>
      <c r="K3138" t="s">
        <v>1618</v>
      </c>
      <c r="L3138" t="s">
        <v>1960</v>
      </c>
      <c r="M3138" t="s">
        <v>1627</v>
      </c>
      <c r="N3138">
        <v>40.42</v>
      </c>
      <c r="O3138" s="49">
        <v>44417</v>
      </c>
      <c r="P3138" s="50">
        <v>344.65500000000003</v>
      </c>
    </row>
    <row r="3139" spans="4:16" x14ac:dyDescent="0.2">
      <c r="D3139">
        <v>100001877</v>
      </c>
      <c r="E3139" s="49">
        <v>44728</v>
      </c>
      <c r="F3139" t="s">
        <v>3651</v>
      </c>
      <c r="G3139" t="s">
        <v>1853</v>
      </c>
      <c r="H3139">
        <v>7</v>
      </c>
      <c r="I3139">
        <v>105.06</v>
      </c>
      <c r="J3139" s="50">
        <v>735.42000000000007</v>
      </c>
      <c r="K3139" t="s">
        <v>1618</v>
      </c>
      <c r="L3139" t="s">
        <v>1960</v>
      </c>
      <c r="M3139" t="s">
        <v>1621</v>
      </c>
      <c r="N3139">
        <v>55.45</v>
      </c>
      <c r="O3139" s="49">
        <v>44731</v>
      </c>
      <c r="P3139" s="50">
        <v>330.93900000000002</v>
      </c>
    </row>
    <row r="3140" spans="4:16" x14ac:dyDescent="0.2">
      <c r="D3140">
        <v>100001877</v>
      </c>
      <c r="E3140" s="49">
        <v>44773</v>
      </c>
      <c r="F3140" t="s">
        <v>3651</v>
      </c>
      <c r="G3140" t="s">
        <v>1913</v>
      </c>
      <c r="H3140">
        <v>4</v>
      </c>
      <c r="I3140">
        <v>85.95</v>
      </c>
      <c r="J3140" s="50">
        <v>343.8</v>
      </c>
      <c r="K3140" t="s">
        <v>1618</v>
      </c>
      <c r="L3140" t="s">
        <v>1960</v>
      </c>
      <c r="M3140" t="s">
        <v>1621</v>
      </c>
      <c r="N3140">
        <v>45.36</v>
      </c>
      <c r="O3140" s="49">
        <v>44774</v>
      </c>
      <c r="P3140" s="50">
        <v>154.71</v>
      </c>
    </row>
    <row r="3141" spans="4:16" x14ac:dyDescent="0.2">
      <c r="D3141">
        <v>100001879</v>
      </c>
      <c r="E3141" s="49">
        <v>45252</v>
      </c>
      <c r="F3141" t="s">
        <v>3652</v>
      </c>
      <c r="G3141" t="s">
        <v>1975</v>
      </c>
      <c r="H3141">
        <v>6</v>
      </c>
      <c r="I3141">
        <v>64.48</v>
      </c>
      <c r="J3141" s="50">
        <v>386.88</v>
      </c>
      <c r="K3141" t="s">
        <v>1632</v>
      </c>
      <c r="M3141" t="s">
        <v>1627</v>
      </c>
      <c r="N3141">
        <v>34.03</v>
      </c>
      <c r="O3141" s="49">
        <v>45254</v>
      </c>
      <c r="P3141" s="50">
        <v>174.096</v>
      </c>
    </row>
    <row r="3142" spans="4:16" x14ac:dyDescent="0.2">
      <c r="D3142">
        <v>100001880</v>
      </c>
      <c r="E3142" s="49">
        <v>44212</v>
      </c>
      <c r="F3142" t="s">
        <v>2449</v>
      </c>
      <c r="G3142" t="s">
        <v>1669</v>
      </c>
      <c r="H3142">
        <v>9</v>
      </c>
      <c r="I3142">
        <v>111.44</v>
      </c>
      <c r="J3142" s="50">
        <v>1002.96</v>
      </c>
      <c r="K3142" t="s">
        <v>1618</v>
      </c>
      <c r="M3142" t="s">
        <v>1627</v>
      </c>
      <c r="N3142">
        <v>58.82</v>
      </c>
      <c r="O3142" s="49">
        <v>44213</v>
      </c>
      <c r="P3142" s="50">
        <v>451.33200000000005</v>
      </c>
    </row>
    <row r="3143" spans="4:16" x14ac:dyDescent="0.2">
      <c r="D3143">
        <v>100001881</v>
      </c>
      <c r="E3143" s="49">
        <v>44883</v>
      </c>
      <c r="F3143" t="s">
        <v>3653</v>
      </c>
      <c r="G3143" t="s">
        <v>1999</v>
      </c>
      <c r="H3143">
        <v>1</v>
      </c>
      <c r="I3143">
        <v>17.579999999999998</v>
      </c>
      <c r="J3143" s="50">
        <v>17.579999999999998</v>
      </c>
      <c r="K3143" t="s">
        <v>1632</v>
      </c>
      <c r="M3143" t="s">
        <v>1621</v>
      </c>
      <c r="N3143">
        <v>9.2799999999999994</v>
      </c>
      <c r="O3143" s="49">
        <v>44888</v>
      </c>
      <c r="P3143" s="50">
        <v>7.9109999999999996</v>
      </c>
    </row>
    <row r="3144" spans="4:16" x14ac:dyDescent="0.2">
      <c r="D3144">
        <v>100001881</v>
      </c>
      <c r="E3144" s="49">
        <v>45487</v>
      </c>
      <c r="F3144" t="s">
        <v>3653</v>
      </c>
      <c r="G3144" t="s">
        <v>1693</v>
      </c>
      <c r="H3144">
        <v>10</v>
      </c>
      <c r="I3144">
        <v>67.599999999999994</v>
      </c>
      <c r="J3144" s="50">
        <v>676</v>
      </c>
      <c r="K3144" t="s">
        <v>1632</v>
      </c>
      <c r="M3144" t="s">
        <v>1619</v>
      </c>
      <c r="N3144">
        <v>35.68</v>
      </c>
      <c r="O3144" s="49">
        <v>45492</v>
      </c>
      <c r="P3144" s="50">
        <v>304.2</v>
      </c>
    </row>
    <row r="3145" spans="4:16" x14ac:dyDescent="0.2">
      <c r="D3145">
        <v>100001882</v>
      </c>
      <c r="E3145" s="49">
        <v>44529</v>
      </c>
      <c r="F3145" t="s">
        <v>3654</v>
      </c>
      <c r="G3145" t="s">
        <v>1727</v>
      </c>
      <c r="H3145">
        <v>5</v>
      </c>
      <c r="I3145">
        <v>95.9</v>
      </c>
      <c r="J3145" s="50">
        <v>479.5</v>
      </c>
      <c r="K3145" t="s">
        <v>1618</v>
      </c>
      <c r="M3145" t="s">
        <v>1627</v>
      </c>
      <c r="N3145">
        <v>50.61</v>
      </c>
      <c r="O3145" s="49">
        <v>44533</v>
      </c>
      <c r="P3145" s="50">
        <v>215.77500000000001</v>
      </c>
    </row>
    <row r="3146" spans="4:16" x14ac:dyDescent="0.2">
      <c r="D3146">
        <v>100001882</v>
      </c>
      <c r="E3146" s="49">
        <v>45130</v>
      </c>
      <c r="F3146" t="s">
        <v>3654</v>
      </c>
      <c r="G3146" t="s">
        <v>1719</v>
      </c>
      <c r="H3146">
        <v>6</v>
      </c>
      <c r="I3146">
        <v>71.14</v>
      </c>
      <c r="J3146" s="50">
        <v>426.84</v>
      </c>
      <c r="K3146" t="s">
        <v>1618</v>
      </c>
      <c r="M3146" t="s">
        <v>1627</v>
      </c>
      <c r="N3146">
        <v>37.549999999999997</v>
      </c>
      <c r="O3146" s="49">
        <v>45133</v>
      </c>
      <c r="P3146" s="50">
        <v>192.078</v>
      </c>
    </row>
    <row r="3147" spans="4:16" x14ac:dyDescent="0.2">
      <c r="D3147">
        <v>100001882</v>
      </c>
      <c r="E3147" s="49">
        <v>44872</v>
      </c>
      <c r="F3147" t="s">
        <v>3654</v>
      </c>
      <c r="G3147" t="s">
        <v>2550</v>
      </c>
      <c r="H3147">
        <v>7</v>
      </c>
      <c r="I3147">
        <v>58.51</v>
      </c>
      <c r="J3147" s="50">
        <v>409.57</v>
      </c>
      <c r="K3147" t="s">
        <v>1618</v>
      </c>
      <c r="M3147" t="s">
        <v>1621</v>
      </c>
      <c r="N3147">
        <v>30.88</v>
      </c>
      <c r="O3147" s="49">
        <v>44873</v>
      </c>
      <c r="P3147" s="50">
        <v>184.3065</v>
      </c>
    </row>
    <row r="3148" spans="4:16" x14ac:dyDescent="0.2">
      <c r="D3148">
        <v>100001883</v>
      </c>
      <c r="E3148" s="49">
        <v>44696</v>
      </c>
      <c r="F3148" t="s">
        <v>3655</v>
      </c>
      <c r="G3148" t="s">
        <v>2373</v>
      </c>
      <c r="H3148">
        <v>4</v>
      </c>
      <c r="I3148">
        <v>113.24</v>
      </c>
      <c r="J3148" s="50">
        <v>452.96</v>
      </c>
      <c r="K3148" t="s">
        <v>1632</v>
      </c>
      <c r="M3148" t="s">
        <v>1627</v>
      </c>
      <c r="N3148">
        <v>59.77</v>
      </c>
      <c r="O3148" s="49">
        <v>44699</v>
      </c>
      <c r="P3148" s="50">
        <v>203.83199999999999</v>
      </c>
    </row>
    <row r="3149" spans="4:16" x14ac:dyDescent="0.2">
      <c r="D3149">
        <v>100001884</v>
      </c>
      <c r="E3149" s="49">
        <v>45113</v>
      </c>
      <c r="F3149" t="s">
        <v>3656</v>
      </c>
      <c r="G3149" t="s">
        <v>1639</v>
      </c>
      <c r="H3149">
        <v>10</v>
      </c>
      <c r="I3149">
        <v>67.569999999999993</v>
      </c>
      <c r="J3149" s="50">
        <v>675.69999999999993</v>
      </c>
      <c r="K3149" t="s">
        <v>1632</v>
      </c>
      <c r="M3149" t="s">
        <v>1624</v>
      </c>
      <c r="N3149">
        <v>35.659999999999997</v>
      </c>
      <c r="O3149" s="49">
        <v>45116</v>
      </c>
      <c r="P3149" s="50">
        <v>304.065</v>
      </c>
    </row>
    <row r="3150" spans="4:16" x14ac:dyDescent="0.2">
      <c r="D3150">
        <v>100001885</v>
      </c>
      <c r="E3150" s="49">
        <v>44569</v>
      </c>
      <c r="F3150" t="s">
        <v>3657</v>
      </c>
      <c r="G3150" t="s">
        <v>2628</v>
      </c>
      <c r="H3150">
        <v>4</v>
      </c>
      <c r="I3150">
        <v>23.42</v>
      </c>
      <c r="J3150" s="50">
        <v>93.68</v>
      </c>
      <c r="K3150" t="s">
        <v>1632</v>
      </c>
      <c r="L3150" t="s">
        <v>3658</v>
      </c>
      <c r="M3150" t="s">
        <v>1629</v>
      </c>
      <c r="N3150">
        <v>12.36</v>
      </c>
      <c r="O3150" s="49">
        <v>44574</v>
      </c>
      <c r="P3150" s="50">
        <v>42.156000000000006</v>
      </c>
    </row>
    <row r="3151" spans="4:16" x14ac:dyDescent="0.2">
      <c r="D3151">
        <v>100001887</v>
      </c>
      <c r="E3151" s="49">
        <v>44556</v>
      </c>
      <c r="F3151" t="s">
        <v>3659</v>
      </c>
      <c r="G3151" t="s">
        <v>1736</v>
      </c>
      <c r="H3151">
        <v>3</v>
      </c>
      <c r="I3151">
        <v>18.690000000000001</v>
      </c>
      <c r="J3151" s="50">
        <v>56.070000000000007</v>
      </c>
      <c r="K3151" t="s">
        <v>1632</v>
      </c>
      <c r="M3151" t="s">
        <v>1619</v>
      </c>
      <c r="N3151">
        <v>9.86</v>
      </c>
      <c r="O3151" s="49">
        <v>44558</v>
      </c>
      <c r="P3151" s="50">
        <v>25.231500000000004</v>
      </c>
    </row>
    <row r="3152" spans="4:16" x14ac:dyDescent="0.2">
      <c r="D3152">
        <v>100001887</v>
      </c>
      <c r="E3152" s="49">
        <v>44765</v>
      </c>
      <c r="F3152" t="s">
        <v>3659</v>
      </c>
      <c r="G3152" t="s">
        <v>2111</v>
      </c>
      <c r="H3152">
        <v>9</v>
      </c>
      <c r="I3152">
        <v>42.57</v>
      </c>
      <c r="J3152" s="50">
        <v>383.13</v>
      </c>
      <c r="K3152" t="s">
        <v>1632</v>
      </c>
      <c r="M3152" t="s">
        <v>1629</v>
      </c>
      <c r="N3152">
        <v>22.47</v>
      </c>
      <c r="O3152" s="49">
        <v>44770</v>
      </c>
      <c r="P3152" s="50">
        <v>172.4085</v>
      </c>
    </row>
    <row r="3153" spans="4:16" x14ac:dyDescent="0.2">
      <c r="D3153">
        <v>100001887</v>
      </c>
      <c r="E3153" s="49">
        <v>45615</v>
      </c>
      <c r="F3153" t="s">
        <v>3659</v>
      </c>
      <c r="G3153" t="s">
        <v>1709</v>
      </c>
      <c r="H3153">
        <v>6</v>
      </c>
      <c r="I3153">
        <v>51.1</v>
      </c>
      <c r="J3153" s="50">
        <v>306.60000000000002</v>
      </c>
      <c r="K3153" t="s">
        <v>1632</v>
      </c>
      <c r="M3153" t="s">
        <v>1624</v>
      </c>
      <c r="N3153">
        <v>26.97</v>
      </c>
      <c r="O3153" s="49">
        <v>45619</v>
      </c>
      <c r="P3153" s="50">
        <v>137.97000000000003</v>
      </c>
    </row>
    <row r="3154" spans="4:16" x14ac:dyDescent="0.2">
      <c r="D3154">
        <v>100001887</v>
      </c>
      <c r="E3154" s="49">
        <v>44253</v>
      </c>
      <c r="F3154" t="s">
        <v>3659</v>
      </c>
      <c r="G3154" t="s">
        <v>2086</v>
      </c>
      <c r="H3154">
        <v>2</v>
      </c>
      <c r="I3154">
        <v>100.64</v>
      </c>
      <c r="J3154" s="50">
        <v>201.28</v>
      </c>
      <c r="K3154" t="s">
        <v>1632</v>
      </c>
      <c r="M3154" t="s">
        <v>1629</v>
      </c>
      <c r="N3154">
        <v>53.12</v>
      </c>
      <c r="O3154" s="49">
        <v>44256</v>
      </c>
      <c r="P3154" s="50">
        <v>90.576000000000008</v>
      </c>
    </row>
    <row r="3155" spans="4:16" x14ac:dyDescent="0.2">
      <c r="D3155">
        <v>100001887</v>
      </c>
      <c r="E3155" s="49">
        <v>44433</v>
      </c>
      <c r="F3155" t="s">
        <v>3659</v>
      </c>
      <c r="G3155" t="s">
        <v>2060</v>
      </c>
      <c r="H3155">
        <v>5</v>
      </c>
      <c r="I3155">
        <v>18.37</v>
      </c>
      <c r="J3155" s="50">
        <v>91.850000000000009</v>
      </c>
      <c r="K3155" t="s">
        <v>1632</v>
      </c>
      <c r="M3155" t="s">
        <v>1627</v>
      </c>
      <c r="N3155">
        <v>9.6999999999999993</v>
      </c>
      <c r="O3155" s="49">
        <v>44435</v>
      </c>
      <c r="P3155" s="50">
        <v>41.332500000000003</v>
      </c>
    </row>
    <row r="3156" spans="4:16" x14ac:dyDescent="0.2">
      <c r="D3156">
        <v>100001887</v>
      </c>
      <c r="E3156" s="49">
        <v>44555</v>
      </c>
      <c r="F3156" t="s">
        <v>3659</v>
      </c>
      <c r="G3156" t="s">
        <v>2762</v>
      </c>
      <c r="H3156">
        <v>5</v>
      </c>
      <c r="I3156">
        <v>88.01</v>
      </c>
      <c r="J3156" s="50">
        <v>440.05</v>
      </c>
      <c r="K3156" t="s">
        <v>1632</v>
      </c>
      <c r="M3156" t="s">
        <v>1621</v>
      </c>
      <c r="N3156">
        <v>46.45</v>
      </c>
      <c r="O3156" s="49">
        <v>44557</v>
      </c>
      <c r="P3156" s="50">
        <v>198.02250000000001</v>
      </c>
    </row>
    <row r="3157" spans="4:16" x14ac:dyDescent="0.2">
      <c r="D3157">
        <v>100001887</v>
      </c>
      <c r="E3157" s="49">
        <v>45230</v>
      </c>
      <c r="F3157" t="s">
        <v>3659</v>
      </c>
      <c r="G3157" t="s">
        <v>2136</v>
      </c>
      <c r="H3157">
        <v>2</v>
      </c>
      <c r="I3157">
        <v>81.3</v>
      </c>
      <c r="J3157" s="50">
        <v>162.6</v>
      </c>
      <c r="K3157" t="s">
        <v>1632</v>
      </c>
      <c r="M3157" t="s">
        <v>1627</v>
      </c>
      <c r="N3157">
        <v>42.91</v>
      </c>
      <c r="O3157" s="49">
        <v>45232</v>
      </c>
      <c r="P3157" s="50">
        <v>73.17</v>
      </c>
    </row>
    <row r="3158" spans="4:16" x14ac:dyDescent="0.2">
      <c r="D3158">
        <v>100001889</v>
      </c>
      <c r="E3158" s="49">
        <v>44542</v>
      </c>
      <c r="F3158" t="s">
        <v>3660</v>
      </c>
      <c r="G3158" t="s">
        <v>1754</v>
      </c>
      <c r="H3158">
        <v>2</v>
      </c>
      <c r="I3158">
        <v>35.03</v>
      </c>
      <c r="J3158" s="50">
        <v>70.06</v>
      </c>
      <c r="K3158" t="s">
        <v>1618</v>
      </c>
      <c r="M3158" t="s">
        <v>1624</v>
      </c>
      <c r="N3158">
        <v>18.489999999999998</v>
      </c>
      <c r="O3158" s="49">
        <v>44545</v>
      </c>
      <c r="P3158" s="50">
        <v>31.527000000000001</v>
      </c>
    </row>
    <row r="3159" spans="4:16" x14ac:dyDescent="0.2">
      <c r="D3159">
        <v>100001889</v>
      </c>
      <c r="E3159" s="49">
        <v>44655</v>
      </c>
      <c r="F3159" t="s">
        <v>3660</v>
      </c>
      <c r="G3159" t="s">
        <v>1831</v>
      </c>
      <c r="H3159">
        <v>1</v>
      </c>
      <c r="I3159">
        <v>32.630000000000003</v>
      </c>
      <c r="J3159" s="50">
        <v>32.630000000000003</v>
      </c>
      <c r="K3159" t="s">
        <v>1618</v>
      </c>
      <c r="M3159" t="s">
        <v>1619</v>
      </c>
      <c r="N3159">
        <v>17.22</v>
      </c>
      <c r="O3159" s="49">
        <v>44658</v>
      </c>
      <c r="P3159" s="50">
        <v>14.683500000000002</v>
      </c>
    </row>
    <row r="3160" spans="4:16" x14ac:dyDescent="0.2">
      <c r="D3160">
        <v>100001889</v>
      </c>
      <c r="E3160" s="49">
        <v>45269</v>
      </c>
      <c r="F3160" t="s">
        <v>3660</v>
      </c>
      <c r="G3160" t="s">
        <v>1649</v>
      </c>
      <c r="H3160">
        <v>4</v>
      </c>
      <c r="I3160">
        <v>73.709999999999994</v>
      </c>
      <c r="J3160" s="50">
        <v>294.83999999999997</v>
      </c>
      <c r="K3160" t="s">
        <v>1618</v>
      </c>
      <c r="M3160" t="s">
        <v>1624</v>
      </c>
      <c r="N3160">
        <v>38.9</v>
      </c>
      <c r="O3160" s="49">
        <v>45274</v>
      </c>
      <c r="P3160" s="50">
        <v>132.678</v>
      </c>
    </row>
    <row r="3161" spans="4:16" x14ac:dyDescent="0.2">
      <c r="D3161">
        <v>100001889</v>
      </c>
      <c r="E3161" s="49">
        <v>45581</v>
      </c>
      <c r="F3161" t="s">
        <v>3660</v>
      </c>
      <c r="G3161" t="s">
        <v>1733</v>
      </c>
      <c r="H3161">
        <v>8</v>
      </c>
      <c r="I3161">
        <v>37.49</v>
      </c>
      <c r="J3161" s="50">
        <v>299.92</v>
      </c>
      <c r="K3161" t="s">
        <v>1618</v>
      </c>
      <c r="M3161" t="s">
        <v>1627</v>
      </c>
      <c r="N3161">
        <v>19.79</v>
      </c>
      <c r="O3161" s="49">
        <v>45584</v>
      </c>
      <c r="P3161" s="50">
        <v>134.964</v>
      </c>
    </row>
    <row r="3162" spans="4:16" x14ac:dyDescent="0.2">
      <c r="D3162">
        <v>100001891</v>
      </c>
      <c r="E3162" s="49">
        <v>45273</v>
      </c>
      <c r="F3162" t="s">
        <v>3661</v>
      </c>
      <c r="G3162" t="s">
        <v>1799</v>
      </c>
      <c r="H3162">
        <v>4</v>
      </c>
      <c r="I3162">
        <v>46.42</v>
      </c>
      <c r="J3162" s="50">
        <v>185.68</v>
      </c>
      <c r="K3162" t="s">
        <v>1618</v>
      </c>
      <c r="M3162" t="s">
        <v>1627</v>
      </c>
      <c r="N3162">
        <v>24.5</v>
      </c>
      <c r="O3162" s="49">
        <v>45278</v>
      </c>
      <c r="P3162" s="50">
        <v>83.556000000000012</v>
      </c>
    </row>
    <row r="3163" spans="4:16" x14ac:dyDescent="0.2">
      <c r="D3163">
        <v>100001891</v>
      </c>
      <c r="E3163" s="49">
        <v>45013</v>
      </c>
      <c r="F3163" t="s">
        <v>3661</v>
      </c>
      <c r="G3163" t="s">
        <v>2613</v>
      </c>
      <c r="H3163">
        <v>6</v>
      </c>
      <c r="I3163">
        <v>73.98</v>
      </c>
      <c r="J3163" s="50">
        <v>443.88</v>
      </c>
      <c r="K3163" t="s">
        <v>1618</v>
      </c>
      <c r="M3163" t="s">
        <v>1627</v>
      </c>
      <c r="N3163">
        <v>39.04</v>
      </c>
      <c r="O3163" s="49">
        <v>45015</v>
      </c>
      <c r="P3163" s="50">
        <v>199.74600000000001</v>
      </c>
    </row>
    <row r="3164" spans="4:16" x14ac:dyDescent="0.2">
      <c r="D3164">
        <v>100001891</v>
      </c>
      <c r="E3164" s="49">
        <v>45509</v>
      </c>
      <c r="F3164" t="s">
        <v>3661</v>
      </c>
      <c r="G3164" t="s">
        <v>1690</v>
      </c>
      <c r="H3164">
        <v>5</v>
      </c>
      <c r="I3164">
        <v>76.31</v>
      </c>
      <c r="J3164" s="50">
        <v>381.55</v>
      </c>
      <c r="K3164" t="s">
        <v>1618</v>
      </c>
      <c r="M3164" t="s">
        <v>1627</v>
      </c>
      <c r="N3164">
        <v>40.270000000000003</v>
      </c>
      <c r="O3164" s="49">
        <v>45512</v>
      </c>
      <c r="P3164" s="50">
        <v>171.69750000000002</v>
      </c>
    </row>
    <row r="3165" spans="4:16" x14ac:dyDescent="0.2">
      <c r="D3165">
        <v>100001895</v>
      </c>
      <c r="E3165" s="49">
        <v>44527</v>
      </c>
      <c r="F3165" t="s">
        <v>3662</v>
      </c>
      <c r="G3165" t="s">
        <v>1754</v>
      </c>
      <c r="H3165">
        <v>9</v>
      </c>
      <c r="I3165">
        <v>38.270000000000003</v>
      </c>
      <c r="J3165" s="50">
        <v>344.43</v>
      </c>
      <c r="K3165" t="s">
        <v>1618</v>
      </c>
      <c r="M3165" t="s">
        <v>1627</v>
      </c>
      <c r="N3165">
        <v>20.2</v>
      </c>
      <c r="O3165" s="49">
        <v>44532</v>
      </c>
      <c r="P3165" s="50">
        <v>154.99350000000001</v>
      </c>
    </row>
    <row r="3166" spans="4:16" x14ac:dyDescent="0.2">
      <c r="D3166">
        <v>100001896</v>
      </c>
      <c r="E3166" s="49">
        <v>44933</v>
      </c>
      <c r="F3166" t="s">
        <v>3663</v>
      </c>
      <c r="G3166" t="s">
        <v>2041</v>
      </c>
      <c r="H3166">
        <v>6</v>
      </c>
      <c r="I3166">
        <v>50.19</v>
      </c>
      <c r="J3166" s="50">
        <v>301.14</v>
      </c>
      <c r="K3166" t="s">
        <v>1618</v>
      </c>
      <c r="M3166" t="s">
        <v>1621</v>
      </c>
      <c r="N3166">
        <v>26.49</v>
      </c>
      <c r="O3166" s="49">
        <v>44938</v>
      </c>
      <c r="P3166" s="50">
        <v>135.51300000000001</v>
      </c>
    </row>
    <row r="3167" spans="4:16" x14ac:dyDescent="0.2">
      <c r="D3167">
        <v>100001896</v>
      </c>
      <c r="E3167" s="49">
        <v>44343</v>
      </c>
      <c r="F3167" t="s">
        <v>3663</v>
      </c>
      <c r="G3167" t="s">
        <v>1731</v>
      </c>
      <c r="H3167">
        <v>3</v>
      </c>
      <c r="I3167">
        <v>108.86</v>
      </c>
      <c r="J3167" s="50">
        <v>326.58</v>
      </c>
      <c r="K3167" t="s">
        <v>1618</v>
      </c>
      <c r="M3167" t="s">
        <v>1619</v>
      </c>
      <c r="N3167">
        <v>57.45</v>
      </c>
      <c r="O3167" s="49">
        <v>44347</v>
      </c>
      <c r="P3167" s="50">
        <v>146.96099999999998</v>
      </c>
    </row>
    <row r="3168" spans="4:16" x14ac:dyDescent="0.2">
      <c r="D3168">
        <v>100001897</v>
      </c>
      <c r="E3168" s="49">
        <v>45402</v>
      </c>
      <c r="F3168" t="s">
        <v>3664</v>
      </c>
      <c r="G3168" t="s">
        <v>1707</v>
      </c>
      <c r="H3168">
        <v>6</v>
      </c>
      <c r="I3168">
        <v>16.12</v>
      </c>
      <c r="J3168" s="50">
        <v>96.72</v>
      </c>
      <c r="K3168" t="s">
        <v>1618</v>
      </c>
      <c r="L3168" t="s">
        <v>3665</v>
      </c>
      <c r="M3168" t="s">
        <v>1624</v>
      </c>
      <c r="N3168">
        <v>8.51</v>
      </c>
      <c r="O3168" s="49">
        <v>45403</v>
      </c>
      <c r="P3168" s="50">
        <v>43.524000000000001</v>
      </c>
    </row>
    <row r="3169" spans="4:16" x14ac:dyDescent="0.2">
      <c r="D3169">
        <v>100001897</v>
      </c>
      <c r="E3169" s="49">
        <v>44614</v>
      </c>
      <c r="F3169" t="s">
        <v>3664</v>
      </c>
      <c r="G3169" t="s">
        <v>1751</v>
      </c>
      <c r="H3169">
        <v>7</v>
      </c>
      <c r="I3169">
        <v>105.66</v>
      </c>
      <c r="J3169" s="50">
        <v>739.62</v>
      </c>
      <c r="K3169" t="s">
        <v>1618</v>
      </c>
      <c r="L3169" t="s">
        <v>3665</v>
      </c>
      <c r="M3169" t="s">
        <v>1629</v>
      </c>
      <c r="N3169">
        <v>55.76</v>
      </c>
      <c r="O3169" s="49">
        <v>44618</v>
      </c>
      <c r="P3169" s="50">
        <v>332.82900000000001</v>
      </c>
    </row>
    <row r="3170" spans="4:16" x14ac:dyDescent="0.2">
      <c r="D3170">
        <v>100001897</v>
      </c>
      <c r="E3170" s="49">
        <v>44645</v>
      </c>
      <c r="F3170" t="s">
        <v>3664</v>
      </c>
      <c r="G3170" t="s">
        <v>2111</v>
      </c>
      <c r="H3170">
        <v>9</v>
      </c>
      <c r="I3170">
        <v>100.14</v>
      </c>
      <c r="J3170" s="50">
        <v>901.26</v>
      </c>
      <c r="K3170" t="s">
        <v>1618</v>
      </c>
      <c r="L3170" t="s">
        <v>3665</v>
      </c>
      <c r="M3170" t="s">
        <v>1624</v>
      </c>
      <c r="N3170">
        <v>52.85</v>
      </c>
      <c r="O3170" s="49">
        <v>44650</v>
      </c>
      <c r="P3170" s="50">
        <v>405.56700000000001</v>
      </c>
    </row>
    <row r="3171" spans="4:16" x14ac:dyDescent="0.2">
      <c r="D3171">
        <v>100001897</v>
      </c>
      <c r="E3171" s="49">
        <v>44907</v>
      </c>
      <c r="F3171" t="s">
        <v>3664</v>
      </c>
      <c r="G3171" t="s">
        <v>2585</v>
      </c>
      <c r="H3171">
        <v>2</v>
      </c>
      <c r="I3171">
        <v>70.78</v>
      </c>
      <c r="J3171" s="50">
        <v>141.56</v>
      </c>
      <c r="K3171" t="s">
        <v>1618</v>
      </c>
      <c r="L3171" t="s">
        <v>3665</v>
      </c>
      <c r="M3171" t="s">
        <v>1629</v>
      </c>
      <c r="N3171">
        <v>37.36</v>
      </c>
      <c r="O3171" s="49">
        <v>44909</v>
      </c>
      <c r="P3171" s="50">
        <v>63.702000000000005</v>
      </c>
    </row>
    <row r="3172" spans="4:16" x14ac:dyDescent="0.2">
      <c r="D3172">
        <v>100001898</v>
      </c>
      <c r="E3172" s="49">
        <v>44405</v>
      </c>
      <c r="F3172" t="s">
        <v>3666</v>
      </c>
      <c r="G3172" t="s">
        <v>1758</v>
      </c>
      <c r="H3172">
        <v>8</v>
      </c>
      <c r="I3172">
        <v>116.46</v>
      </c>
      <c r="J3172" s="50">
        <v>931.68</v>
      </c>
      <c r="K3172" t="s">
        <v>1618</v>
      </c>
      <c r="M3172" t="s">
        <v>1627</v>
      </c>
      <c r="N3172">
        <v>61.46</v>
      </c>
      <c r="O3172" s="49">
        <v>44409</v>
      </c>
      <c r="P3172" s="50">
        <v>419.25599999999997</v>
      </c>
    </row>
    <row r="3173" spans="4:16" x14ac:dyDescent="0.2">
      <c r="D3173">
        <v>100001899</v>
      </c>
      <c r="E3173" s="49">
        <v>45344</v>
      </c>
      <c r="F3173" t="s">
        <v>3667</v>
      </c>
      <c r="G3173" t="s">
        <v>1794</v>
      </c>
      <c r="H3173">
        <v>1</v>
      </c>
      <c r="I3173">
        <v>90.45</v>
      </c>
      <c r="J3173" s="50">
        <v>90.45</v>
      </c>
      <c r="K3173" t="s">
        <v>1618</v>
      </c>
      <c r="M3173" t="s">
        <v>1624</v>
      </c>
      <c r="N3173">
        <v>47.74</v>
      </c>
      <c r="O3173" s="49">
        <v>45347</v>
      </c>
      <c r="P3173" s="50">
        <v>40.702500000000001</v>
      </c>
    </row>
    <row r="3174" spans="4:16" x14ac:dyDescent="0.2">
      <c r="D3174">
        <v>100001899</v>
      </c>
      <c r="E3174" s="49">
        <v>44543</v>
      </c>
      <c r="F3174" t="s">
        <v>3667</v>
      </c>
      <c r="G3174" t="s">
        <v>1639</v>
      </c>
      <c r="H3174">
        <v>4</v>
      </c>
      <c r="I3174">
        <v>93.93</v>
      </c>
      <c r="J3174" s="50">
        <v>375.72</v>
      </c>
      <c r="K3174" t="s">
        <v>1618</v>
      </c>
      <c r="M3174" t="s">
        <v>1627</v>
      </c>
      <c r="N3174">
        <v>49.57</v>
      </c>
      <c r="O3174" s="49">
        <v>44547</v>
      </c>
      <c r="P3174" s="50">
        <v>169.07400000000001</v>
      </c>
    </row>
    <row r="3175" spans="4:16" x14ac:dyDescent="0.2">
      <c r="D3175">
        <v>100001900</v>
      </c>
      <c r="E3175" s="49">
        <v>44366</v>
      </c>
      <c r="F3175" t="s">
        <v>3668</v>
      </c>
      <c r="G3175" t="s">
        <v>1782</v>
      </c>
      <c r="H3175">
        <v>8</v>
      </c>
      <c r="I3175">
        <v>24.14</v>
      </c>
      <c r="J3175" s="50">
        <v>193.12</v>
      </c>
      <c r="K3175" t="s">
        <v>1618</v>
      </c>
      <c r="M3175" t="s">
        <v>1621</v>
      </c>
      <c r="N3175">
        <v>12.74</v>
      </c>
      <c r="O3175" s="49">
        <v>44371</v>
      </c>
      <c r="P3175" s="50">
        <v>86.904000000000011</v>
      </c>
    </row>
    <row r="3176" spans="4:16" x14ac:dyDescent="0.2">
      <c r="D3176">
        <v>100001901</v>
      </c>
      <c r="E3176" s="49">
        <v>45419</v>
      </c>
      <c r="F3176" t="s">
        <v>3669</v>
      </c>
      <c r="G3176" t="s">
        <v>2380</v>
      </c>
      <c r="H3176">
        <v>5</v>
      </c>
      <c r="I3176">
        <v>110.67</v>
      </c>
      <c r="J3176" s="50">
        <v>553.35</v>
      </c>
      <c r="K3176" t="s">
        <v>1618</v>
      </c>
      <c r="L3176" t="s">
        <v>3670</v>
      </c>
      <c r="M3176" t="s">
        <v>1627</v>
      </c>
      <c r="N3176">
        <v>58.41</v>
      </c>
      <c r="O3176" s="49">
        <v>45423</v>
      </c>
      <c r="P3176" s="50">
        <v>249.00750000000002</v>
      </c>
    </row>
    <row r="3177" spans="4:16" x14ac:dyDescent="0.2">
      <c r="D3177">
        <v>100001901</v>
      </c>
      <c r="E3177" s="49">
        <v>45521</v>
      </c>
      <c r="F3177" t="s">
        <v>3669</v>
      </c>
      <c r="G3177" t="s">
        <v>2048</v>
      </c>
      <c r="H3177">
        <v>3</v>
      </c>
      <c r="I3177">
        <v>49.13</v>
      </c>
      <c r="J3177" s="50">
        <v>147.38999999999999</v>
      </c>
      <c r="K3177" t="s">
        <v>1618</v>
      </c>
      <c r="L3177" t="s">
        <v>3670</v>
      </c>
      <c r="M3177" t="s">
        <v>1619</v>
      </c>
      <c r="N3177">
        <v>25.93</v>
      </c>
      <c r="O3177" s="49">
        <v>45526</v>
      </c>
      <c r="P3177" s="50">
        <v>66.325499999999991</v>
      </c>
    </row>
    <row r="3178" spans="4:16" x14ac:dyDescent="0.2">
      <c r="D3178">
        <v>100001901</v>
      </c>
      <c r="E3178" s="49">
        <v>45000</v>
      </c>
      <c r="F3178" t="s">
        <v>3669</v>
      </c>
      <c r="G3178" t="s">
        <v>1775</v>
      </c>
      <c r="H3178">
        <v>9</v>
      </c>
      <c r="I3178">
        <v>63.45</v>
      </c>
      <c r="J3178" s="50">
        <v>571.05000000000007</v>
      </c>
      <c r="K3178" t="s">
        <v>1618</v>
      </c>
      <c r="L3178" t="s">
        <v>3670</v>
      </c>
      <c r="M3178" t="s">
        <v>1621</v>
      </c>
      <c r="N3178">
        <v>33.49</v>
      </c>
      <c r="O3178" s="49">
        <v>45003</v>
      </c>
      <c r="P3178" s="50">
        <v>256.97250000000003</v>
      </c>
    </row>
    <row r="3179" spans="4:16" x14ac:dyDescent="0.2">
      <c r="D3179">
        <v>100001901</v>
      </c>
      <c r="E3179" s="49">
        <v>45256</v>
      </c>
      <c r="F3179" t="s">
        <v>3669</v>
      </c>
      <c r="G3179" t="s">
        <v>1628</v>
      </c>
      <c r="H3179">
        <v>8</v>
      </c>
      <c r="I3179">
        <v>85.12</v>
      </c>
      <c r="J3179" s="50">
        <v>680.96</v>
      </c>
      <c r="K3179" t="s">
        <v>1618</v>
      </c>
      <c r="L3179" t="s">
        <v>3670</v>
      </c>
      <c r="M3179" t="s">
        <v>1619</v>
      </c>
      <c r="N3179">
        <v>44.92</v>
      </c>
      <c r="O3179" s="49">
        <v>45261</v>
      </c>
      <c r="P3179" s="50">
        <v>306.43200000000002</v>
      </c>
    </row>
    <row r="3180" spans="4:16" x14ac:dyDescent="0.2">
      <c r="D3180">
        <v>100001902</v>
      </c>
      <c r="E3180" s="49">
        <v>44400</v>
      </c>
      <c r="F3180" t="s">
        <v>3671</v>
      </c>
      <c r="G3180" t="s">
        <v>2098</v>
      </c>
      <c r="H3180">
        <v>6</v>
      </c>
      <c r="I3180">
        <v>12.54</v>
      </c>
      <c r="J3180" s="50">
        <v>75.239999999999995</v>
      </c>
      <c r="K3180" t="s">
        <v>1632</v>
      </c>
      <c r="M3180" t="s">
        <v>1621</v>
      </c>
      <c r="N3180">
        <v>6.62</v>
      </c>
      <c r="O3180" s="49">
        <v>44402</v>
      </c>
      <c r="P3180" s="50">
        <v>33.857999999999997</v>
      </c>
    </row>
    <row r="3181" spans="4:16" x14ac:dyDescent="0.2">
      <c r="D3181">
        <v>100001902</v>
      </c>
      <c r="E3181" s="49">
        <v>45435</v>
      </c>
      <c r="F3181" t="s">
        <v>3671</v>
      </c>
      <c r="G3181" t="s">
        <v>2194</v>
      </c>
      <c r="H3181">
        <v>7</v>
      </c>
      <c r="I3181">
        <v>32.1</v>
      </c>
      <c r="J3181" s="50">
        <v>224.7</v>
      </c>
      <c r="K3181" t="s">
        <v>1632</v>
      </c>
      <c r="M3181" t="s">
        <v>1629</v>
      </c>
      <c r="N3181">
        <v>16.940000000000001</v>
      </c>
      <c r="O3181" s="49">
        <v>45436</v>
      </c>
      <c r="P3181" s="50">
        <v>101.11499999999999</v>
      </c>
    </row>
    <row r="3182" spans="4:16" x14ac:dyDescent="0.2">
      <c r="D3182">
        <v>100001902</v>
      </c>
      <c r="E3182" s="49">
        <v>44478</v>
      </c>
      <c r="F3182" t="s">
        <v>3671</v>
      </c>
      <c r="G3182" t="s">
        <v>2142</v>
      </c>
      <c r="H3182">
        <v>8</v>
      </c>
      <c r="I3182">
        <v>79.53</v>
      </c>
      <c r="J3182" s="50">
        <v>636.24</v>
      </c>
      <c r="K3182" t="s">
        <v>1632</v>
      </c>
      <c r="M3182" t="s">
        <v>1621</v>
      </c>
      <c r="N3182">
        <v>41.97</v>
      </c>
      <c r="O3182" s="49">
        <v>44480</v>
      </c>
      <c r="P3182" s="50">
        <v>286.30799999999999</v>
      </c>
    </row>
    <row r="3183" spans="4:16" x14ac:dyDescent="0.2">
      <c r="D3183">
        <v>100001903</v>
      </c>
      <c r="E3183" s="49">
        <v>44324</v>
      </c>
      <c r="F3183" t="s">
        <v>3672</v>
      </c>
      <c r="G3183" t="s">
        <v>1937</v>
      </c>
      <c r="H3183">
        <v>4</v>
      </c>
      <c r="I3183">
        <v>77.02</v>
      </c>
      <c r="J3183" s="50">
        <v>308.08</v>
      </c>
      <c r="K3183" t="s">
        <v>1632</v>
      </c>
      <c r="L3183" t="s">
        <v>3673</v>
      </c>
      <c r="M3183" t="s">
        <v>1629</v>
      </c>
      <c r="N3183">
        <v>40.65</v>
      </c>
      <c r="O3183" s="49">
        <v>44328</v>
      </c>
      <c r="P3183" s="50">
        <v>138.636</v>
      </c>
    </row>
    <row r="3184" spans="4:16" x14ac:dyDescent="0.2">
      <c r="D3184">
        <v>100001905</v>
      </c>
      <c r="E3184" s="49">
        <v>44483</v>
      </c>
      <c r="F3184" t="s">
        <v>3674</v>
      </c>
      <c r="G3184" t="s">
        <v>1770</v>
      </c>
      <c r="H3184">
        <v>8</v>
      </c>
      <c r="I3184">
        <v>12.59</v>
      </c>
      <c r="J3184" s="50">
        <v>100.72</v>
      </c>
      <c r="K3184" t="s">
        <v>1618</v>
      </c>
      <c r="M3184" t="s">
        <v>1624</v>
      </c>
      <c r="N3184">
        <v>6.64</v>
      </c>
      <c r="O3184" s="49">
        <v>44487</v>
      </c>
      <c r="P3184" s="50">
        <v>45.323999999999998</v>
      </c>
    </row>
    <row r="3185" spans="4:16" x14ac:dyDescent="0.2">
      <c r="D3185">
        <v>100001905</v>
      </c>
      <c r="E3185" s="49">
        <v>45235</v>
      </c>
      <c r="F3185" t="s">
        <v>3674</v>
      </c>
      <c r="G3185" t="s">
        <v>2078</v>
      </c>
      <c r="H3185">
        <v>9</v>
      </c>
      <c r="I3185">
        <v>61.18</v>
      </c>
      <c r="J3185" s="50">
        <v>550.62</v>
      </c>
      <c r="K3185" t="s">
        <v>1618</v>
      </c>
      <c r="M3185" t="s">
        <v>1629</v>
      </c>
      <c r="N3185">
        <v>32.29</v>
      </c>
      <c r="O3185" s="49">
        <v>45240</v>
      </c>
      <c r="P3185" s="50">
        <v>247.779</v>
      </c>
    </row>
    <row r="3186" spans="4:16" x14ac:dyDescent="0.2">
      <c r="D3186">
        <v>100001906</v>
      </c>
      <c r="E3186" s="49">
        <v>45576</v>
      </c>
      <c r="F3186" t="s">
        <v>3675</v>
      </c>
      <c r="G3186" t="s">
        <v>1707</v>
      </c>
      <c r="H3186">
        <v>2</v>
      </c>
      <c r="I3186">
        <v>90.65</v>
      </c>
      <c r="J3186" s="50">
        <v>181.3</v>
      </c>
      <c r="K3186" t="s">
        <v>1632</v>
      </c>
      <c r="M3186" t="s">
        <v>1621</v>
      </c>
      <c r="N3186">
        <v>47.84</v>
      </c>
      <c r="O3186" s="49">
        <v>45578</v>
      </c>
      <c r="P3186" s="50">
        <v>81.585000000000008</v>
      </c>
    </row>
    <row r="3187" spans="4:16" x14ac:dyDescent="0.2">
      <c r="D3187">
        <v>100001906</v>
      </c>
      <c r="E3187" s="49">
        <v>45611</v>
      </c>
      <c r="F3187" t="s">
        <v>3675</v>
      </c>
      <c r="G3187" t="s">
        <v>2063</v>
      </c>
      <c r="H3187">
        <v>4</v>
      </c>
      <c r="I3187">
        <v>61.34</v>
      </c>
      <c r="J3187" s="50">
        <v>245.36</v>
      </c>
      <c r="K3187" t="s">
        <v>1632</v>
      </c>
      <c r="M3187" t="s">
        <v>1627</v>
      </c>
      <c r="N3187">
        <v>32.369999999999997</v>
      </c>
      <c r="O3187" s="49">
        <v>45613</v>
      </c>
      <c r="P3187" s="50">
        <v>110.41200000000001</v>
      </c>
    </row>
    <row r="3188" spans="4:16" x14ac:dyDescent="0.2">
      <c r="D3188">
        <v>100001906</v>
      </c>
      <c r="E3188" s="49">
        <v>44403</v>
      </c>
      <c r="F3188" t="s">
        <v>3675</v>
      </c>
      <c r="G3188" t="s">
        <v>1722</v>
      </c>
      <c r="H3188">
        <v>2</v>
      </c>
      <c r="I3188">
        <v>31.74</v>
      </c>
      <c r="J3188" s="50">
        <v>63.48</v>
      </c>
      <c r="K3188" t="s">
        <v>1632</v>
      </c>
      <c r="M3188" t="s">
        <v>1627</v>
      </c>
      <c r="N3188">
        <v>16.75</v>
      </c>
      <c r="O3188" s="49">
        <v>44404</v>
      </c>
      <c r="P3188" s="50">
        <v>28.565999999999999</v>
      </c>
    </row>
    <row r="3189" spans="4:16" x14ac:dyDescent="0.2">
      <c r="D3189">
        <v>100001906</v>
      </c>
      <c r="E3189" s="49">
        <v>45089</v>
      </c>
      <c r="F3189" t="s">
        <v>3675</v>
      </c>
      <c r="G3189" t="s">
        <v>1830</v>
      </c>
      <c r="H3189">
        <v>10</v>
      </c>
      <c r="I3189">
        <v>21.37</v>
      </c>
      <c r="J3189" s="50">
        <v>213.7</v>
      </c>
      <c r="K3189" t="s">
        <v>1632</v>
      </c>
      <c r="M3189" t="s">
        <v>1629</v>
      </c>
      <c r="N3189">
        <v>11.28</v>
      </c>
      <c r="O3189" s="49">
        <v>45091</v>
      </c>
      <c r="P3189" s="50">
        <v>96.164999999999992</v>
      </c>
    </row>
    <row r="3190" spans="4:16" x14ac:dyDescent="0.2">
      <c r="D3190">
        <v>100001906</v>
      </c>
      <c r="E3190" s="49">
        <v>45541</v>
      </c>
      <c r="F3190" t="s">
        <v>3675</v>
      </c>
      <c r="G3190" t="s">
        <v>1714</v>
      </c>
      <c r="H3190">
        <v>2</v>
      </c>
      <c r="I3190">
        <v>50.79</v>
      </c>
      <c r="J3190" s="50">
        <v>101.58</v>
      </c>
      <c r="K3190" t="s">
        <v>1632</v>
      </c>
      <c r="M3190" t="s">
        <v>1624</v>
      </c>
      <c r="N3190">
        <v>26.81</v>
      </c>
      <c r="O3190" s="49">
        <v>45545</v>
      </c>
      <c r="P3190" s="50">
        <v>45.710999999999999</v>
      </c>
    </row>
    <row r="3191" spans="4:16" x14ac:dyDescent="0.2">
      <c r="D3191">
        <v>100001906</v>
      </c>
      <c r="E3191" s="49">
        <v>44574</v>
      </c>
      <c r="F3191" t="s">
        <v>3675</v>
      </c>
      <c r="G3191" t="s">
        <v>1617</v>
      </c>
      <c r="H3191">
        <v>6</v>
      </c>
      <c r="I3191">
        <v>87.1</v>
      </c>
      <c r="J3191" s="50">
        <v>522.59999999999991</v>
      </c>
      <c r="K3191" t="s">
        <v>1632</v>
      </c>
      <c r="M3191" t="s">
        <v>1624</v>
      </c>
      <c r="N3191">
        <v>45.97</v>
      </c>
      <c r="O3191" s="49">
        <v>44578</v>
      </c>
      <c r="P3191" s="50">
        <v>235.16999999999996</v>
      </c>
    </row>
    <row r="3192" spans="4:16" x14ac:dyDescent="0.2">
      <c r="D3192">
        <v>100001907</v>
      </c>
      <c r="E3192" s="49">
        <v>45406</v>
      </c>
      <c r="F3192" t="s">
        <v>3676</v>
      </c>
      <c r="G3192" t="s">
        <v>1982</v>
      </c>
      <c r="H3192">
        <v>8</v>
      </c>
      <c r="I3192">
        <v>119.16</v>
      </c>
      <c r="J3192" s="50">
        <v>953.28</v>
      </c>
      <c r="K3192" t="s">
        <v>1618</v>
      </c>
      <c r="L3192" t="s">
        <v>3677</v>
      </c>
      <c r="M3192" t="s">
        <v>1629</v>
      </c>
      <c r="N3192">
        <v>62.89</v>
      </c>
      <c r="O3192" s="49">
        <v>45407</v>
      </c>
      <c r="P3192" s="50">
        <v>428.976</v>
      </c>
    </row>
    <row r="3193" spans="4:16" x14ac:dyDescent="0.2">
      <c r="D3193">
        <v>100001908</v>
      </c>
      <c r="E3193" s="49">
        <v>44550</v>
      </c>
      <c r="F3193" t="s">
        <v>2940</v>
      </c>
      <c r="G3193" t="s">
        <v>1902</v>
      </c>
      <c r="H3193">
        <v>2</v>
      </c>
      <c r="I3193">
        <v>106.63</v>
      </c>
      <c r="J3193" s="50">
        <v>213.26</v>
      </c>
      <c r="K3193" t="s">
        <v>1618</v>
      </c>
      <c r="M3193" t="s">
        <v>1629</v>
      </c>
      <c r="N3193">
        <v>56.28</v>
      </c>
      <c r="O3193" s="49">
        <v>44551</v>
      </c>
      <c r="P3193" s="50">
        <v>95.966999999999999</v>
      </c>
    </row>
    <row r="3194" spans="4:16" x14ac:dyDescent="0.2">
      <c r="D3194">
        <v>100001908</v>
      </c>
      <c r="E3194" s="49">
        <v>44316</v>
      </c>
      <c r="F3194" t="s">
        <v>2940</v>
      </c>
      <c r="G3194" t="s">
        <v>1808</v>
      </c>
      <c r="H3194">
        <v>6</v>
      </c>
      <c r="I3194">
        <v>41.65</v>
      </c>
      <c r="J3194" s="50">
        <v>249.9</v>
      </c>
      <c r="K3194" t="s">
        <v>1618</v>
      </c>
      <c r="M3194" t="s">
        <v>1621</v>
      </c>
      <c r="N3194">
        <v>21.98</v>
      </c>
      <c r="O3194" s="49">
        <v>44321</v>
      </c>
      <c r="P3194" s="50">
        <v>112.455</v>
      </c>
    </row>
    <row r="3195" spans="4:16" x14ac:dyDescent="0.2">
      <c r="D3195">
        <v>100001909</v>
      </c>
      <c r="E3195" s="49">
        <v>45143</v>
      </c>
      <c r="F3195" t="s">
        <v>3678</v>
      </c>
      <c r="G3195" t="s">
        <v>1664</v>
      </c>
      <c r="H3195">
        <v>1</v>
      </c>
      <c r="I3195">
        <v>64.16</v>
      </c>
      <c r="J3195" s="50">
        <v>64.16</v>
      </c>
      <c r="K3195" t="s">
        <v>1632</v>
      </c>
      <c r="M3195" t="s">
        <v>1619</v>
      </c>
      <c r="N3195">
        <v>33.86</v>
      </c>
      <c r="O3195" s="49">
        <v>45144</v>
      </c>
      <c r="P3195" s="50">
        <v>28.872</v>
      </c>
    </row>
    <row r="3196" spans="4:16" x14ac:dyDescent="0.2">
      <c r="D3196">
        <v>100001910</v>
      </c>
      <c r="E3196" s="49">
        <v>44323</v>
      </c>
      <c r="F3196" t="s">
        <v>3679</v>
      </c>
      <c r="G3196" t="s">
        <v>2202</v>
      </c>
      <c r="H3196">
        <v>4</v>
      </c>
      <c r="I3196">
        <v>108.15</v>
      </c>
      <c r="J3196" s="50">
        <v>432.6</v>
      </c>
      <c r="K3196" t="s">
        <v>1618</v>
      </c>
      <c r="M3196" t="s">
        <v>1619</v>
      </c>
      <c r="N3196">
        <v>57.08</v>
      </c>
      <c r="O3196" s="49">
        <v>44324</v>
      </c>
      <c r="P3196" s="50">
        <v>194.67000000000002</v>
      </c>
    </row>
    <row r="3197" spans="4:16" x14ac:dyDescent="0.2">
      <c r="D3197">
        <v>100001911</v>
      </c>
      <c r="E3197" s="49">
        <v>45640</v>
      </c>
      <c r="F3197" t="s">
        <v>3680</v>
      </c>
      <c r="G3197" t="s">
        <v>1637</v>
      </c>
      <c r="H3197">
        <v>1</v>
      </c>
      <c r="I3197">
        <v>104.48</v>
      </c>
      <c r="J3197" s="50">
        <v>104.48</v>
      </c>
      <c r="K3197" t="s">
        <v>1618</v>
      </c>
      <c r="L3197" t="s">
        <v>3681</v>
      </c>
      <c r="M3197" t="s">
        <v>1627</v>
      </c>
      <c r="N3197">
        <v>55.14</v>
      </c>
      <c r="O3197" s="49">
        <v>45643</v>
      </c>
      <c r="P3197" s="50">
        <v>47.016000000000005</v>
      </c>
    </row>
    <row r="3198" spans="4:16" x14ac:dyDescent="0.2">
      <c r="D3198">
        <v>100001913</v>
      </c>
      <c r="E3198" s="49">
        <v>44398</v>
      </c>
      <c r="F3198" t="s">
        <v>3682</v>
      </c>
      <c r="G3198" t="s">
        <v>1948</v>
      </c>
      <c r="H3198">
        <v>7</v>
      </c>
      <c r="I3198">
        <v>22.69</v>
      </c>
      <c r="J3198" s="50">
        <v>158.83000000000001</v>
      </c>
      <c r="K3198" t="s">
        <v>1632</v>
      </c>
      <c r="M3198" t="s">
        <v>1629</v>
      </c>
      <c r="N3198">
        <v>11.98</v>
      </c>
      <c r="O3198" s="49">
        <v>44399</v>
      </c>
      <c r="P3198" s="50">
        <v>71.473500000000001</v>
      </c>
    </row>
    <row r="3199" spans="4:16" x14ac:dyDescent="0.2">
      <c r="D3199">
        <v>100001913</v>
      </c>
      <c r="E3199" s="49">
        <v>45369</v>
      </c>
      <c r="F3199" t="s">
        <v>3682</v>
      </c>
      <c r="G3199" t="s">
        <v>1701</v>
      </c>
      <c r="H3199">
        <v>7</v>
      </c>
      <c r="I3199">
        <v>30.61</v>
      </c>
      <c r="J3199" s="50">
        <v>214.27</v>
      </c>
      <c r="K3199" t="s">
        <v>1632</v>
      </c>
      <c r="M3199" t="s">
        <v>1621</v>
      </c>
      <c r="N3199">
        <v>16.16</v>
      </c>
      <c r="O3199" s="49">
        <v>45371</v>
      </c>
      <c r="P3199" s="50">
        <v>96.421500000000009</v>
      </c>
    </row>
    <row r="3200" spans="4:16" x14ac:dyDescent="0.2">
      <c r="D3200">
        <v>100001914</v>
      </c>
      <c r="E3200" s="49">
        <v>44449</v>
      </c>
      <c r="F3200" t="s">
        <v>3683</v>
      </c>
      <c r="G3200" t="s">
        <v>1900</v>
      </c>
      <c r="H3200">
        <v>8</v>
      </c>
      <c r="I3200">
        <v>62.52</v>
      </c>
      <c r="J3200" s="50">
        <v>500.16</v>
      </c>
      <c r="K3200" t="s">
        <v>1618</v>
      </c>
      <c r="M3200" t="s">
        <v>1624</v>
      </c>
      <c r="N3200">
        <v>33</v>
      </c>
      <c r="O3200" s="49">
        <v>44452</v>
      </c>
      <c r="P3200" s="50">
        <v>225.072</v>
      </c>
    </row>
    <row r="3201" spans="4:16" x14ac:dyDescent="0.2">
      <c r="D3201">
        <v>100001915</v>
      </c>
      <c r="E3201" s="49">
        <v>45640</v>
      </c>
      <c r="F3201" t="s">
        <v>3684</v>
      </c>
      <c r="G3201" t="s">
        <v>1690</v>
      </c>
      <c r="H3201">
        <v>1</v>
      </c>
      <c r="I3201">
        <v>58.02</v>
      </c>
      <c r="J3201" s="50">
        <v>58.02</v>
      </c>
      <c r="K3201" t="s">
        <v>1632</v>
      </c>
      <c r="M3201" t="s">
        <v>1627</v>
      </c>
      <c r="N3201">
        <v>30.62</v>
      </c>
      <c r="O3201" s="49">
        <v>45644</v>
      </c>
      <c r="P3201" s="50">
        <v>26.109000000000002</v>
      </c>
    </row>
    <row r="3202" spans="4:16" x14ac:dyDescent="0.2">
      <c r="D3202">
        <v>100001915</v>
      </c>
      <c r="E3202" s="49">
        <v>44290</v>
      </c>
      <c r="F3202" t="s">
        <v>3684</v>
      </c>
      <c r="G3202" t="s">
        <v>2132</v>
      </c>
      <c r="H3202">
        <v>3</v>
      </c>
      <c r="I3202">
        <v>113.71</v>
      </c>
      <c r="J3202" s="50">
        <v>341.13</v>
      </c>
      <c r="K3202" t="s">
        <v>1632</v>
      </c>
      <c r="M3202" t="s">
        <v>1621</v>
      </c>
      <c r="N3202">
        <v>60.01</v>
      </c>
      <c r="O3202" s="49">
        <v>44291</v>
      </c>
      <c r="P3202" s="50">
        <v>153.5085</v>
      </c>
    </row>
    <row r="3203" spans="4:16" x14ac:dyDescent="0.2">
      <c r="D3203">
        <v>100001915</v>
      </c>
      <c r="E3203" s="49">
        <v>44618</v>
      </c>
      <c r="F3203" t="s">
        <v>3684</v>
      </c>
      <c r="G3203" t="s">
        <v>2585</v>
      </c>
      <c r="H3203">
        <v>8</v>
      </c>
      <c r="I3203">
        <v>111.19</v>
      </c>
      <c r="J3203" s="50">
        <v>889.52</v>
      </c>
      <c r="K3203" t="s">
        <v>1632</v>
      </c>
      <c r="M3203" t="s">
        <v>1627</v>
      </c>
      <c r="N3203">
        <v>58.68</v>
      </c>
      <c r="O3203" s="49">
        <v>44619</v>
      </c>
      <c r="P3203" s="50">
        <v>400.28399999999999</v>
      </c>
    </row>
    <row r="3204" spans="4:16" x14ac:dyDescent="0.2">
      <c r="D3204">
        <v>100001915</v>
      </c>
      <c r="E3204" s="49">
        <v>45212</v>
      </c>
      <c r="F3204" t="s">
        <v>3684</v>
      </c>
      <c r="G3204" t="s">
        <v>1864</v>
      </c>
      <c r="H3204">
        <v>7</v>
      </c>
      <c r="I3204">
        <v>114.72</v>
      </c>
      <c r="J3204" s="50">
        <v>803.04</v>
      </c>
      <c r="K3204" t="s">
        <v>1632</v>
      </c>
      <c r="M3204" t="s">
        <v>1629</v>
      </c>
      <c r="N3204">
        <v>60.55</v>
      </c>
      <c r="O3204" s="49">
        <v>45214</v>
      </c>
      <c r="P3204" s="50">
        <v>361.36799999999999</v>
      </c>
    </row>
    <row r="3205" spans="4:16" x14ac:dyDescent="0.2">
      <c r="D3205">
        <v>100001915</v>
      </c>
      <c r="E3205" s="49">
        <v>45094</v>
      </c>
      <c r="F3205" t="s">
        <v>3684</v>
      </c>
      <c r="G3205" t="s">
        <v>1902</v>
      </c>
      <c r="H3205">
        <v>8</v>
      </c>
      <c r="I3205">
        <v>74.599999999999994</v>
      </c>
      <c r="J3205" s="50">
        <v>596.79999999999995</v>
      </c>
      <c r="K3205" t="s">
        <v>1632</v>
      </c>
      <c r="M3205" t="s">
        <v>1619</v>
      </c>
      <c r="N3205">
        <v>39.369999999999997</v>
      </c>
      <c r="O3205" s="49">
        <v>45099</v>
      </c>
      <c r="P3205" s="50">
        <v>268.56</v>
      </c>
    </row>
    <row r="3206" spans="4:16" x14ac:dyDescent="0.2">
      <c r="D3206">
        <v>100001915</v>
      </c>
      <c r="E3206" s="49">
        <v>44701</v>
      </c>
      <c r="F3206" t="s">
        <v>3684</v>
      </c>
      <c r="G3206" t="s">
        <v>2581</v>
      </c>
      <c r="H3206">
        <v>8</v>
      </c>
      <c r="I3206">
        <v>47.65</v>
      </c>
      <c r="J3206" s="50">
        <v>381.2</v>
      </c>
      <c r="K3206" t="s">
        <v>1632</v>
      </c>
      <c r="M3206" t="s">
        <v>1621</v>
      </c>
      <c r="N3206">
        <v>25.15</v>
      </c>
      <c r="O3206" s="49">
        <v>44705</v>
      </c>
      <c r="P3206" s="50">
        <v>171.54</v>
      </c>
    </row>
    <row r="3207" spans="4:16" x14ac:dyDescent="0.2">
      <c r="D3207">
        <v>100001915</v>
      </c>
      <c r="E3207" s="49">
        <v>44377</v>
      </c>
      <c r="F3207" t="s">
        <v>3684</v>
      </c>
      <c r="G3207" t="s">
        <v>1722</v>
      </c>
      <c r="H3207">
        <v>1</v>
      </c>
      <c r="I3207">
        <v>89.67</v>
      </c>
      <c r="J3207" s="50">
        <v>89.67</v>
      </c>
      <c r="K3207" t="s">
        <v>1632</v>
      </c>
      <c r="M3207" t="s">
        <v>1627</v>
      </c>
      <c r="N3207">
        <v>47.33</v>
      </c>
      <c r="O3207" s="49">
        <v>44382</v>
      </c>
      <c r="P3207" s="50">
        <v>40.351500000000001</v>
      </c>
    </row>
    <row r="3208" spans="4:16" x14ac:dyDescent="0.2">
      <c r="D3208">
        <v>100001916</v>
      </c>
      <c r="E3208" s="49">
        <v>45017</v>
      </c>
      <c r="F3208" t="s">
        <v>3685</v>
      </c>
      <c r="G3208" t="s">
        <v>1897</v>
      </c>
      <c r="H3208">
        <v>6</v>
      </c>
      <c r="I3208">
        <v>41.56</v>
      </c>
      <c r="J3208" s="50">
        <v>249.36</v>
      </c>
      <c r="K3208" t="s">
        <v>1618</v>
      </c>
      <c r="L3208" t="s">
        <v>2863</v>
      </c>
      <c r="M3208" t="s">
        <v>1619</v>
      </c>
      <c r="N3208">
        <v>21.93</v>
      </c>
      <c r="O3208" s="49">
        <v>45021</v>
      </c>
      <c r="P3208" s="50">
        <v>112.212</v>
      </c>
    </row>
    <row r="3209" spans="4:16" x14ac:dyDescent="0.2">
      <c r="D3209">
        <v>100001917</v>
      </c>
      <c r="E3209" s="49">
        <v>44457</v>
      </c>
      <c r="F3209" t="s">
        <v>3686</v>
      </c>
      <c r="G3209" t="s">
        <v>2766</v>
      </c>
      <c r="H3209">
        <v>4</v>
      </c>
      <c r="I3209">
        <v>112.14</v>
      </c>
      <c r="J3209" s="50">
        <v>448.56</v>
      </c>
      <c r="K3209" t="s">
        <v>1618</v>
      </c>
      <c r="M3209" t="s">
        <v>1619</v>
      </c>
      <c r="N3209">
        <v>59.18</v>
      </c>
      <c r="O3209" s="49">
        <v>44459</v>
      </c>
      <c r="P3209" s="50">
        <v>201.852</v>
      </c>
    </row>
    <row r="3210" spans="4:16" x14ac:dyDescent="0.2">
      <c r="D3210">
        <v>100001917</v>
      </c>
      <c r="E3210" s="49">
        <v>44447</v>
      </c>
      <c r="F3210" t="s">
        <v>3686</v>
      </c>
      <c r="G3210" t="s">
        <v>2093</v>
      </c>
      <c r="H3210">
        <v>2</v>
      </c>
      <c r="I3210">
        <v>82.26</v>
      </c>
      <c r="J3210" s="50">
        <v>164.52</v>
      </c>
      <c r="K3210" t="s">
        <v>1618</v>
      </c>
      <c r="M3210" t="s">
        <v>1627</v>
      </c>
      <c r="N3210">
        <v>43.41</v>
      </c>
      <c r="O3210" s="49">
        <v>44451</v>
      </c>
      <c r="P3210" s="50">
        <v>74.034000000000006</v>
      </c>
    </row>
    <row r="3211" spans="4:16" x14ac:dyDescent="0.2">
      <c r="D3211">
        <v>100001918</v>
      </c>
      <c r="E3211" s="49">
        <v>45654</v>
      </c>
      <c r="F3211" t="s">
        <v>3687</v>
      </c>
      <c r="G3211" t="s">
        <v>1823</v>
      </c>
      <c r="H3211">
        <v>2</v>
      </c>
      <c r="I3211">
        <v>41.64</v>
      </c>
      <c r="J3211" s="50">
        <v>83.28</v>
      </c>
      <c r="K3211" t="s">
        <v>1618</v>
      </c>
      <c r="L3211" t="s">
        <v>3688</v>
      </c>
      <c r="M3211" t="s">
        <v>1624</v>
      </c>
      <c r="N3211">
        <v>21.98</v>
      </c>
      <c r="O3211" s="49">
        <v>45658</v>
      </c>
      <c r="P3211" s="50">
        <v>37.475999999999999</v>
      </c>
    </row>
    <row r="3212" spans="4:16" x14ac:dyDescent="0.2">
      <c r="D3212">
        <v>100001918</v>
      </c>
      <c r="E3212" s="49">
        <v>44500</v>
      </c>
      <c r="F3212" t="s">
        <v>3687</v>
      </c>
      <c r="G3212" t="s">
        <v>1958</v>
      </c>
      <c r="H3212">
        <v>4</v>
      </c>
      <c r="I3212">
        <v>10.58</v>
      </c>
      <c r="J3212" s="50">
        <v>42.32</v>
      </c>
      <c r="K3212" t="s">
        <v>1618</v>
      </c>
      <c r="L3212" t="s">
        <v>3688</v>
      </c>
      <c r="M3212" t="s">
        <v>1624</v>
      </c>
      <c r="N3212">
        <v>5.58</v>
      </c>
      <c r="O3212" s="49">
        <v>44504</v>
      </c>
      <c r="P3212" s="50">
        <v>19.044</v>
      </c>
    </row>
    <row r="3213" spans="4:16" x14ac:dyDescent="0.2">
      <c r="D3213">
        <v>100001919</v>
      </c>
      <c r="E3213" s="49">
        <v>45397</v>
      </c>
      <c r="F3213" t="s">
        <v>3689</v>
      </c>
      <c r="G3213" t="s">
        <v>2086</v>
      </c>
      <c r="H3213">
        <v>8</v>
      </c>
      <c r="I3213">
        <v>14.76</v>
      </c>
      <c r="J3213" s="50">
        <v>118.08</v>
      </c>
      <c r="K3213" t="s">
        <v>1632</v>
      </c>
      <c r="M3213" t="s">
        <v>1621</v>
      </c>
      <c r="N3213">
        <v>7.79</v>
      </c>
      <c r="O3213" s="49">
        <v>45400</v>
      </c>
      <c r="P3213" s="50">
        <v>53.136000000000003</v>
      </c>
    </row>
    <row r="3214" spans="4:16" x14ac:dyDescent="0.2">
      <c r="D3214">
        <v>100001921</v>
      </c>
      <c r="E3214" s="49">
        <v>44223</v>
      </c>
      <c r="F3214" t="s">
        <v>3690</v>
      </c>
      <c r="G3214" t="s">
        <v>2344</v>
      </c>
      <c r="H3214">
        <v>7</v>
      </c>
      <c r="I3214">
        <v>50.23</v>
      </c>
      <c r="J3214" s="50">
        <v>351.61</v>
      </c>
      <c r="K3214" t="s">
        <v>1632</v>
      </c>
      <c r="L3214" t="s">
        <v>3691</v>
      </c>
      <c r="M3214" t="s">
        <v>1621</v>
      </c>
      <c r="N3214">
        <v>26.51</v>
      </c>
      <c r="O3214" s="49">
        <v>44225</v>
      </c>
      <c r="P3214" s="50">
        <v>158.22450000000001</v>
      </c>
    </row>
    <row r="3215" spans="4:16" x14ac:dyDescent="0.2">
      <c r="D3215">
        <v>100001922</v>
      </c>
      <c r="E3215" s="49">
        <v>45300</v>
      </c>
      <c r="F3215" t="s">
        <v>3692</v>
      </c>
      <c r="G3215" t="s">
        <v>2155</v>
      </c>
      <c r="H3215">
        <v>10</v>
      </c>
      <c r="I3215">
        <v>43.63</v>
      </c>
      <c r="J3215" s="50">
        <v>436.3</v>
      </c>
      <c r="K3215" t="s">
        <v>1618</v>
      </c>
      <c r="L3215" t="s">
        <v>3693</v>
      </c>
      <c r="M3215" t="s">
        <v>1621</v>
      </c>
      <c r="N3215">
        <v>23.03</v>
      </c>
      <c r="O3215" s="49">
        <v>45304</v>
      </c>
      <c r="P3215" s="50">
        <v>196.33500000000001</v>
      </c>
    </row>
    <row r="3216" spans="4:16" x14ac:dyDescent="0.2">
      <c r="D3216">
        <v>100001922</v>
      </c>
      <c r="E3216" s="49">
        <v>45351</v>
      </c>
      <c r="F3216" t="s">
        <v>3692</v>
      </c>
      <c r="G3216" t="s">
        <v>2191</v>
      </c>
      <c r="H3216">
        <v>8</v>
      </c>
      <c r="I3216">
        <v>66.44</v>
      </c>
      <c r="J3216" s="50">
        <v>531.52</v>
      </c>
      <c r="K3216" t="s">
        <v>1618</v>
      </c>
      <c r="L3216" t="s">
        <v>3693</v>
      </c>
      <c r="M3216" t="s">
        <v>1629</v>
      </c>
      <c r="N3216">
        <v>35.07</v>
      </c>
      <c r="O3216" s="49">
        <v>45356</v>
      </c>
      <c r="P3216" s="50">
        <v>239.184</v>
      </c>
    </row>
    <row r="3217" spans="4:16" x14ac:dyDescent="0.2">
      <c r="D3217">
        <v>100001923</v>
      </c>
      <c r="E3217" s="49">
        <v>44229</v>
      </c>
      <c r="F3217" t="s">
        <v>3694</v>
      </c>
      <c r="G3217" t="s">
        <v>1702</v>
      </c>
      <c r="H3217">
        <v>7</v>
      </c>
      <c r="I3217">
        <v>11.12</v>
      </c>
      <c r="J3217" s="50">
        <v>77.839999999999989</v>
      </c>
      <c r="K3217" t="s">
        <v>1632</v>
      </c>
      <c r="M3217" t="s">
        <v>1621</v>
      </c>
      <c r="N3217">
        <v>5.87</v>
      </c>
      <c r="O3217" s="49">
        <v>44233</v>
      </c>
      <c r="P3217" s="50">
        <v>35.027999999999999</v>
      </c>
    </row>
    <row r="3218" spans="4:16" x14ac:dyDescent="0.2">
      <c r="D3218">
        <v>100001923</v>
      </c>
      <c r="E3218" s="49">
        <v>44532</v>
      </c>
      <c r="F3218" t="s">
        <v>3694</v>
      </c>
      <c r="G3218" t="s">
        <v>1752</v>
      </c>
      <c r="H3218">
        <v>10</v>
      </c>
      <c r="I3218">
        <v>20.98</v>
      </c>
      <c r="J3218" s="50">
        <v>209.8</v>
      </c>
      <c r="K3218" t="s">
        <v>1632</v>
      </c>
      <c r="M3218" t="s">
        <v>1621</v>
      </c>
      <c r="N3218">
        <v>11.07</v>
      </c>
      <c r="O3218" s="49">
        <v>44535</v>
      </c>
      <c r="P3218" s="50">
        <v>94.410000000000011</v>
      </c>
    </row>
    <row r="3219" spans="4:16" x14ac:dyDescent="0.2">
      <c r="D3219">
        <v>100001923</v>
      </c>
      <c r="E3219" s="49">
        <v>44924</v>
      </c>
      <c r="F3219" t="s">
        <v>3694</v>
      </c>
      <c r="G3219" t="s">
        <v>1833</v>
      </c>
      <c r="H3219">
        <v>2</v>
      </c>
      <c r="I3219">
        <v>107.21</v>
      </c>
      <c r="J3219" s="50">
        <v>214.42</v>
      </c>
      <c r="K3219" t="s">
        <v>1632</v>
      </c>
      <c r="M3219" t="s">
        <v>1627</v>
      </c>
      <c r="N3219">
        <v>56.58</v>
      </c>
      <c r="O3219" s="49">
        <v>44926</v>
      </c>
      <c r="P3219" s="50">
        <v>96.48899999999999</v>
      </c>
    </row>
    <row r="3220" spans="4:16" x14ac:dyDescent="0.2">
      <c r="D3220">
        <v>100001924</v>
      </c>
      <c r="E3220" s="49">
        <v>44753</v>
      </c>
      <c r="F3220" t="s">
        <v>3695</v>
      </c>
      <c r="G3220" t="s">
        <v>1941</v>
      </c>
      <c r="H3220">
        <v>1</v>
      </c>
      <c r="I3220">
        <v>19.71</v>
      </c>
      <c r="J3220" s="50">
        <v>19.71</v>
      </c>
      <c r="K3220" t="s">
        <v>1618</v>
      </c>
      <c r="M3220" t="s">
        <v>1629</v>
      </c>
      <c r="N3220">
        <v>10.4</v>
      </c>
      <c r="O3220" s="49">
        <v>44754</v>
      </c>
      <c r="P3220" s="50">
        <v>8.8695000000000004</v>
      </c>
    </row>
    <row r="3221" spans="4:16" x14ac:dyDescent="0.2">
      <c r="D3221">
        <v>100001924</v>
      </c>
      <c r="E3221" s="49">
        <v>45175</v>
      </c>
      <c r="F3221" t="s">
        <v>3695</v>
      </c>
      <c r="G3221" t="s">
        <v>2745</v>
      </c>
      <c r="H3221">
        <v>5</v>
      </c>
      <c r="I3221">
        <v>70.069999999999993</v>
      </c>
      <c r="J3221" s="50">
        <v>350.35</v>
      </c>
      <c r="K3221" t="s">
        <v>1618</v>
      </c>
      <c r="M3221" t="s">
        <v>1629</v>
      </c>
      <c r="N3221">
        <v>36.979999999999997</v>
      </c>
      <c r="O3221" s="49">
        <v>45179</v>
      </c>
      <c r="P3221" s="50">
        <v>157.65750000000003</v>
      </c>
    </row>
    <row r="3222" spans="4:16" x14ac:dyDescent="0.2">
      <c r="D3222">
        <v>100001925</v>
      </c>
      <c r="E3222" s="49">
        <v>44421</v>
      </c>
      <c r="F3222" t="s">
        <v>3696</v>
      </c>
      <c r="G3222" t="s">
        <v>2762</v>
      </c>
      <c r="H3222">
        <v>9</v>
      </c>
      <c r="I3222">
        <v>112.58</v>
      </c>
      <c r="J3222" s="50">
        <v>1013.22</v>
      </c>
      <c r="K3222" t="s">
        <v>1618</v>
      </c>
      <c r="M3222" t="s">
        <v>1619</v>
      </c>
      <c r="N3222">
        <v>59.42</v>
      </c>
      <c r="O3222" s="49">
        <v>44425</v>
      </c>
      <c r="P3222" s="50">
        <v>455.94900000000001</v>
      </c>
    </row>
    <row r="3223" spans="4:16" x14ac:dyDescent="0.2">
      <c r="D3223">
        <v>100001925</v>
      </c>
      <c r="E3223" s="49">
        <v>44798</v>
      </c>
      <c r="F3223" t="s">
        <v>3696</v>
      </c>
      <c r="G3223" t="s">
        <v>1880</v>
      </c>
      <c r="H3223">
        <v>1</v>
      </c>
      <c r="I3223">
        <v>21.75</v>
      </c>
      <c r="J3223" s="50">
        <v>21.75</v>
      </c>
      <c r="K3223" t="s">
        <v>1618</v>
      </c>
      <c r="M3223" t="s">
        <v>1619</v>
      </c>
      <c r="N3223">
        <v>11.48</v>
      </c>
      <c r="O3223" s="49">
        <v>44799</v>
      </c>
      <c r="P3223" s="50">
        <v>9.7874999999999996</v>
      </c>
    </row>
    <row r="3224" spans="4:16" x14ac:dyDescent="0.2">
      <c r="D3224">
        <v>100001926</v>
      </c>
      <c r="E3224" s="49">
        <v>44576</v>
      </c>
      <c r="F3224" t="s">
        <v>3697</v>
      </c>
      <c r="G3224" t="s">
        <v>1882</v>
      </c>
      <c r="H3224">
        <v>9</v>
      </c>
      <c r="I3224">
        <v>27.09</v>
      </c>
      <c r="J3224" s="50">
        <v>243.81</v>
      </c>
      <c r="K3224" t="s">
        <v>1632</v>
      </c>
      <c r="M3224" t="s">
        <v>1629</v>
      </c>
      <c r="N3224">
        <v>14.3</v>
      </c>
      <c r="O3224" s="49">
        <v>44577</v>
      </c>
      <c r="P3224" s="50">
        <v>109.7145</v>
      </c>
    </row>
    <row r="3225" spans="4:16" x14ac:dyDescent="0.2">
      <c r="D3225">
        <v>100001927</v>
      </c>
      <c r="E3225" s="49">
        <v>45175</v>
      </c>
      <c r="F3225" t="s">
        <v>3698</v>
      </c>
      <c r="G3225" t="s">
        <v>1674</v>
      </c>
      <c r="H3225">
        <v>3</v>
      </c>
      <c r="I3225">
        <v>49.25</v>
      </c>
      <c r="J3225" s="50">
        <v>147.75</v>
      </c>
      <c r="K3225" t="s">
        <v>1632</v>
      </c>
      <c r="M3225" t="s">
        <v>1621</v>
      </c>
      <c r="N3225">
        <v>25.99</v>
      </c>
      <c r="O3225" s="49">
        <v>45178</v>
      </c>
      <c r="P3225" s="50">
        <v>66.487499999999997</v>
      </c>
    </row>
    <row r="3226" spans="4:16" x14ac:dyDescent="0.2">
      <c r="D3226">
        <v>100001927</v>
      </c>
      <c r="E3226" s="49">
        <v>45354</v>
      </c>
      <c r="F3226" t="s">
        <v>3698</v>
      </c>
      <c r="G3226" t="s">
        <v>1733</v>
      </c>
      <c r="H3226">
        <v>3</v>
      </c>
      <c r="I3226">
        <v>108.32</v>
      </c>
      <c r="J3226" s="50">
        <v>324.95999999999998</v>
      </c>
      <c r="K3226" t="s">
        <v>1632</v>
      </c>
      <c r="M3226" t="s">
        <v>1629</v>
      </c>
      <c r="N3226">
        <v>57.17</v>
      </c>
      <c r="O3226" s="49">
        <v>45359</v>
      </c>
      <c r="P3226" s="50">
        <v>146.232</v>
      </c>
    </row>
    <row r="3227" spans="4:16" x14ac:dyDescent="0.2">
      <c r="D3227">
        <v>100001927</v>
      </c>
      <c r="E3227" s="49">
        <v>44914</v>
      </c>
      <c r="F3227" t="s">
        <v>3698</v>
      </c>
      <c r="G3227" t="s">
        <v>2550</v>
      </c>
      <c r="H3227">
        <v>2</v>
      </c>
      <c r="I3227">
        <v>67.010000000000005</v>
      </c>
      <c r="J3227" s="50">
        <v>134.02000000000001</v>
      </c>
      <c r="K3227" t="s">
        <v>1632</v>
      </c>
      <c r="M3227" t="s">
        <v>1629</v>
      </c>
      <c r="N3227">
        <v>35.369999999999997</v>
      </c>
      <c r="O3227" s="49">
        <v>44918</v>
      </c>
      <c r="P3227" s="50">
        <v>60.309000000000005</v>
      </c>
    </row>
    <row r="3228" spans="4:16" x14ac:dyDescent="0.2">
      <c r="D3228">
        <v>100001928</v>
      </c>
      <c r="E3228" s="49">
        <v>44722</v>
      </c>
      <c r="F3228" t="s">
        <v>3699</v>
      </c>
      <c r="G3228" t="s">
        <v>1947</v>
      </c>
      <c r="H3228">
        <v>1</v>
      </c>
      <c r="I3228">
        <v>101.9</v>
      </c>
      <c r="J3228" s="50">
        <v>101.9</v>
      </c>
      <c r="K3228" t="s">
        <v>1618</v>
      </c>
      <c r="L3228" t="s">
        <v>3700</v>
      </c>
      <c r="M3228" t="s">
        <v>1619</v>
      </c>
      <c r="N3228">
        <v>53.78</v>
      </c>
      <c r="O3228" s="49">
        <v>44725</v>
      </c>
      <c r="P3228" s="50">
        <v>45.855000000000004</v>
      </c>
    </row>
    <row r="3229" spans="4:16" x14ac:dyDescent="0.2">
      <c r="D3229">
        <v>100001928</v>
      </c>
      <c r="E3229" s="49">
        <v>44643</v>
      </c>
      <c r="F3229" t="s">
        <v>3699</v>
      </c>
      <c r="G3229" t="s">
        <v>1699</v>
      </c>
      <c r="H3229">
        <v>7</v>
      </c>
      <c r="I3229">
        <v>75.95</v>
      </c>
      <c r="J3229" s="50">
        <v>531.65</v>
      </c>
      <c r="K3229" t="s">
        <v>1618</v>
      </c>
      <c r="L3229" t="s">
        <v>3700</v>
      </c>
      <c r="M3229" t="s">
        <v>1629</v>
      </c>
      <c r="N3229">
        <v>40.08</v>
      </c>
      <c r="O3229" s="49">
        <v>44645</v>
      </c>
      <c r="P3229" s="50">
        <v>239.24250000000001</v>
      </c>
    </row>
    <row r="3230" spans="4:16" x14ac:dyDescent="0.2">
      <c r="D3230">
        <v>100001928</v>
      </c>
      <c r="E3230" s="49">
        <v>44329</v>
      </c>
      <c r="F3230" t="s">
        <v>3699</v>
      </c>
      <c r="G3230" t="s">
        <v>2431</v>
      </c>
      <c r="H3230">
        <v>9</v>
      </c>
      <c r="I3230">
        <v>41.62</v>
      </c>
      <c r="J3230" s="50">
        <v>374.58</v>
      </c>
      <c r="K3230" t="s">
        <v>1618</v>
      </c>
      <c r="L3230" t="s">
        <v>3700</v>
      </c>
      <c r="M3230" t="s">
        <v>1627</v>
      </c>
      <c r="N3230">
        <v>21.97</v>
      </c>
      <c r="O3230" s="49">
        <v>44331</v>
      </c>
      <c r="P3230" s="50">
        <v>168.56100000000001</v>
      </c>
    </row>
    <row r="3231" spans="4:16" x14ac:dyDescent="0.2">
      <c r="D3231">
        <v>100001928</v>
      </c>
      <c r="E3231" s="49">
        <v>44378</v>
      </c>
      <c r="F3231" t="s">
        <v>3699</v>
      </c>
      <c r="G3231" t="s">
        <v>1880</v>
      </c>
      <c r="H3231">
        <v>7</v>
      </c>
      <c r="I3231">
        <v>102.04</v>
      </c>
      <c r="J3231" s="50">
        <v>714.28000000000009</v>
      </c>
      <c r="K3231" t="s">
        <v>1618</v>
      </c>
      <c r="L3231" t="s">
        <v>3700</v>
      </c>
      <c r="M3231" t="s">
        <v>1619</v>
      </c>
      <c r="N3231">
        <v>53.85</v>
      </c>
      <c r="O3231" s="49">
        <v>44379</v>
      </c>
      <c r="P3231" s="50">
        <v>321.42600000000004</v>
      </c>
    </row>
    <row r="3232" spans="4:16" x14ac:dyDescent="0.2">
      <c r="D3232">
        <v>100001928</v>
      </c>
      <c r="E3232" s="49">
        <v>45614</v>
      </c>
      <c r="F3232" t="s">
        <v>3699</v>
      </c>
      <c r="G3232" t="s">
        <v>1830</v>
      </c>
      <c r="H3232">
        <v>1</v>
      </c>
      <c r="I3232">
        <v>13.25</v>
      </c>
      <c r="J3232" s="50">
        <v>13.25</v>
      </c>
      <c r="K3232" t="s">
        <v>1618</v>
      </c>
      <c r="L3232" t="s">
        <v>3700</v>
      </c>
      <c r="M3232" t="s">
        <v>1619</v>
      </c>
      <c r="N3232">
        <v>6.99</v>
      </c>
      <c r="O3232" s="49">
        <v>45615</v>
      </c>
      <c r="P3232" s="50">
        <v>5.9625000000000004</v>
      </c>
    </row>
    <row r="3233" spans="4:16" x14ac:dyDescent="0.2">
      <c r="D3233">
        <v>100001928</v>
      </c>
      <c r="E3233" s="49">
        <v>44981</v>
      </c>
      <c r="F3233" t="s">
        <v>3699</v>
      </c>
      <c r="G3233" t="s">
        <v>1955</v>
      </c>
      <c r="H3233">
        <v>5</v>
      </c>
      <c r="I3233">
        <v>100.79</v>
      </c>
      <c r="J3233" s="50">
        <v>503.95</v>
      </c>
      <c r="K3233" t="s">
        <v>1618</v>
      </c>
      <c r="L3233" t="s">
        <v>3700</v>
      </c>
      <c r="M3233" t="s">
        <v>1629</v>
      </c>
      <c r="N3233">
        <v>53.19</v>
      </c>
      <c r="O3233" s="49">
        <v>44984</v>
      </c>
      <c r="P3233" s="50">
        <v>226.7775</v>
      </c>
    </row>
    <row r="3234" spans="4:16" x14ac:dyDescent="0.2">
      <c r="D3234">
        <v>100001929</v>
      </c>
      <c r="E3234" s="49">
        <v>45414</v>
      </c>
      <c r="F3234" t="s">
        <v>3701</v>
      </c>
      <c r="G3234" t="s">
        <v>2480</v>
      </c>
      <c r="H3234">
        <v>8</v>
      </c>
      <c r="I3234">
        <v>89.47</v>
      </c>
      <c r="J3234" s="50">
        <v>715.76</v>
      </c>
      <c r="K3234" t="s">
        <v>1618</v>
      </c>
      <c r="M3234" t="s">
        <v>1627</v>
      </c>
      <c r="N3234">
        <v>47.22</v>
      </c>
      <c r="O3234" s="49">
        <v>45415</v>
      </c>
      <c r="P3234" s="50">
        <v>322.09199999999998</v>
      </c>
    </row>
    <row r="3235" spans="4:16" x14ac:dyDescent="0.2">
      <c r="D3235">
        <v>100001930</v>
      </c>
      <c r="E3235" s="49">
        <v>45467</v>
      </c>
      <c r="F3235" t="s">
        <v>3702</v>
      </c>
      <c r="G3235" t="s">
        <v>1890</v>
      </c>
      <c r="H3235">
        <v>7</v>
      </c>
      <c r="I3235">
        <v>30.79</v>
      </c>
      <c r="J3235" s="50">
        <v>215.53</v>
      </c>
      <c r="K3235" t="s">
        <v>1632</v>
      </c>
      <c r="M3235" t="s">
        <v>1621</v>
      </c>
      <c r="N3235">
        <v>16.25</v>
      </c>
      <c r="O3235" s="49">
        <v>45469</v>
      </c>
      <c r="P3235" s="50">
        <v>96.988500000000002</v>
      </c>
    </row>
    <row r="3236" spans="4:16" x14ac:dyDescent="0.2">
      <c r="D3236">
        <v>100001930</v>
      </c>
      <c r="E3236" s="49">
        <v>44976</v>
      </c>
      <c r="F3236" t="s">
        <v>3702</v>
      </c>
      <c r="G3236" t="s">
        <v>2581</v>
      </c>
      <c r="H3236">
        <v>3</v>
      </c>
      <c r="I3236">
        <v>21.14</v>
      </c>
      <c r="J3236" s="50">
        <v>63.42</v>
      </c>
      <c r="K3236" t="s">
        <v>1632</v>
      </c>
      <c r="M3236" t="s">
        <v>1621</v>
      </c>
      <c r="N3236">
        <v>11.16</v>
      </c>
      <c r="O3236" s="49">
        <v>44980</v>
      </c>
      <c r="P3236" s="50">
        <v>28.539000000000001</v>
      </c>
    </row>
    <row r="3237" spans="4:16" x14ac:dyDescent="0.2">
      <c r="D3237">
        <v>100001931</v>
      </c>
      <c r="E3237" s="49">
        <v>44670</v>
      </c>
      <c r="F3237" t="s">
        <v>3703</v>
      </c>
      <c r="G3237" t="s">
        <v>1812</v>
      </c>
      <c r="H3237">
        <v>10</v>
      </c>
      <c r="I3237">
        <v>75.36</v>
      </c>
      <c r="J3237" s="50">
        <v>753.6</v>
      </c>
      <c r="K3237" t="s">
        <v>1618</v>
      </c>
      <c r="M3237" t="s">
        <v>1627</v>
      </c>
      <c r="N3237">
        <v>39.770000000000003</v>
      </c>
      <c r="O3237" s="49">
        <v>44674</v>
      </c>
      <c r="P3237" s="50">
        <v>339.12</v>
      </c>
    </row>
    <row r="3238" spans="4:16" x14ac:dyDescent="0.2">
      <c r="D3238">
        <v>100001931</v>
      </c>
      <c r="E3238" s="49">
        <v>45315</v>
      </c>
      <c r="F3238" t="s">
        <v>3703</v>
      </c>
      <c r="G3238" t="s">
        <v>2004</v>
      </c>
      <c r="H3238">
        <v>5</v>
      </c>
      <c r="I3238">
        <v>83.79</v>
      </c>
      <c r="J3238" s="50">
        <v>418.95</v>
      </c>
      <c r="K3238" t="s">
        <v>1618</v>
      </c>
      <c r="M3238" t="s">
        <v>1624</v>
      </c>
      <c r="N3238">
        <v>44.22</v>
      </c>
      <c r="O3238" s="49">
        <v>45318</v>
      </c>
      <c r="P3238" s="50">
        <v>188.5275</v>
      </c>
    </row>
    <row r="3239" spans="4:16" x14ac:dyDescent="0.2">
      <c r="D3239">
        <v>100001933</v>
      </c>
      <c r="E3239" s="49">
        <v>45652</v>
      </c>
      <c r="F3239" t="s">
        <v>3704</v>
      </c>
      <c r="G3239" t="s">
        <v>1748</v>
      </c>
      <c r="H3239">
        <v>5</v>
      </c>
      <c r="I3239">
        <v>77.56</v>
      </c>
      <c r="J3239" s="50">
        <v>387.8</v>
      </c>
      <c r="K3239" t="s">
        <v>1632</v>
      </c>
      <c r="L3239" t="s">
        <v>3705</v>
      </c>
      <c r="M3239" t="s">
        <v>1621</v>
      </c>
      <c r="N3239">
        <v>40.93</v>
      </c>
      <c r="O3239" s="49">
        <v>45655</v>
      </c>
      <c r="P3239" s="50">
        <v>174.51000000000002</v>
      </c>
    </row>
    <row r="3240" spans="4:16" x14ac:dyDescent="0.2">
      <c r="D3240">
        <v>100001935</v>
      </c>
      <c r="E3240" s="49">
        <v>44981</v>
      </c>
      <c r="F3240" t="s">
        <v>3706</v>
      </c>
      <c r="G3240" t="s">
        <v>1859</v>
      </c>
      <c r="H3240">
        <v>6</v>
      </c>
      <c r="I3240">
        <v>55.27</v>
      </c>
      <c r="J3240" s="50">
        <v>331.62</v>
      </c>
      <c r="K3240" t="s">
        <v>1632</v>
      </c>
      <c r="M3240" t="s">
        <v>1621</v>
      </c>
      <c r="N3240">
        <v>29.17</v>
      </c>
      <c r="O3240" s="49">
        <v>44983</v>
      </c>
      <c r="P3240" s="50">
        <v>149.22900000000001</v>
      </c>
    </row>
    <row r="3241" spans="4:16" x14ac:dyDescent="0.2">
      <c r="D3241">
        <v>100001935</v>
      </c>
      <c r="E3241" s="49">
        <v>44871</v>
      </c>
      <c r="F3241" t="s">
        <v>3706</v>
      </c>
      <c r="G3241" t="s">
        <v>1674</v>
      </c>
      <c r="H3241">
        <v>2</v>
      </c>
      <c r="I3241">
        <v>59.84</v>
      </c>
      <c r="J3241" s="50">
        <v>119.68</v>
      </c>
      <c r="K3241" t="s">
        <v>1632</v>
      </c>
      <c r="M3241" t="s">
        <v>1627</v>
      </c>
      <c r="N3241">
        <v>31.58</v>
      </c>
      <c r="O3241" s="49">
        <v>44873</v>
      </c>
      <c r="P3241" s="50">
        <v>53.856000000000002</v>
      </c>
    </row>
    <row r="3242" spans="4:16" x14ac:dyDescent="0.2">
      <c r="D3242">
        <v>100001935</v>
      </c>
      <c r="E3242" s="49">
        <v>45461</v>
      </c>
      <c r="F3242" t="s">
        <v>3706</v>
      </c>
      <c r="G3242" t="s">
        <v>1675</v>
      </c>
      <c r="H3242">
        <v>3</v>
      </c>
      <c r="I3242">
        <v>33.909999999999997</v>
      </c>
      <c r="J3242" s="50">
        <v>101.73</v>
      </c>
      <c r="K3242" t="s">
        <v>1632</v>
      </c>
      <c r="M3242" t="s">
        <v>1621</v>
      </c>
      <c r="N3242">
        <v>17.899999999999999</v>
      </c>
      <c r="O3242" s="49">
        <v>45466</v>
      </c>
      <c r="P3242" s="50">
        <v>45.778500000000001</v>
      </c>
    </row>
    <row r="3243" spans="4:16" x14ac:dyDescent="0.2">
      <c r="D3243">
        <v>100001935</v>
      </c>
      <c r="E3243" s="49">
        <v>45203</v>
      </c>
      <c r="F3243" t="s">
        <v>3706</v>
      </c>
      <c r="G3243" t="s">
        <v>1715</v>
      </c>
      <c r="H3243">
        <v>3</v>
      </c>
      <c r="I3243">
        <v>29.6</v>
      </c>
      <c r="J3243" s="50">
        <v>88.800000000000011</v>
      </c>
      <c r="K3243" t="s">
        <v>1632</v>
      </c>
      <c r="M3243" t="s">
        <v>1621</v>
      </c>
      <c r="N3243">
        <v>15.62</v>
      </c>
      <c r="O3243" s="49">
        <v>45207</v>
      </c>
      <c r="P3243" s="50">
        <v>39.960000000000008</v>
      </c>
    </row>
    <row r="3244" spans="4:16" x14ac:dyDescent="0.2">
      <c r="D3244">
        <v>100001935</v>
      </c>
      <c r="E3244" s="49">
        <v>45255</v>
      </c>
      <c r="F3244" t="s">
        <v>3706</v>
      </c>
      <c r="G3244" t="s">
        <v>1859</v>
      </c>
      <c r="H3244">
        <v>3</v>
      </c>
      <c r="I3244">
        <v>88.98</v>
      </c>
      <c r="J3244" s="50">
        <v>266.94</v>
      </c>
      <c r="K3244" t="s">
        <v>1632</v>
      </c>
      <c r="M3244" t="s">
        <v>1627</v>
      </c>
      <c r="N3244">
        <v>46.96</v>
      </c>
      <c r="O3244" s="49">
        <v>45258</v>
      </c>
      <c r="P3244" s="50">
        <v>120.123</v>
      </c>
    </row>
    <row r="3245" spans="4:16" x14ac:dyDescent="0.2">
      <c r="D3245">
        <v>100001937</v>
      </c>
      <c r="E3245" s="49">
        <v>44949</v>
      </c>
      <c r="F3245" t="s">
        <v>3707</v>
      </c>
      <c r="G3245" t="s">
        <v>1651</v>
      </c>
      <c r="H3245">
        <v>9</v>
      </c>
      <c r="I3245">
        <v>30.43</v>
      </c>
      <c r="J3245" s="50">
        <v>273.87</v>
      </c>
      <c r="K3245" t="s">
        <v>1632</v>
      </c>
      <c r="L3245" t="s">
        <v>3708</v>
      </c>
      <c r="M3245" t="s">
        <v>1627</v>
      </c>
      <c r="N3245">
        <v>16.059999999999999</v>
      </c>
      <c r="O3245" s="49">
        <v>44953</v>
      </c>
      <c r="P3245" s="50">
        <v>123.2415</v>
      </c>
    </row>
    <row r="3246" spans="4:16" x14ac:dyDescent="0.2">
      <c r="D3246">
        <v>100001938</v>
      </c>
      <c r="E3246" s="49">
        <v>44882</v>
      </c>
      <c r="F3246" t="s">
        <v>3709</v>
      </c>
      <c r="G3246" t="s">
        <v>1853</v>
      </c>
      <c r="H3246">
        <v>7</v>
      </c>
      <c r="I3246">
        <v>99.45</v>
      </c>
      <c r="J3246" s="50">
        <v>696.15</v>
      </c>
      <c r="K3246" t="s">
        <v>1632</v>
      </c>
      <c r="M3246" t="s">
        <v>1629</v>
      </c>
      <c r="N3246">
        <v>52.49</v>
      </c>
      <c r="O3246" s="49">
        <v>44884</v>
      </c>
      <c r="P3246" s="50">
        <v>313.26749999999998</v>
      </c>
    </row>
    <row r="3247" spans="4:16" x14ac:dyDescent="0.2">
      <c r="D3247">
        <v>100001939</v>
      </c>
      <c r="E3247" s="49">
        <v>45157</v>
      </c>
      <c r="F3247" t="s">
        <v>3710</v>
      </c>
      <c r="G3247" t="s">
        <v>1667</v>
      </c>
      <c r="H3247">
        <v>5</v>
      </c>
      <c r="I3247">
        <v>50.93</v>
      </c>
      <c r="J3247" s="50">
        <v>254.65</v>
      </c>
      <c r="K3247" t="s">
        <v>1618</v>
      </c>
      <c r="M3247" t="s">
        <v>1619</v>
      </c>
      <c r="N3247">
        <v>26.88</v>
      </c>
      <c r="O3247" s="49">
        <v>45158</v>
      </c>
      <c r="P3247" s="50">
        <v>114.5925</v>
      </c>
    </row>
    <row r="3248" spans="4:16" x14ac:dyDescent="0.2">
      <c r="D3248">
        <v>100001939</v>
      </c>
      <c r="E3248" s="49">
        <v>44586</v>
      </c>
      <c r="F3248" t="s">
        <v>3710</v>
      </c>
      <c r="G3248" t="s">
        <v>1649</v>
      </c>
      <c r="H3248">
        <v>7</v>
      </c>
      <c r="I3248">
        <v>96.97</v>
      </c>
      <c r="J3248" s="50">
        <v>678.79</v>
      </c>
      <c r="K3248" t="s">
        <v>1618</v>
      </c>
      <c r="M3248" t="s">
        <v>1621</v>
      </c>
      <c r="N3248">
        <v>51.18</v>
      </c>
      <c r="O3248" s="49">
        <v>44590</v>
      </c>
      <c r="P3248" s="50">
        <v>305.45549999999997</v>
      </c>
    </row>
    <row r="3249" spans="4:16" x14ac:dyDescent="0.2">
      <c r="D3249">
        <v>100001939</v>
      </c>
      <c r="E3249" s="49">
        <v>44836</v>
      </c>
      <c r="F3249" t="s">
        <v>3710</v>
      </c>
      <c r="G3249" t="s">
        <v>2745</v>
      </c>
      <c r="H3249">
        <v>6</v>
      </c>
      <c r="I3249">
        <v>32.86</v>
      </c>
      <c r="J3249" s="50">
        <v>197.16</v>
      </c>
      <c r="K3249" t="s">
        <v>1618</v>
      </c>
      <c r="M3249" t="s">
        <v>1624</v>
      </c>
      <c r="N3249">
        <v>17.34</v>
      </c>
      <c r="O3249" s="49">
        <v>44840</v>
      </c>
      <c r="P3249" s="50">
        <v>88.721999999999994</v>
      </c>
    </row>
    <row r="3250" spans="4:16" x14ac:dyDescent="0.2">
      <c r="D3250">
        <v>100001939</v>
      </c>
      <c r="E3250" s="49">
        <v>44935</v>
      </c>
      <c r="F3250" t="s">
        <v>3710</v>
      </c>
      <c r="G3250" t="s">
        <v>1758</v>
      </c>
      <c r="H3250">
        <v>5</v>
      </c>
      <c r="I3250">
        <v>88.68</v>
      </c>
      <c r="J3250" s="50">
        <v>443.4</v>
      </c>
      <c r="K3250" t="s">
        <v>1618</v>
      </c>
      <c r="M3250" t="s">
        <v>1624</v>
      </c>
      <c r="N3250">
        <v>46.8</v>
      </c>
      <c r="O3250" s="49">
        <v>44940</v>
      </c>
      <c r="P3250" s="50">
        <v>199.53</v>
      </c>
    </row>
    <row r="3251" spans="4:16" x14ac:dyDescent="0.2">
      <c r="D3251">
        <v>100001940</v>
      </c>
      <c r="E3251" s="49">
        <v>45039</v>
      </c>
      <c r="F3251" t="s">
        <v>3711</v>
      </c>
      <c r="G3251" t="s">
        <v>2101</v>
      </c>
      <c r="H3251">
        <v>4</v>
      </c>
      <c r="I3251">
        <v>95.76</v>
      </c>
      <c r="J3251" s="50">
        <v>383.04</v>
      </c>
      <c r="K3251" t="s">
        <v>1618</v>
      </c>
      <c r="L3251" t="s">
        <v>2748</v>
      </c>
      <c r="M3251" t="s">
        <v>1624</v>
      </c>
      <c r="N3251">
        <v>50.54</v>
      </c>
      <c r="O3251" s="49">
        <v>45040</v>
      </c>
      <c r="P3251" s="50">
        <v>172.36800000000002</v>
      </c>
    </row>
    <row r="3252" spans="4:16" x14ac:dyDescent="0.2">
      <c r="D3252">
        <v>100001940</v>
      </c>
      <c r="E3252" s="49">
        <v>45104</v>
      </c>
      <c r="F3252" t="s">
        <v>3711</v>
      </c>
      <c r="G3252" t="s">
        <v>1628</v>
      </c>
      <c r="H3252">
        <v>5</v>
      </c>
      <c r="I3252">
        <v>19.88</v>
      </c>
      <c r="J3252" s="50">
        <v>99.399999999999991</v>
      </c>
      <c r="K3252" t="s">
        <v>1618</v>
      </c>
      <c r="L3252" t="s">
        <v>2748</v>
      </c>
      <c r="M3252" t="s">
        <v>1627</v>
      </c>
      <c r="N3252">
        <v>10.49</v>
      </c>
      <c r="O3252" s="49">
        <v>45109</v>
      </c>
      <c r="P3252" s="50">
        <v>44.73</v>
      </c>
    </row>
    <row r="3253" spans="4:16" x14ac:dyDescent="0.2">
      <c r="D3253">
        <v>100001940</v>
      </c>
      <c r="E3253" s="49">
        <v>45277</v>
      </c>
      <c r="F3253" t="s">
        <v>3711</v>
      </c>
      <c r="G3253" t="s">
        <v>1885</v>
      </c>
      <c r="H3253">
        <v>10</v>
      </c>
      <c r="I3253">
        <v>81.06</v>
      </c>
      <c r="J3253" s="50">
        <v>810.6</v>
      </c>
      <c r="K3253" t="s">
        <v>1618</v>
      </c>
      <c r="L3253" t="s">
        <v>2748</v>
      </c>
      <c r="M3253" t="s">
        <v>1621</v>
      </c>
      <c r="N3253">
        <v>42.78</v>
      </c>
      <c r="O3253" s="49">
        <v>45280</v>
      </c>
      <c r="P3253" s="50">
        <v>364.77000000000004</v>
      </c>
    </row>
    <row r="3254" spans="4:16" x14ac:dyDescent="0.2">
      <c r="D3254">
        <v>100001940</v>
      </c>
      <c r="E3254" s="49">
        <v>44724</v>
      </c>
      <c r="F3254" t="s">
        <v>3711</v>
      </c>
      <c r="G3254" t="s">
        <v>2431</v>
      </c>
      <c r="H3254">
        <v>8</v>
      </c>
      <c r="I3254">
        <v>12.03</v>
      </c>
      <c r="J3254" s="50">
        <v>96.24</v>
      </c>
      <c r="K3254" t="s">
        <v>1618</v>
      </c>
      <c r="L3254" t="s">
        <v>2748</v>
      </c>
      <c r="M3254" t="s">
        <v>1624</v>
      </c>
      <c r="N3254">
        <v>6.35</v>
      </c>
      <c r="O3254" s="49">
        <v>44728</v>
      </c>
      <c r="P3254" s="50">
        <v>43.308</v>
      </c>
    </row>
    <row r="3255" spans="4:16" x14ac:dyDescent="0.2">
      <c r="D3255">
        <v>100001941</v>
      </c>
      <c r="E3255" s="49">
        <v>45633</v>
      </c>
      <c r="F3255" t="s">
        <v>3125</v>
      </c>
      <c r="G3255" t="s">
        <v>2121</v>
      </c>
      <c r="H3255">
        <v>7</v>
      </c>
      <c r="I3255">
        <v>30.87</v>
      </c>
      <c r="J3255" s="50">
        <v>216.09</v>
      </c>
      <c r="K3255" t="s">
        <v>1618</v>
      </c>
      <c r="M3255" t="s">
        <v>1619</v>
      </c>
      <c r="N3255">
        <v>16.29</v>
      </c>
      <c r="O3255" s="49">
        <v>45638</v>
      </c>
      <c r="P3255" s="50">
        <v>97.240499999999997</v>
      </c>
    </row>
    <row r="3256" spans="4:16" x14ac:dyDescent="0.2">
      <c r="D3256">
        <v>100001942</v>
      </c>
      <c r="E3256" s="49">
        <v>45650</v>
      </c>
      <c r="F3256" t="s">
        <v>3712</v>
      </c>
      <c r="G3256" t="s">
        <v>1714</v>
      </c>
      <c r="H3256">
        <v>8</v>
      </c>
      <c r="I3256">
        <v>100.25</v>
      </c>
      <c r="J3256" s="50">
        <v>802</v>
      </c>
      <c r="K3256" t="s">
        <v>1632</v>
      </c>
      <c r="M3256" t="s">
        <v>1621</v>
      </c>
      <c r="N3256">
        <v>52.91</v>
      </c>
      <c r="O3256" s="49">
        <v>45653</v>
      </c>
      <c r="P3256" s="50">
        <v>360.90000000000003</v>
      </c>
    </row>
    <row r="3257" spans="4:16" x14ac:dyDescent="0.2">
      <c r="D3257">
        <v>100001942</v>
      </c>
      <c r="E3257" s="49">
        <v>44391</v>
      </c>
      <c r="F3257" t="s">
        <v>3712</v>
      </c>
      <c r="G3257" t="s">
        <v>1669</v>
      </c>
      <c r="H3257">
        <v>8</v>
      </c>
      <c r="I3257">
        <v>56.64</v>
      </c>
      <c r="J3257" s="50">
        <v>453.12</v>
      </c>
      <c r="K3257" t="s">
        <v>1632</v>
      </c>
      <c r="M3257" t="s">
        <v>1621</v>
      </c>
      <c r="N3257">
        <v>29.89</v>
      </c>
      <c r="O3257" s="49">
        <v>44392</v>
      </c>
      <c r="P3257" s="50">
        <v>203.904</v>
      </c>
    </row>
    <row r="3258" spans="4:16" x14ac:dyDescent="0.2">
      <c r="D3258">
        <v>100001942</v>
      </c>
      <c r="E3258" s="49">
        <v>45651</v>
      </c>
      <c r="F3258" t="s">
        <v>3712</v>
      </c>
      <c r="G3258" t="s">
        <v>2412</v>
      </c>
      <c r="H3258">
        <v>9</v>
      </c>
      <c r="I3258">
        <v>23.5</v>
      </c>
      <c r="J3258" s="50">
        <v>211.5</v>
      </c>
      <c r="K3258" t="s">
        <v>1632</v>
      </c>
      <c r="M3258" t="s">
        <v>1621</v>
      </c>
      <c r="N3258">
        <v>12.4</v>
      </c>
      <c r="O3258" s="49">
        <v>45656</v>
      </c>
      <c r="P3258" s="50">
        <v>95.174999999999997</v>
      </c>
    </row>
    <row r="3259" spans="4:16" x14ac:dyDescent="0.2">
      <c r="D3259">
        <v>100001943</v>
      </c>
      <c r="E3259" s="49">
        <v>45594</v>
      </c>
      <c r="F3259" t="s">
        <v>3713</v>
      </c>
      <c r="G3259" t="s">
        <v>1701</v>
      </c>
      <c r="H3259">
        <v>3</v>
      </c>
      <c r="I3259">
        <v>46.88</v>
      </c>
      <c r="J3259" s="50">
        <v>140.63999999999999</v>
      </c>
      <c r="K3259" t="s">
        <v>1618</v>
      </c>
      <c r="M3259" t="s">
        <v>1629</v>
      </c>
      <c r="N3259">
        <v>24.74</v>
      </c>
      <c r="O3259" s="49">
        <v>45599</v>
      </c>
      <c r="P3259" s="50">
        <v>63.287999999999997</v>
      </c>
    </row>
    <row r="3260" spans="4:16" x14ac:dyDescent="0.2">
      <c r="D3260">
        <v>100001943</v>
      </c>
      <c r="E3260" s="49">
        <v>44236</v>
      </c>
      <c r="F3260" t="s">
        <v>3713</v>
      </c>
      <c r="G3260" t="s">
        <v>2378</v>
      </c>
      <c r="H3260">
        <v>8</v>
      </c>
      <c r="I3260">
        <v>107.88</v>
      </c>
      <c r="J3260" s="50">
        <v>863.04</v>
      </c>
      <c r="K3260" t="s">
        <v>1618</v>
      </c>
      <c r="M3260" t="s">
        <v>1627</v>
      </c>
      <c r="N3260">
        <v>56.94</v>
      </c>
      <c r="O3260" s="49">
        <v>44239</v>
      </c>
      <c r="P3260" s="50">
        <v>388.36799999999999</v>
      </c>
    </row>
    <row r="3261" spans="4:16" x14ac:dyDescent="0.2">
      <c r="D3261">
        <v>100001943</v>
      </c>
      <c r="E3261" s="49">
        <v>44759</v>
      </c>
      <c r="F3261" t="s">
        <v>3713</v>
      </c>
      <c r="G3261" t="s">
        <v>2084</v>
      </c>
      <c r="H3261">
        <v>3</v>
      </c>
      <c r="I3261">
        <v>111.8</v>
      </c>
      <c r="J3261" s="50">
        <v>335.4</v>
      </c>
      <c r="K3261" t="s">
        <v>1618</v>
      </c>
      <c r="M3261" t="s">
        <v>1619</v>
      </c>
      <c r="N3261">
        <v>59.01</v>
      </c>
      <c r="O3261" s="49">
        <v>44762</v>
      </c>
      <c r="P3261" s="50">
        <v>150.93</v>
      </c>
    </row>
    <row r="3262" spans="4:16" x14ac:dyDescent="0.2">
      <c r="D3262">
        <v>100001944</v>
      </c>
      <c r="E3262" s="49">
        <v>45320</v>
      </c>
      <c r="F3262" t="s">
        <v>3714</v>
      </c>
      <c r="G3262" t="s">
        <v>1955</v>
      </c>
      <c r="H3262">
        <v>2</v>
      </c>
      <c r="I3262">
        <v>28.96</v>
      </c>
      <c r="J3262" s="50">
        <v>57.92</v>
      </c>
      <c r="K3262" t="s">
        <v>1632</v>
      </c>
      <c r="M3262" t="s">
        <v>1619</v>
      </c>
      <c r="N3262">
        <v>15.28</v>
      </c>
      <c r="O3262" s="49">
        <v>45325</v>
      </c>
      <c r="P3262" s="50">
        <v>26.064</v>
      </c>
    </row>
    <row r="3263" spans="4:16" x14ac:dyDescent="0.2">
      <c r="D3263">
        <v>100001945</v>
      </c>
      <c r="E3263" s="49">
        <v>45509</v>
      </c>
      <c r="F3263" t="s">
        <v>3715</v>
      </c>
      <c r="G3263" t="s">
        <v>1831</v>
      </c>
      <c r="H3263">
        <v>6</v>
      </c>
      <c r="I3263">
        <v>101.71</v>
      </c>
      <c r="J3263" s="50">
        <v>610.26</v>
      </c>
      <c r="K3263" t="s">
        <v>1618</v>
      </c>
      <c r="M3263" t="s">
        <v>1619</v>
      </c>
      <c r="N3263">
        <v>53.68</v>
      </c>
      <c r="O3263" s="49">
        <v>45510</v>
      </c>
      <c r="P3263" s="50">
        <v>274.61700000000002</v>
      </c>
    </row>
    <row r="3264" spans="4:16" x14ac:dyDescent="0.2">
      <c r="D3264">
        <v>100001945</v>
      </c>
      <c r="E3264" s="49">
        <v>45579</v>
      </c>
      <c r="F3264" t="s">
        <v>3715</v>
      </c>
      <c r="G3264" t="s">
        <v>1738</v>
      </c>
      <c r="H3264">
        <v>7</v>
      </c>
      <c r="I3264">
        <v>71.98</v>
      </c>
      <c r="J3264" s="50">
        <v>503.86</v>
      </c>
      <c r="K3264" t="s">
        <v>1618</v>
      </c>
      <c r="M3264" t="s">
        <v>1619</v>
      </c>
      <c r="N3264">
        <v>37.99</v>
      </c>
      <c r="O3264" s="49">
        <v>45580</v>
      </c>
      <c r="P3264" s="50">
        <v>226.73700000000002</v>
      </c>
    </row>
    <row r="3265" spans="4:16" x14ac:dyDescent="0.2">
      <c r="D3265">
        <v>100001945</v>
      </c>
      <c r="E3265" s="49">
        <v>44256</v>
      </c>
      <c r="F3265" t="s">
        <v>3715</v>
      </c>
      <c r="G3265" t="s">
        <v>1738</v>
      </c>
      <c r="H3265">
        <v>8</v>
      </c>
      <c r="I3265">
        <v>32.42</v>
      </c>
      <c r="J3265" s="50">
        <v>259.36</v>
      </c>
      <c r="K3265" t="s">
        <v>1618</v>
      </c>
      <c r="M3265" t="s">
        <v>1629</v>
      </c>
      <c r="N3265">
        <v>17.11</v>
      </c>
      <c r="O3265" s="49">
        <v>44258</v>
      </c>
      <c r="P3265" s="50">
        <v>116.712</v>
      </c>
    </row>
    <row r="3266" spans="4:16" x14ac:dyDescent="0.2">
      <c r="D3266">
        <v>100001945</v>
      </c>
      <c r="E3266" s="49">
        <v>45305</v>
      </c>
      <c r="F3266" t="s">
        <v>3715</v>
      </c>
      <c r="G3266" t="s">
        <v>2182</v>
      </c>
      <c r="H3266">
        <v>9</v>
      </c>
      <c r="I3266">
        <v>79.239999999999995</v>
      </c>
      <c r="J3266" s="50">
        <v>713.16</v>
      </c>
      <c r="K3266" t="s">
        <v>1618</v>
      </c>
      <c r="M3266" t="s">
        <v>1619</v>
      </c>
      <c r="N3266">
        <v>41.82</v>
      </c>
      <c r="O3266" s="49">
        <v>45308</v>
      </c>
      <c r="P3266" s="50">
        <v>320.92199999999997</v>
      </c>
    </row>
    <row r="3267" spans="4:16" x14ac:dyDescent="0.2">
      <c r="D3267">
        <v>100001946</v>
      </c>
      <c r="E3267" s="49">
        <v>45269</v>
      </c>
      <c r="F3267" t="s">
        <v>3716</v>
      </c>
      <c r="G3267" t="s">
        <v>1841</v>
      </c>
      <c r="H3267">
        <v>6</v>
      </c>
      <c r="I3267">
        <v>97.13</v>
      </c>
      <c r="J3267" s="50">
        <v>582.78</v>
      </c>
      <c r="K3267" t="s">
        <v>1618</v>
      </c>
      <c r="M3267" t="s">
        <v>1619</v>
      </c>
      <c r="N3267">
        <v>51.26</v>
      </c>
      <c r="O3267" s="49">
        <v>45271</v>
      </c>
      <c r="P3267" s="50">
        <v>262.25099999999998</v>
      </c>
    </row>
    <row r="3268" spans="4:16" x14ac:dyDescent="0.2">
      <c r="D3268">
        <v>100001946</v>
      </c>
      <c r="E3268" s="49">
        <v>44728</v>
      </c>
      <c r="F3268" t="s">
        <v>3716</v>
      </c>
      <c r="G3268" t="s">
        <v>1857</v>
      </c>
      <c r="H3268">
        <v>9</v>
      </c>
      <c r="I3268">
        <v>70.239999999999995</v>
      </c>
      <c r="J3268" s="50">
        <v>632.16</v>
      </c>
      <c r="K3268" t="s">
        <v>1618</v>
      </c>
      <c r="M3268" t="s">
        <v>1627</v>
      </c>
      <c r="N3268">
        <v>37.07</v>
      </c>
      <c r="O3268" s="49">
        <v>44732</v>
      </c>
      <c r="P3268" s="50">
        <v>284.47199999999998</v>
      </c>
    </row>
    <row r="3269" spans="4:16" x14ac:dyDescent="0.2">
      <c r="D3269">
        <v>100001947</v>
      </c>
      <c r="E3269" s="49">
        <v>45438</v>
      </c>
      <c r="F3269" t="s">
        <v>3717</v>
      </c>
      <c r="G3269" t="s">
        <v>2025</v>
      </c>
      <c r="H3269">
        <v>7</v>
      </c>
      <c r="I3269">
        <v>21.81</v>
      </c>
      <c r="J3269" s="50">
        <v>152.66999999999999</v>
      </c>
      <c r="K3269" t="s">
        <v>1618</v>
      </c>
      <c r="M3269" t="s">
        <v>1624</v>
      </c>
      <c r="N3269">
        <v>11.51</v>
      </c>
      <c r="O3269" s="49">
        <v>45442</v>
      </c>
      <c r="P3269" s="50">
        <v>68.701499999999996</v>
      </c>
    </row>
    <row r="3270" spans="4:16" x14ac:dyDescent="0.2">
      <c r="D3270">
        <v>100001947</v>
      </c>
      <c r="E3270" s="49">
        <v>44380</v>
      </c>
      <c r="F3270" t="s">
        <v>3717</v>
      </c>
      <c r="G3270" t="s">
        <v>1792</v>
      </c>
      <c r="H3270">
        <v>7</v>
      </c>
      <c r="I3270">
        <v>26.32</v>
      </c>
      <c r="J3270" s="50">
        <v>184.24</v>
      </c>
      <c r="K3270" t="s">
        <v>1618</v>
      </c>
      <c r="M3270" t="s">
        <v>1624</v>
      </c>
      <c r="N3270">
        <v>13.89</v>
      </c>
      <c r="O3270" s="49">
        <v>44385</v>
      </c>
      <c r="P3270" s="50">
        <v>82.908000000000001</v>
      </c>
    </row>
    <row r="3271" spans="4:16" x14ac:dyDescent="0.2">
      <c r="D3271">
        <v>100001947</v>
      </c>
      <c r="E3271" s="49">
        <v>44322</v>
      </c>
      <c r="F3271" t="s">
        <v>3717</v>
      </c>
      <c r="G3271" t="s">
        <v>2242</v>
      </c>
      <c r="H3271">
        <v>1</v>
      </c>
      <c r="I3271">
        <v>39.72</v>
      </c>
      <c r="J3271" s="50">
        <v>39.72</v>
      </c>
      <c r="K3271" t="s">
        <v>1618</v>
      </c>
      <c r="M3271" t="s">
        <v>1624</v>
      </c>
      <c r="N3271">
        <v>20.96</v>
      </c>
      <c r="O3271" s="49">
        <v>44325</v>
      </c>
      <c r="P3271" s="50">
        <v>17.873999999999999</v>
      </c>
    </row>
    <row r="3272" spans="4:16" x14ac:dyDescent="0.2">
      <c r="D3272">
        <v>100001948</v>
      </c>
      <c r="E3272" s="49">
        <v>45012</v>
      </c>
      <c r="F3272" t="s">
        <v>3718</v>
      </c>
      <c r="G3272" t="s">
        <v>2745</v>
      </c>
      <c r="H3272">
        <v>1</v>
      </c>
      <c r="I3272">
        <v>93.94</v>
      </c>
      <c r="J3272" s="50">
        <v>93.94</v>
      </c>
      <c r="K3272" t="s">
        <v>1632</v>
      </c>
      <c r="L3272" t="s">
        <v>3719</v>
      </c>
      <c r="M3272" t="s">
        <v>1629</v>
      </c>
      <c r="N3272">
        <v>49.58</v>
      </c>
      <c r="O3272" s="49">
        <v>45015</v>
      </c>
      <c r="P3272" s="50">
        <v>42.273000000000003</v>
      </c>
    </row>
    <row r="3273" spans="4:16" x14ac:dyDescent="0.2">
      <c r="D3273">
        <v>100001948</v>
      </c>
      <c r="E3273" s="49">
        <v>45479</v>
      </c>
      <c r="F3273" t="s">
        <v>3718</v>
      </c>
      <c r="G3273" t="s">
        <v>1855</v>
      </c>
      <c r="H3273">
        <v>7</v>
      </c>
      <c r="I3273">
        <v>41.64</v>
      </c>
      <c r="J3273" s="50">
        <v>291.48</v>
      </c>
      <c r="K3273" t="s">
        <v>1632</v>
      </c>
      <c r="L3273" t="s">
        <v>3719</v>
      </c>
      <c r="M3273" t="s">
        <v>1624</v>
      </c>
      <c r="N3273">
        <v>21.98</v>
      </c>
      <c r="O3273" s="49">
        <v>45480</v>
      </c>
      <c r="P3273" s="50">
        <v>131.16600000000003</v>
      </c>
    </row>
    <row r="3274" spans="4:16" x14ac:dyDescent="0.2">
      <c r="D3274">
        <v>100001949</v>
      </c>
      <c r="E3274" s="49">
        <v>45468</v>
      </c>
      <c r="F3274" t="s">
        <v>3720</v>
      </c>
      <c r="G3274" t="s">
        <v>2180</v>
      </c>
      <c r="H3274">
        <v>4</v>
      </c>
      <c r="I3274">
        <v>58.41</v>
      </c>
      <c r="J3274" s="50">
        <v>233.64</v>
      </c>
      <c r="K3274" t="s">
        <v>1618</v>
      </c>
      <c r="L3274" t="s">
        <v>3721</v>
      </c>
      <c r="M3274" t="s">
        <v>1629</v>
      </c>
      <c r="N3274">
        <v>30.83</v>
      </c>
      <c r="O3274" s="49">
        <v>45473</v>
      </c>
      <c r="P3274" s="50">
        <v>105.13799999999999</v>
      </c>
    </row>
    <row r="3275" spans="4:16" x14ac:dyDescent="0.2">
      <c r="D3275">
        <v>100001949</v>
      </c>
      <c r="E3275" s="49">
        <v>45186</v>
      </c>
      <c r="F3275" t="s">
        <v>3720</v>
      </c>
      <c r="G3275" t="s">
        <v>2412</v>
      </c>
      <c r="H3275">
        <v>7</v>
      </c>
      <c r="I3275">
        <v>58.63</v>
      </c>
      <c r="J3275" s="50">
        <v>410.41</v>
      </c>
      <c r="K3275" t="s">
        <v>1618</v>
      </c>
      <c r="L3275" t="s">
        <v>3721</v>
      </c>
      <c r="M3275" t="s">
        <v>1624</v>
      </c>
      <c r="N3275">
        <v>30.94</v>
      </c>
      <c r="O3275" s="49">
        <v>45188</v>
      </c>
      <c r="P3275" s="50">
        <v>184.68450000000001</v>
      </c>
    </row>
    <row r="3276" spans="4:16" x14ac:dyDescent="0.2">
      <c r="D3276">
        <v>100001949</v>
      </c>
      <c r="E3276" s="49">
        <v>44327</v>
      </c>
      <c r="F3276" t="s">
        <v>3720</v>
      </c>
      <c r="G3276" t="s">
        <v>1782</v>
      </c>
      <c r="H3276">
        <v>6</v>
      </c>
      <c r="I3276">
        <v>64.260000000000005</v>
      </c>
      <c r="J3276" s="50">
        <v>385.56000000000012</v>
      </c>
      <c r="K3276" t="s">
        <v>1618</v>
      </c>
      <c r="L3276" t="s">
        <v>3721</v>
      </c>
      <c r="M3276" t="s">
        <v>1619</v>
      </c>
      <c r="N3276">
        <v>33.909999999999997</v>
      </c>
      <c r="O3276" s="49">
        <v>44332</v>
      </c>
      <c r="P3276" s="50">
        <v>173.50200000000007</v>
      </c>
    </row>
    <row r="3277" spans="4:16" x14ac:dyDescent="0.2">
      <c r="D3277">
        <v>100001952</v>
      </c>
      <c r="E3277" s="49">
        <v>44749</v>
      </c>
      <c r="F3277" t="s">
        <v>3722</v>
      </c>
      <c r="G3277" t="s">
        <v>2387</v>
      </c>
      <c r="H3277">
        <v>7</v>
      </c>
      <c r="I3277">
        <v>97.04</v>
      </c>
      <c r="J3277" s="50">
        <v>679.28000000000009</v>
      </c>
      <c r="K3277" t="s">
        <v>1618</v>
      </c>
      <c r="L3277" t="s">
        <v>2268</v>
      </c>
      <c r="M3277" t="s">
        <v>1619</v>
      </c>
      <c r="N3277">
        <v>51.22</v>
      </c>
      <c r="O3277" s="49">
        <v>44753</v>
      </c>
      <c r="P3277" s="50">
        <v>305.67600000000004</v>
      </c>
    </row>
    <row r="3278" spans="4:16" x14ac:dyDescent="0.2">
      <c r="D3278">
        <v>100001952</v>
      </c>
      <c r="E3278" s="49">
        <v>45170</v>
      </c>
      <c r="F3278" t="s">
        <v>3722</v>
      </c>
      <c r="G3278" t="s">
        <v>2301</v>
      </c>
      <c r="H3278">
        <v>5</v>
      </c>
      <c r="I3278">
        <v>11.07</v>
      </c>
      <c r="J3278" s="50">
        <v>55.35</v>
      </c>
      <c r="K3278" t="s">
        <v>1618</v>
      </c>
      <c r="L3278" t="s">
        <v>2268</v>
      </c>
      <c r="M3278" t="s">
        <v>1627</v>
      </c>
      <c r="N3278">
        <v>5.84</v>
      </c>
      <c r="O3278" s="49">
        <v>45171</v>
      </c>
      <c r="P3278" s="50">
        <v>24.907500000000002</v>
      </c>
    </row>
    <row r="3279" spans="4:16" x14ac:dyDescent="0.2">
      <c r="D3279">
        <v>100001953</v>
      </c>
      <c r="E3279" s="49">
        <v>44257</v>
      </c>
      <c r="F3279" t="s">
        <v>3723</v>
      </c>
      <c r="G3279" t="s">
        <v>1758</v>
      </c>
      <c r="H3279">
        <v>2</v>
      </c>
      <c r="I3279">
        <v>47.65</v>
      </c>
      <c r="J3279" s="50">
        <v>95.3</v>
      </c>
      <c r="K3279" t="s">
        <v>1618</v>
      </c>
      <c r="M3279" t="s">
        <v>1624</v>
      </c>
      <c r="N3279">
        <v>25.15</v>
      </c>
      <c r="O3279" s="49">
        <v>44261</v>
      </c>
      <c r="P3279" s="50">
        <v>42.884999999999998</v>
      </c>
    </row>
    <row r="3280" spans="4:16" x14ac:dyDescent="0.2">
      <c r="D3280">
        <v>100001954</v>
      </c>
      <c r="E3280" s="49">
        <v>44986</v>
      </c>
      <c r="F3280" t="s">
        <v>3724</v>
      </c>
      <c r="G3280" t="s">
        <v>2016</v>
      </c>
      <c r="H3280">
        <v>1</v>
      </c>
      <c r="I3280">
        <v>51.21</v>
      </c>
      <c r="J3280" s="50">
        <v>51.21</v>
      </c>
      <c r="K3280" t="s">
        <v>1632</v>
      </c>
      <c r="M3280" t="s">
        <v>1624</v>
      </c>
      <c r="N3280">
        <v>27.03</v>
      </c>
      <c r="O3280" s="49">
        <v>44990</v>
      </c>
      <c r="P3280" s="50">
        <v>23.044499999999999</v>
      </c>
    </row>
    <row r="3281" spans="4:16" x14ac:dyDescent="0.2">
      <c r="D3281">
        <v>100001954</v>
      </c>
      <c r="E3281" s="49">
        <v>45482</v>
      </c>
      <c r="F3281" t="s">
        <v>3724</v>
      </c>
      <c r="G3281" t="s">
        <v>1885</v>
      </c>
      <c r="H3281">
        <v>10</v>
      </c>
      <c r="I3281">
        <v>34.83</v>
      </c>
      <c r="J3281" s="50">
        <v>348.3</v>
      </c>
      <c r="K3281" t="s">
        <v>1632</v>
      </c>
      <c r="M3281" t="s">
        <v>1621</v>
      </c>
      <c r="N3281">
        <v>18.38</v>
      </c>
      <c r="O3281" s="49">
        <v>45487</v>
      </c>
      <c r="P3281" s="50">
        <v>156.73500000000001</v>
      </c>
    </row>
    <row r="3282" spans="4:16" x14ac:dyDescent="0.2">
      <c r="D3282">
        <v>100001954</v>
      </c>
      <c r="E3282" s="49">
        <v>45411</v>
      </c>
      <c r="F3282" t="s">
        <v>3724</v>
      </c>
      <c r="G3282" t="s">
        <v>2357</v>
      </c>
      <c r="H3282">
        <v>4</v>
      </c>
      <c r="I3282">
        <v>24.04</v>
      </c>
      <c r="J3282" s="50">
        <v>96.16</v>
      </c>
      <c r="K3282" t="s">
        <v>1632</v>
      </c>
      <c r="M3282" t="s">
        <v>1621</v>
      </c>
      <c r="N3282">
        <v>12.69</v>
      </c>
      <c r="O3282" s="49">
        <v>45413</v>
      </c>
      <c r="P3282" s="50">
        <v>43.271999999999998</v>
      </c>
    </row>
    <row r="3283" spans="4:16" x14ac:dyDescent="0.2">
      <c r="D3283">
        <v>100001956</v>
      </c>
      <c r="E3283" s="49">
        <v>45506</v>
      </c>
      <c r="F3283" t="s">
        <v>3725</v>
      </c>
      <c r="G3283" t="s">
        <v>1766</v>
      </c>
      <c r="H3283">
        <v>8</v>
      </c>
      <c r="I3283">
        <v>66.64</v>
      </c>
      <c r="J3283" s="50">
        <v>533.12</v>
      </c>
      <c r="K3283" t="s">
        <v>1632</v>
      </c>
      <c r="L3283" t="s">
        <v>3726</v>
      </c>
      <c r="M3283" t="s">
        <v>1621</v>
      </c>
      <c r="N3283">
        <v>35.17</v>
      </c>
      <c r="O3283" s="49">
        <v>45509</v>
      </c>
      <c r="P3283" s="50">
        <v>239.904</v>
      </c>
    </row>
    <row r="3284" spans="4:16" x14ac:dyDescent="0.2">
      <c r="D3284">
        <v>100001956</v>
      </c>
      <c r="E3284" s="49">
        <v>44881</v>
      </c>
      <c r="F3284" t="s">
        <v>3725</v>
      </c>
      <c r="G3284" t="s">
        <v>2155</v>
      </c>
      <c r="H3284">
        <v>10</v>
      </c>
      <c r="I3284">
        <v>113.67</v>
      </c>
      <c r="J3284" s="50">
        <v>1136.7</v>
      </c>
      <c r="K3284" t="s">
        <v>1632</v>
      </c>
      <c r="L3284" t="s">
        <v>3726</v>
      </c>
      <c r="M3284" t="s">
        <v>1621</v>
      </c>
      <c r="N3284">
        <v>59.99</v>
      </c>
      <c r="O3284" s="49">
        <v>44886</v>
      </c>
      <c r="P3284" s="50">
        <v>511.51500000000004</v>
      </c>
    </row>
    <row r="3285" spans="4:16" x14ac:dyDescent="0.2">
      <c r="D3285">
        <v>100001957</v>
      </c>
      <c r="E3285" s="49">
        <v>44891</v>
      </c>
      <c r="F3285" t="s">
        <v>3727</v>
      </c>
      <c r="G3285" t="s">
        <v>1853</v>
      </c>
      <c r="H3285">
        <v>7</v>
      </c>
      <c r="I3285">
        <v>39.97</v>
      </c>
      <c r="J3285" s="50">
        <v>279.79000000000002</v>
      </c>
      <c r="K3285" t="s">
        <v>1632</v>
      </c>
      <c r="M3285" t="s">
        <v>1624</v>
      </c>
      <c r="N3285">
        <v>21.1</v>
      </c>
      <c r="O3285" s="49">
        <v>44895</v>
      </c>
      <c r="P3285" s="50">
        <v>125.90550000000002</v>
      </c>
    </row>
    <row r="3286" spans="4:16" x14ac:dyDescent="0.2">
      <c r="D3286">
        <v>100001957</v>
      </c>
      <c r="E3286" s="49">
        <v>44446</v>
      </c>
      <c r="F3286" t="s">
        <v>3727</v>
      </c>
      <c r="G3286" t="s">
        <v>2331</v>
      </c>
      <c r="H3286">
        <v>1</v>
      </c>
      <c r="I3286">
        <v>112.17</v>
      </c>
      <c r="J3286" s="50">
        <v>112.17</v>
      </c>
      <c r="K3286" t="s">
        <v>1632</v>
      </c>
      <c r="M3286" t="s">
        <v>1627</v>
      </c>
      <c r="N3286">
        <v>59.2</v>
      </c>
      <c r="O3286" s="49">
        <v>44449</v>
      </c>
      <c r="P3286" s="50">
        <v>50.476500000000001</v>
      </c>
    </row>
    <row r="3287" spans="4:16" x14ac:dyDescent="0.2">
      <c r="D3287">
        <v>100001958</v>
      </c>
      <c r="E3287" s="49">
        <v>45065</v>
      </c>
      <c r="F3287" t="s">
        <v>3728</v>
      </c>
      <c r="G3287" t="s">
        <v>2086</v>
      </c>
      <c r="H3287">
        <v>9</v>
      </c>
      <c r="I3287">
        <v>83.96</v>
      </c>
      <c r="J3287" s="50">
        <v>755.64</v>
      </c>
      <c r="K3287" t="s">
        <v>1632</v>
      </c>
      <c r="M3287" t="s">
        <v>1624</v>
      </c>
      <c r="N3287">
        <v>44.31</v>
      </c>
      <c r="O3287" s="49">
        <v>45068</v>
      </c>
      <c r="P3287" s="50">
        <v>340.03800000000001</v>
      </c>
    </row>
    <row r="3288" spans="4:16" x14ac:dyDescent="0.2">
      <c r="D3288">
        <v>100001958</v>
      </c>
      <c r="E3288" s="49">
        <v>45396</v>
      </c>
      <c r="F3288" t="s">
        <v>3728</v>
      </c>
      <c r="G3288" t="s">
        <v>2076</v>
      </c>
      <c r="H3288">
        <v>9</v>
      </c>
      <c r="I3288">
        <v>59.48</v>
      </c>
      <c r="J3288" s="50">
        <v>535.31999999999994</v>
      </c>
      <c r="K3288" t="s">
        <v>1632</v>
      </c>
      <c r="M3288" t="s">
        <v>1629</v>
      </c>
      <c r="N3288">
        <v>31.39</v>
      </c>
      <c r="O3288" s="49">
        <v>45401</v>
      </c>
      <c r="P3288" s="50">
        <v>240.89399999999998</v>
      </c>
    </row>
    <row r="3289" spans="4:16" x14ac:dyDescent="0.2">
      <c r="D3289">
        <v>100001961</v>
      </c>
      <c r="E3289" s="49">
        <v>44297</v>
      </c>
      <c r="F3289" t="s">
        <v>2797</v>
      </c>
      <c r="G3289" t="s">
        <v>2585</v>
      </c>
      <c r="H3289">
        <v>10</v>
      </c>
      <c r="I3289">
        <v>107.67</v>
      </c>
      <c r="J3289" s="50">
        <v>1076.7</v>
      </c>
      <c r="K3289" t="s">
        <v>1618</v>
      </c>
      <c r="M3289" t="s">
        <v>1629</v>
      </c>
      <c r="N3289">
        <v>56.83</v>
      </c>
      <c r="O3289" s="49">
        <v>44301</v>
      </c>
      <c r="P3289" s="50">
        <v>484.51500000000004</v>
      </c>
    </row>
    <row r="3290" spans="4:16" x14ac:dyDescent="0.2">
      <c r="D3290">
        <v>100001961</v>
      </c>
      <c r="E3290" s="49">
        <v>44648</v>
      </c>
      <c r="F3290" t="s">
        <v>2797</v>
      </c>
      <c r="G3290" t="s">
        <v>1617</v>
      </c>
      <c r="H3290">
        <v>6</v>
      </c>
      <c r="I3290">
        <v>17.399999999999999</v>
      </c>
      <c r="J3290" s="50">
        <v>104.4</v>
      </c>
      <c r="K3290" t="s">
        <v>1618</v>
      </c>
      <c r="M3290" t="s">
        <v>1627</v>
      </c>
      <c r="N3290">
        <v>9.18</v>
      </c>
      <c r="O3290" s="49">
        <v>44652</v>
      </c>
      <c r="P3290" s="50">
        <v>46.980000000000004</v>
      </c>
    </row>
    <row r="3291" spans="4:16" x14ac:dyDescent="0.2">
      <c r="D3291">
        <v>100001961</v>
      </c>
      <c r="E3291" s="49">
        <v>45362</v>
      </c>
      <c r="F3291" t="s">
        <v>2797</v>
      </c>
      <c r="G3291" t="s">
        <v>1855</v>
      </c>
      <c r="H3291">
        <v>7</v>
      </c>
      <c r="I3291">
        <v>42.2</v>
      </c>
      <c r="J3291" s="50">
        <v>295.39999999999998</v>
      </c>
      <c r="K3291" t="s">
        <v>1618</v>
      </c>
      <c r="M3291" t="s">
        <v>1621</v>
      </c>
      <c r="N3291">
        <v>22.27</v>
      </c>
      <c r="O3291" s="49">
        <v>45364</v>
      </c>
      <c r="P3291" s="50">
        <v>132.93</v>
      </c>
    </row>
    <row r="3292" spans="4:16" x14ac:dyDescent="0.2">
      <c r="D3292">
        <v>100001961</v>
      </c>
      <c r="E3292" s="49">
        <v>44520</v>
      </c>
      <c r="F3292" t="s">
        <v>2797</v>
      </c>
      <c r="G3292" t="s">
        <v>2024</v>
      </c>
      <c r="H3292">
        <v>3</v>
      </c>
      <c r="I3292">
        <v>46.35</v>
      </c>
      <c r="J3292" s="50">
        <v>139.05000000000001</v>
      </c>
      <c r="K3292" t="s">
        <v>1618</v>
      </c>
      <c r="M3292" t="s">
        <v>1629</v>
      </c>
      <c r="N3292">
        <v>24.46</v>
      </c>
      <c r="O3292" s="49">
        <v>44525</v>
      </c>
      <c r="P3292" s="50">
        <v>62.572500000000005</v>
      </c>
    </row>
    <row r="3293" spans="4:16" x14ac:dyDescent="0.2">
      <c r="D3293">
        <v>100001961</v>
      </c>
      <c r="E3293" s="49">
        <v>44290</v>
      </c>
      <c r="F3293" t="s">
        <v>2797</v>
      </c>
      <c r="G3293" t="s">
        <v>2007</v>
      </c>
      <c r="H3293">
        <v>5</v>
      </c>
      <c r="I3293">
        <v>71.3</v>
      </c>
      <c r="J3293" s="50">
        <v>356.5</v>
      </c>
      <c r="K3293" t="s">
        <v>1618</v>
      </c>
      <c r="M3293" t="s">
        <v>1619</v>
      </c>
      <c r="N3293">
        <v>37.630000000000003</v>
      </c>
      <c r="O3293" s="49">
        <v>44293</v>
      </c>
      <c r="P3293" s="50">
        <v>160.42500000000001</v>
      </c>
    </row>
    <row r="3294" spans="4:16" x14ac:dyDescent="0.2">
      <c r="D3294">
        <v>100001964</v>
      </c>
      <c r="E3294" s="49">
        <v>44431</v>
      </c>
      <c r="F3294" t="s">
        <v>3729</v>
      </c>
      <c r="G3294" t="s">
        <v>2057</v>
      </c>
      <c r="H3294">
        <v>5</v>
      </c>
      <c r="I3294">
        <v>96.75</v>
      </c>
      <c r="J3294" s="50">
        <v>483.75</v>
      </c>
      <c r="K3294" t="s">
        <v>1632</v>
      </c>
      <c r="L3294" t="s">
        <v>3377</v>
      </c>
      <c r="M3294" t="s">
        <v>1619</v>
      </c>
      <c r="N3294">
        <v>51.06</v>
      </c>
      <c r="O3294" s="49">
        <v>44433</v>
      </c>
      <c r="P3294" s="50">
        <v>217.6875</v>
      </c>
    </row>
    <row r="3295" spans="4:16" x14ac:dyDescent="0.2">
      <c r="D3295">
        <v>100001965</v>
      </c>
      <c r="E3295" s="49">
        <v>45499</v>
      </c>
      <c r="F3295" t="s">
        <v>3730</v>
      </c>
      <c r="G3295" t="s">
        <v>2698</v>
      </c>
      <c r="H3295">
        <v>4</v>
      </c>
      <c r="I3295">
        <v>71.53</v>
      </c>
      <c r="J3295" s="50">
        <v>286.12</v>
      </c>
      <c r="K3295" t="s">
        <v>1618</v>
      </c>
      <c r="L3295" t="s">
        <v>3731</v>
      </c>
      <c r="M3295" t="s">
        <v>1627</v>
      </c>
      <c r="N3295">
        <v>37.75</v>
      </c>
      <c r="O3295" s="49">
        <v>45500</v>
      </c>
      <c r="P3295" s="50">
        <v>128.75400000000002</v>
      </c>
    </row>
    <row r="3296" spans="4:16" x14ac:dyDescent="0.2">
      <c r="D3296">
        <v>100001965</v>
      </c>
      <c r="E3296" s="49">
        <v>44598</v>
      </c>
      <c r="F3296" t="s">
        <v>3730</v>
      </c>
      <c r="G3296" t="s">
        <v>2213</v>
      </c>
      <c r="H3296">
        <v>10</v>
      </c>
      <c r="I3296">
        <v>63.91</v>
      </c>
      <c r="J3296" s="50">
        <v>639.09999999999991</v>
      </c>
      <c r="K3296" t="s">
        <v>1618</v>
      </c>
      <c r="L3296" t="s">
        <v>3731</v>
      </c>
      <c r="M3296" t="s">
        <v>1621</v>
      </c>
      <c r="N3296">
        <v>33.729999999999997</v>
      </c>
      <c r="O3296" s="49">
        <v>44602</v>
      </c>
      <c r="P3296" s="50">
        <v>287.59499999999997</v>
      </c>
    </row>
    <row r="3297" spans="4:16" x14ac:dyDescent="0.2">
      <c r="D3297">
        <v>100001965</v>
      </c>
      <c r="E3297" s="49">
        <v>44299</v>
      </c>
      <c r="F3297" t="s">
        <v>3730</v>
      </c>
      <c r="G3297" t="s">
        <v>2550</v>
      </c>
      <c r="H3297">
        <v>4</v>
      </c>
      <c r="I3297">
        <v>32.15</v>
      </c>
      <c r="J3297" s="50">
        <v>128.6</v>
      </c>
      <c r="K3297" t="s">
        <v>1618</v>
      </c>
      <c r="L3297" t="s">
        <v>3731</v>
      </c>
      <c r="M3297" t="s">
        <v>1621</v>
      </c>
      <c r="N3297">
        <v>16.97</v>
      </c>
      <c r="O3297" s="49">
        <v>44304</v>
      </c>
      <c r="P3297" s="50">
        <v>57.87</v>
      </c>
    </row>
    <row r="3298" spans="4:16" x14ac:dyDescent="0.2">
      <c r="D3298">
        <v>100001966</v>
      </c>
      <c r="E3298" s="49">
        <v>44700</v>
      </c>
      <c r="F3298" t="s">
        <v>3732</v>
      </c>
      <c r="G3298" t="s">
        <v>2658</v>
      </c>
      <c r="H3298">
        <v>1</v>
      </c>
      <c r="I3298">
        <v>16.920000000000002</v>
      </c>
      <c r="J3298" s="50">
        <v>16.920000000000002</v>
      </c>
      <c r="K3298" t="s">
        <v>1618</v>
      </c>
      <c r="M3298" t="s">
        <v>1624</v>
      </c>
      <c r="N3298">
        <v>8.93</v>
      </c>
      <c r="O3298" s="49">
        <v>44705</v>
      </c>
      <c r="P3298" s="50">
        <v>7.6140000000000008</v>
      </c>
    </row>
    <row r="3299" spans="4:16" x14ac:dyDescent="0.2">
      <c r="D3299">
        <v>100001966</v>
      </c>
      <c r="E3299" s="49">
        <v>44455</v>
      </c>
      <c r="F3299" t="s">
        <v>3732</v>
      </c>
      <c r="G3299" t="s">
        <v>1910</v>
      </c>
      <c r="H3299">
        <v>2</v>
      </c>
      <c r="I3299">
        <v>92.17</v>
      </c>
      <c r="J3299" s="50">
        <v>184.34</v>
      </c>
      <c r="K3299" t="s">
        <v>1618</v>
      </c>
      <c r="M3299" t="s">
        <v>1627</v>
      </c>
      <c r="N3299">
        <v>48.64</v>
      </c>
      <c r="O3299" s="49">
        <v>44458</v>
      </c>
      <c r="P3299" s="50">
        <v>82.953000000000003</v>
      </c>
    </row>
    <row r="3300" spans="4:16" x14ac:dyDescent="0.2">
      <c r="D3300">
        <v>100001967</v>
      </c>
      <c r="E3300" s="49">
        <v>45554</v>
      </c>
      <c r="F3300" t="s">
        <v>3733</v>
      </c>
      <c r="G3300" t="s">
        <v>1880</v>
      </c>
      <c r="H3300">
        <v>9</v>
      </c>
      <c r="I3300">
        <v>71.61</v>
      </c>
      <c r="J3300" s="50">
        <v>644.49</v>
      </c>
      <c r="K3300" t="s">
        <v>1632</v>
      </c>
      <c r="M3300" t="s">
        <v>1624</v>
      </c>
      <c r="N3300">
        <v>37.79</v>
      </c>
      <c r="O3300" s="49">
        <v>45555</v>
      </c>
      <c r="P3300" s="50">
        <v>290.02050000000003</v>
      </c>
    </row>
    <row r="3301" spans="4:16" x14ac:dyDescent="0.2">
      <c r="D3301">
        <v>100001967</v>
      </c>
      <c r="E3301" s="49">
        <v>45219</v>
      </c>
      <c r="F3301" t="s">
        <v>3733</v>
      </c>
      <c r="G3301" t="s">
        <v>2155</v>
      </c>
      <c r="H3301">
        <v>7</v>
      </c>
      <c r="I3301">
        <v>82.71</v>
      </c>
      <c r="J3301" s="50">
        <v>578.96999999999991</v>
      </c>
      <c r="K3301" t="s">
        <v>1632</v>
      </c>
      <c r="M3301" t="s">
        <v>1621</v>
      </c>
      <c r="N3301">
        <v>43.65</v>
      </c>
      <c r="O3301" s="49">
        <v>45222</v>
      </c>
      <c r="P3301" s="50">
        <v>260.53649999999999</v>
      </c>
    </row>
    <row r="3302" spans="4:16" x14ac:dyDescent="0.2">
      <c r="D3302">
        <v>100001967</v>
      </c>
      <c r="E3302" s="49">
        <v>45207</v>
      </c>
      <c r="F3302" t="s">
        <v>3733</v>
      </c>
      <c r="G3302" t="s">
        <v>1775</v>
      </c>
      <c r="H3302">
        <v>5</v>
      </c>
      <c r="I3302">
        <v>62.37</v>
      </c>
      <c r="J3302" s="50">
        <v>311.85000000000002</v>
      </c>
      <c r="K3302" t="s">
        <v>1632</v>
      </c>
      <c r="M3302" t="s">
        <v>1621</v>
      </c>
      <c r="N3302">
        <v>32.92</v>
      </c>
      <c r="O3302" s="49">
        <v>45209</v>
      </c>
      <c r="P3302" s="50">
        <v>140.33250000000001</v>
      </c>
    </row>
    <row r="3303" spans="4:16" x14ac:dyDescent="0.2">
      <c r="D3303">
        <v>100001969</v>
      </c>
      <c r="E3303" s="49">
        <v>45570</v>
      </c>
      <c r="F3303" t="s">
        <v>3734</v>
      </c>
      <c r="G3303" t="s">
        <v>1749</v>
      </c>
      <c r="H3303">
        <v>10</v>
      </c>
      <c r="I3303">
        <v>18.03</v>
      </c>
      <c r="J3303" s="50">
        <v>180.3</v>
      </c>
      <c r="K3303" t="s">
        <v>1618</v>
      </c>
      <c r="M3303" t="s">
        <v>1619</v>
      </c>
      <c r="N3303">
        <v>9.52</v>
      </c>
      <c r="O3303" s="49">
        <v>45571</v>
      </c>
      <c r="P3303" s="50">
        <v>81.135000000000005</v>
      </c>
    </row>
    <row r="3304" spans="4:16" x14ac:dyDescent="0.2">
      <c r="D3304">
        <v>100001969</v>
      </c>
      <c r="E3304" s="49">
        <v>45446</v>
      </c>
      <c r="F3304" t="s">
        <v>3734</v>
      </c>
      <c r="G3304" t="s">
        <v>2007</v>
      </c>
      <c r="H3304">
        <v>4</v>
      </c>
      <c r="I3304">
        <v>119.85</v>
      </c>
      <c r="J3304" s="50">
        <v>479.4</v>
      </c>
      <c r="K3304" t="s">
        <v>1618</v>
      </c>
      <c r="M3304" t="s">
        <v>1619</v>
      </c>
      <c r="N3304">
        <v>63.25</v>
      </c>
      <c r="O3304" s="49">
        <v>45449</v>
      </c>
      <c r="P3304" s="50">
        <v>215.73</v>
      </c>
    </row>
    <row r="3305" spans="4:16" x14ac:dyDescent="0.2">
      <c r="D3305">
        <v>100001969</v>
      </c>
      <c r="E3305" s="49">
        <v>44743</v>
      </c>
      <c r="F3305" t="s">
        <v>3734</v>
      </c>
      <c r="G3305" t="s">
        <v>2099</v>
      </c>
      <c r="H3305">
        <v>10</v>
      </c>
      <c r="I3305">
        <v>28.67</v>
      </c>
      <c r="J3305" s="50">
        <v>286.7</v>
      </c>
      <c r="K3305" t="s">
        <v>1618</v>
      </c>
      <c r="M3305" t="s">
        <v>1627</v>
      </c>
      <c r="N3305">
        <v>15.13</v>
      </c>
      <c r="O3305" s="49">
        <v>44748</v>
      </c>
      <c r="P3305" s="50">
        <v>129.01499999999999</v>
      </c>
    </row>
    <row r="3306" spans="4:16" x14ac:dyDescent="0.2">
      <c r="D3306">
        <v>100001969</v>
      </c>
      <c r="E3306" s="49">
        <v>44969</v>
      </c>
      <c r="F3306" t="s">
        <v>3734</v>
      </c>
      <c r="G3306" t="s">
        <v>1775</v>
      </c>
      <c r="H3306">
        <v>8</v>
      </c>
      <c r="I3306">
        <v>26.98</v>
      </c>
      <c r="J3306" s="50">
        <v>215.84</v>
      </c>
      <c r="K3306" t="s">
        <v>1618</v>
      </c>
      <c r="M3306" t="s">
        <v>1619</v>
      </c>
      <c r="N3306">
        <v>14.24</v>
      </c>
      <c r="O3306" s="49">
        <v>44970</v>
      </c>
      <c r="P3306" s="50">
        <v>97.128</v>
      </c>
    </row>
    <row r="3307" spans="4:16" x14ac:dyDescent="0.2">
      <c r="D3307">
        <v>100001971</v>
      </c>
      <c r="E3307" s="49">
        <v>45627</v>
      </c>
      <c r="F3307" t="s">
        <v>3735</v>
      </c>
      <c r="G3307" t="s">
        <v>1815</v>
      </c>
      <c r="H3307">
        <v>4</v>
      </c>
      <c r="I3307">
        <v>12.76</v>
      </c>
      <c r="J3307" s="50">
        <v>51.04</v>
      </c>
      <c r="K3307" t="s">
        <v>1632</v>
      </c>
      <c r="M3307" t="s">
        <v>1629</v>
      </c>
      <c r="N3307">
        <v>6.73</v>
      </c>
      <c r="O3307" s="49">
        <v>45629</v>
      </c>
      <c r="P3307" s="50">
        <v>22.968</v>
      </c>
    </row>
    <row r="3308" spans="4:16" x14ac:dyDescent="0.2">
      <c r="D3308">
        <v>100001971</v>
      </c>
      <c r="E3308" s="49">
        <v>45628</v>
      </c>
      <c r="F3308" t="s">
        <v>3735</v>
      </c>
      <c r="G3308" t="s">
        <v>1628</v>
      </c>
      <c r="H3308">
        <v>10</v>
      </c>
      <c r="I3308">
        <v>74.459999999999994</v>
      </c>
      <c r="J3308" s="50">
        <v>744.59999999999991</v>
      </c>
      <c r="K3308" t="s">
        <v>1632</v>
      </c>
      <c r="M3308" t="s">
        <v>1621</v>
      </c>
      <c r="N3308">
        <v>39.299999999999997</v>
      </c>
      <c r="O3308" s="49">
        <v>45632</v>
      </c>
      <c r="P3308" s="50">
        <v>335.07</v>
      </c>
    </row>
    <row r="3309" spans="4:16" x14ac:dyDescent="0.2">
      <c r="D3309">
        <v>100001973</v>
      </c>
      <c r="E3309" s="49">
        <v>45162</v>
      </c>
      <c r="F3309" t="s">
        <v>3736</v>
      </c>
      <c r="G3309" t="s">
        <v>1751</v>
      </c>
      <c r="H3309">
        <v>10</v>
      </c>
      <c r="I3309">
        <v>24.71</v>
      </c>
      <c r="J3309" s="50">
        <v>247.1</v>
      </c>
      <c r="K3309" t="s">
        <v>1632</v>
      </c>
      <c r="M3309" t="s">
        <v>1619</v>
      </c>
      <c r="N3309">
        <v>13.04</v>
      </c>
      <c r="O3309" s="49">
        <v>45166</v>
      </c>
      <c r="P3309" s="50">
        <v>111.19499999999999</v>
      </c>
    </row>
    <row r="3310" spans="4:16" x14ac:dyDescent="0.2">
      <c r="D3310">
        <v>100001974</v>
      </c>
      <c r="E3310" s="49">
        <v>44488</v>
      </c>
      <c r="F3310" t="s">
        <v>3737</v>
      </c>
      <c r="G3310" t="s">
        <v>1739</v>
      </c>
      <c r="H3310">
        <v>2</v>
      </c>
      <c r="I3310">
        <v>36.229999999999997</v>
      </c>
      <c r="J3310" s="50">
        <v>72.459999999999994</v>
      </c>
      <c r="K3310" t="s">
        <v>1618</v>
      </c>
      <c r="M3310" t="s">
        <v>1624</v>
      </c>
      <c r="N3310">
        <v>19.12</v>
      </c>
      <c r="O3310" s="49">
        <v>44492</v>
      </c>
      <c r="P3310" s="50">
        <v>32.606999999999999</v>
      </c>
    </row>
    <row r="3311" spans="4:16" x14ac:dyDescent="0.2">
      <c r="D3311">
        <v>100001974</v>
      </c>
      <c r="E3311" s="49">
        <v>44561</v>
      </c>
      <c r="F3311" t="s">
        <v>3737</v>
      </c>
      <c r="G3311" t="s">
        <v>1921</v>
      </c>
      <c r="H3311">
        <v>8</v>
      </c>
      <c r="I3311">
        <v>46.85</v>
      </c>
      <c r="J3311" s="50">
        <v>374.8</v>
      </c>
      <c r="K3311" t="s">
        <v>1618</v>
      </c>
      <c r="M3311" t="s">
        <v>1629</v>
      </c>
      <c r="N3311">
        <v>24.73</v>
      </c>
      <c r="O3311" s="49">
        <v>44563</v>
      </c>
      <c r="P3311" s="50">
        <v>168.66</v>
      </c>
    </row>
    <row r="3312" spans="4:16" x14ac:dyDescent="0.2">
      <c r="D3312">
        <v>100001974</v>
      </c>
      <c r="E3312" s="49">
        <v>44259</v>
      </c>
      <c r="F3312" t="s">
        <v>3737</v>
      </c>
      <c r="G3312" t="s">
        <v>2762</v>
      </c>
      <c r="H3312">
        <v>9</v>
      </c>
      <c r="I3312">
        <v>75.540000000000006</v>
      </c>
      <c r="J3312" s="50">
        <v>679.86</v>
      </c>
      <c r="K3312" t="s">
        <v>1618</v>
      </c>
      <c r="M3312" t="s">
        <v>1624</v>
      </c>
      <c r="N3312">
        <v>39.869999999999997</v>
      </c>
      <c r="O3312" s="49">
        <v>44262</v>
      </c>
      <c r="P3312" s="50">
        <v>305.93700000000001</v>
      </c>
    </row>
    <row r="3313" spans="4:16" x14ac:dyDescent="0.2">
      <c r="D3313">
        <v>100001974</v>
      </c>
      <c r="E3313" s="49">
        <v>44297</v>
      </c>
      <c r="F3313" t="s">
        <v>3737</v>
      </c>
      <c r="G3313" t="s">
        <v>1758</v>
      </c>
      <c r="H3313">
        <v>9</v>
      </c>
      <c r="I3313">
        <v>61.69</v>
      </c>
      <c r="J3313" s="50">
        <v>555.21</v>
      </c>
      <c r="K3313" t="s">
        <v>1618</v>
      </c>
      <c r="M3313" t="s">
        <v>1624</v>
      </c>
      <c r="N3313">
        <v>32.56</v>
      </c>
      <c r="O3313" s="49">
        <v>44301</v>
      </c>
      <c r="P3313" s="50">
        <v>249.84450000000001</v>
      </c>
    </row>
    <row r="3314" spans="4:16" x14ac:dyDescent="0.2">
      <c r="D3314">
        <v>100001974</v>
      </c>
      <c r="E3314" s="49">
        <v>44782</v>
      </c>
      <c r="F3314" t="s">
        <v>3737</v>
      </c>
      <c r="G3314" t="s">
        <v>1929</v>
      </c>
      <c r="H3314">
        <v>2</v>
      </c>
      <c r="I3314">
        <v>107.73</v>
      </c>
      <c r="J3314" s="50">
        <v>215.46</v>
      </c>
      <c r="K3314" t="s">
        <v>1618</v>
      </c>
      <c r="M3314" t="s">
        <v>1619</v>
      </c>
      <c r="N3314">
        <v>56.86</v>
      </c>
      <c r="O3314" s="49">
        <v>44787</v>
      </c>
      <c r="P3314" s="50">
        <v>96.957000000000008</v>
      </c>
    </row>
    <row r="3315" spans="4:16" x14ac:dyDescent="0.2">
      <c r="D3315">
        <v>100001975</v>
      </c>
      <c r="E3315" s="49">
        <v>44467</v>
      </c>
      <c r="F3315" t="s">
        <v>3738</v>
      </c>
      <c r="G3315" t="s">
        <v>1754</v>
      </c>
      <c r="H3315">
        <v>10</v>
      </c>
      <c r="I3315">
        <v>101.86</v>
      </c>
      <c r="J3315" s="50">
        <v>1018.6</v>
      </c>
      <c r="K3315" t="s">
        <v>1632</v>
      </c>
      <c r="M3315" t="s">
        <v>1627</v>
      </c>
      <c r="N3315">
        <v>53.76</v>
      </c>
      <c r="O3315" s="49">
        <v>44471</v>
      </c>
      <c r="P3315" s="50">
        <v>458.37</v>
      </c>
    </row>
    <row r="3316" spans="4:16" x14ac:dyDescent="0.2">
      <c r="D3316">
        <v>100001975</v>
      </c>
      <c r="E3316" s="49">
        <v>44595</v>
      </c>
      <c r="F3316" t="s">
        <v>3738</v>
      </c>
      <c r="G3316" t="s">
        <v>2217</v>
      </c>
      <c r="H3316">
        <v>3</v>
      </c>
      <c r="I3316">
        <v>102.83</v>
      </c>
      <c r="J3316" s="50">
        <v>308.49</v>
      </c>
      <c r="K3316" t="s">
        <v>1632</v>
      </c>
      <c r="M3316" t="s">
        <v>1619</v>
      </c>
      <c r="N3316">
        <v>54.27</v>
      </c>
      <c r="O3316" s="49">
        <v>44597</v>
      </c>
      <c r="P3316" s="50">
        <v>138.82050000000001</v>
      </c>
    </row>
    <row r="3317" spans="4:16" x14ac:dyDescent="0.2">
      <c r="D3317">
        <v>100001975</v>
      </c>
      <c r="E3317" s="49">
        <v>44223</v>
      </c>
      <c r="F3317" t="s">
        <v>3738</v>
      </c>
      <c r="G3317" t="s">
        <v>1704</v>
      </c>
      <c r="H3317">
        <v>5</v>
      </c>
      <c r="I3317">
        <v>34.74</v>
      </c>
      <c r="J3317" s="50">
        <v>173.7</v>
      </c>
      <c r="K3317" t="s">
        <v>1632</v>
      </c>
      <c r="M3317" t="s">
        <v>1619</v>
      </c>
      <c r="N3317">
        <v>18.329999999999998</v>
      </c>
      <c r="O3317" s="49">
        <v>44228</v>
      </c>
      <c r="P3317" s="50">
        <v>78.164999999999992</v>
      </c>
    </row>
    <row r="3318" spans="4:16" x14ac:dyDescent="0.2">
      <c r="D3318">
        <v>100001978</v>
      </c>
      <c r="E3318" s="49">
        <v>44724</v>
      </c>
      <c r="F3318" t="s">
        <v>3739</v>
      </c>
      <c r="G3318" t="s">
        <v>1666</v>
      </c>
      <c r="H3318">
        <v>6</v>
      </c>
      <c r="I3318">
        <v>75.540000000000006</v>
      </c>
      <c r="J3318" s="50">
        <v>453.24</v>
      </c>
      <c r="K3318" t="s">
        <v>1632</v>
      </c>
      <c r="M3318" t="s">
        <v>1624</v>
      </c>
      <c r="N3318">
        <v>39.869999999999997</v>
      </c>
      <c r="O3318" s="49">
        <v>44729</v>
      </c>
      <c r="P3318" s="50">
        <v>203.958</v>
      </c>
    </row>
    <row r="3319" spans="4:16" x14ac:dyDescent="0.2">
      <c r="D3319">
        <v>100001978</v>
      </c>
      <c r="E3319" s="49">
        <v>45003</v>
      </c>
      <c r="F3319" t="s">
        <v>3739</v>
      </c>
      <c r="G3319" t="s">
        <v>1631</v>
      </c>
      <c r="H3319">
        <v>6</v>
      </c>
      <c r="I3319">
        <v>21.43</v>
      </c>
      <c r="J3319" s="50">
        <v>128.58000000000001</v>
      </c>
      <c r="K3319" t="s">
        <v>1632</v>
      </c>
      <c r="M3319" t="s">
        <v>1627</v>
      </c>
      <c r="N3319">
        <v>11.31</v>
      </c>
      <c r="O3319" s="49">
        <v>45006</v>
      </c>
      <c r="P3319" s="50">
        <v>57.861000000000004</v>
      </c>
    </row>
    <row r="3320" spans="4:16" x14ac:dyDescent="0.2">
      <c r="D3320">
        <v>100001979</v>
      </c>
      <c r="E3320" s="49">
        <v>44637</v>
      </c>
      <c r="F3320" t="s">
        <v>3740</v>
      </c>
      <c r="G3320" t="s">
        <v>2242</v>
      </c>
      <c r="H3320">
        <v>6</v>
      </c>
      <c r="I3320">
        <v>27.99</v>
      </c>
      <c r="J3320" s="50">
        <v>167.94</v>
      </c>
      <c r="K3320" t="s">
        <v>1618</v>
      </c>
      <c r="M3320" t="s">
        <v>1619</v>
      </c>
      <c r="N3320">
        <v>14.77</v>
      </c>
      <c r="O3320" s="49">
        <v>44639</v>
      </c>
      <c r="P3320" s="50">
        <v>75.573000000000008</v>
      </c>
    </row>
    <row r="3321" spans="4:16" x14ac:dyDescent="0.2">
      <c r="D3321">
        <v>100001979</v>
      </c>
      <c r="E3321" s="49">
        <v>44478</v>
      </c>
      <c r="F3321" t="s">
        <v>3740</v>
      </c>
      <c r="G3321" t="s">
        <v>1918</v>
      </c>
      <c r="H3321">
        <v>7</v>
      </c>
      <c r="I3321">
        <v>68.95</v>
      </c>
      <c r="J3321" s="50">
        <v>482.65</v>
      </c>
      <c r="K3321" t="s">
        <v>1618</v>
      </c>
      <c r="M3321" t="s">
        <v>1621</v>
      </c>
      <c r="N3321">
        <v>36.39</v>
      </c>
      <c r="O3321" s="49">
        <v>44479</v>
      </c>
      <c r="P3321" s="50">
        <v>217.1925</v>
      </c>
    </row>
    <row r="3322" spans="4:16" x14ac:dyDescent="0.2">
      <c r="D3322">
        <v>100001979</v>
      </c>
      <c r="E3322" s="49">
        <v>45481</v>
      </c>
      <c r="F3322" t="s">
        <v>3740</v>
      </c>
      <c r="G3322" t="s">
        <v>1792</v>
      </c>
      <c r="H3322">
        <v>5</v>
      </c>
      <c r="I3322">
        <v>48.19</v>
      </c>
      <c r="J3322" s="50">
        <v>240.95</v>
      </c>
      <c r="K3322" t="s">
        <v>1618</v>
      </c>
      <c r="M3322" t="s">
        <v>1629</v>
      </c>
      <c r="N3322">
        <v>25.43</v>
      </c>
      <c r="O3322" s="49">
        <v>45482</v>
      </c>
      <c r="P3322" s="50">
        <v>108.42749999999999</v>
      </c>
    </row>
    <row r="3323" spans="4:16" x14ac:dyDescent="0.2">
      <c r="D3323">
        <v>100001979</v>
      </c>
      <c r="E3323" s="49">
        <v>44729</v>
      </c>
      <c r="F3323" t="s">
        <v>3740</v>
      </c>
      <c r="G3323" t="s">
        <v>1667</v>
      </c>
      <c r="H3323">
        <v>5</v>
      </c>
      <c r="I3323">
        <v>20.69</v>
      </c>
      <c r="J3323" s="50">
        <v>103.45</v>
      </c>
      <c r="K3323" t="s">
        <v>1618</v>
      </c>
      <c r="M3323" t="s">
        <v>1629</v>
      </c>
      <c r="N3323">
        <v>10.92</v>
      </c>
      <c r="O3323" s="49">
        <v>44732</v>
      </c>
      <c r="P3323" s="50">
        <v>46.552500000000002</v>
      </c>
    </row>
    <row r="3324" spans="4:16" x14ac:dyDescent="0.2">
      <c r="D3324">
        <v>100001979</v>
      </c>
      <c r="E3324" s="49">
        <v>45546</v>
      </c>
      <c r="F3324" t="s">
        <v>3740</v>
      </c>
      <c r="G3324" t="s">
        <v>2418</v>
      </c>
      <c r="H3324">
        <v>9</v>
      </c>
      <c r="I3324">
        <v>94.34</v>
      </c>
      <c r="J3324" s="50">
        <v>849.06000000000006</v>
      </c>
      <c r="K3324" t="s">
        <v>1618</v>
      </c>
      <c r="M3324" t="s">
        <v>1621</v>
      </c>
      <c r="N3324">
        <v>49.79</v>
      </c>
      <c r="O3324" s="49">
        <v>45551</v>
      </c>
      <c r="P3324" s="50">
        <v>382.07700000000006</v>
      </c>
    </row>
    <row r="3325" spans="4:16" x14ac:dyDescent="0.2">
      <c r="D3325">
        <v>100001980</v>
      </c>
      <c r="E3325" s="49">
        <v>45132</v>
      </c>
      <c r="F3325" t="s">
        <v>3741</v>
      </c>
      <c r="G3325" t="s">
        <v>1999</v>
      </c>
      <c r="H3325">
        <v>1</v>
      </c>
      <c r="I3325">
        <v>114.52</v>
      </c>
      <c r="J3325" s="50">
        <v>114.52</v>
      </c>
      <c r="K3325" t="s">
        <v>1618</v>
      </c>
      <c r="L3325" t="s">
        <v>3742</v>
      </c>
      <c r="M3325" t="s">
        <v>1619</v>
      </c>
      <c r="N3325">
        <v>60.44</v>
      </c>
      <c r="O3325" s="49">
        <v>45136</v>
      </c>
      <c r="P3325" s="50">
        <v>51.533999999999999</v>
      </c>
    </row>
    <row r="3326" spans="4:16" x14ac:dyDescent="0.2">
      <c r="D3326">
        <v>100001980</v>
      </c>
      <c r="E3326" s="49">
        <v>45570</v>
      </c>
      <c r="F3326" t="s">
        <v>3741</v>
      </c>
      <c r="G3326" t="s">
        <v>1649</v>
      </c>
      <c r="H3326">
        <v>9</v>
      </c>
      <c r="I3326">
        <v>93.14</v>
      </c>
      <c r="J3326" s="50">
        <v>838.26</v>
      </c>
      <c r="K3326" t="s">
        <v>1618</v>
      </c>
      <c r="L3326" t="s">
        <v>3742</v>
      </c>
      <c r="M3326" t="s">
        <v>1619</v>
      </c>
      <c r="N3326">
        <v>49.16</v>
      </c>
      <c r="O3326" s="49">
        <v>45571</v>
      </c>
      <c r="P3326" s="50">
        <v>377.21699999999998</v>
      </c>
    </row>
    <row r="3327" spans="4:16" x14ac:dyDescent="0.2">
      <c r="D3327">
        <v>100001981</v>
      </c>
      <c r="E3327" s="49">
        <v>44786</v>
      </c>
      <c r="F3327" t="s">
        <v>3743</v>
      </c>
      <c r="G3327" t="s">
        <v>2084</v>
      </c>
      <c r="H3327">
        <v>9</v>
      </c>
      <c r="I3327">
        <v>46.42</v>
      </c>
      <c r="J3327" s="50">
        <v>417.78</v>
      </c>
      <c r="K3327" t="s">
        <v>1632</v>
      </c>
      <c r="M3327" t="s">
        <v>1624</v>
      </c>
      <c r="N3327">
        <v>24.5</v>
      </c>
      <c r="O3327" s="49">
        <v>44787</v>
      </c>
      <c r="P3327" s="50">
        <v>188.001</v>
      </c>
    </row>
    <row r="3328" spans="4:16" x14ac:dyDescent="0.2">
      <c r="D3328">
        <v>100001981</v>
      </c>
      <c r="E3328" s="49">
        <v>44338</v>
      </c>
      <c r="F3328" t="s">
        <v>3743</v>
      </c>
      <c r="G3328" t="s">
        <v>2733</v>
      </c>
      <c r="H3328">
        <v>2</v>
      </c>
      <c r="I3328">
        <v>114.48</v>
      </c>
      <c r="J3328" s="50">
        <v>228.96</v>
      </c>
      <c r="K3328" t="s">
        <v>1632</v>
      </c>
      <c r="M3328" t="s">
        <v>1621</v>
      </c>
      <c r="N3328">
        <v>60.42</v>
      </c>
      <c r="O3328" s="49">
        <v>44341</v>
      </c>
      <c r="P3328" s="50">
        <v>103.03200000000001</v>
      </c>
    </row>
    <row r="3329" spans="4:16" x14ac:dyDescent="0.2">
      <c r="D3329">
        <v>100001982</v>
      </c>
      <c r="E3329" s="49">
        <v>45353</v>
      </c>
      <c r="F3329" t="s">
        <v>3744</v>
      </c>
      <c r="G3329" t="s">
        <v>2028</v>
      </c>
      <c r="H3329">
        <v>7</v>
      </c>
      <c r="I3329">
        <v>75.22</v>
      </c>
      <c r="J3329" s="50">
        <v>526.54</v>
      </c>
      <c r="K3329" t="s">
        <v>1632</v>
      </c>
      <c r="M3329" t="s">
        <v>1619</v>
      </c>
      <c r="N3329">
        <v>39.700000000000003</v>
      </c>
      <c r="O3329" s="49">
        <v>45355</v>
      </c>
      <c r="P3329" s="50">
        <v>236.94299999999998</v>
      </c>
    </row>
    <row r="3330" spans="4:16" x14ac:dyDescent="0.2">
      <c r="D3330">
        <v>100001983</v>
      </c>
      <c r="E3330" s="49">
        <v>44267</v>
      </c>
      <c r="F3330" t="s">
        <v>3745</v>
      </c>
      <c r="G3330" t="s">
        <v>1805</v>
      </c>
      <c r="H3330">
        <v>6</v>
      </c>
      <c r="I3330">
        <v>13.73</v>
      </c>
      <c r="J3330" s="50">
        <v>82.38</v>
      </c>
      <c r="K3330" t="s">
        <v>1618</v>
      </c>
      <c r="M3330" t="s">
        <v>1627</v>
      </c>
      <c r="N3330">
        <v>7.25</v>
      </c>
      <c r="O3330" s="49">
        <v>44271</v>
      </c>
      <c r="P3330" s="50">
        <v>37.070999999999998</v>
      </c>
    </row>
    <row r="3331" spans="4:16" x14ac:dyDescent="0.2">
      <c r="D3331">
        <v>100001983</v>
      </c>
      <c r="E3331" s="49">
        <v>44310</v>
      </c>
      <c r="F3331" t="s">
        <v>3745</v>
      </c>
      <c r="G3331" t="s">
        <v>1943</v>
      </c>
      <c r="H3331">
        <v>10</v>
      </c>
      <c r="I3331">
        <v>36.56</v>
      </c>
      <c r="J3331" s="50">
        <v>365.6</v>
      </c>
      <c r="K3331" t="s">
        <v>1618</v>
      </c>
      <c r="M3331" t="s">
        <v>1619</v>
      </c>
      <c r="N3331">
        <v>19.3</v>
      </c>
      <c r="O3331" s="49">
        <v>44315</v>
      </c>
      <c r="P3331" s="50">
        <v>164.52</v>
      </c>
    </row>
    <row r="3332" spans="4:16" x14ac:dyDescent="0.2">
      <c r="D3332">
        <v>100001983</v>
      </c>
      <c r="E3332" s="49">
        <v>45004</v>
      </c>
      <c r="F3332" t="s">
        <v>3745</v>
      </c>
      <c r="G3332" t="s">
        <v>1666</v>
      </c>
      <c r="H3332">
        <v>9</v>
      </c>
      <c r="I3332">
        <v>51.93</v>
      </c>
      <c r="J3332" s="50">
        <v>467.37</v>
      </c>
      <c r="K3332" t="s">
        <v>1618</v>
      </c>
      <c r="M3332" t="s">
        <v>1619</v>
      </c>
      <c r="N3332">
        <v>27.41</v>
      </c>
      <c r="O3332" s="49">
        <v>45009</v>
      </c>
      <c r="P3332" s="50">
        <v>210.31650000000002</v>
      </c>
    </row>
    <row r="3333" spans="4:16" x14ac:dyDescent="0.2">
      <c r="D3333">
        <v>100001983</v>
      </c>
      <c r="E3333" s="49">
        <v>44918</v>
      </c>
      <c r="F3333" t="s">
        <v>3745</v>
      </c>
      <c r="G3333" t="s">
        <v>2047</v>
      </c>
      <c r="H3333">
        <v>4</v>
      </c>
      <c r="I3333">
        <v>63.91</v>
      </c>
      <c r="J3333" s="50">
        <v>255.64</v>
      </c>
      <c r="K3333" t="s">
        <v>1618</v>
      </c>
      <c r="M3333" t="s">
        <v>1629</v>
      </c>
      <c r="N3333">
        <v>33.729999999999997</v>
      </c>
      <c r="O3333" s="49">
        <v>44921</v>
      </c>
      <c r="P3333" s="50">
        <v>115.038</v>
      </c>
    </row>
    <row r="3334" spans="4:16" x14ac:dyDescent="0.2">
      <c r="D3334">
        <v>100001984</v>
      </c>
      <c r="E3334" s="49">
        <v>45123</v>
      </c>
      <c r="F3334" t="s">
        <v>3746</v>
      </c>
      <c r="G3334" t="s">
        <v>1921</v>
      </c>
      <c r="H3334">
        <v>6</v>
      </c>
      <c r="I3334">
        <v>84.88</v>
      </c>
      <c r="J3334" s="50">
        <v>509.28</v>
      </c>
      <c r="K3334" t="s">
        <v>1618</v>
      </c>
      <c r="M3334" t="s">
        <v>1627</v>
      </c>
      <c r="N3334">
        <v>44.8</v>
      </c>
      <c r="O3334" s="49">
        <v>45125</v>
      </c>
      <c r="P3334" s="50">
        <v>229.17599999999999</v>
      </c>
    </row>
    <row r="3335" spans="4:16" x14ac:dyDescent="0.2">
      <c r="D3335">
        <v>100001985</v>
      </c>
      <c r="E3335" s="49">
        <v>45413</v>
      </c>
      <c r="F3335" t="s">
        <v>3747</v>
      </c>
      <c r="G3335" t="s">
        <v>2328</v>
      </c>
      <c r="H3335">
        <v>8</v>
      </c>
      <c r="I3335">
        <v>96.41</v>
      </c>
      <c r="J3335" s="50">
        <v>771.28</v>
      </c>
      <c r="K3335" t="s">
        <v>1618</v>
      </c>
      <c r="M3335" t="s">
        <v>1619</v>
      </c>
      <c r="N3335">
        <v>50.88</v>
      </c>
      <c r="O3335" s="49">
        <v>45414</v>
      </c>
      <c r="P3335" s="50">
        <v>347.07600000000002</v>
      </c>
    </row>
    <row r="3336" spans="4:16" x14ac:dyDescent="0.2">
      <c r="D3336">
        <v>100001986</v>
      </c>
      <c r="E3336" s="49">
        <v>45352</v>
      </c>
      <c r="F3336" t="s">
        <v>3748</v>
      </c>
      <c r="G3336" t="s">
        <v>2613</v>
      </c>
      <c r="H3336">
        <v>5</v>
      </c>
      <c r="I3336">
        <v>34.89</v>
      </c>
      <c r="J3336" s="50">
        <v>174.45</v>
      </c>
      <c r="K3336" t="s">
        <v>1618</v>
      </c>
      <c r="M3336" t="s">
        <v>1624</v>
      </c>
      <c r="N3336">
        <v>18.41</v>
      </c>
      <c r="O3336" s="49">
        <v>45357</v>
      </c>
      <c r="P3336" s="50">
        <v>78.502499999999998</v>
      </c>
    </row>
    <row r="3337" spans="4:16" x14ac:dyDescent="0.2">
      <c r="D3337">
        <v>100001987</v>
      </c>
      <c r="E3337" s="49">
        <v>44333</v>
      </c>
      <c r="F3337" t="s">
        <v>3749</v>
      </c>
      <c r="G3337" t="s">
        <v>2017</v>
      </c>
      <c r="H3337">
        <v>6</v>
      </c>
      <c r="I3337">
        <v>57.08</v>
      </c>
      <c r="J3337" s="50">
        <v>342.48</v>
      </c>
      <c r="K3337" t="s">
        <v>1618</v>
      </c>
      <c r="M3337" t="s">
        <v>1627</v>
      </c>
      <c r="N3337">
        <v>30.13</v>
      </c>
      <c r="O3337" s="49">
        <v>44334</v>
      </c>
      <c r="P3337" s="50">
        <v>154.11600000000001</v>
      </c>
    </row>
    <row r="3338" spans="4:16" x14ac:dyDescent="0.2">
      <c r="D3338">
        <v>100001987</v>
      </c>
      <c r="E3338" s="49">
        <v>44804</v>
      </c>
      <c r="F3338" t="s">
        <v>3749</v>
      </c>
      <c r="G3338" t="s">
        <v>1956</v>
      </c>
      <c r="H3338">
        <v>7</v>
      </c>
      <c r="I3338">
        <v>105.95</v>
      </c>
      <c r="J3338" s="50">
        <v>741.65</v>
      </c>
      <c r="K3338" t="s">
        <v>1618</v>
      </c>
      <c r="M3338" t="s">
        <v>1619</v>
      </c>
      <c r="N3338">
        <v>55.92</v>
      </c>
      <c r="O3338" s="49">
        <v>44807</v>
      </c>
      <c r="P3338" s="50">
        <v>333.74250000000001</v>
      </c>
    </row>
    <row r="3339" spans="4:16" x14ac:dyDescent="0.2">
      <c r="D3339">
        <v>100001987</v>
      </c>
      <c r="E3339" s="49">
        <v>45142</v>
      </c>
      <c r="F3339" t="s">
        <v>3749</v>
      </c>
      <c r="G3339" t="s">
        <v>1985</v>
      </c>
      <c r="H3339">
        <v>3</v>
      </c>
      <c r="I3339">
        <v>85.64</v>
      </c>
      <c r="J3339" s="50">
        <v>256.92</v>
      </c>
      <c r="K3339" t="s">
        <v>1618</v>
      </c>
      <c r="M3339" t="s">
        <v>1621</v>
      </c>
      <c r="N3339">
        <v>45.2</v>
      </c>
      <c r="O3339" s="49">
        <v>45147</v>
      </c>
      <c r="P3339" s="50">
        <v>115.614</v>
      </c>
    </row>
    <row r="3340" spans="4:16" x14ac:dyDescent="0.2">
      <c r="D3340">
        <v>100001987</v>
      </c>
      <c r="E3340" s="49">
        <v>45283</v>
      </c>
      <c r="F3340" t="s">
        <v>3749</v>
      </c>
      <c r="G3340" t="s">
        <v>2076</v>
      </c>
      <c r="H3340">
        <v>5</v>
      </c>
      <c r="I3340">
        <v>49.36</v>
      </c>
      <c r="J3340" s="50">
        <v>246.8</v>
      </c>
      <c r="K3340" t="s">
        <v>1618</v>
      </c>
      <c r="M3340" t="s">
        <v>1621</v>
      </c>
      <c r="N3340">
        <v>26.05</v>
      </c>
      <c r="O3340" s="49">
        <v>45285</v>
      </c>
      <c r="P3340" s="50">
        <v>111.06</v>
      </c>
    </row>
    <row r="3341" spans="4:16" x14ac:dyDescent="0.2">
      <c r="D3341">
        <v>100001988</v>
      </c>
      <c r="E3341" s="49">
        <v>44380</v>
      </c>
      <c r="F3341" t="s">
        <v>3750</v>
      </c>
      <c r="G3341" t="s">
        <v>2151</v>
      </c>
      <c r="H3341">
        <v>7</v>
      </c>
      <c r="I3341">
        <v>47.23</v>
      </c>
      <c r="J3341" s="50">
        <v>330.61</v>
      </c>
      <c r="K3341" t="s">
        <v>1618</v>
      </c>
      <c r="L3341" t="s">
        <v>3751</v>
      </c>
      <c r="M3341" t="s">
        <v>1627</v>
      </c>
      <c r="N3341">
        <v>24.93</v>
      </c>
      <c r="O3341" s="49">
        <v>44381</v>
      </c>
      <c r="P3341" s="50">
        <v>148.77450000000002</v>
      </c>
    </row>
    <row r="3342" spans="4:16" x14ac:dyDescent="0.2">
      <c r="D3342">
        <v>100001988</v>
      </c>
      <c r="E3342" s="49">
        <v>44274</v>
      </c>
      <c r="F3342" t="s">
        <v>3750</v>
      </c>
      <c r="G3342" t="s">
        <v>1669</v>
      </c>
      <c r="H3342">
        <v>7</v>
      </c>
      <c r="I3342">
        <v>90.25</v>
      </c>
      <c r="J3342" s="50">
        <v>631.75</v>
      </c>
      <c r="K3342" t="s">
        <v>1618</v>
      </c>
      <c r="L3342" t="s">
        <v>3751</v>
      </c>
      <c r="M3342" t="s">
        <v>1629</v>
      </c>
      <c r="N3342">
        <v>47.63</v>
      </c>
      <c r="O3342" s="49">
        <v>44276</v>
      </c>
      <c r="P3342" s="50">
        <v>284.28750000000002</v>
      </c>
    </row>
    <row r="3343" spans="4:16" x14ac:dyDescent="0.2">
      <c r="D3343">
        <v>100001988</v>
      </c>
      <c r="E3343" s="49">
        <v>45591</v>
      </c>
      <c r="F3343" t="s">
        <v>3750</v>
      </c>
      <c r="G3343" t="s">
        <v>2484</v>
      </c>
      <c r="H3343">
        <v>3</v>
      </c>
      <c r="I3343">
        <v>36.46</v>
      </c>
      <c r="J3343" s="50">
        <v>109.38</v>
      </c>
      <c r="K3343" t="s">
        <v>1618</v>
      </c>
      <c r="L3343" t="s">
        <v>3751</v>
      </c>
      <c r="M3343" t="s">
        <v>1619</v>
      </c>
      <c r="N3343">
        <v>19.239999999999998</v>
      </c>
      <c r="O3343" s="49">
        <v>45594</v>
      </c>
      <c r="P3343" s="50">
        <v>49.220999999999997</v>
      </c>
    </row>
    <row r="3344" spans="4:16" x14ac:dyDescent="0.2">
      <c r="D3344">
        <v>100001988</v>
      </c>
      <c r="E3344" s="49">
        <v>44265</v>
      </c>
      <c r="F3344" t="s">
        <v>3750</v>
      </c>
      <c r="G3344" t="s">
        <v>2180</v>
      </c>
      <c r="H3344">
        <v>8</v>
      </c>
      <c r="I3344">
        <v>29.7</v>
      </c>
      <c r="J3344" s="50">
        <v>237.6</v>
      </c>
      <c r="K3344" t="s">
        <v>1618</v>
      </c>
      <c r="L3344" t="s">
        <v>3751</v>
      </c>
      <c r="M3344" t="s">
        <v>1624</v>
      </c>
      <c r="N3344">
        <v>15.67</v>
      </c>
      <c r="O3344" s="49">
        <v>44268</v>
      </c>
      <c r="P3344" s="50">
        <v>106.92</v>
      </c>
    </row>
    <row r="3345" spans="4:16" x14ac:dyDescent="0.2">
      <c r="D3345">
        <v>100001989</v>
      </c>
      <c r="E3345" s="49">
        <v>44986</v>
      </c>
      <c r="F3345" t="s">
        <v>3752</v>
      </c>
      <c r="G3345" t="s">
        <v>1848</v>
      </c>
      <c r="H3345">
        <v>5</v>
      </c>
      <c r="I3345">
        <v>32.08</v>
      </c>
      <c r="J3345" s="50">
        <v>160.4</v>
      </c>
      <c r="K3345" t="s">
        <v>1618</v>
      </c>
      <c r="M3345" t="s">
        <v>1627</v>
      </c>
      <c r="N3345">
        <v>16.93</v>
      </c>
      <c r="O3345" s="49">
        <v>44987</v>
      </c>
      <c r="P3345" s="50">
        <v>72.180000000000007</v>
      </c>
    </row>
    <row r="3346" spans="4:16" x14ac:dyDescent="0.2">
      <c r="D3346">
        <v>100001989</v>
      </c>
      <c r="E3346" s="49">
        <v>45301</v>
      </c>
      <c r="F3346" t="s">
        <v>3752</v>
      </c>
      <c r="G3346" t="s">
        <v>2198</v>
      </c>
      <c r="H3346">
        <v>7</v>
      </c>
      <c r="I3346">
        <v>34.880000000000003</v>
      </c>
      <c r="J3346" s="50">
        <v>244.16</v>
      </c>
      <c r="K3346" t="s">
        <v>1618</v>
      </c>
      <c r="M3346" t="s">
        <v>1629</v>
      </c>
      <c r="N3346">
        <v>18.41</v>
      </c>
      <c r="O3346" s="49">
        <v>45305</v>
      </c>
      <c r="P3346" s="50">
        <v>109.872</v>
      </c>
    </row>
    <row r="3347" spans="4:16" x14ac:dyDescent="0.2">
      <c r="D3347">
        <v>100001990</v>
      </c>
      <c r="E3347" s="49">
        <v>44312</v>
      </c>
      <c r="F3347" t="s">
        <v>3753</v>
      </c>
      <c r="G3347" t="s">
        <v>2328</v>
      </c>
      <c r="H3347">
        <v>2</v>
      </c>
      <c r="I3347">
        <v>15.26</v>
      </c>
      <c r="J3347" s="50">
        <v>30.52</v>
      </c>
      <c r="K3347" t="s">
        <v>1632</v>
      </c>
      <c r="M3347" t="s">
        <v>1627</v>
      </c>
      <c r="N3347">
        <v>8.0500000000000007</v>
      </c>
      <c r="O3347" s="49">
        <v>44314</v>
      </c>
      <c r="P3347" s="50">
        <v>13.734</v>
      </c>
    </row>
    <row r="3348" spans="4:16" x14ac:dyDescent="0.2">
      <c r="D3348">
        <v>100001990</v>
      </c>
      <c r="E3348" s="49">
        <v>45400</v>
      </c>
      <c r="F3348" t="s">
        <v>3753</v>
      </c>
      <c r="G3348" t="s">
        <v>1830</v>
      </c>
      <c r="H3348">
        <v>5</v>
      </c>
      <c r="I3348">
        <v>90.8</v>
      </c>
      <c r="J3348" s="50">
        <v>454</v>
      </c>
      <c r="K3348" t="s">
        <v>1632</v>
      </c>
      <c r="M3348" t="s">
        <v>1624</v>
      </c>
      <c r="N3348">
        <v>47.92</v>
      </c>
      <c r="O3348" s="49">
        <v>45403</v>
      </c>
      <c r="P3348" s="50">
        <v>204.3</v>
      </c>
    </row>
    <row r="3349" spans="4:16" x14ac:dyDescent="0.2">
      <c r="D3349">
        <v>100001990</v>
      </c>
      <c r="E3349" s="49">
        <v>44974</v>
      </c>
      <c r="F3349" t="s">
        <v>3753</v>
      </c>
      <c r="G3349" t="s">
        <v>1950</v>
      </c>
      <c r="H3349">
        <v>8</v>
      </c>
      <c r="I3349">
        <v>71.48</v>
      </c>
      <c r="J3349" s="50">
        <v>571.84</v>
      </c>
      <c r="K3349" t="s">
        <v>1632</v>
      </c>
      <c r="M3349" t="s">
        <v>1619</v>
      </c>
      <c r="N3349">
        <v>37.729999999999997</v>
      </c>
      <c r="O3349" s="49">
        <v>44976</v>
      </c>
      <c r="P3349" s="50">
        <v>257.32800000000003</v>
      </c>
    </row>
    <row r="3350" spans="4:16" x14ac:dyDescent="0.2">
      <c r="D3350">
        <v>100001991</v>
      </c>
      <c r="E3350" s="49">
        <v>44424</v>
      </c>
      <c r="F3350" t="s">
        <v>3754</v>
      </c>
      <c r="G3350" t="s">
        <v>1865</v>
      </c>
      <c r="H3350">
        <v>10</v>
      </c>
      <c r="I3350">
        <v>30.04</v>
      </c>
      <c r="J3350" s="50">
        <v>300.39999999999998</v>
      </c>
      <c r="K3350" t="s">
        <v>1632</v>
      </c>
      <c r="M3350" t="s">
        <v>1627</v>
      </c>
      <c r="N3350">
        <v>15.85</v>
      </c>
      <c r="O3350" s="49">
        <v>44429</v>
      </c>
      <c r="P3350" s="50">
        <v>135.18</v>
      </c>
    </row>
    <row r="3351" spans="4:16" x14ac:dyDescent="0.2">
      <c r="D3351">
        <v>100001993</v>
      </c>
      <c r="E3351" s="49">
        <v>44630</v>
      </c>
      <c r="F3351" t="s">
        <v>3755</v>
      </c>
      <c r="G3351" t="s">
        <v>2207</v>
      </c>
      <c r="H3351">
        <v>10</v>
      </c>
      <c r="I3351">
        <v>77.680000000000007</v>
      </c>
      <c r="J3351" s="50">
        <v>776.80000000000007</v>
      </c>
      <c r="K3351" t="s">
        <v>1618</v>
      </c>
      <c r="M3351" t="s">
        <v>1627</v>
      </c>
      <c r="N3351">
        <v>41</v>
      </c>
      <c r="O3351" s="49">
        <v>44632</v>
      </c>
      <c r="P3351" s="50">
        <v>349.56000000000006</v>
      </c>
    </row>
    <row r="3352" spans="4:16" x14ac:dyDescent="0.2">
      <c r="D3352">
        <v>100001993</v>
      </c>
      <c r="E3352" s="49">
        <v>44541</v>
      </c>
      <c r="F3352" t="s">
        <v>3755</v>
      </c>
      <c r="G3352" t="s">
        <v>1921</v>
      </c>
      <c r="H3352">
        <v>2</v>
      </c>
      <c r="I3352">
        <v>48.33</v>
      </c>
      <c r="J3352" s="50">
        <v>96.66</v>
      </c>
      <c r="K3352" t="s">
        <v>1618</v>
      </c>
      <c r="M3352" t="s">
        <v>1619</v>
      </c>
      <c r="N3352">
        <v>25.51</v>
      </c>
      <c r="O3352" s="49">
        <v>44545</v>
      </c>
      <c r="P3352" s="50">
        <v>43.497</v>
      </c>
    </row>
    <row r="3353" spans="4:16" x14ac:dyDescent="0.2">
      <c r="D3353">
        <v>100001993</v>
      </c>
      <c r="E3353" s="49">
        <v>45510</v>
      </c>
      <c r="F3353" t="s">
        <v>3755</v>
      </c>
      <c r="G3353" t="s">
        <v>1807</v>
      </c>
      <c r="H3353">
        <v>6</v>
      </c>
      <c r="I3353">
        <v>72.16</v>
      </c>
      <c r="J3353" s="50">
        <v>432.96</v>
      </c>
      <c r="K3353" t="s">
        <v>1618</v>
      </c>
      <c r="M3353" t="s">
        <v>1621</v>
      </c>
      <c r="N3353">
        <v>38.08</v>
      </c>
      <c r="O3353" s="49">
        <v>45514</v>
      </c>
      <c r="P3353" s="50">
        <v>194.83199999999999</v>
      </c>
    </row>
    <row r="3354" spans="4:16" x14ac:dyDescent="0.2">
      <c r="D3354">
        <v>100001995</v>
      </c>
      <c r="E3354" s="49">
        <v>45212</v>
      </c>
      <c r="F3354" t="s">
        <v>3756</v>
      </c>
      <c r="G3354" t="s">
        <v>2213</v>
      </c>
      <c r="H3354">
        <v>2</v>
      </c>
      <c r="I3354">
        <v>61.34</v>
      </c>
      <c r="J3354" s="50">
        <v>122.68</v>
      </c>
      <c r="K3354" t="s">
        <v>1618</v>
      </c>
      <c r="M3354" t="s">
        <v>1619</v>
      </c>
      <c r="N3354">
        <v>32.369999999999997</v>
      </c>
      <c r="O3354" s="49">
        <v>45217</v>
      </c>
      <c r="P3354" s="50">
        <v>55.206000000000003</v>
      </c>
    </row>
    <row r="3355" spans="4:16" x14ac:dyDescent="0.2">
      <c r="D3355">
        <v>100001995</v>
      </c>
      <c r="E3355" s="49">
        <v>44555</v>
      </c>
      <c r="F3355" t="s">
        <v>3756</v>
      </c>
      <c r="G3355" t="s">
        <v>2393</v>
      </c>
      <c r="H3355">
        <v>7</v>
      </c>
      <c r="I3355">
        <v>99.73</v>
      </c>
      <c r="J3355" s="50">
        <v>698.11</v>
      </c>
      <c r="K3355" t="s">
        <v>1618</v>
      </c>
      <c r="M3355" t="s">
        <v>1619</v>
      </c>
      <c r="N3355">
        <v>52.63</v>
      </c>
      <c r="O3355" s="49">
        <v>44556</v>
      </c>
      <c r="P3355" s="50">
        <v>314.14949999999999</v>
      </c>
    </row>
    <row r="3356" spans="4:16" x14ac:dyDescent="0.2">
      <c r="D3356">
        <v>100001995</v>
      </c>
      <c r="E3356" s="49">
        <v>45128</v>
      </c>
      <c r="F3356" t="s">
        <v>3756</v>
      </c>
      <c r="G3356" t="s">
        <v>2064</v>
      </c>
      <c r="H3356">
        <v>9</v>
      </c>
      <c r="I3356">
        <v>112.41</v>
      </c>
      <c r="J3356" s="50">
        <v>1011.69</v>
      </c>
      <c r="K3356" t="s">
        <v>1618</v>
      </c>
      <c r="M3356" t="s">
        <v>1624</v>
      </c>
      <c r="N3356">
        <v>59.33</v>
      </c>
      <c r="O3356" s="49">
        <v>45129</v>
      </c>
      <c r="P3356" s="50">
        <v>455.26050000000004</v>
      </c>
    </row>
    <row r="3357" spans="4:16" x14ac:dyDescent="0.2">
      <c r="D3357">
        <v>100001996</v>
      </c>
      <c r="E3357" s="49">
        <v>45189</v>
      </c>
      <c r="F3357" t="s">
        <v>3757</v>
      </c>
      <c r="G3357" t="s">
        <v>1631</v>
      </c>
      <c r="H3357">
        <v>10</v>
      </c>
      <c r="I3357">
        <v>16.37</v>
      </c>
      <c r="J3357" s="50">
        <v>163.69999999999999</v>
      </c>
      <c r="K3357" t="s">
        <v>1618</v>
      </c>
      <c r="M3357" t="s">
        <v>1629</v>
      </c>
      <c r="N3357">
        <v>8.64</v>
      </c>
      <c r="O3357" s="49">
        <v>45193</v>
      </c>
      <c r="P3357" s="50">
        <v>73.664999999999992</v>
      </c>
    </row>
    <row r="3358" spans="4:16" x14ac:dyDescent="0.2">
      <c r="D3358">
        <v>100001997</v>
      </c>
      <c r="E3358" s="49">
        <v>44871</v>
      </c>
      <c r="F3358" t="s">
        <v>3758</v>
      </c>
      <c r="G3358" t="s">
        <v>1802</v>
      </c>
      <c r="H3358">
        <v>7</v>
      </c>
      <c r="I3358">
        <v>66.94</v>
      </c>
      <c r="J3358" s="50">
        <v>468.58</v>
      </c>
      <c r="K3358" t="s">
        <v>1632</v>
      </c>
      <c r="M3358" t="s">
        <v>1624</v>
      </c>
      <c r="N3358">
        <v>35.33</v>
      </c>
      <c r="O3358" s="49">
        <v>44873</v>
      </c>
      <c r="P3358" s="50">
        <v>210.86099999999999</v>
      </c>
    </row>
    <row r="3359" spans="4:16" x14ac:dyDescent="0.2">
      <c r="D3359">
        <v>100001997</v>
      </c>
      <c r="E3359" s="49">
        <v>45460</v>
      </c>
      <c r="F3359" t="s">
        <v>3758</v>
      </c>
      <c r="G3359" t="s">
        <v>2111</v>
      </c>
      <c r="H3359">
        <v>10</v>
      </c>
      <c r="I3359">
        <v>36.32</v>
      </c>
      <c r="J3359" s="50">
        <v>363.2</v>
      </c>
      <c r="K3359" t="s">
        <v>1632</v>
      </c>
      <c r="M3359" t="s">
        <v>1624</v>
      </c>
      <c r="N3359">
        <v>19.170000000000002</v>
      </c>
      <c r="O3359" s="49">
        <v>45465</v>
      </c>
      <c r="P3359" s="50">
        <v>163.44</v>
      </c>
    </row>
    <row r="3360" spans="4:16" x14ac:dyDescent="0.2">
      <c r="D3360">
        <v>100001998</v>
      </c>
      <c r="E3360" s="49">
        <v>44376</v>
      </c>
      <c r="F3360" t="s">
        <v>3759</v>
      </c>
      <c r="G3360" t="s">
        <v>1775</v>
      </c>
      <c r="H3360">
        <v>9</v>
      </c>
      <c r="I3360">
        <v>73.569999999999993</v>
      </c>
      <c r="J3360" s="50">
        <v>662.12999999999988</v>
      </c>
      <c r="K3360" t="s">
        <v>1618</v>
      </c>
      <c r="M3360" t="s">
        <v>1621</v>
      </c>
      <c r="N3360">
        <v>38.83</v>
      </c>
      <c r="O3360" s="49">
        <v>44379</v>
      </c>
      <c r="P3360" s="50">
        <v>297.95849999999996</v>
      </c>
    </row>
    <row r="3361" spans="4:16" x14ac:dyDescent="0.2">
      <c r="D3361">
        <v>100001998</v>
      </c>
      <c r="E3361" s="49">
        <v>44669</v>
      </c>
      <c r="F3361" t="s">
        <v>3759</v>
      </c>
      <c r="G3361" t="s">
        <v>1807</v>
      </c>
      <c r="H3361">
        <v>3</v>
      </c>
      <c r="I3361">
        <v>31.34</v>
      </c>
      <c r="J3361" s="50">
        <v>94.02</v>
      </c>
      <c r="K3361" t="s">
        <v>1618</v>
      </c>
      <c r="M3361" t="s">
        <v>1624</v>
      </c>
      <c r="N3361">
        <v>16.54</v>
      </c>
      <c r="O3361" s="49">
        <v>44673</v>
      </c>
      <c r="P3361" s="50">
        <v>42.308999999999997</v>
      </c>
    </row>
    <row r="3362" spans="4:16" x14ac:dyDescent="0.2">
      <c r="D3362">
        <v>100002000</v>
      </c>
      <c r="E3362" s="49">
        <v>44261</v>
      </c>
      <c r="F3362" t="s">
        <v>3760</v>
      </c>
      <c r="G3362" t="s">
        <v>2016</v>
      </c>
      <c r="H3362">
        <v>3</v>
      </c>
      <c r="I3362">
        <v>51.49</v>
      </c>
      <c r="J3362" s="50">
        <v>154.47</v>
      </c>
      <c r="K3362" t="s">
        <v>1632</v>
      </c>
      <c r="L3362" t="s">
        <v>2272</v>
      </c>
      <c r="M3362" t="s">
        <v>1621</v>
      </c>
      <c r="N3362">
        <v>27.18</v>
      </c>
      <c r="O3362" s="49">
        <v>44262</v>
      </c>
      <c r="P3362" s="50">
        <v>69.511499999999998</v>
      </c>
    </row>
    <row r="3363" spans="4:16" x14ac:dyDescent="0.2">
      <c r="D3363">
        <v>100002000</v>
      </c>
      <c r="E3363" s="49">
        <v>45052</v>
      </c>
      <c r="F3363" t="s">
        <v>3760</v>
      </c>
      <c r="G3363" t="s">
        <v>2168</v>
      </c>
      <c r="H3363">
        <v>3</v>
      </c>
      <c r="I3363">
        <v>49.35</v>
      </c>
      <c r="J3363" s="50">
        <v>148.05000000000001</v>
      </c>
      <c r="K3363" t="s">
        <v>1632</v>
      </c>
      <c r="L3363" t="s">
        <v>2272</v>
      </c>
      <c r="M3363" t="s">
        <v>1624</v>
      </c>
      <c r="N3363">
        <v>26.05</v>
      </c>
      <c r="O3363" s="49">
        <v>45056</v>
      </c>
      <c r="P3363" s="50">
        <v>66.622500000000002</v>
      </c>
    </row>
    <row r="3364" spans="4:16" x14ac:dyDescent="0.2">
      <c r="D3364">
        <v>100002001</v>
      </c>
      <c r="E3364" s="49">
        <v>45271</v>
      </c>
      <c r="F3364" t="s">
        <v>3761</v>
      </c>
      <c r="G3364" t="s">
        <v>2291</v>
      </c>
      <c r="H3364">
        <v>3</v>
      </c>
      <c r="I3364">
        <v>32.47</v>
      </c>
      <c r="J3364" s="50">
        <v>97.41</v>
      </c>
      <c r="K3364" t="s">
        <v>1618</v>
      </c>
      <c r="M3364" t="s">
        <v>1629</v>
      </c>
      <c r="N3364">
        <v>17.14</v>
      </c>
      <c r="O3364" s="49">
        <v>45273</v>
      </c>
      <c r="P3364" s="50">
        <v>43.834499999999998</v>
      </c>
    </row>
    <row r="3365" spans="4:16" x14ac:dyDescent="0.2">
      <c r="D3365">
        <v>100002001</v>
      </c>
      <c r="E3365" s="49">
        <v>44320</v>
      </c>
      <c r="F3365" t="s">
        <v>3761</v>
      </c>
      <c r="G3365" t="s">
        <v>1672</v>
      </c>
      <c r="H3365">
        <v>4</v>
      </c>
      <c r="I3365">
        <v>12.7</v>
      </c>
      <c r="J3365" s="50">
        <v>50.8</v>
      </c>
      <c r="K3365" t="s">
        <v>1618</v>
      </c>
      <c r="M3365" t="s">
        <v>1627</v>
      </c>
      <c r="N3365">
        <v>6.7</v>
      </c>
      <c r="O3365" s="49">
        <v>44324</v>
      </c>
      <c r="P3365" s="50">
        <v>22.86</v>
      </c>
    </row>
    <row r="3366" spans="4:16" x14ac:dyDescent="0.2">
      <c r="D3366">
        <v>100002002</v>
      </c>
      <c r="E3366" s="49">
        <v>44217</v>
      </c>
      <c r="F3366" t="s">
        <v>3762</v>
      </c>
      <c r="G3366" t="s">
        <v>2323</v>
      </c>
      <c r="H3366">
        <v>8</v>
      </c>
      <c r="I3366">
        <v>81.11</v>
      </c>
      <c r="J3366" s="50">
        <v>648.88</v>
      </c>
      <c r="K3366" t="s">
        <v>1618</v>
      </c>
      <c r="M3366" t="s">
        <v>1621</v>
      </c>
      <c r="N3366">
        <v>42.81</v>
      </c>
      <c r="O3366" s="49">
        <v>44221</v>
      </c>
      <c r="P3366" s="50">
        <v>291.99599999999998</v>
      </c>
    </row>
    <row r="3367" spans="4:16" x14ac:dyDescent="0.2">
      <c r="D3367">
        <v>100002003</v>
      </c>
      <c r="E3367" s="49">
        <v>44887</v>
      </c>
      <c r="F3367" t="s">
        <v>3763</v>
      </c>
      <c r="G3367" t="s">
        <v>1760</v>
      </c>
      <c r="H3367">
        <v>7</v>
      </c>
      <c r="I3367">
        <v>55.4</v>
      </c>
      <c r="J3367" s="50">
        <v>387.8</v>
      </c>
      <c r="K3367" t="s">
        <v>1632</v>
      </c>
      <c r="M3367" t="s">
        <v>1627</v>
      </c>
      <c r="N3367">
        <v>29.24</v>
      </c>
      <c r="O3367" s="49">
        <v>44891</v>
      </c>
      <c r="P3367" s="50">
        <v>174.51000000000002</v>
      </c>
    </row>
    <row r="3368" spans="4:16" x14ac:dyDescent="0.2">
      <c r="D3368">
        <v>100002003</v>
      </c>
      <c r="E3368" s="49">
        <v>44542</v>
      </c>
      <c r="F3368" t="s">
        <v>3763</v>
      </c>
      <c r="G3368" t="s">
        <v>2060</v>
      </c>
      <c r="H3368">
        <v>4</v>
      </c>
      <c r="I3368">
        <v>49.57</v>
      </c>
      <c r="J3368" s="50">
        <v>198.28</v>
      </c>
      <c r="K3368" t="s">
        <v>1632</v>
      </c>
      <c r="M3368" t="s">
        <v>1621</v>
      </c>
      <c r="N3368">
        <v>26.16</v>
      </c>
      <c r="O3368" s="49">
        <v>44546</v>
      </c>
      <c r="P3368" s="50">
        <v>89.225999999999999</v>
      </c>
    </row>
    <row r="3369" spans="4:16" x14ac:dyDescent="0.2">
      <c r="D3369">
        <v>100002003</v>
      </c>
      <c r="E3369" s="49">
        <v>45096</v>
      </c>
      <c r="F3369" t="s">
        <v>3763</v>
      </c>
      <c r="G3369" t="s">
        <v>1982</v>
      </c>
      <c r="H3369">
        <v>9</v>
      </c>
      <c r="I3369">
        <v>63.73</v>
      </c>
      <c r="J3369" s="50">
        <v>573.56999999999994</v>
      </c>
      <c r="K3369" t="s">
        <v>1632</v>
      </c>
      <c r="M3369" t="s">
        <v>1624</v>
      </c>
      <c r="N3369">
        <v>33.64</v>
      </c>
      <c r="O3369" s="49">
        <v>45097</v>
      </c>
      <c r="P3369" s="50">
        <v>258.10649999999998</v>
      </c>
    </row>
    <row r="3370" spans="4:16" x14ac:dyDescent="0.2">
      <c r="D3370">
        <v>100002004</v>
      </c>
      <c r="E3370" s="49">
        <v>44538</v>
      </c>
      <c r="F3370" t="s">
        <v>3764</v>
      </c>
      <c r="G3370" t="s">
        <v>2057</v>
      </c>
      <c r="H3370">
        <v>10</v>
      </c>
      <c r="I3370">
        <v>54.99</v>
      </c>
      <c r="J3370" s="50">
        <v>549.9</v>
      </c>
      <c r="K3370" t="s">
        <v>1618</v>
      </c>
      <c r="M3370" t="s">
        <v>1629</v>
      </c>
      <c r="N3370">
        <v>29.02</v>
      </c>
      <c r="O3370" s="49">
        <v>44540</v>
      </c>
      <c r="P3370" s="50">
        <v>247.45499999999998</v>
      </c>
    </row>
    <row r="3371" spans="4:16" x14ac:dyDescent="0.2">
      <c r="D3371">
        <v>100002006</v>
      </c>
      <c r="E3371" s="49">
        <v>44841</v>
      </c>
      <c r="F3371" t="s">
        <v>3765</v>
      </c>
      <c r="G3371" t="s">
        <v>2076</v>
      </c>
      <c r="H3371">
        <v>6</v>
      </c>
      <c r="I3371">
        <v>17.47</v>
      </c>
      <c r="J3371" s="50">
        <v>104.82</v>
      </c>
      <c r="K3371" t="s">
        <v>1618</v>
      </c>
      <c r="M3371" t="s">
        <v>1619</v>
      </c>
      <c r="N3371">
        <v>9.2200000000000006</v>
      </c>
      <c r="O3371" s="49">
        <v>44844</v>
      </c>
      <c r="P3371" s="50">
        <v>47.168999999999997</v>
      </c>
    </row>
    <row r="3372" spans="4:16" x14ac:dyDescent="0.2">
      <c r="D3372">
        <v>100002007</v>
      </c>
      <c r="E3372" s="49">
        <v>44912</v>
      </c>
      <c r="F3372" t="s">
        <v>3766</v>
      </c>
      <c r="G3372" t="s">
        <v>2416</v>
      </c>
      <c r="H3372">
        <v>10</v>
      </c>
      <c r="I3372">
        <v>24.12</v>
      </c>
      <c r="J3372" s="50">
        <v>241.2</v>
      </c>
      <c r="K3372" t="s">
        <v>1632</v>
      </c>
      <c r="M3372" t="s">
        <v>1627</v>
      </c>
      <c r="N3372">
        <v>12.73</v>
      </c>
      <c r="O3372" s="49">
        <v>44916</v>
      </c>
      <c r="P3372" s="50">
        <v>108.53999999999999</v>
      </c>
    </row>
    <row r="3373" spans="4:16" x14ac:dyDescent="0.2">
      <c r="D3373">
        <v>100002008</v>
      </c>
      <c r="E3373" s="49">
        <v>45525</v>
      </c>
      <c r="F3373" t="s">
        <v>3767</v>
      </c>
      <c r="G3373" t="s">
        <v>1939</v>
      </c>
      <c r="H3373">
        <v>8</v>
      </c>
      <c r="I3373">
        <v>46</v>
      </c>
      <c r="J3373" s="50">
        <v>368</v>
      </c>
      <c r="K3373" t="s">
        <v>1618</v>
      </c>
      <c r="M3373" t="s">
        <v>1629</v>
      </c>
      <c r="N3373">
        <v>24.28</v>
      </c>
      <c r="O3373" s="49">
        <v>45528</v>
      </c>
      <c r="P3373" s="50">
        <v>165.6</v>
      </c>
    </row>
    <row r="3374" spans="4:16" x14ac:dyDescent="0.2">
      <c r="D3374">
        <v>100002009</v>
      </c>
      <c r="E3374" s="49">
        <v>44402</v>
      </c>
      <c r="F3374" t="s">
        <v>3768</v>
      </c>
      <c r="G3374" t="s">
        <v>2069</v>
      </c>
      <c r="H3374">
        <v>8</v>
      </c>
      <c r="I3374">
        <v>89.16</v>
      </c>
      <c r="J3374" s="50">
        <v>713.28</v>
      </c>
      <c r="K3374" t="s">
        <v>1618</v>
      </c>
      <c r="L3374" t="s">
        <v>1931</v>
      </c>
      <c r="M3374" t="s">
        <v>1627</v>
      </c>
      <c r="N3374">
        <v>47.06</v>
      </c>
      <c r="O3374" s="49">
        <v>44405</v>
      </c>
      <c r="P3374" s="50">
        <v>320.976</v>
      </c>
    </row>
    <row r="3375" spans="4:16" x14ac:dyDescent="0.2">
      <c r="D3375">
        <v>100002009</v>
      </c>
      <c r="E3375" s="49">
        <v>45184</v>
      </c>
      <c r="F3375" t="s">
        <v>3768</v>
      </c>
      <c r="G3375" t="s">
        <v>2480</v>
      </c>
      <c r="H3375">
        <v>7</v>
      </c>
      <c r="I3375">
        <v>75.739999999999995</v>
      </c>
      <c r="J3375" s="50">
        <v>530.17999999999995</v>
      </c>
      <c r="K3375" t="s">
        <v>1618</v>
      </c>
      <c r="L3375" t="s">
        <v>1931</v>
      </c>
      <c r="M3375" t="s">
        <v>1627</v>
      </c>
      <c r="N3375">
        <v>39.97</v>
      </c>
      <c r="O3375" s="49">
        <v>45186</v>
      </c>
      <c r="P3375" s="50">
        <v>238.58099999999999</v>
      </c>
    </row>
    <row r="3376" spans="4:16" x14ac:dyDescent="0.2">
      <c r="D3376">
        <v>100002009</v>
      </c>
      <c r="E3376" s="49">
        <v>44222</v>
      </c>
      <c r="F3376" t="s">
        <v>3768</v>
      </c>
      <c r="G3376" t="s">
        <v>1631</v>
      </c>
      <c r="H3376">
        <v>6</v>
      </c>
      <c r="I3376">
        <v>30.14</v>
      </c>
      <c r="J3376" s="50">
        <v>180.84</v>
      </c>
      <c r="K3376" t="s">
        <v>1618</v>
      </c>
      <c r="L3376" t="s">
        <v>1931</v>
      </c>
      <c r="M3376" t="s">
        <v>1619</v>
      </c>
      <c r="N3376">
        <v>15.91</v>
      </c>
      <c r="O3376" s="49">
        <v>44224</v>
      </c>
      <c r="P3376" s="50">
        <v>81.378</v>
      </c>
    </row>
    <row r="3377" spans="4:16" x14ac:dyDescent="0.2">
      <c r="D3377">
        <v>100002010</v>
      </c>
      <c r="E3377" s="49">
        <v>45417</v>
      </c>
      <c r="F3377" t="s">
        <v>3769</v>
      </c>
      <c r="G3377" t="s">
        <v>1900</v>
      </c>
      <c r="H3377">
        <v>2</v>
      </c>
      <c r="I3377">
        <v>15.39</v>
      </c>
      <c r="J3377" s="50">
        <v>30.78</v>
      </c>
      <c r="K3377" t="s">
        <v>1618</v>
      </c>
      <c r="M3377" t="s">
        <v>1627</v>
      </c>
      <c r="N3377">
        <v>8.1199999999999992</v>
      </c>
      <c r="O3377" s="49">
        <v>45419</v>
      </c>
      <c r="P3377" s="50">
        <v>13.851000000000001</v>
      </c>
    </row>
    <row r="3378" spans="4:16" x14ac:dyDescent="0.2">
      <c r="D3378">
        <v>100002010</v>
      </c>
      <c r="E3378" s="49">
        <v>44679</v>
      </c>
      <c r="F3378" t="s">
        <v>3769</v>
      </c>
      <c r="G3378" t="s">
        <v>1969</v>
      </c>
      <c r="H3378">
        <v>9</v>
      </c>
      <c r="I3378">
        <v>73.040000000000006</v>
      </c>
      <c r="J3378" s="50">
        <v>657.36</v>
      </c>
      <c r="K3378" t="s">
        <v>1618</v>
      </c>
      <c r="M3378" t="s">
        <v>1621</v>
      </c>
      <c r="N3378">
        <v>38.549999999999997</v>
      </c>
      <c r="O3378" s="49">
        <v>44683</v>
      </c>
      <c r="P3378" s="50">
        <v>295.81200000000001</v>
      </c>
    </row>
    <row r="3379" spans="4:16" x14ac:dyDescent="0.2">
      <c r="D3379">
        <v>100002010</v>
      </c>
      <c r="E3379" s="49">
        <v>44999</v>
      </c>
      <c r="F3379" t="s">
        <v>3769</v>
      </c>
      <c r="G3379" t="s">
        <v>1672</v>
      </c>
      <c r="H3379">
        <v>4</v>
      </c>
      <c r="I3379">
        <v>18.14</v>
      </c>
      <c r="J3379" s="50">
        <v>72.56</v>
      </c>
      <c r="K3379" t="s">
        <v>1618</v>
      </c>
      <c r="M3379" t="s">
        <v>1627</v>
      </c>
      <c r="N3379">
        <v>9.57</v>
      </c>
      <c r="O3379" s="49">
        <v>45004</v>
      </c>
      <c r="P3379" s="50">
        <v>32.652000000000001</v>
      </c>
    </row>
    <row r="3380" spans="4:16" x14ac:dyDescent="0.2">
      <c r="D3380">
        <v>100002012</v>
      </c>
      <c r="E3380" s="49">
        <v>44963</v>
      </c>
      <c r="F3380" t="s">
        <v>2773</v>
      </c>
      <c r="G3380" t="s">
        <v>1733</v>
      </c>
      <c r="H3380">
        <v>1</v>
      </c>
      <c r="I3380">
        <v>114.55</v>
      </c>
      <c r="J3380" s="50">
        <v>114.55</v>
      </c>
      <c r="K3380" t="s">
        <v>1632</v>
      </c>
      <c r="M3380" t="s">
        <v>1629</v>
      </c>
      <c r="N3380">
        <v>60.46</v>
      </c>
      <c r="O3380" s="49">
        <v>44965</v>
      </c>
      <c r="P3380" s="50">
        <v>51.547499999999999</v>
      </c>
    </row>
    <row r="3381" spans="4:16" x14ac:dyDescent="0.2">
      <c r="D3381">
        <v>100002012</v>
      </c>
      <c r="E3381" s="49">
        <v>44718</v>
      </c>
      <c r="F3381" t="s">
        <v>2773</v>
      </c>
      <c r="G3381" t="s">
        <v>2028</v>
      </c>
      <c r="H3381">
        <v>7</v>
      </c>
      <c r="I3381">
        <v>54.3</v>
      </c>
      <c r="J3381" s="50">
        <v>380.1</v>
      </c>
      <c r="K3381" t="s">
        <v>1632</v>
      </c>
      <c r="M3381" t="s">
        <v>1629</v>
      </c>
      <c r="N3381">
        <v>28.66</v>
      </c>
      <c r="O3381" s="49">
        <v>44720</v>
      </c>
      <c r="P3381" s="50">
        <v>171.04500000000002</v>
      </c>
    </row>
    <row r="3382" spans="4:16" x14ac:dyDescent="0.2">
      <c r="D3382">
        <v>100002012</v>
      </c>
      <c r="E3382" s="49">
        <v>45567</v>
      </c>
      <c r="F3382" t="s">
        <v>2773</v>
      </c>
      <c r="G3382" t="s">
        <v>1696</v>
      </c>
      <c r="H3382">
        <v>7</v>
      </c>
      <c r="I3382">
        <v>54.4</v>
      </c>
      <c r="J3382" s="50">
        <v>380.8</v>
      </c>
      <c r="K3382" t="s">
        <v>1632</v>
      </c>
      <c r="M3382" t="s">
        <v>1627</v>
      </c>
      <c r="N3382">
        <v>28.71</v>
      </c>
      <c r="O3382" s="49">
        <v>45569</v>
      </c>
      <c r="P3382" s="50">
        <v>171.36</v>
      </c>
    </row>
    <row r="3383" spans="4:16" x14ac:dyDescent="0.2">
      <c r="D3383">
        <v>100002012</v>
      </c>
      <c r="E3383" s="49">
        <v>44400</v>
      </c>
      <c r="F3383" t="s">
        <v>2773</v>
      </c>
      <c r="G3383" t="s">
        <v>1805</v>
      </c>
      <c r="H3383">
        <v>4</v>
      </c>
      <c r="I3383">
        <v>117.21</v>
      </c>
      <c r="J3383" s="50">
        <v>468.84</v>
      </c>
      <c r="K3383" t="s">
        <v>1632</v>
      </c>
      <c r="M3383" t="s">
        <v>1619</v>
      </c>
      <c r="N3383">
        <v>61.86</v>
      </c>
      <c r="O3383" s="49">
        <v>44403</v>
      </c>
      <c r="P3383" s="50">
        <v>210.97799999999998</v>
      </c>
    </row>
    <row r="3384" spans="4:16" x14ac:dyDescent="0.2">
      <c r="D3384">
        <v>100002012</v>
      </c>
      <c r="E3384" s="49">
        <v>45483</v>
      </c>
      <c r="F3384" t="s">
        <v>2773</v>
      </c>
      <c r="G3384" t="s">
        <v>1895</v>
      </c>
      <c r="H3384">
        <v>2</v>
      </c>
      <c r="I3384">
        <v>94.26</v>
      </c>
      <c r="J3384" s="50">
        <v>188.52</v>
      </c>
      <c r="K3384" t="s">
        <v>1632</v>
      </c>
      <c r="M3384" t="s">
        <v>1624</v>
      </c>
      <c r="N3384">
        <v>49.75</v>
      </c>
      <c r="O3384" s="49">
        <v>45488</v>
      </c>
      <c r="P3384" s="50">
        <v>84.834000000000003</v>
      </c>
    </row>
    <row r="3385" spans="4:16" x14ac:dyDescent="0.2">
      <c r="D3385">
        <v>100002012</v>
      </c>
      <c r="E3385" s="49">
        <v>44225</v>
      </c>
      <c r="F3385" t="s">
        <v>2773</v>
      </c>
      <c r="G3385" t="s">
        <v>1751</v>
      </c>
      <c r="H3385">
        <v>9</v>
      </c>
      <c r="I3385">
        <v>28.36</v>
      </c>
      <c r="J3385" s="50">
        <v>255.24</v>
      </c>
      <c r="K3385" t="s">
        <v>1632</v>
      </c>
      <c r="M3385" t="s">
        <v>1624</v>
      </c>
      <c r="N3385">
        <v>14.97</v>
      </c>
      <c r="O3385" s="49">
        <v>44229</v>
      </c>
      <c r="P3385" s="50">
        <v>114.858</v>
      </c>
    </row>
    <row r="3386" spans="4:16" x14ac:dyDescent="0.2">
      <c r="D3386">
        <v>100002012</v>
      </c>
      <c r="E3386" s="49">
        <v>45504</v>
      </c>
      <c r="F3386" t="s">
        <v>2773</v>
      </c>
      <c r="G3386" t="s">
        <v>2145</v>
      </c>
      <c r="H3386">
        <v>7</v>
      </c>
      <c r="I3386">
        <v>56.85</v>
      </c>
      <c r="J3386" s="50">
        <v>397.95</v>
      </c>
      <c r="K3386" t="s">
        <v>1632</v>
      </c>
      <c r="M3386" t="s">
        <v>1629</v>
      </c>
      <c r="N3386">
        <v>30</v>
      </c>
      <c r="O3386" s="49">
        <v>45507</v>
      </c>
      <c r="P3386" s="50">
        <v>179.07749999999999</v>
      </c>
    </row>
    <row r="3387" spans="4:16" x14ac:dyDescent="0.2">
      <c r="D3387">
        <v>100002013</v>
      </c>
      <c r="E3387" s="49">
        <v>44496</v>
      </c>
      <c r="F3387" t="s">
        <v>3770</v>
      </c>
      <c r="G3387" t="s">
        <v>1705</v>
      </c>
      <c r="H3387">
        <v>4</v>
      </c>
      <c r="I3387">
        <v>71</v>
      </c>
      <c r="J3387" s="50">
        <v>284</v>
      </c>
      <c r="K3387" t="s">
        <v>1632</v>
      </c>
      <c r="L3387" t="s">
        <v>1891</v>
      </c>
      <c r="M3387" t="s">
        <v>1619</v>
      </c>
      <c r="N3387">
        <v>37.47</v>
      </c>
      <c r="O3387" s="49">
        <v>44497</v>
      </c>
      <c r="P3387" s="50">
        <v>127.8</v>
      </c>
    </row>
    <row r="3388" spans="4:16" x14ac:dyDescent="0.2">
      <c r="D3388">
        <v>100002014</v>
      </c>
      <c r="E3388" s="49">
        <v>45039</v>
      </c>
      <c r="F3388" t="s">
        <v>3771</v>
      </c>
      <c r="G3388" t="s">
        <v>1754</v>
      </c>
      <c r="H3388">
        <v>6</v>
      </c>
      <c r="I3388">
        <v>60.66</v>
      </c>
      <c r="J3388" s="50">
        <v>363.96</v>
      </c>
      <c r="K3388" t="s">
        <v>1618</v>
      </c>
      <c r="M3388" t="s">
        <v>1624</v>
      </c>
      <c r="N3388">
        <v>32.01</v>
      </c>
      <c r="O3388" s="49">
        <v>45044</v>
      </c>
      <c r="P3388" s="50">
        <v>163.78199999999998</v>
      </c>
    </row>
    <row r="3389" spans="4:16" x14ac:dyDescent="0.2">
      <c r="D3389">
        <v>100002014</v>
      </c>
      <c r="E3389" s="49">
        <v>44370</v>
      </c>
      <c r="F3389" t="s">
        <v>3771</v>
      </c>
      <c r="G3389" t="s">
        <v>2025</v>
      </c>
      <c r="H3389">
        <v>7</v>
      </c>
      <c r="I3389">
        <v>100.53</v>
      </c>
      <c r="J3389" s="50">
        <v>703.71</v>
      </c>
      <c r="K3389" t="s">
        <v>1618</v>
      </c>
      <c r="M3389" t="s">
        <v>1627</v>
      </c>
      <c r="N3389">
        <v>53.06</v>
      </c>
      <c r="O3389" s="49">
        <v>44375</v>
      </c>
      <c r="P3389" s="50">
        <v>316.66950000000003</v>
      </c>
    </row>
    <row r="3390" spans="4:16" x14ac:dyDescent="0.2">
      <c r="D3390">
        <v>100002014</v>
      </c>
      <c r="E3390" s="49">
        <v>44576</v>
      </c>
      <c r="F3390" t="s">
        <v>3771</v>
      </c>
      <c r="G3390" t="s">
        <v>2344</v>
      </c>
      <c r="H3390">
        <v>8</v>
      </c>
      <c r="I3390">
        <v>33.090000000000003</v>
      </c>
      <c r="J3390" s="50">
        <v>264.72000000000003</v>
      </c>
      <c r="K3390" t="s">
        <v>1618</v>
      </c>
      <c r="M3390" t="s">
        <v>1621</v>
      </c>
      <c r="N3390">
        <v>17.46</v>
      </c>
      <c r="O3390" s="49">
        <v>44580</v>
      </c>
      <c r="P3390" s="50">
        <v>119.12400000000001</v>
      </c>
    </row>
    <row r="3391" spans="4:16" x14ac:dyDescent="0.2">
      <c r="D3391">
        <v>100002014</v>
      </c>
      <c r="E3391" s="49">
        <v>44850</v>
      </c>
      <c r="F3391" t="s">
        <v>3771</v>
      </c>
      <c r="G3391" t="s">
        <v>1828</v>
      </c>
      <c r="H3391">
        <v>5</v>
      </c>
      <c r="I3391">
        <v>17.600000000000001</v>
      </c>
      <c r="J3391" s="50">
        <v>88</v>
      </c>
      <c r="K3391" t="s">
        <v>1618</v>
      </c>
      <c r="M3391" t="s">
        <v>1619</v>
      </c>
      <c r="N3391">
        <v>9.2899999999999991</v>
      </c>
      <c r="O3391" s="49">
        <v>44852</v>
      </c>
      <c r="P3391" s="50">
        <v>39.6</v>
      </c>
    </row>
    <row r="3392" spans="4:16" x14ac:dyDescent="0.2">
      <c r="D3392">
        <v>100002014</v>
      </c>
      <c r="E3392" s="49">
        <v>45275</v>
      </c>
      <c r="F3392" t="s">
        <v>3771</v>
      </c>
      <c r="G3392" t="s">
        <v>2060</v>
      </c>
      <c r="H3392">
        <v>3</v>
      </c>
      <c r="I3392">
        <v>73.760000000000005</v>
      </c>
      <c r="J3392" s="50">
        <v>221.28</v>
      </c>
      <c r="K3392" t="s">
        <v>1618</v>
      </c>
      <c r="M3392" t="s">
        <v>1629</v>
      </c>
      <c r="N3392">
        <v>38.93</v>
      </c>
      <c r="O3392" s="49">
        <v>45278</v>
      </c>
      <c r="P3392" s="50">
        <v>99.576000000000008</v>
      </c>
    </row>
    <row r="3393" spans="4:16" x14ac:dyDescent="0.2">
      <c r="D3393">
        <v>100002015</v>
      </c>
      <c r="E3393" s="49">
        <v>45494</v>
      </c>
      <c r="F3393" t="s">
        <v>3772</v>
      </c>
      <c r="G3393" t="s">
        <v>1945</v>
      </c>
      <c r="H3393">
        <v>4</v>
      </c>
      <c r="I3393">
        <v>77.42</v>
      </c>
      <c r="J3393" s="50">
        <v>309.68</v>
      </c>
      <c r="K3393" t="s">
        <v>1618</v>
      </c>
      <c r="L3393" t="s">
        <v>3127</v>
      </c>
      <c r="M3393" t="s">
        <v>1629</v>
      </c>
      <c r="N3393">
        <v>40.86</v>
      </c>
      <c r="O3393" s="49">
        <v>45497</v>
      </c>
      <c r="P3393" s="50">
        <v>139.35599999999999</v>
      </c>
    </row>
    <row r="3394" spans="4:16" x14ac:dyDescent="0.2">
      <c r="D3394">
        <v>100002015</v>
      </c>
      <c r="E3394" s="49">
        <v>45433</v>
      </c>
      <c r="F3394" t="s">
        <v>3772</v>
      </c>
      <c r="G3394" t="s">
        <v>2393</v>
      </c>
      <c r="H3394">
        <v>2</v>
      </c>
      <c r="I3394">
        <v>107.23</v>
      </c>
      <c r="J3394" s="50">
        <v>214.46</v>
      </c>
      <c r="K3394" t="s">
        <v>1618</v>
      </c>
      <c r="L3394" t="s">
        <v>3127</v>
      </c>
      <c r="M3394" t="s">
        <v>1624</v>
      </c>
      <c r="N3394">
        <v>56.59</v>
      </c>
      <c r="O3394" s="49">
        <v>45435</v>
      </c>
      <c r="P3394" s="50">
        <v>96.507000000000005</v>
      </c>
    </row>
    <row r="3395" spans="4:16" x14ac:dyDescent="0.2">
      <c r="D3395">
        <v>100002015</v>
      </c>
      <c r="E3395" s="49">
        <v>44247</v>
      </c>
      <c r="F3395" t="s">
        <v>3772</v>
      </c>
      <c r="G3395" t="s">
        <v>1661</v>
      </c>
      <c r="H3395">
        <v>6</v>
      </c>
      <c r="I3395">
        <v>53.43</v>
      </c>
      <c r="J3395" s="50">
        <v>320.58</v>
      </c>
      <c r="K3395" t="s">
        <v>1618</v>
      </c>
      <c r="L3395" t="s">
        <v>3127</v>
      </c>
      <c r="M3395" t="s">
        <v>1619</v>
      </c>
      <c r="N3395">
        <v>28.2</v>
      </c>
      <c r="O3395" s="49">
        <v>44248</v>
      </c>
      <c r="P3395" s="50">
        <v>144.261</v>
      </c>
    </row>
    <row r="3396" spans="4:16" x14ac:dyDescent="0.2">
      <c r="D3396">
        <v>100002016</v>
      </c>
      <c r="E3396" s="49">
        <v>44352</v>
      </c>
      <c r="F3396" t="s">
        <v>3773</v>
      </c>
      <c r="G3396" t="s">
        <v>3135</v>
      </c>
      <c r="H3396">
        <v>4</v>
      </c>
      <c r="I3396">
        <v>62.94</v>
      </c>
      <c r="J3396" s="50">
        <v>251.76</v>
      </c>
      <c r="K3396" t="s">
        <v>1632</v>
      </c>
      <c r="L3396" t="s">
        <v>3774</v>
      </c>
      <c r="M3396" t="s">
        <v>1624</v>
      </c>
      <c r="N3396">
        <v>33.22</v>
      </c>
      <c r="O3396" s="49">
        <v>44357</v>
      </c>
      <c r="P3396" s="50">
        <v>113.292</v>
      </c>
    </row>
    <row r="3397" spans="4:16" x14ac:dyDescent="0.2">
      <c r="D3397">
        <v>100002016</v>
      </c>
      <c r="E3397" s="49">
        <v>44941</v>
      </c>
      <c r="F3397" t="s">
        <v>3773</v>
      </c>
      <c r="G3397" t="s">
        <v>2039</v>
      </c>
      <c r="H3397">
        <v>7</v>
      </c>
      <c r="I3397">
        <v>48.65</v>
      </c>
      <c r="J3397" s="50">
        <v>340.55</v>
      </c>
      <c r="K3397" t="s">
        <v>1632</v>
      </c>
      <c r="L3397" t="s">
        <v>3774</v>
      </c>
      <c r="M3397" t="s">
        <v>1619</v>
      </c>
      <c r="N3397">
        <v>25.68</v>
      </c>
      <c r="O3397" s="49">
        <v>44946</v>
      </c>
      <c r="P3397" s="50">
        <v>153.2475</v>
      </c>
    </row>
    <row r="3398" spans="4:16" x14ac:dyDescent="0.2">
      <c r="D3398">
        <v>100002017</v>
      </c>
      <c r="E3398" s="49">
        <v>44552</v>
      </c>
      <c r="F3398" t="s">
        <v>3775</v>
      </c>
      <c r="G3398" t="s">
        <v>1752</v>
      </c>
      <c r="H3398">
        <v>8</v>
      </c>
      <c r="I3398">
        <v>29.31</v>
      </c>
      <c r="J3398" s="50">
        <v>234.48</v>
      </c>
      <c r="K3398" t="s">
        <v>1618</v>
      </c>
      <c r="M3398" t="s">
        <v>1619</v>
      </c>
      <c r="N3398">
        <v>15.47</v>
      </c>
      <c r="O3398" s="49">
        <v>44556</v>
      </c>
      <c r="P3398" s="50">
        <v>105.51599999999999</v>
      </c>
    </row>
    <row r="3399" spans="4:16" x14ac:dyDescent="0.2">
      <c r="D3399">
        <v>100002017</v>
      </c>
      <c r="E3399" s="49">
        <v>45250</v>
      </c>
      <c r="F3399" t="s">
        <v>3775</v>
      </c>
      <c r="G3399" t="s">
        <v>2163</v>
      </c>
      <c r="H3399">
        <v>5</v>
      </c>
      <c r="I3399">
        <v>65.67</v>
      </c>
      <c r="J3399" s="50">
        <v>328.35</v>
      </c>
      <c r="K3399" t="s">
        <v>1618</v>
      </c>
      <c r="M3399" t="s">
        <v>1621</v>
      </c>
      <c r="N3399">
        <v>34.659999999999997</v>
      </c>
      <c r="O3399" s="49">
        <v>45254</v>
      </c>
      <c r="P3399" s="50">
        <v>147.75750000000002</v>
      </c>
    </row>
    <row r="3400" spans="4:16" x14ac:dyDescent="0.2">
      <c r="D3400">
        <v>100002019</v>
      </c>
      <c r="E3400" s="49">
        <v>44266</v>
      </c>
      <c r="F3400" t="s">
        <v>3776</v>
      </c>
      <c r="G3400" t="s">
        <v>2242</v>
      </c>
      <c r="H3400">
        <v>4</v>
      </c>
      <c r="I3400">
        <v>73.819999999999993</v>
      </c>
      <c r="J3400" s="50">
        <v>295.27999999999997</v>
      </c>
      <c r="K3400" t="s">
        <v>1632</v>
      </c>
      <c r="M3400" t="s">
        <v>1629</v>
      </c>
      <c r="N3400">
        <v>38.96</v>
      </c>
      <c r="O3400" s="49">
        <v>44271</v>
      </c>
      <c r="P3400" s="50">
        <v>132.876</v>
      </c>
    </row>
    <row r="3401" spans="4:16" x14ac:dyDescent="0.2">
      <c r="D3401">
        <v>100002019</v>
      </c>
      <c r="E3401" s="49">
        <v>44604</v>
      </c>
      <c r="F3401" t="s">
        <v>3776</v>
      </c>
      <c r="G3401" t="s">
        <v>1681</v>
      </c>
      <c r="H3401">
        <v>7</v>
      </c>
      <c r="I3401">
        <v>64.67</v>
      </c>
      <c r="J3401" s="50">
        <v>452.69</v>
      </c>
      <c r="K3401" t="s">
        <v>1632</v>
      </c>
      <c r="M3401" t="s">
        <v>1629</v>
      </c>
      <c r="N3401">
        <v>34.130000000000003</v>
      </c>
      <c r="O3401" s="49">
        <v>44606</v>
      </c>
      <c r="P3401" s="50">
        <v>203.7105</v>
      </c>
    </row>
    <row r="3402" spans="4:16" x14ac:dyDescent="0.2">
      <c r="D3402">
        <v>100002019</v>
      </c>
      <c r="E3402" s="49">
        <v>45172</v>
      </c>
      <c r="F3402" t="s">
        <v>3776</v>
      </c>
      <c r="G3402" t="s">
        <v>2151</v>
      </c>
      <c r="H3402">
        <v>5</v>
      </c>
      <c r="I3402">
        <v>113.58</v>
      </c>
      <c r="J3402" s="50">
        <v>567.9</v>
      </c>
      <c r="K3402" t="s">
        <v>1632</v>
      </c>
      <c r="M3402" t="s">
        <v>1621</v>
      </c>
      <c r="N3402">
        <v>59.94</v>
      </c>
      <c r="O3402" s="49">
        <v>45177</v>
      </c>
      <c r="P3402" s="50">
        <v>255.55500000000001</v>
      </c>
    </row>
    <row r="3403" spans="4:16" x14ac:dyDescent="0.2">
      <c r="D3403">
        <v>100002020</v>
      </c>
      <c r="E3403" s="49">
        <v>45371</v>
      </c>
      <c r="F3403" t="s">
        <v>3777</v>
      </c>
      <c r="G3403" t="s">
        <v>1723</v>
      </c>
      <c r="H3403">
        <v>8</v>
      </c>
      <c r="I3403">
        <v>109.11</v>
      </c>
      <c r="J3403" s="50">
        <v>872.88</v>
      </c>
      <c r="K3403" t="s">
        <v>1618</v>
      </c>
      <c r="M3403" t="s">
        <v>1619</v>
      </c>
      <c r="N3403">
        <v>57.59</v>
      </c>
      <c r="O3403" s="49">
        <v>45373</v>
      </c>
      <c r="P3403" s="50">
        <v>392.79599999999999</v>
      </c>
    </row>
    <row r="3404" spans="4:16" x14ac:dyDescent="0.2">
      <c r="D3404">
        <v>100002021</v>
      </c>
      <c r="E3404" s="49">
        <v>44651</v>
      </c>
      <c r="F3404" t="s">
        <v>3778</v>
      </c>
      <c r="G3404" t="s">
        <v>1853</v>
      </c>
      <c r="H3404">
        <v>1</v>
      </c>
      <c r="I3404">
        <v>87.87</v>
      </c>
      <c r="J3404" s="50">
        <v>87.87</v>
      </c>
      <c r="K3404" t="s">
        <v>1618</v>
      </c>
      <c r="M3404" t="s">
        <v>1619</v>
      </c>
      <c r="N3404">
        <v>46.38</v>
      </c>
      <c r="O3404" s="49">
        <v>44653</v>
      </c>
      <c r="P3404" s="50">
        <v>39.541500000000006</v>
      </c>
    </row>
    <row r="3405" spans="4:16" x14ac:dyDescent="0.2">
      <c r="D3405">
        <v>100002023</v>
      </c>
      <c r="E3405" s="49">
        <v>45166</v>
      </c>
      <c r="F3405" t="s">
        <v>3779</v>
      </c>
      <c r="G3405" t="s">
        <v>2393</v>
      </c>
      <c r="H3405">
        <v>7</v>
      </c>
      <c r="I3405">
        <v>113.52</v>
      </c>
      <c r="J3405" s="50">
        <v>794.64</v>
      </c>
      <c r="K3405" t="s">
        <v>1618</v>
      </c>
      <c r="M3405" t="s">
        <v>1627</v>
      </c>
      <c r="N3405">
        <v>59.91</v>
      </c>
      <c r="O3405" s="49">
        <v>45169</v>
      </c>
      <c r="P3405" s="50">
        <v>357.58800000000002</v>
      </c>
    </row>
    <row r="3406" spans="4:16" x14ac:dyDescent="0.2">
      <c r="D3406">
        <v>100002024</v>
      </c>
      <c r="E3406" s="49">
        <v>44734</v>
      </c>
      <c r="F3406" t="s">
        <v>3780</v>
      </c>
      <c r="G3406" t="s">
        <v>1652</v>
      </c>
      <c r="H3406">
        <v>7</v>
      </c>
      <c r="I3406">
        <v>101.63</v>
      </c>
      <c r="J3406" s="50">
        <v>711.41</v>
      </c>
      <c r="K3406" t="s">
        <v>1618</v>
      </c>
      <c r="L3406" t="s">
        <v>3079</v>
      </c>
      <c r="M3406" t="s">
        <v>1621</v>
      </c>
      <c r="N3406">
        <v>53.64</v>
      </c>
      <c r="O3406" s="49">
        <v>44739</v>
      </c>
      <c r="P3406" s="50">
        <v>320.1345</v>
      </c>
    </row>
    <row r="3407" spans="4:16" x14ac:dyDescent="0.2">
      <c r="D3407">
        <v>100002024</v>
      </c>
      <c r="E3407" s="49">
        <v>44503</v>
      </c>
      <c r="F3407" t="s">
        <v>3780</v>
      </c>
      <c r="G3407" t="s">
        <v>1877</v>
      </c>
      <c r="H3407">
        <v>9</v>
      </c>
      <c r="I3407">
        <v>11.44</v>
      </c>
      <c r="J3407" s="50">
        <v>102.96</v>
      </c>
      <c r="K3407" t="s">
        <v>1618</v>
      </c>
      <c r="L3407" t="s">
        <v>3079</v>
      </c>
      <c r="M3407" t="s">
        <v>1627</v>
      </c>
      <c r="N3407">
        <v>6.04</v>
      </c>
      <c r="O3407" s="49">
        <v>44506</v>
      </c>
      <c r="P3407" s="50">
        <v>46.332000000000001</v>
      </c>
    </row>
    <row r="3408" spans="4:16" x14ac:dyDescent="0.2">
      <c r="D3408">
        <v>100002025</v>
      </c>
      <c r="E3408" s="49">
        <v>44210</v>
      </c>
      <c r="F3408" t="s">
        <v>3781</v>
      </c>
      <c r="G3408" t="s">
        <v>2323</v>
      </c>
      <c r="H3408">
        <v>2</v>
      </c>
      <c r="I3408">
        <v>65.08</v>
      </c>
      <c r="J3408" s="50">
        <v>130.16</v>
      </c>
      <c r="K3408" t="s">
        <v>1618</v>
      </c>
      <c r="M3408" t="s">
        <v>1629</v>
      </c>
      <c r="N3408">
        <v>34.35</v>
      </c>
      <c r="O3408" s="49">
        <v>44212</v>
      </c>
      <c r="P3408" s="50">
        <v>58.572000000000003</v>
      </c>
    </row>
    <row r="3409" spans="4:16" x14ac:dyDescent="0.2">
      <c r="D3409">
        <v>100002026</v>
      </c>
      <c r="E3409" s="49">
        <v>44260</v>
      </c>
      <c r="F3409" t="s">
        <v>3782</v>
      </c>
      <c r="G3409" t="s">
        <v>1805</v>
      </c>
      <c r="H3409">
        <v>7</v>
      </c>
      <c r="I3409">
        <v>57.39</v>
      </c>
      <c r="J3409" s="50">
        <v>401.73</v>
      </c>
      <c r="K3409" t="s">
        <v>1618</v>
      </c>
      <c r="L3409" t="s">
        <v>3783</v>
      </c>
      <c r="M3409" t="s">
        <v>1621</v>
      </c>
      <c r="N3409">
        <v>30.29</v>
      </c>
      <c r="O3409" s="49">
        <v>44263</v>
      </c>
      <c r="P3409" s="50">
        <v>180.77850000000001</v>
      </c>
    </row>
    <row r="3410" spans="4:16" x14ac:dyDescent="0.2">
      <c r="D3410">
        <v>100002026</v>
      </c>
      <c r="E3410" s="49">
        <v>44387</v>
      </c>
      <c r="F3410" t="s">
        <v>3782</v>
      </c>
      <c r="G3410" t="s">
        <v>1851</v>
      </c>
      <c r="H3410">
        <v>7</v>
      </c>
      <c r="I3410">
        <v>87.5</v>
      </c>
      <c r="J3410" s="50">
        <v>612.5</v>
      </c>
      <c r="K3410" t="s">
        <v>1618</v>
      </c>
      <c r="L3410" t="s">
        <v>3783</v>
      </c>
      <c r="M3410" t="s">
        <v>1621</v>
      </c>
      <c r="N3410">
        <v>46.18</v>
      </c>
      <c r="O3410" s="49">
        <v>44391</v>
      </c>
      <c r="P3410" s="50">
        <v>275.625</v>
      </c>
    </row>
    <row r="3411" spans="4:16" x14ac:dyDescent="0.2">
      <c r="D3411">
        <v>100002027</v>
      </c>
      <c r="E3411" s="49">
        <v>44272</v>
      </c>
      <c r="F3411" t="s">
        <v>3784</v>
      </c>
      <c r="G3411" t="s">
        <v>1864</v>
      </c>
      <c r="H3411">
        <v>4</v>
      </c>
      <c r="I3411">
        <v>47.22</v>
      </c>
      <c r="J3411" s="50">
        <v>188.88</v>
      </c>
      <c r="K3411" t="s">
        <v>1632</v>
      </c>
      <c r="M3411" t="s">
        <v>1627</v>
      </c>
      <c r="N3411">
        <v>24.92</v>
      </c>
      <c r="O3411" s="49">
        <v>44275</v>
      </c>
      <c r="P3411" s="50">
        <v>84.995999999999995</v>
      </c>
    </row>
    <row r="3412" spans="4:16" x14ac:dyDescent="0.2">
      <c r="D3412">
        <v>100002027</v>
      </c>
      <c r="E3412" s="49">
        <v>44354</v>
      </c>
      <c r="F3412" t="s">
        <v>3784</v>
      </c>
      <c r="G3412" t="s">
        <v>1781</v>
      </c>
      <c r="H3412">
        <v>8</v>
      </c>
      <c r="I3412">
        <v>18.53</v>
      </c>
      <c r="J3412" s="50">
        <v>148.24</v>
      </c>
      <c r="K3412" t="s">
        <v>1632</v>
      </c>
      <c r="M3412" t="s">
        <v>1627</v>
      </c>
      <c r="N3412">
        <v>9.7799999999999994</v>
      </c>
      <c r="O3412" s="49">
        <v>44359</v>
      </c>
      <c r="P3412" s="50">
        <v>66.708000000000013</v>
      </c>
    </row>
    <row r="3413" spans="4:16" x14ac:dyDescent="0.2">
      <c r="D3413">
        <v>100002028</v>
      </c>
      <c r="E3413" s="49">
        <v>45612</v>
      </c>
      <c r="F3413" t="s">
        <v>3785</v>
      </c>
      <c r="G3413" t="s">
        <v>2138</v>
      </c>
      <c r="H3413">
        <v>9</v>
      </c>
      <c r="I3413">
        <v>10.95</v>
      </c>
      <c r="J3413" s="50">
        <v>98.55</v>
      </c>
      <c r="K3413" t="s">
        <v>1632</v>
      </c>
      <c r="M3413" t="s">
        <v>1629</v>
      </c>
      <c r="N3413">
        <v>5.78</v>
      </c>
      <c r="O3413" s="49">
        <v>45614</v>
      </c>
      <c r="P3413" s="50">
        <v>44.347499999999997</v>
      </c>
    </row>
    <row r="3414" spans="4:16" x14ac:dyDescent="0.2">
      <c r="D3414">
        <v>100002028</v>
      </c>
      <c r="E3414" s="49">
        <v>45552</v>
      </c>
      <c r="F3414" t="s">
        <v>3785</v>
      </c>
      <c r="G3414" t="s">
        <v>1808</v>
      </c>
      <c r="H3414">
        <v>4</v>
      </c>
      <c r="I3414">
        <v>79.31</v>
      </c>
      <c r="J3414" s="50">
        <v>317.24</v>
      </c>
      <c r="K3414" t="s">
        <v>1632</v>
      </c>
      <c r="M3414" t="s">
        <v>1621</v>
      </c>
      <c r="N3414">
        <v>41.86</v>
      </c>
      <c r="O3414" s="49">
        <v>45554</v>
      </c>
      <c r="P3414" s="50">
        <v>142.75800000000001</v>
      </c>
    </row>
    <row r="3415" spans="4:16" x14ac:dyDescent="0.2">
      <c r="D3415">
        <v>100002028</v>
      </c>
      <c r="E3415" s="49">
        <v>44260</v>
      </c>
      <c r="F3415" t="s">
        <v>3785</v>
      </c>
      <c r="G3415" t="s">
        <v>1697</v>
      </c>
      <c r="H3415">
        <v>6</v>
      </c>
      <c r="I3415">
        <v>60.41</v>
      </c>
      <c r="J3415" s="50">
        <v>362.46</v>
      </c>
      <c r="K3415" t="s">
        <v>1632</v>
      </c>
      <c r="M3415" t="s">
        <v>1627</v>
      </c>
      <c r="N3415">
        <v>31.88</v>
      </c>
      <c r="O3415" s="49">
        <v>44261</v>
      </c>
      <c r="P3415" s="50">
        <v>163.107</v>
      </c>
    </row>
    <row r="3416" spans="4:16" x14ac:dyDescent="0.2">
      <c r="D3416">
        <v>100002031</v>
      </c>
      <c r="E3416" s="49">
        <v>45196</v>
      </c>
      <c r="F3416" t="s">
        <v>3786</v>
      </c>
      <c r="G3416" t="s">
        <v>2016</v>
      </c>
      <c r="H3416">
        <v>10</v>
      </c>
      <c r="I3416">
        <v>35.25</v>
      </c>
      <c r="J3416" s="50">
        <v>352.5</v>
      </c>
      <c r="K3416" t="s">
        <v>1632</v>
      </c>
      <c r="M3416" t="s">
        <v>1629</v>
      </c>
      <c r="N3416">
        <v>18.600000000000001</v>
      </c>
      <c r="O3416" s="49">
        <v>45197</v>
      </c>
      <c r="P3416" s="50">
        <v>158.625</v>
      </c>
    </row>
    <row r="3417" spans="4:16" x14ac:dyDescent="0.2">
      <c r="D3417">
        <v>100002032</v>
      </c>
      <c r="E3417" s="49">
        <v>45583</v>
      </c>
      <c r="F3417" t="s">
        <v>3787</v>
      </c>
      <c r="G3417" t="s">
        <v>1831</v>
      </c>
      <c r="H3417">
        <v>4</v>
      </c>
      <c r="I3417">
        <v>35.43</v>
      </c>
      <c r="J3417" s="50">
        <v>141.72</v>
      </c>
      <c r="K3417" t="s">
        <v>1618</v>
      </c>
      <c r="M3417" t="s">
        <v>1621</v>
      </c>
      <c r="N3417">
        <v>18.7</v>
      </c>
      <c r="O3417" s="49">
        <v>45584</v>
      </c>
      <c r="P3417" s="50">
        <v>63.774000000000001</v>
      </c>
    </row>
    <row r="3418" spans="4:16" x14ac:dyDescent="0.2">
      <c r="D3418">
        <v>100002032</v>
      </c>
      <c r="E3418" s="49">
        <v>44300</v>
      </c>
      <c r="F3418" t="s">
        <v>3787</v>
      </c>
      <c r="G3418" t="s">
        <v>2019</v>
      </c>
      <c r="H3418">
        <v>1</v>
      </c>
      <c r="I3418">
        <v>60.88</v>
      </c>
      <c r="J3418" s="50">
        <v>60.88</v>
      </c>
      <c r="K3418" t="s">
        <v>1618</v>
      </c>
      <c r="M3418" t="s">
        <v>1627</v>
      </c>
      <c r="N3418">
        <v>32.130000000000003</v>
      </c>
      <c r="O3418" s="49">
        <v>44303</v>
      </c>
      <c r="P3418" s="50">
        <v>27.396000000000001</v>
      </c>
    </row>
    <row r="3419" spans="4:16" x14ac:dyDescent="0.2">
      <c r="D3419">
        <v>100002032</v>
      </c>
      <c r="E3419" s="49">
        <v>45433</v>
      </c>
      <c r="F3419" t="s">
        <v>3787</v>
      </c>
      <c r="G3419" t="s">
        <v>1715</v>
      </c>
      <c r="H3419">
        <v>8</v>
      </c>
      <c r="I3419">
        <v>31.27</v>
      </c>
      <c r="J3419" s="50">
        <v>250.16</v>
      </c>
      <c r="K3419" t="s">
        <v>1618</v>
      </c>
      <c r="M3419" t="s">
        <v>1619</v>
      </c>
      <c r="N3419">
        <v>16.5</v>
      </c>
      <c r="O3419" s="49">
        <v>45437</v>
      </c>
      <c r="P3419" s="50">
        <v>112.572</v>
      </c>
    </row>
    <row r="3420" spans="4:16" x14ac:dyDescent="0.2">
      <c r="D3420">
        <v>100002032</v>
      </c>
      <c r="E3420" s="49">
        <v>45436</v>
      </c>
      <c r="F3420" t="s">
        <v>3787</v>
      </c>
      <c r="G3420" t="s">
        <v>2060</v>
      </c>
      <c r="H3420">
        <v>7</v>
      </c>
      <c r="I3420">
        <v>28.86</v>
      </c>
      <c r="J3420" s="50">
        <v>202.02</v>
      </c>
      <c r="K3420" t="s">
        <v>1618</v>
      </c>
      <c r="M3420" t="s">
        <v>1619</v>
      </c>
      <c r="N3420">
        <v>15.23</v>
      </c>
      <c r="O3420" s="49">
        <v>45437</v>
      </c>
      <c r="P3420" s="50">
        <v>90.909000000000006</v>
      </c>
    </row>
    <row r="3421" spans="4:16" x14ac:dyDescent="0.2">
      <c r="D3421">
        <v>100002033</v>
      </c>
      <c r="E3421" s="49">
        <v>45288</v>
      </c>
      <c r="F3421" t="s">
        <v>3788</v>
      </c>
      <c r="G3421" t="s">
        <v>1844</v>
      </c>
      <c r="H3421">
        <v>1</v>
      </c>
      <c r="I3421">
        <v>95.62</v>
      </c>
      <c r="J3421" s="50">
        <v>95.62</v>
      </c>
      <c r="K3421" t="s">
        <v>1618</v>
      </c>
      <c r="M3421" t="s">
        <v>1619</v>
      </c>
      <c r="N3421">
        <v>50.47</v>
      </c>
      <c r="O3421" s="49">
        <v>45289</v>
      </c>
      <c r="P3421" s="50">
        <v>43.029000000000003</v>
      </c>
    </row>
    <row r="3422" spans="4:16" x14ac:dyDescent="0.2">
      <c r="D3422">
        <v>100002033</v>
      </c>
      <c r="E3422" s="49">
        <v>44842</v>
      </c>
      <c r="F3422" t="s">
        <v>3788</v>
      </c>
      <c r="G3422" t="s">
        <v>1802</v>
      </c>
      <c r="H3422">
        <v>3</v>
      </c>
      <c r="I3422">
        <v>61.49</v>
      </c>
      <c r="J3422" s="50">
        <v>184.47</v>
      </c>
      <c r="K3422" t="s">
        <v>1618</v>
      </c>
      <c r="M3422" t="s">
        <v>1629</v>
      </c>
      <c r="N3422">
        <v>32.450000000000003</v>
      </c>
      <c r="O3422" s="49">
        <v>44845</v>
      </c>
      <c r="P3422" s="50">
        <v>83.011499999999998</v>
      </c>
    </row>
    <row r="3423" spans="4:16" x14ac:dyDescent="0.2">
      <c r="D3423">
        <v>100002036</v>
      </c>
      <c r="E3423" s="49">
        <v>44565</v>
      </c>
      <c r="F3423" t="s">
        <v>3789</v>
      </c>
      <c r="G3423" t="s">
        <v>1890</v>
      </c>
      <c r="H3423">
        <v>4</v>
      </c>
      <c r="I3423">
        <v>69.33</v>
      </c>
      <c r="J3423" s="50">
        <v>277.32</v>
      </c>
      <c r="K3423" t="s">
        <v>1618</v>
      </c>
      <c r="M3423" t="s">
        <v>1619</v>
      </c>
      <c r="N3423">
        <v>36.590000000000003</v>
      </c>
      <c r="O3423" s="49">
        <v>44569</v>
      </c>
      <c r="P3423" s="50">
        <v>124.794</v>
      </c>
    </row>
    <row r="3424" spans="4:16" x14ac:dyDescent="0.2">
      <c r="D3424">
        <v>100002036</v>
      </c>
      <c r="E3424" s="49">
        <v>44821</v>
      </c>
      <c r="F3424" t="s">
        <v>3789</v>
      </c>
      <c r="G3424" t="s">
        <v>2302</v>
      </c>
      <c r="H3424">
        <v>9</v>
      </c>
      <c r="I3424">
        <v>109.32</v>
      </c>
      <c r="J3424" s="50">
        <v>983.87999999999988</v>
      </c>
      <c r="K3424" t="s">
        <v>1618</v>
      </c>
      <c r="M3424" t="s">
        <v>1627</v>
      </c>
      <c r="N3424">
        <v>57.7</v>
      </c>
      <c r="O3424" s="49">
        <v>44822</v>
      </c>
      <c r="P3424" s="50">
        <v>442.74599999999998</v>
      </c>
    </row>
    <row r="3425" spans="4:16" x14ac:dyDescent="0.2">
      <c r="D3425">
        <v>100002037</v>
      </c>
      <c r="E3425" s="49">
        <v>44669</v>
      </c>
      <c r="F3425" t="s">
        <v>3789</v>
      </c>
      <c r="G3425" t="s">
        <v>1748</v>
      </c>
      <c r="H3425">
        <v>4</v>
      </c>
      <c r="I3425">
        <v>108.18</v>
      </c>
      <c r="J3425" s="50">
        <v>432.72</v>
      </c>
      <c r="K3425" t="s">
        <v>1632</v>
      </c>
      <c r="M3425" t="s">
        <v>1624</v>
      </c>
      <c r="N3425">
        <v>57.09</v>
      </c>
      <c r="O3425" s="49">
        <v>44673</v>
      </c>
      <c r="P3425" s="50">
        <v>194.72400000000002</v>
      </c>
    </row>
    <row r="3426" spans="4:16" x14ac:dyDescent="0.2">
      <c r="D3426">
        <v>100002037</v>
      </c>
      <c r="E3426" s="49">
        <v>44572</v>
      </c>
      <c r="F3426" t="s">
        <v>3789</v>
      </c>
      <c r="G3426" t="s">
        <v>1916</v>
      </c>
      <c r="H3426">
        <v>1</v>
      </c>
      <c r="I3426">
        <v>22.67</v>
      </c>
      <c r="J3426" s="50">
        <v>22.67</v>
      </c>
      <c r="K3426" t="s">
        <v>1632</v>
      </c>
      <c r="M3426" t="s">
        <v>1629</v>
      </c>
      <c r="N3426">
        <v>11.96</v>
      </c>
      <c r="O3426" s="49">
        <v>44574</v>
      </c>
      <c r="P3426" s="50">
        <v>10.201500000000001</v>
      </c>
    </row>
    <row r="3427" spans="4:16" x14ac:dyDescent="0.2">
      <c r="D3427">
        <v>100002037</v>
      </c>
      <c r="E3427" s="49">
        <v>45446</v>
      </c>
      <c r="F3427" t="s">
        <v>3789</v>
      </c>
      <c r="G3427" t="s">
        <v>2057</v>
      </c>
      <c r="H3427">
        <v>2</v>
      </c>
      <c r="I3427">
        <v>39.93</v>
      </c>
      <c r="J3427" s="50">
        <v>79.86</v>
      </c>
      <c r="K3427" t="s">
        <v>1632</v>
      </c>
      <c r="M3427" t="s">
        <v>1619</v>
      </c>
      <c r="N3427">
        <v>21.07</v>
      </c>
      <c r="O3427" s="49">
        <v>45447</v>
      </c>
      <c r="P3427" s="50">
        <v>35.936999999999998</v>
      </c>
    </row>
    <row r="3428" spans="4:16" x14ac:dyDescent="0.2">
      <c r="D3428">
        <v>100002039</v>
      </c>
      <c r="E3428" s="49">
        <v>45490</v>
      </c>
      <c r="F3428" t="s">
        <v>3790</v>
      </c>
      <c r="G3428" t="s">
        <v>2191</v>
      </c>
      <c r="H3428">
        <v>2</v>
      </c>
      <c r="I3428">
        <v>81.599999999999994</v>
      </c>
      <c r="J3428" s="50">
        <v>163.19999999999999</v>
      </c>
      <c r="K3428" t="s">
        <v>1618</v>
      </c>
      <c r="M3428" t="s">
        <v>1627</v>
      </c>
      <c r="N3428">
        <v>43.07</v>
      </c>
      <c r="O3428" s="49">
        <v>45495</v>
      </c>
      <c r="P3428" s="50">
        <v>73.44</v>
      </c>
    </row>
    <row r="3429" spans="4:16" x14ac:dyDescent="0.2">
      <c r="D3429">
        <v>100002039</v>
      </c>
      <c r="E3429" s="49">
        <v>45651</v>
      </c>
      <c r="F3429" t="s">
        <v>3790</v>
      </c>
      <c r="G3429" t="s">
        <v>2373</v>
      </c>
      <c r="H3429">
        <v>9</v>
      </c>
      <c r="I3429">
        <v>81.5</v>
      </c>
      <c r="J3429" s="50">
        <v>733.5</v>
      </c>
      <c r="K3429" t="s">
        <v>1618</v>
      </c>
      <c r="M3429" t="s">
        <v>1619</v>
      </c>
      <c r="N3429">
        <v>43.01</v>
      </c>
      <c r="O3429" s="49">
        <v>45654</v>
      </c>
      <c r="P3429" s="50">
        <v>330.07499999999999</v>
      </c>
    </row>
    <row r="3430" spans="4:16" x14ac:dyDescent="0.2">
      <c r="D3430">
        <v>100002040</v>
      </c>
      <c r="E3430" s="49">
        <v>44903</v>
      </c>
      <c r="F3430" t="s">
        <v>3791</v>
      </c>
      <c r="G3430" t="s">
        <v>1647</v>
      </c>
      <c r="H3430">
        <v>2</v>
      </c>
      <c r="I3430">
        <v>84.11</v>
      </c>
      <c r="J3430" s="50">
        <v>168.22</v>
      </c>
      <c r="K3430" t="s">
        <v>1618</v>
      </c>
      <c r="M3430" t="s">
        <v>1629</v>
      </c>
      <c r="N3430">
        <v>44.39</v>
      </c>
      <c r="O3430" s="49">
        <v>44904</v>
      </c>
      <c r="P3430" s="50">
        <v>75.698999999999998</v>
      </c>
    </row>
    <row r="3431" spans="4:16" x14ac:dyDescent="0.2">
      <c r="D3431">
        <v>100002040</v>
      </c>
      <c r="E3431" s="49">
        <v>44643</v>
      </c>
      <c r="F3431" t="s">
        <v>3791</v>
      </c>
      <c r="G3431" t="s">
        <v>1827</v>
      </c>
      <c r="H3431">
        <v>2</v>
      </c>
      <c r="I3431">
        <v>15.32</v>
      </c>
      <c r="J3431" s="50">
        <v>30.64</v>
      </c>
      <c r="K3431" t="s">
        <v>1618</v>
      </c>
      <c r="M3431" t="s">
        <v>1627</v>
      </c>
      <c r="N3431">
        <v>8.09</v>
      </c>
      <c r="O3431" s="49">
        <v>44644</v>
      </c>
      <c r="P3431" s="50">
        <v>13.788</v>
      </c>
    </row>
    <row r="3432" spans="4:16" x14ac:dyDescent="0.2">
      <c r="D3432">
        <v>100002040</v>
      </c>
      <c r="E3432" s="49">
        <v>44760</v>
      </c>
      <c r="F3432" t="s">
        <v>3791</v>
      </c>
      <c r="G3432" t="s">
        <v>2255</v>
      </c>
      <c r="H3432">
        <v>9</v>
      </c>
      <c r="I3432">
        <v>85.45</v>
      </c>
      <c r="J3432" s="50">
        <v>769.05000000000007</v>
      </c>
      <c r="K3432" t="s">
        <v>1618</v>
      </c>
      <c r="M3432" t="s">
        <v>1621</v>
      </c>
      <c r="N3432">
        <v>45.1</v>
      </c>
      <c r="O3432" s="49">
        <v>44761</v>
      </c>
      <c r="P3432" s="50">
        <v>346.07250000000005</v>
      </c>
    </row>
    <row r="3433" spans="4:16" x14ac:dyDescent="0.2">
      <c r="D3433">
        <v>100002040</v>
      </c>
      <c r="E3433" s="49">
        <v>45438</v>
      </c>
      <c r="F3433" t="s">
        <v>3791</v>
      </c>
      <c r="G3433" t="s">
        <v>1819</v>
      </c>
      <c r="H3433">
        <v>5</v>
      </c>
      <c r="I3433">
        <v>100.67</v>
      </c>
      <c r="J3433" s="50">
        <v>503.35</v>
      </c>
      <c r="K3433" t="s">
        <v>1618</v>
      </c>
      <c r="M3433" t="s">
        <v>1627</v>
      </c>
      <c r="N3433">
        <v>53.13</v>
      </c>
      <c r="O3433" s="49">
        <v>45439</v>
      </c>
      <c r="P3433" s="50">
        <v>226.50750000000002</v>
      </c>
    </row>
    <row r="3434" spans="4:16" x14ac:dyDescent="0.2">
      <c r="D3434">
        <v>100002040</v>
      </c>
      <c r="E3434" s="49">
        <v>44782</v>
      </c>
      <c r="F3434" t="s">
        <v>3791</v>
      </c>
      <c r="G3434" t="s">
        <v>2240</v>
      </c>
      <c r="H3434">
        <v>6</v>
      </c>
      <c r="I3434">
        <v>44.33</v>
      </c>
      <c r="J3434" s="50">
        <v>265.98</v>
      </c>
      <c r="K3434" t="s">
        <v>1618</v>
      </c>
      <c r="M3434" t="s">
        <v>1627</v>
      </c>
      <c r="N3434">
        <v>23.4</v>
      </c>
      <c r="O3434" s="49">
        <v>44785</v>
      </c>
      <c r="P3434" s="50">
        <v>119.69100000000002</v>
      </c>
    </row>
    <row r="3435" spans="4:16" x14ac:dyDescent="0.2">
      <c r="D3435">
        <v>100002041</v>
      </c>
      <c r="E3435" s="49">
        <v>45564</v>
      </c>
      <c r="F3435" t="s">
        <v>3792</v>
      </c>
      <c r="G3435" t="s">
        <v>2658</v>
      </c>
      <c r="H3435">
        <v>1</v>
      </c>
      <c r="I3435">
        <v>89.52</v>
      </c>
      <c r="J3435" s="50">
        <v>89.52</v>
      </c>
      <c r="K3435" t="s">
        <v>1632</v>
      </c>
      <c r="M3435" t="s">
        <v>1629</v>
      </c>
      <c r="N3435">
        <v>47.25</v>
      </c>
      <c r="O3435" s="49">
        <v>45567</v>
      </c>
      <c r="P3435" s="50">
        <v>40.283999999999999</v>
      </c>
    </row>
    <row r="3436" spans="4:16" x14ac:dyDescent="0.2">
      <c r="D3436">
        <v>100002041</v>
      </c>
      <c r="E3436" s="49">
        <v>44975</v>
      </c>
      <c r="F3436" t="s">
        <v>3792</v>
      </c>
      <c r="G3436" t="s">
        <v>1749</v>
      </c>
      <c r="H3436">
        <v>7</v>
      </c>
      <c r="I3436">
        <v>99.21</v>
      </c>
      <c r="J3436" s="50">
        <v>694.46999999999991</v>
      </c>
      <c r="K3436" t="s">
        <v>1632</v>
      </c>
      <c r="M3436" t="s">
        <v>1624</v>
      </c>
      <c r="N3436">
        <v>52.36</v>
      </c>
      <c r="O3436" s="49">
        <v>44976</v>
      </c>
      <c r="P3436" s="50">
        <v>312.51149999999996</v>
      </c>
    </row>
    <row r="3437" spans="4:16" x14ac:dyDescent="0.2">
      <c r="D3437">
        <v>100002044</v>
      </c>
      <c r="E3437" s="49">
        <v>44737</v>
      </c>
      <c r="F3437" t="s">
        <v>3793</v>
      </c>
      <c r="G3437" t="s">
        <v>2330</v>
      </c>
      <c r="H3437">
        <v>10</v>
      </c>
      <c r="I3437">
        <v>22.56</v>
      </c>
      <c r="J3437" s="50">
        <v>225.6</v>
      </c>
      <c r="K3437" t="s">
        <v>1618</v>
      </c>
      <c r="M3437" t="s">
        <v>1621</v>
      </c>
      <c r="N3437">
        <v>11.91</v>
      </c>
      <c r="O3437" s="49">
        <v>44740</v>
      </c>
      <c r="P3437" s="50">
        <v>101.52</v>
      </c>
    </row>
    <row r="3438" spans="4:16" x14ac:dyDescent="0.2">
      <c r="D3438">
        <v>100002045</v>
      </c>
      <c r="E3438" s="49">
        <v>45103</v>
      </c>
      <c r="F3438" t="s">
        <v>3794</v>
      </c>
      <c r="G3438" t="s">
        <v>1865</v>
      </c>
      <c r="H3438">
        <v>2</v>
      </c>
      <c r="I3438">
        <v>25.05</v>
      </c>
      <c r="J3438" s="50">
        <v>50.1</v>
      </c>
      <c r="K3438" t="s">
        <v>1632</v>
      </c>
      <c r="L3438" t="s">
        <v>3795</v>
      </c>
      <c r="M3438" t="s">
        <v>1624</v>
      </c>
      <c r="N3438">
        <v>13.22</v>
      </c>
      <c r="O3438" s="49">
        <v>45104</v>
      </c>
      <c r="P3438" s="50">
        <v>22.545000000000002</v>
      </c>
    </row>
    <row r="3439" spans="4:16" x14ac:dyDescent="0.2">
      <c r="D3439">
        <v>100002046</v>
      </c>
      <c r="E3439" s="49">
        <v>45478</v>
      </c>
      <c r="F3439" t="s">
        <v>2419</v>
      </c>
      <c r="G3439" t="s">
        <v>1765</v>
      </c>
      <c r="H3439">
        <v>6</v>
      </c>
      <c r="I3439">
        <v>43.89</v>
      </c>
      <c r="J3439" s="50">
        <v>263.33999999999997</v>
      </c>
      <c r="K3439" t="s">
        <v>1618</v>
      </c>
      <c r="M3439" t="s">
        <v>1619</v>
      </c>
      <c r="N3439">
        <v>23.16</v>
      </c>
      <c r="O3439" s="49">
        <v>45483</v>
      </c>
      <c r="P3439" s="50">
        <v>118.50299999999999</v>
      </c>
    </row>
    <row r="3440" spans="4:16" x14ac:dyDescent="0.2">
      <c r="D3440">
        <v>100002046</v>
      </c>
      <c r="E3440" s="49">
        <v>45560</v>
      </c>
      <c r="F3440" t="s">
        <v>2419</v>
      </c>
      <c r="G3440" t="s">
        <v>2194</v>
      </c>
      <c r="H3440">
        <v>3</v>
      </c>
      <c r="I3440">
        <v>52.63</v>
      </c>
      <c r="J3440" s="50">
        <v>157.88999999999999</v>
      </c>
      <c r="K3440" t="s">
        <v>1618</v>
      </c>
      <c r="M3440" t="s">
        <v>1621</v>
      </c>
      <c r="N3440">
        <v>27.78</v>
      </c>
      <c r="O3440" s="49">
        <v>45564</v>
      </c>
      <c r="P3440" s="50">
        <v>71.0505</v>
      </c>
    </row>
    <row r="3441" spans="4:16" x14ac:dyDescent="0.2">
      <c r="D3441">
        <v>100002046</v>
      </c>
      <c r="E3441" s="49">
        <v>45594</v>
      </c>
      <c r="F3441" t="s">
        <v>2419</v>
      </c>
      <c r="G3441" t="s">
        <v>1866</v>
      </c>
      <c r="H3441">
        <v>9</v>
      </c>
      <c r="I3441">
        <v>40.770000000000003</v>
      </c>
      <c r="J3441" s="50">
        <v>366.93</v>
      </c>
      <c r="K3441" t="s">
        <v>1618</v>
      </c>
      <c r="M3441" t="s">
        <v>1621</v>
      </c>
      <c r="N3441">
        <v>21.52</v>
      </c>
      <c r="O3441" s="49">
        <v>45599</v>
      </c>
      <c r="P3441" s="50">
        <v>165.11850000000001</v>
      </c>
    </row>
    <row r="3442" spans="4:16" x14ac:dyDescent="0.2">
      <c r="D3442">
        <v>100002049</v>
      </c>
      <c r="E3442" s="49">
        <v>45473</v>
      </c>
      <c r="F3442" t="s">
        <v>3796</v>
      </c>
      <c r="G3442" t="s">
        <v>1644</v>
      </c>
      <c r="H3442">
        <v>9</v>
      </c>
      <c r="I3442">
        <v>81.040000000000006</v>
      </c>
      <c r="J3442" s="50">
        <v>729.36</v>
      </c>
      <c r="K3442" t="s">
        <v>1632</v>
      </c>
      <c r="L3442" t="s">
        <v>2755</v>
      </c>
      <c r="M3442" t="s">
        <v>1624</v>
      </c>
      <c r="N3442">
        <v>42.77</v>
      </c>
      <c r="O3442" s="49">
        <v>45475</v>
      </c>
      <c r="P3442" s="50">
        <v>328.21199999999999</v>
      </c>
    </row>
    <row r="3443" spans="4:16" x14ac:dyDescent="0.2">
      <c r="D3443">
        <v>100002050</v>
      </c>
      <c r="E3443" s="49">
        <v>44653</v>
      </c>
      <c r="F3443" t="s">
        <v>3797</v>
      </c>
      <c r="G3443" t="s">
        <v>1985</v>
      </c>
      <c r="H3443">
        <v>1</v>
      </c>
      <c r="I3443">
        <v>35.1</v>
      </c>
      <c r="J3443" s="50">
        <v>35.1</v>
      </c>
      <c r="K3443" t="s">
        <v>1618</v>
      </c>
      <c r="L3443" t="s">
        <v>3798</v>
      </c>
      <c r="M3443" t="s">
        <v>1624</v>
      </c>
      <c r="N3443">
        <v>18.52</v>
      </c>
      <c r="O3443" s="49">
        <v>44655</v>
      </c>
      <c r="P3443" s="50">
        <v>15.795000000000002</v>
      </c>
    </row>
    <row r="3444" spans="4:16" x14ac:dyDescent="0.2">
      <c r="D3444">
        <v>100002050</v>
      </c>
      <c r="E3444" s="49">
        <v>45578</v>
      </c>
      <c r="F3444" t="s">
        <v>3797</v>
      </c>
      <c r="G3444" t="s">
        <v>1709</v>
      </c>
      <c r="H3444">
        <v>3</v>
      </c>
      <c r="I3444">
        <v>53.89</v>
      </c>
      <c r="J3444" s="50">
        <v>161.66999999999999</v>
      </c>
      <c r="K3444" t="s">
        <v>1618</v>
      </c>
      <c r="L3444" t="s">
        <v>3798</v>
      </c>
      <c r="M3444" t="s">
        <v>1619</v>
      </c>
      <c r="N3444">
        <v>28.44</v>
      </c>
      <c r="O3444" s="49">
        <v>45580</v>
      </c>
      <c r="P3444" s="50">
        <v>72.751499999999993</v>
      </c>
    </row>
    <row r="3445" spans="4:16" x14ac:dyDescent="0.2">
      <c r="D3445">
        <v>100002050</v>
      </c>
      <c r="E3445" s="49">
        <v>45498</v>
      </c>
      <c r="F3445" t="s">
        <v>3797</v>
      </c>
      <c r="G3445" t="s">
        <v>1812</v>
      </c>
      <c r="H3445">
        <v>9</v>
      </c>
      <c r="I3445">
        <v>12.85</v>
      </c>
      <c r="J3445" s="50">
        <v>115.65</v>
      </c>
      <c r="K3445" t="s">
        <v>1618</v>
      </c>
      <c r="L3445" t="s">
        <v>3798</v>
      </c>
      <c r="M3445" t="s">
        <v>1627</v>
      </c>
      <c r="N3445">
        <v>6.78</v>
      </c>
      <c r="O3445" s="49">
        <v>45500</v>
      </c>
      <c r="P3445" s="50">
        <v>52.042500000000004</v>
      </c>
    </row>
    <row r="3446" spans="4:16" x14ac:dyDescent="0.2">
      <c r="D3446">
        <v>100002050</v>
      </c>
      <c r="E3446" s="49">
        <v>45274</v>
      </c>
      <c r="F3446" t="s">
        <v>3797</v>
      </c>
      <c r="G3446" t="s">
        <v>2707</v>
      </c>
      <c r="H3446">
        <v>8</v>
      </c>
      <c r="I3446">
        <v>62.39</v>
      </c>
      <c r="J3446" s="50">
        <v>499.12</v>
      </c>
      <c r="K3446" t="s">
        <v>1618</v>
      </c>
      <c r="L3446" t="s">
        <v>3798</v>
      </c>
      <c r="M3446" t="s">
        <v>1621</v>
      </c>
      <c r="N3446">
        <v>32.93</v>
      </c>
      <c r="O3446" s="49">
        <v>45279</v>
      </c>
      <c r="P3446" s="50">
        <v>224.60400000000001</v>
      </c>
    </row>
    <row r="3447" spans="4:16" x14ac:dyDescent="0.2">
      <c r="D3447">
        <v>100002051</v>
      </c>
      <c r="E3447" s="49">
        <v>44211</v>
      </c>
      <c r="F3447" t="s">
        <v>3799</v>
      </c>
      <c r="G3447" t="s">
        <v>2074</v>
      </c>
      <c r="H3447">
        <v>5</v>
      </c>
      <c r="I3447">
        <v>72.88</v>
      </c>
      <c r="J3447" s="50">
        <v>364.4</v>
      </c>
      <c r="K3447" t="s">
        <v>1618</v>
      </c>
      <c r="L3447" t="s">
        <v>3800</v>
      </c>
      <c r="M3447" t="s">
        <v>1629</v>
      </c>
      <c r="N3447">
        <v>38.46</v>
      </c>
      <c r="O3447" s="49">
        <v>44214</v>
      </c>
      <c r="P3447" s="50">
        <v>163.98</v>
      </c>
    </row>
    <row r="3448" spans="4:16" x14ac:dyDescent="0.2">
      <c r="D3448">
        <v>100002051</v>
      </c>
      <c r="E3448" s="49">
        <v>44495</v>
      </c>
      <c r="F3448" t="s">
        <v>3799</v>
      </c>
      <c r="G3448" t="s">
        <v>1762</v>
      </c>
      <c r="H3448">
        <v>10</v>
      </c>
      <c r="I3448">
        <v>106.28</v>
      </c>
      <c r="J3448" s="50">
        <v>1062.8</v>
      </c>
      <c r="K3448" t="s">
        <v>1618</v>
      </c>
      <c r="L3448" t="s">
        <v>3800</v>
      </c>
      <c r="M3448" t="s">
        <v>1624</v>
      </c>
      <c r="N3448">
        <v>56.09</v>
      </c>
      <c r="O3448" s="49">
        <v>44498</v>
      </c>
      <c r="P3448" s="50">
        <v>478.26</v>
      </c>
    </row>
    <row r="3449" spans="4:16" x14ac:dyDescent="0.2">
      <c r="D3449">
        <v>100002051</v>
      </c>
      <c r="E3449" s="49">
        <v>44340</v>
      </c>
      <c r="F3449" t="s">
        <v>3799</v>
      </c>
      <c r="G3449" t="s">
        <v>2088</v>
      </c>
      <c r="H3449">
        <v>4</v>
      </c>
      <c r="I3449">
        <v>20.32</v>
      </c>
      <c r="J3449" s="50">
        <v>81.28</v>
      </c>
      <c r="K3449" t="s">
        <v>1618</v>
      </c>
      <c r="L3449" t="s">
        <v>3800</v>
      </c>
      <c r="M3449" t="s">
        <v>1624</v>
      </c>
      <c r="N3449">
        <v>10.72</v>
      </c>
      <c r="O3449" s="49">
        <v>44341</v>
      </c>
      <c r="P3449" s="50">
        <v>36.576000000000001</v>
      </c>
    </row>
    <row r="3450" spans="4:16" x14ac:dyDescent="0.2">
      <c r="D3450">
        <v>100002051</v>
      </c>
      <c r="E3450" s="49">
        <v>45624</v>
      </c>
      <c r="F3450" t="s">
        <v>3799</v>
      </c>
      <c r="G3450" t="s">
        <v>1736</v>
      </c>
      <c r="H3450">
        <v>1</v>
      </c>
      <c r="I3450">
        <v>89.61</v>
      </c>
      <c r="J3450" s="50">
        <v>89.61</v>
      </c>
      <c r="K3450" t="s">
        <v>1618</v>
      </c>
      <c r="L3450" t="s">
        <v>3800</v>
      </c>
      <c r="M3450" t="s">
        <v>1627</v>
      </c>
      <c r="N3450">
        <v>47.29</v>
      </c>
      <c r="O3450" s="49">
        <v>45629</v>
      </c>
      <c r="P3450" s="50">
        <v>40.3245</v>
      </c>
    </row>
    <row r="3451" spans="4:16" x14ac:dyDescent="0.2">
      <c r="D3451">
        <v>100002053</v>
      </c>
      <c r="E3451" s="49">
        <v>44846</v>
      </c>
      <c r="F3451" t="s">
        <v>3801</v>
      </c>
      <c r="G3451" t="s">
        <v>2038</v>
      </c>
      <c r="H3451">
        <v>3</v>
      </c>
      <c r="I3451">
        <v>110.61</v>
      </c>
      <c r="J3451" s="50">
        <v>331.83</v>
      </c>
      <c r="K3451" t="s">
        <v>1632</v>
      </c>
      <c r="M3451" t="s">
        <v>1624</v>
      </c>
      <c r="N3451">
        <v>58.38</v>
      </c>
      <c r="O3451" s="49">
        <v>44850</v>
      </c>
      <c r="P3451" s="50">
        <v>149.3235</v>
      </c>
    </row>
    <row r="3452" spans="4:16" x14ac:dyDescent="0.2">
      <c r="D3452">
        <v>100002053</v>
      </c>
      <c r="E3452" s="49">
        <v>44251</v>
      </c>
      <c r="F3452" t="s">
        <v>3801</v>
      </c>
      <c r="G3452" t="s">
        <v>2514</v>
      </c>
      <c r="H3452">
        <v>5</v>
      </c>
      <c r="I3452">
        <v>105</v>
      </c>
      <c r="J3452" s="50">
        <v>525</v>
      </c>
      <c r="K3452" t="s">
        <v>1632</v>
      </c>
      <c r="M3452" t="s">
        <v>1621</v>
      </c>
      <c r="N3452">
        <v>55.42</v>
      </c>
      <c r="O3452" s="49">
        <v>44253</v>
      </c>
      <c r="P3452" s="50">
        <v>236.25</v>
      </c>
    </row>
    <row r="3453" spans="4:16" x14ac:dyDescent="0.2">
      <c r="D3453">
        <v>100002053</v>
      </c>
      <c r="E3453" s="49">
        <v>45203</v>
      </c>
      <c r="F3453" t="s">
        <v>3801</v>
      </c>
      <c r="G3453" t="s">
        <v>1709</v>
      </c>
      <c r="H3453">
        <v>7</v>
      </c>
      <c r="I3453">
        <v>43.51</v>
      </c>
      <c r="J3453" s="50">
        <v>304.57</v>
      </c>
      <c r="K3453" t="s">
        <v>1632</v>
      </c>
      <c r="M3453" t="s">
        <v>1627</v>
      </c>
      <c r="N3453">
        <v>22.96</v>
      </c>
      <c r="O3453" s="49">
        <v>45207</v>
      </c>
      <c r="P3453" s="50">
        <v>137.0565</v>
      </c>
    </row>
    <row r="3454" spans="4:16" x14ac:dyDescent="0.2">
      <c r="D3454">
        <v>100002053</v>
      </c>
      <c r="E3454" s="49">
        <v>44279</v>
      </c>
      <c r="F3454" t="s">
        <v>3801</v>
      </c>
      <c r="G3454" t="s">
        <v>2447</v>
      </c>
      <c r="H3454">
        <v>1</v>
      </c>
      <c r="I3454">
        <v>110.52</v>
      </c>
      <c r="J3454" s="50">
        <v>110.52</v>
      </c>
      <c r="K3454" t="s">
        <v>1632</v>
      </c>
      <c r="M3454" t="s">
        <v>1624</v>
      </c>
      <c r="N3454">
        <v>58.33</v>
      </c>
      <c r="O3454" s="49">
        <v>44281</v>
      </c>
      <c r="P3454" s="50">
        <v>49.734000000000002</v>
      </c>
    </row>
    <row r="3455" spans="4:16" x14ac:dyDescent="0.2">
      <c r="D3455">
        <v>100002053</v>
      </c>
      <c r="E3455" s="49">
        <v>45359</v>
      </c>
      <c r="F3455" t="s">
        <v>3801</v>
      </c>
      <c r="G3455" t="s">
        <v>1828</v>
      </c>
      <c r="H3455">
        <v>8</v>
      </c>
      <c r="I3455">
        <v>55.14</v>
      </c>
      <c r="J3455" s="50">
        <v>441.12</v>
      </c>
      <c r="K3455" t="s">
        <v>1632</v>
      </c>
      <c r="M3455" t="s">
        <v>1624</v>
      </c>
      <c r="N3455">
        <v>29.1</v>
      </c>
      <c r="O3455" s="49">
        <v>45362</v>
      </c>
      <c r="P3455" s="50">
        <v>198.50400000000002</v>
      </c>
    </row>
    <row r="3456" spans="4:16" x14ac:dyDescent="0.2">
      <c r="D3456">
        <v>100002053</v>
      </c>
      <c r="E3456" s="49">
        <v>45313</v>
      </c>
      <c r="F3456" t="s">
        <v>3801</v>
      </c>
      <c r="G3456" t="s">
        <v>1690</v>
      </c>
      <c r="H3456">
        <v>7</v>
      </c>
      <c r="I3456">
        <v>85.46</v>
      </c>
      <c r="J3456" s="50">
        <v>598.21999999999991</v>
      </c>
      <c r="K3456" t="s">
        <v>1632</v>
      </c>
      <c r="M3456" t="s">
        <v>1627</v>
      </c>
      <c r="N3456">
        <v>45.1</v>
      </c>
      <c r="O3456" s="49">
        <v>45317</v>
      </c>
      <c r="P3456" s="50">
        <v>269.19899999999996</v>
      </c>
    </row>
    <row r="3457" spans="4:16" x14ac:dyDescent="0.2">
      <c r="D3457">
        <v>100002053</v>
      </c>
      <c r="E3457" s="49">
        <v>44827</v>
      </c>
      <c r="F3457" t="s">
        <v>3801</v>
      </c>
      <c r="G3457" t="s">
        <v>2242</v>
      </c>
      <c r="H3457">
        <v>7</v>
      </c>
      <c r="I3457">
        <v>37.11</v>
      </c>
      <c r="J3457" s="50">
        <v>259.77</v>
      </c>
      <c r="K3457" t="s">
        <v>1632</v>
      </c>
      <c r="M3457" t="s">
        <v>1627</v>
      </c>
      <c r="N3457">
        <v>19.59</v>
      </c>
      <c r="O3457" s="49">
        <v>44832</v>
      </c>
      <c r="P3457" s="50">
        <v>116.89649999999999</v>
      </c>
    </row>
    <row r="3458" spans="4:16" x14ac:dyDescent="0.2">
      <c r="D3458">
        <v>100002055</v>
      </c>
      <c r="E3458" s="49">
        <v>45540</v>
      </c>
      <c r="F3458" t="s">
        <v>3802</v>
      </c>
      <c r="G3458" t="s">
        <v>2733</v>
      </c>
      <c r="H3458">
        <v>4</v>
      </c>
      <c r="I3458">
        <v>94.91</v>
      </c>
      <c r="J3458" s="50">
        <v>379.64</v>
      </c>
      <c r="K3458" t="s">
        <v>1618</v>
      </c>
      <c r="M3458" t="s">
        <v>1627</v>
      </c>
      <c r="N3458">
        <v>50.09</v>
      </c>
      <c r="O3458" s="49">
        <v>45542</v>
      </c>
      <c r="P3458" s="50">
        <v>170.83799999999999</v>
      </c>
    </row>
    <row r="3459" spans="4:16" x14ac:dyDescent="0.2">
      <c r="D3459">
        <v>100002056</v>
      </c>
      <c r="E3459" s="49">
        <v>44433</v>
      </c>
      <c r="F3459" t="s">
        <v>3803</v>
      </c>
      <c r="G3459" t="s">
        <v>1973</v>
      </c>
      <c r="H3459">
        <v>5</v>
      </c>
      <c r="I3459">
        <v>107.38</v>
      </c>
      <c r="J3459" s="50">
        <v>536.9</v>
      </c>
      <c r="K3459" t="s">
        <v>1618</v>
      </c>
      <c r="M3459" t="s">
        <v>1629</v>
      </c>
      <c r="N3459">
        <v>56.67</v>
      </c>
      <c r="O3459" s="49">
        <v>44434</v>
      </c>
      <c r="P3459" s="50">
        <v>241.60499999999999</v>
      </c>
    </row>
    <row r="3460" spans="4:16" x14ac:dyDescent="0.2">
      <c r="D3460">
        <v>100002056</v>
      </c>
      <c r="E3460" s="49">
        <v>45618</v>
      </c>
      <c r="F3460" t="s">
        <v>3803</v>
      </c>
      <c r="G3460" t="s">
        <v>1913</v>
      </c>
      <c r="H3460">
        <v>9</v>
      </c>
      <c r="I3460">
        <v>88.26</v>
      </c>
      <c r="J3460" s="50">
        <v>794.34</v>
      </c>
      <c r="K3460" t="s">
        <v>1618</v>
      </c>
      <c r="M3460" t="s">
        <v>1627</v>
      </c>
      <c r="N3460">
        <v>46.58</v>
      </c>
      <c r="O3460" s="49">
        <v>45621</v>
      </c>
      <c r="P3460" s="50">
        <v>357.45300000000003</v>
      </c>
    </row>
    <row r="3461" spans="4:16" x14ac:dyDescent="0.2">
      <c r="D3461">
        <v>100002056</v>
      </c>
      <c r="E3461" s="49">
        <v>45114</v>
      </c>
      <c r="F3461" t="s">
        <v>3803</v>
      </c>
      <c r="G3461" t="s">
        <v>1623</v>
      </c>
      <c r="H3461">
        <v>7</v>
      </c>
      <c r="I3461">
        <v>15.68</v>
      </c>
      <c r="J3461" s="50">
        <v>109.76</v>
      </c>
      <c r="K3461" t="s">
        <v>1618</v>
      </c>
      <c r="M3461" t="s">
        <v>1624</v>
      </c>
      <c r="N3461">
        <v>8.2799999999999994</v>
      </c>
      <c r="O3461" s="49">
        <v>45115</v>
      </c>
      <c r="P3461" s="50">
        <v>49.392000000000003</v>
      </c>
    </row>
    <row r="3462" spans="4:16" x14ac:dyDescent="0.2">
      <c r="D3462">
        <v>100002057</v>
      </c>
      <c r="E3462" s="49">
        <v>45242</v>
      </c>
      <c r="F3462" t="s">
        <v>3804</v>
      </c>
      <c r="G3462" t="s">
        <v>2213</v>
      </c>
      <c r="H3462">
        <v>9</v>
      </c>
      <c r="I3462">
        <v>38.130000000000003</v>
      </c>
      <c r="J3462" s="50">
        <v>343.17</v>
      </c>
      <c r="K3462" t="s">
        <v>1618</v>
      </c>
      <c r="M3462" t="s">
        <v>1621</v>
      </c>
      <c r="N3462">
        <v>20.12</v>
      </c>
      <c r="O3462" s="49">
        <v>45246</v>
      </c>
      <c r="P3462" s="50">
        <v>154.4265</v>
      </c>
    </row>
    <row r="3463" spans="4:16" x14ac:dyDescent="0.2">
      <c r="D3463">
        <v>100002057</v>
      </c>
      <c r="E3463" s="49">
        <v>45339</v>
      </c>
      <c r="F3463" t="s">
        <v>3804</v>
      </c>
      <c r="G3463" t="s">
        <v>2086</v>
      </c>
      <c r="H3463">
        <v>6</v>
      </c>
      <c r="I3463">
        <v>92.18</v>
      </c>
      <c r="J3463" s="50">
        <v>553.08000000000004</v>
      </c>
      <c r="K3463" t="s">
        <v>1618</v>
      </c>
      <c r="M3463" t="s">
        <v>1619</v>
      </c>
      <c r="N3463">
        <v>48.65</v>
      </c>
      <c r="O3463" s="49">
        <v>45340</v>
      </c>
      <c r="P3463" s="50">
        <v>248.88600000000002</v>
      </c>
    </row>
    <row r="3464" spans="4:16" x14ac:dyDescent="0.2">
      <c r="D3464">
        <v>100002057</v>
      </c>
      <c r="E3464" s="49">
        <v>45231</v>
      </c>
      <c r="F3464" t="s">
        <v>3804</v>
      </c>
      <c r="G3464" t="s">
        <v>1825</v>
      </c>
      <c r="H3464">
        <v>8</v>
      </c>
      <c r="I3464">
        <v>66.8</v>
      </c>
      <c r="J3464" s="50">
        <v>534.4</v>
      </c>
      <c r="K3464" t="s">
        <v>1618</v>
      </c>
      <c r="M3464" t="s">
        <v>1624</v>
      </c>
      <c r="N3464">
        <v>35.26</v>
      </c>
      <c r="O3464" s="49">
        <v>45236</v>
      </c>
      <c r="P3464" s="50">
        <v>240.48</v>
      </c>
    </row>
    <row r="3465" spans="4:16" x14ac:dyDescent="0.2">
      <c r="D3465">
        <v>100002057</v>
      </c>
      <c r="E3465" s="49">
        <v>45052</v>
      </c>
      <c r="F3465" t="s">
        <v>3804</v>
      </c>
      <c r="G3465" t="s">
        <v>1742</v>
      </c>
      <c r="H3465">
        <v>5</v>
      </c>
      <c r="I3465">
        <v>87.07</v>
      </c>
      <c r="J3465" s="50">
        <v>435.35</v>
      </c>
      <c r="K3465" t="s">
        <v>1618</v>
      </c>
      <c r="M3465" t="s">
        <v>1624</v>
      </c>
      <c r="N3465">
        <v>45.95</v>
      </c>
      <c r="O3465" s="49">
        <v>45053</v>
      </c>
      <c r="P3465" s="50">
        <v>195.90750000000003</v>
      </c>
    </row>
    <row r="3466" spans="4:16" x14ac:dyDescent="0.2">
      <c r="D3466">
        <v>100002058</v>
      </c>
      <c r="E3466" s="49">
        <v>44664</v>
      </c>
      <c r="F3466" t="s">
        <v>3805</v>
      </c>
      <c r="G3466" t="s">
        <v>1730</v>
      </c>
      <c r="H3466">
        <v>5</v>
      </c>
      <c r="I3466">
        <v>84.79</v>
      </c>
      <c r="J3466" s="50">
        <v>423.95</v>
      </c>
      <c r="K3466" t="s">
        <v>1632</v>
      </c>
      <c r="M3466" t="s">
        <v>1624</v>
      </c>
      <c r="N3466">
        <v>44.75</v>
      </c>
      <c r="O3466" s="49">
        <v>44668</v>
      </c>
      <c r="P3466" s="50">
        <v>190.7775</v>
      </c>
    </row>
    <row r="3467" spans="4:16" x14ac:dyDescent="0.2">
      <c r="D3467">
        <v>100002058</v>
      </c>
      <c r="E3467" s="49">
        <v>44970</v>
      </c>
      <c r="F3467" t="s">
        <v>3805</v>
      </c>
      <c r="G3467" t="s">
        <v>2101</v>
      </c>
      <c r="H3467">
        <v>10</v>
      </c>
      <c r="I3467">
        <v>102.48</v>
      </c>
      <c r="J3467" s="50">
        <v>1024.8</v>
      </c>
      <c r="K3467" t="s">
        <v>1632</v>
      </c>
      <c r="M3467" t="s">
        <v>1619</v>
      </c>
      <c r="N3467">
        <v>54.09</v>
      </c>
      <c r="O3467" s="49">
        <v>44972</v>
      </c>
      <c r="P3467" s="50">
        <v>461.15999999999997</v>
      </c>
    </row>
    <row r="3468" spans="4:16" x14ac:dyDescent="0.2">
      <c r="D3468">
        <v>100002058</v>
      </c>
      <c r="E3468" s="49">
        <v>45230</v>
      </c>
      <c r="F3468" t="s">
        <v>3805</v>
      </c>
      <c r="G3468" t="s">
        <v>1980</v>
      </c>
      <c r="H3468">
        <v>4</v>
      </c>
      <c r="I3468">
        <v>108.97</v>
      </c>
      <c r="J3468" s="50">
        <v>435.88</v>
      </c>
      <c r="K3468" t="s">
        <v>1632</v>
      </c>
      <c r="M3468" t="s">
        <v>1619</v>
      </c>
      <c r="N3468">
        <v>57.51</v>
      </c>
      <c r="O3468" s="49">
        <v>45233</v>
      </c>
      <c r="P3468" s="50">
        <v>196.14600000000002</v>
      </c>
    </row>
    <row r="3469" spans="4:16" x14ac:dyDescent="0.2">
      <c r="D3469">
        <v>100002059</v>
      </c>
      <c r="E3469" s="49">
        <v>44717</v>
      </c>
      <c r="F3469" t="s">
        <v>3806</v>
      </c>
      <c r="G3469" t="s">
        <v>1681</v>
      </c>
      <c r="H3469">
        <v>8</v>
      </c>
      <c r="I3469">
        <v>44.37</v>
      </c>
      <c r="J3469" s="50">
        <v>354.96</v>
      </c>
      <c r="K3469" t="s">
        <v>1632</v>
      </c>
      <c r="M3469" t="s">
        <v>1627</v>
      </c>
      <c r="N3469">
        <v>23.42</v>
      </c>
      <c r="O3469" s="49">
        <v>44721</v>
      </c>
      <c r="P3469" s="50">
        <v>159.732</v>
      </c>
    </row>
    <row r="3470" spans="4:16" x14ac:dyDescent="0.2">
      <c r="D3470">
        <v>100002060</v>
      </c>
      <c r="E3470" s="49">
        <v>44701</v>
      </c>
      <c r="F3470" t="s">
        <v>3807</v>
      </c>
      <c r="G3470" t="s">
        <v>1670</v>
      </c>
      <c r="H3470">
        <v>1</v>
      </c>
      <c r="I3470">
        <v>40.880000000000003</v>
      </c>
      <c r="J3470" s="50">
        <v>40.880000000000003</v>
      </c>
      <c r="K3470" t="s">
        <v>1618</v>
      </c>
      <c r="M3470" t="s">
        <v>1627</v>
      </c>
      <c r="N3470">
        <v>21.58</v>
      </c>
      <c r="O3470" s="49">
        <v>44703</v>
      </c>
      <c r="P3470" s="50">
        <v>18.396000000000001</v>
      </c>
    </row>
    <row r="3471" spans="4:16" x14ac:dyDescent="0.2">
      <c r="D3471">
        <v>100002062</v>
      </c>
      <c r="E3471" s="49">
        <v>44523</v>
      </c>
      <c r="F3471" t="s">
        <v>3808</v>
      </c>
      <c r="G3471" t="s">
        <v>1674</v>
      </c>
      <c r="H3471">
        <v>5</v>
      </c>
      <c r="I3471">
        <v>64.84</v>
      </c>
      <c r="J3471" s="50">
        <v>324.2</v>
      </c>
      <c r="K3471" t="s">
        <v>1618</v>
      </c>
      <c r="M3471" t="s">
        <v>1629</v>
      </c>
      <c r="N3471">
        <v>34.22</v>
      </c>
      <c r="O3471" s="49">
        <v>44527</v>
      </c>
      <c r="P3471" s="50">
        <v>145.88999999999999</v>
      </c>
    </row>
    <row r="3472" spans="4:16" x14ac:dyDescent="0.2">
      <c r="D3472">
        <v>100002062</v>
      </c>
      <c r="E3472" s="49">
        <v>44664</v>
      </c>
      <c r="F3472" t="s">
        <v>3808</v>
      </c>
      <c r="G3472" t="s">
        <v>2084</v>
      </c>
      <c r="H3472">
        <v>5</v>
      </c>
      <c r="I3472">
        <v>68.040000000000006</v>
      </c>
      <c r="J3472" s="50">
        <v>340.2</v>
      </c>
      <c r="K3472" t="s">
        <v>1618</v>
      </c>
      <c r="M3472" t="s">
        <v>1621</v>
      </c>
      <c r="N3472">
        <v>35.909999999999997</v>
      </c>
      <c r="O3472" s="49">
        <v>44668</v>
      </c>
      <c r="P3472" s="50">
        <v>153.09</v>
      </c>
    </row>
    <row r="3473" spans="4:16" x14ac:dyDescent="0.2">
      <c r="D3473">
        <v>100002063</v>
      </c>
      <c r="E3473" s="49">
        <v>45155</v>
      </c>
      <c r="F3473" t="s">
        <v>3809</v>
      </c>
      <c r="G3473" t="s">
        <v>1646</v>
      </c>
      <c r="H3473">
        <v>3</v>
      </c>
      <c r="I3473">
        <v>43.95</v>
      </c>
      <c r="J3473" s="50">
        <v>131.85</v>
      </c>
      <c r="K3473" t="s">
        <v>1618</v>
      </c>
      <c r="M3473" t="s">
        <v>1627</v>
      </c>
      <c r="N3473">
        <v>23.2</v>
      </c>
      <c r="O3473" s="49">
        <v>45159</v>
      </c>
      <c r="P3473" s="50">
        <v>59.332499999999996</v>
      </c>
    </row>
    <row r="3474" spans="4:16" x14ac:dyDescent="0.2">
      <c r="D3474">
        <v>100002063</v>
      </c>
      <c r="E3474" s="49">
        <v>45266</v>
      </c>
      <c r="F3474" t="s">
        <v>3809</v>
      </c>
      <c r="G3474" t="s">
        <v>2041</v>
      </c>
      <c r="H3474">
        <v>10</v>
      </c>
      <c r="I3474">
        <v>36.44</v>
      </c>
      <c r="J3474" s="50">
        <v>364.4</v>
      </c>
      <c r="K3474" t="s">
        <v>1618</v>
      </c>
      <c r="M3474" t="s">
        <v>1619</v>
      </c>
      <c r="N3474">
        <v>19.23</v>
      </c>
      <c r="O3474" s="49">
        <v>45270</v>
      </c>
      <c r="P3474" s="50">
        <v>163.98</v>
      </c>
    </row>
    <row r="3475" spans="4:16" x14ac:dyDescent="0.2">
      <c r="D3475">
        <v>100002063</v>
      </c>
      <c r="E3475" s="49">
        <v>44277</v>
      </c>
      <c r="F3475" t="s">
        <v>3809</v>
      </c>
      <c r="G3475" t="s">
        <v>2086</v>
      </c>
      <c r="H3475">
        <v>8</v>
      </c>
      <c r="I3475">
        <v>106.55</v>
      </c>
      <c r="J3475" s="50">
        <v>852.4</v>
      </c>
      <c r="K3475" t="s">
        <v>1618</v>
      </c>
      <c r="M3475" t="s">
        <v>1621</v>
      </c>
      <c r="N3475">
        <v>56.23</v>
      </c>
      <c r="O3475" s="49">
        <v>44279</v>
      </c>
      <c r="P3475" s="50">
        <v>383.58</v>
      </c>
    </row>
    <row r="3476" spans="4:16" x14ac:dyDescent="0.2">
      <c r="D3476">
        <v>100002064</v>
      </c>
      <c r="E3476" s="49">
        <v>45266</v>
      </c>
      <c r="F3476" t="s">
        <v>3810</v>
      </c>
      <c r="G3476" t="s">
        <v>1950</v>
      </c>
      <c r="H3476">
        <v>9</v>
      </c>
      <c r="I3476">
        <v>98.12</v>
      </c>
      <c r="J3476" s="50">
        <v>883.08</v>
      </c>
      <c r="K3476" t="s">
        <v>1618</v>
      </c>
      <c r="M3476" t="s">
        <v>1627</v>
      </c>
      <c r="N3476">
        <v>51.79</v>
      </c>
      <c r="O3476" s="49">
        <v>45271</v>
      </c>
      <c r="P3476" s="50">
        <v>397.38600000000002</v>
      </c>
    </row>
    <row r="3477" spans="4:16" x14ac:dyDescent="0.2">
      <c r="D3477">
        <v>100002065</v>
      </c>
      <c r="E3477" s="49">
        <v>44230</v>
      </c>
      <c r="F3477" t="s">
        <v>3811</v>
      </c>
      <c r="G3477" t="s">
        <v>1765</v>
      </c>
      <c r="H3477">
        <v>2</v>
      </c>
      <c r="I3477">
        <v>67.03</v>
      </c>
      <c r="J3477" s="50">
        <v>134.06</v>
      </c>
      <c r="K3477" t="s">
        <v>1632</v>
      </c>
      <c r="L3477" t="s">
        <v>3812</v>
      </c>
      <c r="M3477" t="s">
        <v>1627</v>
      </c>
      <c r="N3477">
        <v>35.380000000000003</v>
      </c>
      <c r="O3477" s="49">
        <v>44234</v>
      </c>
      <c r="P3477" s="50">
        <v>60.327000000000005</v>
      </c>
    </row>
    <row r="3478" spans="4:16" x14ac:dyDescent="0.2">
      <c r="D3478">
        <v>100002065</v>
      </c>
      <c r="E3478" s="49">
        <v>45193</v>
      </c>
      <c r="F3478" t="s">
        <v>3811</v>
      </c>
      <c r="G3478" t="s">
        <v>1665</v>
      </c>
      <c r="H3478">
        <v>8</v>
      </c>
      <c r="I3478">
        <v>70.010000000000005</v>
      </c>
      <c r="J3478" s="50">
        <v>560.08000000000004</v>
      </c>
      <c r="K3478" t="s">
        <v>1632</v>
      </c>
      <c r="L3478" t="s">
        <v>3812</v>
      </c>
      <c r="M3478" t="s">
        <v>1624</v>
      </c>
      <c r="N3478">
        <v>36.950000000000003</v>
      </c>
      <c r="O3478" s="49">
        <v>45194</v>
      </c>
      <c r="P3478" s="50">
        <v>252.03600000000003</v>
      </c>
    </row>
    <row r="3479" spans="4:16" x14ac:dyDescent="0.2">
      <c r="D3479">
        <v>100002066</v>
      </c>
      <c r="E3479" s="49">
        <v>45300</v>
      </c>
      <c r="F3479" t="s">
        <v>3813</v>
      </c>
      <c r="G3479" t="s">
        <v>1918</v>
      </c>
      <c r="H3479">
        <v>8</v>
      </c>
      <c r="I3479">
        <v>80.05</v>
      </c>
      <c r="J3479" s="50">
        <v>640.4</v>
      </c>
      <c r="K3479" t="s">
        <v>1618</v>
      </c>
      <c r="M3479" t="s">
        <v>1621</v>
      </c>
      <c r="N3479">
        <v>42.25</v>
      </c>
      <c r="O3479" s="49">
        <v>45302</v>
      </c>
      <c r="P3479" s="50">
        <v>288.18</v>
      </c>
    </row>
    <row r="3480" spans="4:16" x14ac:dyDescent="0.2">
      <c r="D3480">
        <v>100002066</v>
      </c>
      <c r="E3480" s="49">
        <v>44509</v>
      </c>
      <c r="F3480" t="s">
        <v>3813</v>
      </c>
      <c r="G3480" t="s">
        <v>1681</v>
      </c>
      <c r="H3480">
        <v>6</v>
      </c>
      <c r="I3480">
        <v>52.69</v>
      </c>
      <c r="J3480" s="50">
        <v>316.14</v>
      </c>
      <c r="K3480" t="s">
        <v>1618</v>
      </c>
      <c r="M3480" t="s">
        <v>1621</v>
      </c>
      <c r="N3480">
        <v>27.81</v>
      </c>
      <c r="O3480" s="49">
        <v>44510</v>
      </c>
      <c r="P3480" s="50">
        <v>142.26300000000001</v>
      </c>
    </row>
    <row r="3481" spans="4:16" x14ac:dyDescent="0.2">
      <c r="D3481">
        <v>100002067</v>
      </c>
      <c r="E3481" s="49">
        <v>44430</v>
      </c>
      <c r="F3481" t="s">
        <v>3814</v>
      </c>
      <c r="G3481" t="s">
        <v>2745</v>
      </c>
      <c r="H3481">
        <v>3</v>
      </c>
      <c r="I3481">
        <v>94.81</v>
      </c>
      <c r="J3481" s="50">
        <v>284.43</v>
      </c>
      <c r="K3481" t="s">
        <v>1618</v>
      </c>
      <c r="M3481" t="s">
        <v>1629</v>
      </c>
      <c r="N3481">
        <v>50.04</v>
      </c>
      <c r="O3481" s="49">
        <v>44435</v>
      </c>
      <c r="P3481" s="50">
        <v>127.99350000000001</v>
      </c>
    </row>
    <row r="3482" spans="4:16" x14ac:dyDescent="0.2">
      <c r="D3482">
        <v>100002068</v>
      </c>
      <c r="E3482" s="49">
        <v>45605</v>
      </c>
      <c r="F3482" t="s">
        <v>3815</v>
      </c>
      <c r="G3482" t="s">
        <v>2090</v>
      </c>
      <c r="H3482">
        <v>3</v>
      </c>
      <c r="I3482">
        <v>41.09</v>
      </c>
      <c r="J3482" s="50">
        <v>123.27</v>
      </c>
      <c r="K3482" t="s">
        <v>1632</v>
      </c>
      <c r="M3482" t="s">
        <v>1624</v>
      </c>
      <c r="N3482">
        <v>21.69</v>
      </c>
      <c r="O3482" s="49">
        <v>45609</v>
      </c>
      <c r="P3482" s="50">
        <v>55.471499999999999</v>
      </c>
    </row>
    <row r="3483" spans="4:16" x14ac:dyDescent="0.2">
      <c r="D3483">
        <v>100002068</v>
      </c>
      <c r="E3483" s="49">
        <v>45651</v>
      </c>
      <c r="F3483" t="s">
        <v>3815</v>
      </c>
      <c r="G3483" t="s">
        <v>1712</v>
      </c>
      <c r="H3483">
        <v>1</v>
      </c>
      <c r="I3483">
        <v>39.770000000000003</v>
      </c>
      <c r="J3483" s="50">
        <v>39.770000000000003</v>
      </c>
      <c r="K3483" t="s">
        <v>1632</v>
      </c>
      <c r="M3483" t="s">
        <v>1624</v>
      </c>
      <c r="N3483">
        <v>20.99</v>
      </c>
      <c r="O3483" s="49">
        <v>45655</v>
      </c>
      <c r="P3483" s="50">
        <v>17.896500000000003</v>
      </c>
    </row>
    <row r="3484" spans="4:16" x14ac:dyDescent="0.2">
      <c r="D3484">
        <v>100002069</v>
      </c>
      <c r="E3484" s="49">
        <v>45563</v>
      </c>
      <c r="F3484" t="s">
        <v>3816</v>
      </c>
      <c r="G3484" t="s">
        <v>1859</v>
      </c>
      <c r="H3484">
        <v>7</v>
      </c>
      <c r="I3484">
        <v>21</v>
      </c>
      <c r="J3484" s="50">
        <v>147</v>
      </c>
      <c r="K3484" t="s">
        <v>1618</v>
      </c>
      <c r="L3484" t="s">
        <v>3817</v>
      </c>
      <c r="M3484" t="s">
        <v>1621</v>
      </c>
      <c r="N3484">
        <v>11.08</v>
      </c>
      <c r="O3484" s="49">
        <v>45567</v>
      </c>
      <c r="P3484" s="50">
        <v>66.150000000000006</v>
      </c>
    </row>
    <row r="3485" spans="4:16" x14ac:dyDescent="0.2">
      <c r="D3485">
        <v>100002069</v>
      </c>
      <c r="E3485" s="49">
        <v>44368</v>
      </c>
      <c r="F3485" t="s">
        <v>3816</v>
      </c>
      <c r="G3485" t="s">
        <v>2057</v>
      </c>
      <c r="H3485">
        <v>4</v>
      </c>
      <c r="I3485">
        <v>101.87</v>
      </c>
      <c r="J3485" s="50">
        <v>407.48</v>
      </c>
      <c r="K3485" t="s">
        <v>1618</v>
      </c>
      <c r="L3485" t="s">
        <v>3817</v>
      </c>
      <c r="M3485" t="s">
        <v>1629</v>
      </c>
      <c r="N3485">
        <v>53.76</v>
      </c>
      <c r="O3485" s="49">
        <v>44370</v>
      </c>
      <c r="P3485" s="50">
        <v>183.36600000000001</v>
      </c>
    </row>
    <row r="3486" spans="4:16" x14ac:dyDescent="0.2">
      <c r="D3486">
        <v>100002071</v>
      </c>
      <c r="E3486" s="49">
        <v>45382</v>
      </c>
      <c r="F3486" t="s">
        <v>3818</v>
      </c>
      <c r="G3486" t="s">
        <v>1855</v>
      </c>
      <c r="H3486">
        <v>10</v>
      </c>
      <c r="I3486">
        <v>27.55</v>
      </c>
      <c r="J3486" s="50">
        <v>275.5</v>
      </c>
      <c r="K3486" t="s">
        <v>1618</v>
      </c>
      <c r="L3486" t="s">
        <v>3819</v>
      </c>
      <c r="M3486" t="s">
        <v>1624</v>
      </c>
      <c r="N3486">
        <v>14.54</v>
      </c>
      <c r="O3486" s="49">
        <v>45384</v>
      </c>
      <c r="P3486" s="50">
        <v>123.97500000000001</v>
      </c>
    </row>
    <row r="3487" spans="4:16" x14ac:dyDescent="0.2">
      <c r="D3487">
        <v>100002071</v>
      </c>
      <c r="E3487" s="49">
        <v>45203</v>
      </c>
      <c r="F3487" t="s">
        <v>3818</v>
      </c>
      <c r="G3487" t="s">
        <v>2460</v>
      </c>
      <c r="H3487">
        <v>10</v>
      </c>
      <c r="I3487">
        <v>16.309999999999999</v>
      </c>
      <c r="J3487" s="50">
        <v>163.1</v>
      </c>
      <c r="K3487" t="s">
        <v>1618</v>
      </c>
      <c r="L3487" t="s">
        <v>3819</v>
      </c>
      <c r="M3487" t="s">
        <v>1621</v>
      </c>
      <c r="N3487">
        <v>8.61</v>
      </c>
      <c r="O3487" s="49">
        <v>45207</v>
      </c>
      <c r="P3487" s="50">
        <v>73.394999999999996</v>
      </c>
    </row>
    <row r="3488" spans="4:16" x14ac:dyDescent="0.2">
      <c r="D3488">
        <v>100002072</v>
      </c>
      <c r="E3488" s="49">
        <v>45195</v>
      </c>
      <c r="F3488" t="s">
        <v>3820</v>
      </c>
      <c r="G3488" t="s">
        <v>1987</v>
      </c>
      <c r="H3488">
        <v>3</v>
      </c>
      <c r="I3488">
        <v>27.89</v>
      </c>
      <c r="J3488" s="50">
        <v>83.67</v>
      </c>
      <c r="K3488" t="s">
        <v>1618</v>
      </c>
      <c r="M3488" t="s">
        <v>1624</v>
      </c>
      <c r="N3488">
        <v>14.72</v>
      </c>
      <c r="O3488" s="49">
        <v>45198</v>
      </c>
      <c r="P3488" s="50">
        <v>37.651499999999999</v>
      </c>
    </row>
    <row r="3489" spans="4:16" x14ac:dyDescent="0.2">
      <c r="D3489">
        <v>100002074</v>
      </c>
      <c r="E3489" s="49">
        <v>45482</v>
      </c>
      <c r="F3489" t="s">
        <v>3821</v>
      </c>
      <c r="G3489" t="s">
        <v>1699</v>
      </c>
      <c r="H3489">
        <v>9</v>
      </c>
      <c r="I3489">
        <v>13.07</v>
      </c>
      <c r="J3489" s="50">
        <v>117.63</v>
      </c>
      <c r="K3489" t="s">
        <v>1632</v>
      </c>
      <c r="M3489" t="s">
        <v>1629</v>
      </c>
      <c r="N3489">
        <v>6.9</v>
      </c>
      <c r="O3489" s="49">
        <v>45487</v>
      </c>
      <c r="P3489" s="50">
        <v>52.933500000000002</v>
      </c>
    </row>
    <row r="3490" spans="4:16" x14ac:dyDescent="0.2">
      <c r="D3490">
        <v>100002074</v>
      </c>
      <c r="E3490" s="49">
        <v>44457</v>
      </c>
      <c r="F3490" t="s">
        <v>3821</v>
      </c>
      <c r="G3490" t="s">
        <v>1973</v>
      </c>
      <c r="H3490">
        <v>2</v>
      </c>
      <c r="I3490">
        <v>74.52</v>
      </c>
      <c r="J3490" s="50">
        <v>149.04</v>
      </c>
      <c r="K3490" t="s">
        <v>1632</v>
      </c>
      <c r="M3490" t="s">
        <v>1619</v>
      </c>
      <c r="N3490">
        <v>39.33</v>
      </c>
      <c r="O3490" s="49">
        <v>44459</v>
      </c>
      <c r="P3490" s="50">
        <v>67.067999999999998</v>
      </c>
    </row>
    <row r="3491" spans="4:16" x14ac:dyDescent="0.2">
      <c r="D3491">
        <v>100002074</v>
      </c>
      <c r="E3491" s="49">
        <v>45242</v>
      </c>
      <c r="F3491" t="s">
        <v>3821</v>
      </c>
      <c r="G3491" t="s">
        <v>1932</v>
      </c>
      <c r="H3491">
        <v>7</v>
      </c>
      <c r="I3491">
        <v>78.040000000000006</v>
      </c>
      <c r="J3491" s="50">
        <v>546.28000000000009</v>
      </c>
      <c r="K3491" t="s">
        <v>1632</v>
      </c>
      <c r="M3491" t="s">
        <v>1624</v>
      </c>
      <c r="N3491">
        <v>41.19</v>
      </c>
      <c r="O3491" s="49">
        <v>45245</v>
      </c>
      <c r="P3491" s="50">
        <v>245.82600000000005</v>
      </c>
    </row>
    <row r="3492" spans="4:16" x14ac:dyDescent="0.2">
      <c r="D3492">
        <v>100002075</v>
      </c>
      <c r="E3492" s="49">
        <v>45352</v>
      </c>
      <c r="F3492" t="s">
        <v>3822</v>
      </c>
      <c r="G3492" t="s">
        <v>1789</v>
      </c>
      <c r="H3492">
        <v>2</v>
      </c>
      <c r="I3492">
        <v>78.099999999999994</v>
      </c>
      <c r="J3492" s="50">
        <v>156.19999999999999</v>
      </c>
      <c r="K3492" t="s">
        <v>1618</v>
      </c>
      <c r="L3492" t="s">
        <v>3046</v>
      </c>
      <c r="M3492" t="s">
        <v>1629</v>
      </c>
      <c r="N3492">
        <v>41.22</v>
      </c>
      <c r="O3492" s="49">
        <v>45356</v>
      </c>
      <c r="P3492" s="50">
        <v>70.289999999999992</v>
      </c>
    </row>
    <row r="3493" spans="4:16" x14ac:dyDescent="0.2">
      <c r="D3493">
        <v>100002075</v>
      </c>
      <c r="E3493" s="49">
        <v>45144</v>
      </c>
      <c r="F3493" t="s">
        <v>3822</v>
      </c>
      <c r="G3493" t="s">
        <v>1848</v>
      </c>
      <c r="H3493">
        <v>6</v>
      </c>
      <c r="I3493">
        <v>90.07</v>
      </c>
      <c r="J3493" s="50">
        <v>540.41999999999996</v>
      </c>
      <c r="K3493" t="s">
        <v>1618</v>
      </c>
      <c r="L3493" t="s">
        <v>3046</v>
      </c>
      <c r="M3493" t="s">
        <v>1629</v>
      </c>
      <c r="N3493">
        <v>47.54</v>
      </c>
      <c r="O3493" s="49">
        <v>45148</v>
      </c>
      <c r="P3493" s="50">
        <v>243.18899999999999</v>
      </c>
    </row>
    <row r="3494" spans="4:16" x14ac:dyDescent="0.2">
      <c r="D3494">
        <v>100002075</v>
      </c>
      <c r="E3494" s="49">
        <v>44592</v>
      </c>
      <c r="F3494" t="s">
        <v>3822</v>
      </c>
      <c r="G3494" t="s">
        <v>1715</v>
      </c>
      <c r="H3494">
        <v>3</v>
      </c>
      <c r="I3494">
        <v>85.6</v>
      </c>
      <c r="J3494" s="50">
        <v>256.8</v>
      </c>
      <c r="K3494" t="s">
        <v>1618</v>
      </c>
      <c r="L3494" t="s">
        <v>3046</v>
      </c>
      <c r="M3494" t="s">
        <v>1629</v>
      </c>
      <c r="N3494">
        <v>45.18</v>
      </c>
      <c r="O3494" s="49">
        <v>44595</v>
      </c>
      <c r="P3494" s="50">
        <v>115.56</v>
      </c>
    </row>
    <row r="3495" spans="4:16" x14ac:dyDescent="0.2">
      <c r="D3495">
        <v>100002075</v>
      </c>
      <c r="E3495" s="49">
        <v>45016</v>
      </c>
      <c r="F3495" t="s">
        <v>3822</v>
      </c>
      <c r="G3495" t="s">
        <v>1628</v>
      </c>
      <c r="H3495">
        <v>5</v>
      </c>
      <c r="I3495">
        <v>53.46</v>
      </c>
      <c r="J3495" s="50">
        <v>267.3</v>
      </c>
      <c r="K3495" t="s">
        <v>1618</v>
      </c>
      <c r="L3495" t="s">
        <v>3046</v>
      </c>
      <c r="M3495" t="s">
        <v>1621</v>
      </c>
      <c r="N3495">
        <v>28.21</v>
      </c>
      <c r="O3495" s="49">
        <v>45017</v>
      </c>
      <c r="P3495" s="50">
        <v>120.28500000000001</v>
      </c>
    </row>
    <row r="3496" spans="4:16" x14ac:dyDescent="0.2">
      <c r="D3496">
        <v>100002075</v>
      </c>
      <c r="E3496" s="49">
        <v>44472</v>
      </c>
      <c r="F3496" t="s">
        <v>3822</v>
      </c>
      <c r="G3496" t="s">
        <v>2004</v>
      </c>
      <c r="H3496">
        <v>5</v>
      </c>
      <c r="I3496">
        <v>10.26</v>
      </c>
      <c r="J3496" s="50">
        <v>51.3</v>
      </c>
      <c r="K3496" t="s">
        <v>1618</v>
      </c>
      <c r="L3496" t="s">
        <v>3046</v>
      </c>
      <c r="M3496" t="s">
        <v>1619</v>
      </c>
      <c r="N3496">
        <v>5.41</v>
      </c>
      <c r="O3496" s="49">
        <v>44477</v>
      </c>
      <c r="P3496" s="50">
        <v>23.085000000000001</v>
      </c>
    </row>
    <row r="3497" spans="4:16" x14ac:dyDescent="0.2">
      <c r="D3497">
        <v>100002079</v>
      </c>
      <c r="E3497" s="49">
        <v>45083</v>
      </c>
      <c r="F3497" t="s">
        <v>3823</v>
      </c>
      <c r="G3497" t="s">
        <v>2078</v>
      </c>
      <c r="H3497">
        <v>6</v>
      </c>
      <c r="I3497">
        <v>56.2</v>
      </c>
      <c r="J3497" s="50">
        <v>337.2</v>
      </c>
      <c r="K3497" t="s">
        <v>1618</v>
      </c>
      <c r="M3497" t="s">
        <v>1629</v>
      </c>
      <c r="N3497">
        <v>29.66</v>
      </c>
      <c r="O3497" s="49">
        <v>45087</v>
      </c>
      <c r="P3497" s="50">
        <v>151.74</v>
      </c>
    </row>
    <row r="3498" spans="4:16" x14ac:dyDescent="0.2">
      <c r="D3498">
        <v>100002080</v>
      </c>
      <c r="E3498" s="49">
        <v>44571</v>
      </c>
      <c r="F3498" t="s">
        <v>3824</v>
      </c>
      <c r="G3498" t="s">
        <v>1701</v>
      </c>
      <c r="H3498">
        <v>7</v>
      </c>
      <c r="I3498">
        <v>64.739999999999995</v>
      </c>
      <c r="J3498" s="50">
        <v>453.17999999999989</v>
      </c>
      <c r="K3498" t="s">
        <v>1632</v>
      </c>
      <c r="M3498" t="s">
        <v>1624</v>
      </c>
      <c r="N3498">
        <v>34.17</v>
      </c>
      <c r="O3498" s="49">
        <v>44574</v>
      </c>
      <c r="P3498" s="50">
        <v>203.93099999999995</v>
      </c>
    </row>
    <row r="3499" spans="4:16" x14ac:dyDescent="0.2">
      <c r="D3499">
        <v>100002081</v>
      </c>
      <c r="E3499" s="49">
        <v>45036</v>
      </c>
      <c r="F3499" t="s">
        <v>3825</v>
      </c>
      <c r="G3499" t="s">
        <v>1842</v>
      </c>
      <c r="H3499">
        <v>1</v>
      </c>
      <c r="I3499">
        <v>42.01</v>
      </c>
      <c r="J3499" s="50">
        <v>42.01</v>
      </c>
      <c r="K3499" t="s">
        <v>1618</v>
      </c>
      <c r="L3499" t="s">
        <v>3826</v>
      </c>
      <c r="M3499" t="s">
        <v>1621</v>
      </c>
      <c r="N3499">
        <v>22.17</v>
      </c>
      <c r="O3499" s="49">
        <v>45039</v>
      </c>
      <c r="P3499" s="50">
        <v>18.904499999999999</v>
      </c>
    </row>
    <row r="3500" spans="4:16" x14ac:dyDescent="0.2">
      <c r="D3500">
        <v>100002081</v>
      </c>
      <c r="E3500" s="49">
        <v>44681</v>
      </c>
      <c r="F3500" t="s">
        <v>3825</v>
      </c>
      <c r="G3500" t="s">
        <v>1739</v>
      </c>
      <c r="H3500">
        <v>3</v>
      </c>
      <c r="I3500">
        <v>36.46</v>
      </c>
      <c r="J3500" s="50">
        <v>109.38</v>
      </c>
      <c r="K3500" t="s">
        <v>1618</v>
      </c>
      <c r="L3500" t="s">
        <v>3826</v>
      </c>
      <c r="M3500" t="s">
        <v>1619</v>
      </c>
      <c r="N3500">
        <v>19.239999999999998</v>
      </c>
      <c r="O3500" s="49">
        <v>44684</v>
      </c>
      <c r="P3500" s="50">
        <v>49.220999999999997</v>
      </c>
    </row>
    <row r="3501" spans="4:16" x14ac:dyDescent="0.2">
      <c r="D3501">
        <v>100002081</v>
      </c>
      <c r="E3501" s="49">
        <v>45451</v>
      </c>
      <c r="F3501" t="s">
        <v>3825</v>
      </c>
      <c r="G3501" t="s">
        <v>1649</v>
      </c>
      <c r="H3501">
        <v>7</v>
      </c>
      <c r="I3501">
        <v>13.61</v>
      </c>
      <c r="J3501" s="50">
        <v>95.27</v>
      </c>
      <c r="K3501" t="s">
        <v>1618</v>
      </c>
      <c r="L3501" t="s">
        <v>3826</v>
      </c>
      <c r="M3501" t="s">
        <v>1624</v>
      </c>
      <c r="N3501">
        <v>7.18</v>
      </c>
      <c r="O3501" s="49">
        <v>45453</v>
      </c>
      <c r="P3501" s="50">
        <v>42.871499999999997</v>
      </c>
    </row>
    <row r="3502" spans="4:16" x14ac:dyDescent="0.2">
      <c r="D3502">
        <v>100002083</v>
      </c>
      <c r="E3502" s="49">
        <v>44311</v>
      </c>
      <c r="F3502" t="s">
        <v>3827</v>
      </c>
      <c r="G3502" t="s">
        <v>1696</v>
      </c>
      <c r="H3502">
        <v>1</v>
      </c>
      <c r="I3502">
        <v>67.040000000000006</v>
      </c>
      <c r="J3502" s="50">
        <v>67.040000000000006</v>
      </c>
      <c r="K3502" t="s">
        <v>1618</v>
      </c>
      <c r="M3502" t="s">
        <v>1629</v>
      </c>
      <c r="N3502">
        <v>35.380000000000003</v>
      </c>
      <c r="O3502" s="49">
        <v>44312</v>
      </c>
      <c r="P3502" s="50">
        <v>30.168000000000003</v>
      </c>
    </row>
    <row r="3503" spans="4:16" x14ac:dyDescent="0.2">
      <c r="D3503">
        <v>100002085</v>
      </c>
      <c r="E3503" s="49">
        <v>44759</v>
      </c>
      <c r="F3503" t="s">
        <v>3828</v>
      </c>
      <c r="G3503" t="s">
        <v>1865</v>
      </c>
      <c r="H3503">
        <v>9</v>
      </c>
      <c r="I3503">
        <v>54.61</v>
      </c>
      <c r="J3503" s="50">
        <v>491.49</v>
      </c>
      <c r="K3503" t="s">
        <v>1632</v>
      </c>
      <c r="M3503" t="s">
        <v>1624</v>
      </c>
      <c r="N3503">
        <v>28.82</v>
      </c>
      <c r="O3503" s="49">
        <v>44761</v>
      </c>
      <c r="P3503" s="50">
        <v>221.1705</v>
      </c>
    </row>
    <row r="3504" spans="4:16" x14ac:dyDescent="0.2">
      <c r="D3504">
        <v>100002086</v>
      </c>
      <c r="E3504" s="49">
        <v>44533</v>
      </c>
      <c r="F3504" t="s">
        <v>3829</v>
      </c>
      <c r="G3504" t="s">
        <v>2194</v>
      </c>
      <c r="H3504">
        <v>6</v>
      </c>
      <c r="I3504">
        <v>50.03</v>
      </c>
      <c r="J3504" s="50">
        <v>300.18</v>
      </c>
      <c r="K3504" t="s">
        <v>1632</v>
      </c>
      <c r="M3504" t="s">
        <v>1621</v>
      </c>
      <c r="N3504">
        <v>26.4</v>
      </c>
      <c r="O3504" s="49">
        <v>44534</v>
      </c>
      <c r="P3504" s="50">
        <v>135.08100000000002</v>
      </c>
    </row>
    <row r="3505" spans="4:16" x14ac:dyDescent="0.2">
      <c r="D3505">
        <v>100002086</v>
      </c>
      <c r="E3505" s="49">
        <v>45439</v>
      </c>
      <c r="F3505" t="s">
        <v>3829</v>
      </c>
      <c r="G3505" t="s">
        <v>1944</v>
      </c>
      <c r="H3505">
        <v>4</v>
      </c>
      <c r="I3505">
        <v>105.65</v>
      </c>
      <c r="J3505" s="50">
        <v>422.6</v>
      </c>
      <c r="K3505" t="s">
        <v>1632</v>
      </c>
      <c r="M3505" t="s">
        <v>1624</v>
      </c>
      <c r="N3505">
        <v>55.76</v>
      </c>
      <c r="O3505" s="49">
        <v>45444</v>
      </c>
      <c r="P3505" s="50">
        <v>190.17000000000002</v>
      </c>
    </row>
    <row r="3506" spans="4:16" x14ac:dyDescent="0.2">
      <c r="D3506">
        <v>100002087</v>
      </c>
      <c r="E3506" s="49">
        <v>45012</v>
      </c>
      <c r="F3506" t="s">
        <v>3830</v>
      </c>
      <c r="G3506" t="s">
        <v>1620</v>
      </c>
      <c r="H3506">
        <v>6</v>
      </c>
      <c r="I3506">
        <v>111.9</v>
      </c>
      <c r="J3506" s="50">
        <v>671.40000000000009</v>
      </c>
      <c r="K3506" t="s">
        <v>1618</v>
      </c>
      <c r="M3506" t="s">
        <v>1624</v>
      </c>
      <c r="N3506">
        <v>59.06</v>
      </c>
      <c r="O3506" s="49">
        <v>45017</v>
      </c>
      <c r="P3506" s="50">
        <v>302.13000000000005</v>
      </c>
    </row>
    <row r="3507" spans="4:16" x14ac:dyDescent="0.2">
      <c r="D3507">
        <v>100002089</v>
      </c>
      <c r="E3507" s="49">
        <v>44660</v>
      </c>
      <c r="F3507" t="s">
        <v>3831</v>
      </c>
      <c r="G3507" t="s">
        <v>2373</v>
      </c>
      <c r="H3507">
        <v>1</v>
      </c>
      <c r="I3507">
        <v>57.81</v>
      </c>
      <c r="J3507" s="50">
        <v>57.81</v>
      </c>
      <c r="K3507" t="s">
        <v>1632</v>
      </c>
      <c r="M3507" t="s">
        <v>1627</v>
      </c>
      <c r="N3507">
        <v>30.51</v>
      </c>
      <c r="O3507" s="49">
        <v>44664</v>
      </c>
      <c r="P3507" s="50">
        <v>26.014500000000002</v>
      </c>
    </row>
    <row r="3508" spans="4:16" x14ac:dyDescent="0.2">
      <c r="D3508">
        <v>100002090</v>
      </c>
      <c r="E3508" s="49">
        <v>44544</v>
      </c>
      <c r="F3508" t="s">
        <v>3832</v>
      </c>
      <c r="G3508" t="s">
        <v>2465</v>
      </c>
      <c r="H3508">
        <v>3</v>
      </c>
      <c r="I3508">
        <v>93.38</v>
      </c>
      <c r="J3508" s="50">
        <v>280.14</v>
      </c>
      <c r="K3508" t="s">
        <v>1618</v>
      </c>
      <c r="M3508" t="s">
        <v>1627</v>
      </c>
      <c r="N3508">
        <v>49.28</v>
      </c>
      <c r="O3508" s="49">
        <v>44549</v>
      </c>
      <c r="P3508" s="50">
        <v>126.063</v>
      </c>
    </row>
    <row r="3509" spans="4:16" x14ac:dyDescent="0.2">
      <c r="D3509">
        <v>100002090</v>
      </c>
      <c r="E3509" s="49">
        <v>45460</v>
      </c>
      <c r="F3509" t="s">
        <v>3832</v>
      </c>
      <c r="G3509" t="s">
        <v>1823</v>
      </c>
      <c r="H3509">
        <v>4</v>
      </c>
      <c r="I3509">
        <v>97.39</v>
      </c>
      <c r="J3509" s="50">
        <v>389.56</v>
      </c>
      <c r="K3509" t="s">
        <v>1618</v>
      </c>
      <c r="M3509" t="s">
        <v>1627</v>
      </c>
      <c r="N3509">
        <v>51.4</v>
      </c>
      <c r="O3509" s="49">
        <v>45462</v>
      </c>
      <c r="P3509" s="50">
        <v>175.30199999999999</v>
      </c>
    </row>
    <row r="3510" spans="4:16" x14ac:dyDescent="0.2">
      <c r="D3510">
        <v>100002091</v>
      </c>
      <c r="E3510" s="49">
        <v>45509</v>
      </c>
      <c r="F3510" t="s">
        <v>3833</v>
      </c>
      <c r="G3510" t="s">
        <v>2328</v>
      </c>
      <c r="H3510">
        <v>6</v>
      </c>
      <c r="I3510">
        <v>16.55</v>
      </c>
      <c r="J3510" s="50">
        <v>99.300000000000011</v>
      </c>
      <c r="K3510" t="s">
        <v>1618</v>
      </c>
      <c r="M3510" t="s">
        <v>1624</v>
      </c>
      <c r="N3510">
        <v>8.73</v>
      </c>
      <c r="O3510" s="49">
        <v>45513</v>
      </c>
      <c r="P3510" s="50">
        <v>44.685000000000009</v>
      </c>
    </row>
    <row r="3511" spans="4:16" x14ac:dyDescent="0.2">
      <c r="D3511">
        <v>100002092</v>
      </c>
      <c r="E3511" s="49">
        <v>45120</v>
      </c>
      <c r="F3511" t="s">
        <v>3834</v>
      </c>
      <c r="G3511" t="s">
        <v>1650</v>
      </c>
      <c r="H3511">
        <v>9</v>
      </c>
      <c r="I3511">
        <v>14.9</v>
      </c>
      <c r="J3511" s="50">
        <v>134.1</v>
      </c>
      <c r="K3511" t="s">
        <v>1618</v>
      </c>
      <c r="L3511" t="s">
        <v>3835</v>
      </c>
      <c r="M3511" t="s">
        <v>1624</v>
      </c>
      <c r="N3511">
        <v>7.86</v>
      </c>
      <c r="O3511" s="49">
        <v>45124</v>
      </c>
      <c r="P3511" s="50">
        <v>60.344999999999999</v>
      </c>
    </row>
    <row r="3512" spans="4:16" x14ac:dyDescent="0.2">
      <c r="D3512">
        <v>100002092</v>
      </c>
      <c r="E3512" s="49">
        <v>45575</v>
      </c>
      <c r="F3512" t="s">
        <v>3834</v>
      </c>
      <c r="G3512" t="s">
        <v>1648</v>
      </c>
      <c r="H3512">
        <v>8</v>
      </c>
      <c r="I3512">
        <v>31.69</v>
      </c>
      <c r="J3512" s="50">
        <v>253.52</v>
      </c>
      <c r="K3512" t="s">
        <v>1618</v>
      </c>
      <c r="L3512" t="s">
        <v>3835</v>
      </c>
      <c r="M3512" t="s">
        <v>1627</v>
      </c>
      <c r="N3512">
        <v>16.73</v>
      </c>
      <c r="O3512" s="49">
        <v>45580</v>
      </c>
      <c r="P3512" s="50">
        <v>114.084</v>
      </c>
    </row>
    <row r="3513" spans="4:16" x14ac:dyDescent="0.2">
      <c r="D3513">
        <v>100002093</v>
      </c>
      <c r="E3513" s="49">
        <v>45187</v>
      </c>
      <c r="F3513" t="s">
        <v>3836</v>
      </c>
      <c r="G3513" t="s">
        <v>1765</v>
      </c>
      <c r="H3513">
        <v>8</v>
      </c>
      <c r="I3513">
        <v>74.349999999999994</v>
      </c>
      <c r="J3513" s="50">
        <v>594.79999999999995</v>
      </c>
      <c r="K3513" t="s">
        <v>1618</v>
      </c>
      <c r="M3513" t="s">
        <v>1619</v>
      </c>
      <c r="N3513">
        <v>39.24</v>
      </c>
      <c r="O3513" s="49">
        <v>45192</v>
      </c>
      <c r="P3513" s="50">
        <v>267.65999999999997</v>
      </c>
    </row>
    <row r="3514" spans="4:16" x14ac:dyDescent="0.2">
      <c r="D3514">
        <v>100002093</v>
      </c>
      <c r="E3514" s="49">
        <v>45358</v>
      </c>
      <c r="F3514" t="s">
        <v>3836</v>
      </c>
      <c r="G3514" t="s">
        <v>2159</v>
      </c>
      <c r="H3514">
        <v>9</v>
      </c>
      <c r="I3514">
        <v>82.22</v>
      </c>
      <c r="J3514" s="50">
        <v>739.98</v>
      </c>
      <c r="K3514" t="s">
        <v>1618</v>
      </c>
      <c r="M3514" t="s">
        <v>1629</v>
      </c>
      <c r="N3514">
        <v>43.39</v>
      </c>
      <c r="O3514" s="49">
        <v>45362</v>
      </c>
      <c r="P3514" s="50">
        <v>332.99100000000004</v>
      </c>
    </row>
    <row r="3515" spans="4:16" x14ac:dyDescent="0.2">
      <c r="D3515">
        <v>100002094</v>
      </c>
      <c r="E3515" s="49">
        <v>45458</v>
      </c>
      <c r="F3515" t="s">
        <v>3837</v>
      </c>
      <c r="G3515" t="s">
        <v>1975</v>
      </c>
      <c r="H3515">
        <v>4</v>
      </c>
      <c r="I3515">
        <v>78.150000000000006</v>
      </c>
      <c r="J3515" s="50">
        <v>312.60000000000002</v>
      </c>
      <c r="K3515" t="s">
        <v>1618</v>
      </c>
      <c r="M3515" t="s">
        <v>1627</v>
      </c>
      <c r="N3515">
        <v>41.25</v>
      </c>
      <c r="O3515" s="49">
        <v>45463</v>
      </c>
      <c r="P3515" s="50">
        <v>140.67000000000002</v>
      </c>
    </row>
    <row r="3516" spans="4:16" x14ac:dyDescent="0.2">
      <c r="D3516">
        <v>100002094</v>
      </c>
      <c r="E3516" s="49">
        <v>45271</v>
      </c>
      <c r="F3516" t="s">
        <v>3837</v>
      </c>
      <c r="G3516" t="s">
        <v>1783</v>
      </c>
      <c r="H3516">
        <v>1</v>
      </c>
      <c r="I3516">
        <v>104.97</v>
      </c>
      <c r="J3516" s="50">
        <v>104.97</v>
      </c>
      <c r="K3516" t="s">
        <v>1618</v>
      </c>
      <c r="M3516" t="s">
        <v>1629</v>
      </c>
      <c r="N3516">
        <v>55.4</v>
      </c>
      <c r="O3516" s="49">
        <v>45275</v>
      </c>
      <c r="P3516" s="50">
        <v>47.236499999999999</v>
      </c>
    </row>
    <row r="3517" spans="4:16" x14ac:dyDescent="0.2">
      <c r="D3517">
        <v>100002097</v>
      </c>
      <c r="E3517" s="49">
        <v>44715</v>
      </c>
      <c r="F3517" t="s">
        <v>3838</v>
      </c>
      <c r="G3517" t="s">
        <v>1652</v>
      </c>
      <c r="H3517">
        <v>8</v>
      </c>
      <c r="I3517">
        <v>118.45</v>
      </c>
      <c r="J3517" s="50">
        <v>947.6</v>
      </c>
      <c r="K3517" t="s">
        <v>1618</v>
      </c>
      <c r="M3517" t="s">
        <v>1624</v>
      </c>
      <c r="N3517">
        <v>62.51</v>
      </c>
      <c r="O3517" s="49">
        <v>44718</v>
      </c>
      <c r="P3517" s="50">
        <v>426.42</v>
      </c>
    </row>
    <row r="3518" spans="4:16" x14ac:dyDescent="0.2">
      <c r="D3518">
        <v>100002097</v>
      </c>
      <c r="E3518" s="49">
        <v>45526</v>
      </c>
      <c r="F3518" t="s">
        <v>3838</v>
      </c>
      <c r="G3518" t="s">
        <v>1924</v>
      </c>
      <c r="H3518">
        <v>8</v>
      </c>
      <c r="I3518">
        <v>108.19</v>
      </c>
      <c r="J3518" s="50">
        <v>865.52</v>
      </c>
      <c r="K3518" t="s">
        <v>1618</v>
      </c>
      <c r="M3518" t="s">
        <v>1624</v>
      </c>
      <c r="N3518">
        <v>57.1</v>
      </c>
      <c r="O3518" s="49">
        <v>45527</v>
      </c>
      <c r="P3518" s="50">
        <v>389.48399999999998</v>
      </c>
    </row>
    <row r="3519" spans="4:16" x14ac:dyDescent="0.2">
      <c r="D3519">
        <v>100002097</v>
      </c>
      <c r="E3519" s="49">
        <v>44748</v>
      </c>
      <c r="F3519" t="s">
        <v>3838</v>
      </c>
      <c r="G3519" t="s">
        <v>1637</v>
      </c>
      <c r="H3519">
        <v>6</v>
      </c>
      <c r="I3519">
        <v>28.21</v>
      </c>
      <c r="J3519" s="50">
        <v>169.26</v>
      </c>
      <c r="K3519" t="s">
        <v>1618</v>
      </c>
      <c r="M3519" t="s">
        <v>1624</v>
      </c>
      <c r="N3519">
        <v>14.89</v>
      </c>
      <c r="O3519" s="49">
        <v>44753</v>
      </c>
      <c r="P3519" s="50">
        <v>76.167000000000002</v>
      </c>
    </row>
    <row r="3520" spans="4:16" x14ac:dyDescent="0.2">
      <c r="D3520">
        <v>100002097</v>
      </c>
      <c r="E3520" s="49">
        <v>45488</v>
      </c>
      <c r="F3520" t="s">
        <v>3838</v>
      </c>
      <c r="G3520" t="s">
        <v>2159</v>
      </c>
      <c r="H3520">
        <v>3</v>
      </c>
      <c r="I3520">
        <v>92.75</v>
      </c>
      <c r="J3520" s="50">
        <v>278.25</v>
      </c>
      <c r="K3520" t="s">
        <v>1618</v>
      </c>
      <c r="M3520" t="s">
        <v>1629</v>
      </c>
      <c r="N3520">
        <v>48.95</v>
      </c>
      <c r="O3520" s="49">
        <v>45489</v>
      </c>
      <c r="P3520" s="50">
        <v>125.21250000000001</v>
      </c>
    </row>
    <row r="3521" spans="4:16" x14ac:dyDescent="0.2">
      <c r="D3521">
        <v>100002098</v>
      </c>
      <c r="E3521" s="49">
        <v>45002</v>
      </c>
      <c r="F3521" t="s">
        <v>3839</v>
      </c>
      <c r="G3521" t="s">
        <v>2302</v>
      </c>
      <c r="H3521">
        <v>7</v>
      </c>
      <c r="I3521">
        <v>99.85</v>
      </c>
      <c r="J3521" s="50">
        <v>698.94999999999993</v>
      </c>
      <c r="K3521" t="s">
        <v>1632</v>
      </c>
      <c r="L3521" t="s">
        <v>3840</v>
      </c>
      <c r="M3521" t="s">
        <v>1629</v>
      </c>
      <c r="N3521">
        <v>52.7</v>
      </c>
      <c r="O3521" s="49">
        <v>45004</v>
      </c>
      <c r="P3521" s="50">
        <v>314.52749999999997</v>
      </c>
    </row>
    <row r="3522" spans="4:16" x14ac:dyDescent="0.2">
      <c r="D3522">
        <v>100002100</v>
      </c>
      <c r="E3522" s="49">
        <v>45379</v>
      </c>
      <c r="F3522" t="s">
        <v>3841</v>
      </c>
      <c r="G3522" t="s">
        <v>1812</v>
      </c>
      <c r="H3522">
        <v>6</v>
      </c>
      <c r="I3522">
        <v>97.42</v>
      </c>
      <c r="J3522" s="50">
        <v>584.52</v>
      </c>
      <c r="K3522" t="s">
        <v>1632</v>
      </c>
      <c r="M3522" t="s">
        <v>1619</v>
      </c>
      <c r="N3522">
        <v>51.42</v>
      </c>
      <c r="O3522" s="49">
        <v>45382</v>
      </c>
      <c r="P3522" s="50">
        <v>263.03399999999999</v>
      </c>
    </row>
    <row r="3523" spans="4:16" x14ac:dyDescent="0.2">
      <c r="D3523">
        <v>100002100</v>
      </c>
      <c r="E3523" s="49">
        <v>44358</v>
      </c>
      <c r="F3523" t="s">
        <v>3841</v>
      </c>
      <c r="G3523" t="s">
        <v>2150</v>
      </c>
      <c r="H3523">
        <v>7</v>
      </c>
      <c r="I3523">
        <v>12.74</v>
      </c>
      <c r="J3523" s="50">
        <v>89.18</v>
      </c>
      <c r="K3523" t="s">
        <v>1632</v>
      </c>
      <c r="M3523" t="s">
        <v>1621</v>
      </c>
      <c r="N3523">
        <v>6.72</v>
      </c>
      <c r="O3523" s="49">
        <v>44362</v>
      </c>
      <c r="P3523" s="50">
        <v>40.131000000000007</v>
      </c>
    </row>
    <row r="3524" spans="4:16" x14ac:dyDescent="0.2">
      <c r="D3524">
        <v>100002100</v>
      </c>
      <c r="E3524" s="49">
        <v>45333</v>
      </c>
      <c r="F3524" t="s">
        <v>3841</v>
      </c>
      <c r="G3524" t="s">
        <v>1648</v>
      </c>
      <c r="H3524">
        <v>6</v>
      </c>
      <c r="I3524">
        <v>112.32</v>
      </c>
      <c r="J3524" s="50">
        <v>673.92</v>
      </c>
      <c r="K3524" t="s">
        <v>1632</v>
      </c>
      <c r="M3524" t="s">
        <v>1619</v>
      </c>
      <c r="N3524">
        <v>59.28</v>
      </c>
      <c r="O3524" s="49">
        <v>45338</v>
      </c>
      <c r="P3524" s="50">
        <v>303.26400000000001</v>
      </c>
    </row>
    <row r="3525" spans="4:16" x14ac:dyDescent="0.2">
      <c r="D3525">
        <v>100002101</v>
      </c>
      <c r="E3525" s="49">
        <v>45624</v>
      </c>
      <c r="F3525" t="s">
        <v>3842</v>
      </c>
      <c r="G3525" t="s">
        <v>1646</v>
      </c>
      <c r="H3525">
        <v>7</v>
      </c>
      <c r="I3525">
        <v>90.89</v>
      </c>
      <c r="J3525" s="50">
        <v>636.23</v>
      </c>
      <c r="K3525" t="s">
        <v>1618</v>
      </c>
      <c r="L3525" t="s">
        <v>3843</v>
      </c>
      <c r="M3525" t="s">
        <v>1627</v>
      </c>
      <c r="N3525">
        <v>47.97</v>
      </c>
      <c r="O3525" s="49">
        <v>45627</v>
      </c>
      <c r="P3525" s="50">
        <v>286.30350000000004</v>
      </c>
    </row>
    <row r="3526" spans="4:16" x14ac:dyDescent="0.2">
      <c r="D3526">
        <v>100002102</v>
      </c>
      <c r="E3526" s="49">
        <v>45100</v>
      </c>
      <c r="F3526" t="s">
        <v>3844</v>
      </c>
      <c r="G3526" t="s">
        <v>2101</v>
      </c>
      <c r="H3526">
        <v>10</v>
      </c>
      <c r="I3526">
        <v>34.9</v>
      </c>
      <c r="J3526" s="50">
        <v>349</v>
      </c>
      <c r="K3526" t="s">
        <v>1618</v>
      </c>
      <c r="M3526" t="s">
        <v>1629</v>
      </c>
      <c r="N3526">
        <v>18.420000000000002</v>
      </c>
      <c r="O3526" s="49">
        <v>45102</v>
      </c>
      <c r="P3526" s="50">
        <v>157.05000000000001</v>
      </c>
    </row>
    <row r="3527" spans="4:16" x14ac:dyDescent="0.2">
      <c r="D3527">
        <v>100002102</v>
      </c>
      <c r="E3527" s="49">
        <v>44395</v>
      </c>
      <c r="F3527" t="s">
        <v>3844</v>
      </c>
      <c r="G3527" t="s">
        <v>2194</v>
      </c>
      <c r="H3527">
        <v>9</v>
      </c>
      <c r="I3527">
        <v>61.34</v>
      </c>
      <c r="J3527" s="50">
        <v>552.06000000000006</v>
      </c>
      <c r="K3527" t="s">
        <v>1618</v>
      </c>
      <c r="M3527" t="s">
        <v>1619</v>
      </c>
      <c r="N3527">
        <v>32.369999999999997</v>
      </c>
      <c r="O3527" s="49">
        <v>44397</v>
      </c>
      <c r="P3527" s="50">
        <v>248.42700000000002</v>
      </c>
    </row>
    <row r="3528" spans="4:16" x14ac:dyDescent="0.2">
      <c r="D3528">
        <v>100002103</v>
      </c>
      <c r="E3528" s="49">
        <v>45110</v>
      </c>
      <c r="F3528" t="s">
        <v>3845</v>
      </c>
      <c r="G3528" t="s">
        <v>1623</v>
      </c>
      <c r="H3528">
        <v>1</v>
      </c>
      <c r="I3528">
        <v>12.78</v>
      </c>
      <c r="J3528" s="50">
        <v>12.78</v>
      </c>
      <c r="K3528" t="s">
        <v>1618</v>
      </c>
      <c r="M3528" t="s">
        <v>1627</v>
      </c>
      <c r="N3528">
        <v>6.74</v>
      </c>
      <c r="O3528" s="49">
        <v>45114</v>
      </c>
      <c r="P3528" s="50">
        <v>5.7509999999999994</v>
      </c>
    </row>
    <row r="3529" spans="4:16" x14ac:dyDescent="0.2">
      <c r="D3529">
        <v>100002103</v>
      </c>
      <c r="E3529" s="49">
        <v>45581</v>
      </c>
      <c r="F3529" t="s">
        <v>3845</v>
      </c>
      <c r="G3529" t="s">
        <v>1976</v>
      </c>
      <c r="H3529">
        <v>4</v>
      </c>
      <c r="I3529">
        <v>74.63</v>
      </c>
      <c r="J3529" s="50">
        <v>298.52</v>
      </c>
      <c r="K3529" t="s">
        <v>1618</v>
      </c>
      <c r="M3529" t="s">
        <v>1621</v>
      </c>
      <c r="N3529">
        <v>39.39</v>
      </c>
      <c r="O3529" s="49">
        <v>45586</v>
      </c>
      <c r="P3529" s="50">
        <v>134.334</v>
      </c>
    </row>
    <row r="3530" spans="4:16" x14ac:dyDescent="0.2">
      <c r="D3530">
        <v>100002104</v>
      </c>
      <c r="E3530" s="49">
        <v>44400</v>
      </c>
      <c r="F3530" t="s">
        <v>3846</v>
      </c>
      <c r="G3530" t="s">
        <v>2733</v>
      </c>
      <c r="H3530">
        <v>2</v>
      </c>
      <c r="I3530">
        <v>69.56</v>
      </c>
      <c r="J3530" s="50">
        <v>139.12</v>
      </c>
      <c r="K3530" t="s">
        <v>1632</v>
      </c>
      <c r="M3530" t="s">
        <v>1619</v>
      </c>
      <c r="N3530">
        <v>36.71</v>
      </c>
      <c r="O3530" s="49">
        <v>44402</v>
      </c>
      <c r="P3530" s="50">
        <v>62.604000000000006</v>
      </c>
    </row>
    <row r="3531" spans="4:16" x14ac:dyDescent="0.2">
      <c r="D3531">
        <v>100002104</v>
      </c>
      <c r="E3531" s="49">
        <v>44437</v>
      </c>
      <c r="F3531" t="s">
        <v>3846</v>
      </c>
      <c r="G3531" t="s">
        <v>2574</v>
      </c>
      <c r="H3531">
        <v>8</v>
      </c>
      <c r="I3531">
        <v>110.57</v>
      </c>
      <c r="J3531" s="50">
        <v>884.56</v>
      </c>
      <c r="K3531" t="s">
        <v>1632</v>
      </c>
      <c r="M3531" t="s">
        <v>1627</v>
      </c>
      <c r="N3531">
        <v>58.36</v>
      </c>
      <c r="O3531" s="49">
        <v>44442</v>
      </c>
      <c r="P3531" s="50">
        <v>398.05199999999996</v>
      </c>
    </row>
    <row r="3532" spans="4:16" x14ac:dyDescent="0.2">
      <c r="D3532">
        <v>100002104</v>
      </c>
      <c r="E3532" s="49">
        <v>45619</v>
      </c>
      <c r="F3532" t="s">
        <v>3846</v>
      </c>
      <c r="G3532" t="s">
        <v>1815</v>
      </c>
      <c r="H3532">
        <v>5</v>
      </c>
      <c r="I3532">
        <v>81.489999999999995</v>
      </c>
      <c r="J3532" s="50">
        <v>407.45</v>
      </c>
      <c r="K3532" t="s">
        <v>1632</v>
      </c>
      <c r="M3532" t="s">
        <v>1629</v>
      </c>
      <c r="N3532">
        <v>43.01</v>
      </c>
      <c r="O3532" s="49">
        <v>45623</v>
      </c>
      <c r="P3532" s="50">
        <v>183.35249999999999</v>
      </c>
    </row>
    <row r="3533" spans="4:16" x14ac:dyDescent="0.2">
      <c r="D3533">
        <v>100002104</v>
      </c>
      <c r="E3533" s="49">
        <v>44554</v>
      </c>
      <c r="F3533" t="s">
        <v>3846</v>
      </c>
      <c r="G3533" t="s">
        <v>1985</v>
      </c>
      <c r="H3533">
        <v>4</v>
      </c>
      <c r="I3533">
        <v>60.89</v>
      </c>
      <c r="J3533" s="50">
        <v>243.56</v>
      </c>
      <c r="K3533" t="s">
        <v>1632</v>
      </c>
      <c r="M3533" t="s">
        <v>1624</v>
      </c>
      <c r="N3533">
        <v>32.14</v>
      </c>
      <c r="O3533" s="49">
        <v>44556</v>
      </c>
      <c r="P3533" s="50">
        <v>109.602</v>
      </c>
    </row>
    <row r="3534" spans="4:16" x14ac:dyDescent="0.2">
      <c r="D3534">
        <v>100002104</v>
      </c>
      <c r="E3534" s="49">
        <v>44545</v>
      </c>
      <c r="F3534" t="s">
        <v>3846</v>
      </c>
      <c r="G3534" t="s">
        <v>1634</v>
      </c>
      <c r="H3534">
        <v>4</v>
      </c>
      <c r="I3534">
        <v>63.55</v>
      </c>
      <c r="J3534" s="50">
        <v>254.2</v>
      </c>
      <c r="K3534" t="s">
        <v>1632</v>
      </c>
      <c r="M3534" t="s">
        <v>1624</v>
      </c>
      <c r="N3534">
        <v>33.54</v>
      </c>
      <c r="O3534" s="49">
        <v>44549</v>
      </c>
      <c r="P3534" s="50">
        <v>114.39</v>
      </c>
    </row>
    <row r="3535" spans="4:16" x14ac:dyDescent="0.2">
      <c r="D3535">
        <v>100002104</v>
      </c>
      <c r="E3535" s="49">
        <v>45343</v>
      </c>
      <c r="F3535" t="s">
        <v>3846</v>
      </c>
      <c r="G3535" t="s">
        <v>2024</v>
      </c>
      <c r="H3535">
        <v>6</v>
      </c>
      <c r="I3535">
        <v>91.27</v>
      </c>
      <c r="J3535" s="50">
        <v>547.62</v>
      </c>
      <c r="K3535" t="s">
        <v>1632</v>
      </c>
      <c r="M3535" t="s">
        <v>1624</v>
      </c>
      <c r="N3535">
        <v>48.17</v>
      </c>
      <c r="O3535" s="49">
        <v>45348</v>
      </c>
      <c r="P3535" s="50">
        <v>246.429</v>
      </c>
    </row>
    <row r="3536" spans="4:16" x14ac:dyDescent="0.2">
      <c r="D3536">
        <v>100002105</v>
      </c>
      <c r="E3536" s="49">
        <v>44359</v>
      </c>
      <c r="F3536" t="s">
        <v>3847</v>
      </c>
      <c r="G3536" t="s">
        <v>2155</v>
      </c>
      <c r="H3536">
        <v>4</v>
      </c>
      <c r="I3536">
        <v>10.66</v>
      </c>
      <c r="J3536" s="50">
        <v>42.64</v>
      </c>
      <c r="K3536" t="s">
        <v>1632</v>
      </c>
      <c r="M3536" t="s">
        <v>1619</v>
      </c>
      <c r="N3536">
        <v>5.63</v>
      </c>
      <c r="O3536" s="49">
        <v>44361</v>
      </c>
      <c r="P3536" s="50">
        <v>19.188000000000002</v>
      </c>
    </row>
    <row r="3537" spans="4:16" x14ac:dyDescent="0.2">
      <c r="D3537">
        <v>100002105</v>
      </c>
      <c r="E3537" s="49">
        <v>44787</v>
      </c>
      <c r="F3537" t="s">
        <v>3847</v>
      </c>
      <c r="G3537" t="s">
        <v>1696</v>
      </c>
      <c r="H3537">
        <v>10</v>
      </c>
      <c r="I3537">
        <v>88.98</v>
      </c>
      <c r="J3537" s="50">
        <v>889.80000000000007</v>
      </c>
      <c r="K3537" t="s">
        <v>1632</v>
      </c>
      <c r="M3537" t="s">
        <v>1629</v>
      </c>
      <c r="N3537">
        <v>46.96</v>
      </c>
      <c r="O3537" s="49">
        <v>44791</v>
      </c>
      <c r="P3537" s="50">
        <v>400.41</v>
      </c>
    </row>
    <row r="3538" spans="4:16" x14ac:dyDescent="0.2">
      <c r="D3538">
        <v>100002105</v>
      </c>
      <c r="E3538" s="49">
        <v>45219</v>
      </c>
      <c r="F3538" t="s">
        <v>3847</v>
      </c>
      <c r="G3538" t="s">
        <v>1941</v>
      </c>
      <c r="H3538">
        <v>4</v>
      </c>
      <c r="I3538">
        <v>102.64</v>
      </c>
      <c r="J3538" s="50">
        <v>410.56</v>
      </c>
      <c r="K3538" t="s">
        <v>1632</v>
      </c>
      <c r="M3538" t="s">
        <v>1627</v>
      </c>
      <c r="N3538">
        <v>54.17</v>
      </c>
      <c r="O3538" s="49">
        <v>45220</v>
      </c>
      <c r="P3538" s="50">
        <v>184.75200000000001</v>
      </c>
    </row>
    <row r="3539" spans="4:16" x14ac:dyDescent="0.2">
      <c r="D3539">
        <v>100002106</v>
      </c>
      <c r="E3539" s="49">
        <v>45253</v>
      </c>
      <c r="F3539" t="s">
        <v>3848</v>
      </c>
      <c r="G3539" t="s">
        <v>2096</v>
      </c>
      <c r="H3539">
        <v>4</v>
      </c>
      <c r="I3539">
        <v>107.29</v>
      </c>
      <c r="J3539" s="50">
        <v>429.16</v>
      </c>
      <c r="K3539" t="s">
        <v>1618</v>
      </c>
      <c r="M3539" t="s">
        <v>1627</v>
      </c>
      <c r="N3539">
        <v>56.62</v>
      </c>
      <c r="O3539" s="49">
        <v>45256</v>
      </c>
      <c r="P3539" s="50">
        <v>193.12200000000001</v>
      </c>
    </row>
    <row r="3540" spans="4:16" x14ac:dyDescent="0.2">
      <c r="D3540">
        <v>100002108</v>
      </c>
      <c r="E3540" s="49">
        <v>45096</v>
      </c>
      <c r="F3540" t="s">
        <v>3849</v>
      </c>
      <c r="G3540" t="s">
        <v>1637</v>
      </c>
      <c r="H3540">
        <v>9</v>
      </c>
      <c r="I3540">
        <v>27.66</v>
      </c>
      <c r="J3540" s="50">
        <v>248.94</v>
      </c>
      <c r="K3540" t="s">
        <v>1618</v>
      </c>
      <c r="M3540" t="s">
        <v>1627</v>
      </c>
      <c r="N3540">
        <v>14.6</v>
      </c>
      <c r="O3540" s="49">
        <v>45101</v>
      </c>
      <c r="P3540" s="50">
        <v>112.023</v>
      </c>
    </row>
    <row r="3541" spans="4:16" x14ac:dyDescent="0.2">
      <c r="D3541">
        <v>100002108</v>
      </c>
      <c r="E3541" s="49">
        <v>44409</v>
      </c>
      <c r="F3541" t="s">
        <v>3849</v>
      </c>
      <c r="G3541" t="s">
        <v>2301</v>
      </c>
      <c r="H3541">
        <v>7</v>
      </c>
      <c r="I3541">
        <v>35.89</v>
      </c>
      <c r="J3541" s="50">
        <v>251.23</v>
      </c>
      <c r="K3541" t="s">
        <v>1618</v>
      </c>
      <c r="M3541" t="s">
        <v>1629</v>
      </c>
      <c r="N3541">
        <v>18.940000000000001</v>
      </c>
      <c r="O3541" s="49">
        <v>44410</v>
      </c>
      <c r="P3541" s="50">
        <v>113.0535</v>
      </c>
    </row>
    <row r="3542" spans="4:16" x14ac:dyDescent="0.2">
      <c r="D3542">
        <v>100002109</v>
      </c>
      <c r="E3542" s="49">
        <v>45049</v>
      </c>
      <c r="F3542" t="s">
        <v>3850</v>
      </c>
      <c r="G3542" t="s">
        <v>3075</v>
      </c>
      <c r="H3542">
        <v>5</v>
      </c>
      <c r="I3542">
        <v>64.569999999999993</v>
      </c>
      <c r="J3542" s="50">
        <v>322.85000000000002</v>
      </c>
      <c r="K3542" t="s">
        <v>1632</v>
      </c>
      <c r="M3542" t="s">
        <v>1619</v>
      </c>
      <c r="N3542">
        <v>34.08</v>
      </c>
      <c r="O3542" s="49">
        <v>45053</v>
      </c>
      <c r="P3542" s="50">
        <v>145.28250000000003</v>
      </c>
    </row>
    <row r="3543" spans="4:16" x14ac:dyDescent="0.2">
      <c r="D3543">
        <v>100002110</v>
      </c>
      <c r="E3543" s="49">
        <v>44530</v>
      </c>
      <c r="F3543" t="s">
        <v>3851</v>
      </c>
      <c r="G3543" t="s">
        <v>1702</v>
      </c>
      <c r="H3543">
        <v>1</v>
      </c>
      <c r="I3543">
        <v>81.91</v>
      </c>
      <c r="J3543" s="50">
        <v>81.91</v>
      </c>
      <c r="K3543" t="s">
        <v>1632</v>
      </c>
      <c r="M3543" t="s">
        <v>1624</v>
      </c>
      <c r="N3543">
        <v>43.23</v>
      </c>
      <c r="O3543" s="49">
        <v>44534</v>
      </c>
      <c r="P3543" s="50">
        <v>36.859499999999997</v>
      </c>
    </row>
    <row r="3544" spans="4:16" x14ac:dyDescent="0.2">
      <c r="D3544">
        <v>100002111</v>
      </c>
      <c r="E3544" s="49">
        <v>45244</v>
      </c>
      <c r="F3544" t="s">
        <v>3852</v>
      </c>
      <c r="G3544" t="s">
        <v>1950</v>
      </c>
      <c r="H3544">
        <v>3</v>
      </c>
      <c r="I3544">
        <v>92.85</v>
      </c>
      <c r="J3544" s="50">
        <v>278.55</v>
      </c>
      <c r="K3544" t="s">
        <v>1632</v>
      </c>
      <c r="M3544" t="s">
        <v>1627</v>
      </c>
      <c r="N3544">
        <v>49</v>
      </c>
      <c r="O3544" s="49">
        <v>45246</v>
      </c>
      <c r="P3544" s="50">
        <v>125.34750000000001</v>
      </c>
    </row>
    <row r="3545" spans="4:16" x14ac:dyDescent="0.2">
      <c r="D3545">
        <v>100002111</v>
      </c>
      <c r="E3545" s="49">
        <v>44437</v>
      </c>
      <c r="F3545" t="s">
        <v>3852</v>
      </c>
      <c r="G3545" t="s">
        <v>2346</v>
      </c>
      <c r="H3545">
        <v>9</v>
      </c>
      <c r="I3545">
        <v>25.34</v>
      </c>
      <c r="J3545" s="50">
        <v>228.06</v>
      </c>
      <c r="K3545" t="s">
        <v>1632</v>
      </c>
      <c r="M3545" t="s">
        <v>1629</v>
      </c>
      <c r="N3545">
        <v>13.37</v>
      </c>
      <c r="O3545" s="49">
        <v>44442</v>
      </c>
      <c r="P3545" s="50">
        <v>102.62700000000001</v>
      </c>
    </row>
    <row r="3546" spans="4:16" x14ac:dyDescent="0.2">
      <c r="D3546">
        <v>100002112</v>
      </c>
      <c r="E3546" s="49">
        <v>45635</v>
      </c>
      <c r="F3546" t="s">
        <v>3853</v>
      </c>
      <c r="G3546" t="s">
        <v>2585</v>
      </c>
      <c r="H3546">
        <v>5</v>
      </c>
      <c r="I3546">
        <v>119.51</v>
      </c>
      <c r="J3546" s="50">
        <v>597.55000000000007</v>
      </c>
      <c r="K3546" t="s">
        <v>1618</v>
      </c>
      <c r="M3546" t="s">
        <v>1629</v>
      </c>
      <c r="N3546">
        <v>63.07</v>
      </c>
      <c r="O3546" s="49">
        <v>45640</v>
      </c>
      <c r="P3546" s="50">
        <v>268.89750000000004</v>
      </c>
    </row>
    <row r="3547" spans="4:16" x14ac:dyDescent="0.2">
      <c r="D3547">
        <v>100002113</v>
      </c>
      <c r="E3547" s="49">
        <v>44289</v>
      </c>
      <c r="F3547" t="s">
        <v>3854</v>
      </c>
      <c r="G3547" t="s">
        <v>1897</v>
      </c>
      <c r="H3547">
        <v>10</v>
      </c>
      <c r="I3547">
        <v>100.33</v>
      </c>
      <c r="J3547" s="50">
        <v>1003.3</v>
      </c>
      <c r="K3547" t="s">
        <v>1618</v>
      </c>
      <c r="L3547" t="s">
        <v>3855</v>
      </c>
      <c r="M3547" t="s">
        <v>1624</v>
      </c>
      <c r="N3547">
        <v>52.95</v>
      </c>
      <c r="O3547" s="49">
        <v>44291</v>
      </c>
      <c r="P3547" s="50">
        <v>451.48500000000001</v>
      </c>
    </row>
    <row r="3548" spans="4:16" x14ac:dyDescent="0.2">
      <c r="D3548">
        <v>100002114</v>
      </c>
      <c r="E3548" s="49">
        <v>44223</v>
      </c>
      <c r="F3548" t="s">
        <v>3856</v>
      </c>
      <c r="G3548" t="s">
        <v>1658</v>
      </c>
      <c r="H3548">
        <v>5</v>
      </c>
      <c r="I3548">
        <v>51.72</v>
      </c>
      <c r="J3548" s="50">
        <v>258.60000000000002</v>
      </c>
      <c r="K3548" t="s">
        <v>1618</v>
      </c>
      <c r="M3548" t="s">
        <v>1627</v>
      </c>
      <c r="N3548">
        <v>27.3</v>
      </c>
      <c r="O3548" s="49">
        <v>44224</v>
      </c>
      <c r="P3548" s="50">
        <v>116.37000000000002</v>
      </c>
    </row>
    <row r="3549" spans="4:16" x14ac:dyDescent="0.2">
      <c r="D3549">
        <v>100002114</v>
      </c>
      <c r="E3549" s="49">
        <v>44708</v>
      </c>
      <c r="F3549" t="s">
        <v>3856</v>
      </c>
      <c r="G3549" t="s">
        <v>2372</v>
      </c>
      <c r="H3549">
        <v>7</v>
      </c>
      <c r="I3549">
        <v>87.06</v>
      </c>
      <c r="J3549" s="50">
        <v>609.42000000000007</v>
      </c>
      <c r="K3549" t="s">
        <v>1618</v>
      </c>
      <c r="M3549" t="s">
        <v>1619</v>
      </c>
      <c r="N3549">
        <v>45.95</v>
      </c>
      <c r="O3549" s="49">
        <v>44712</v>
      </c>
      <c r="P3549" s="50">
        <v>274.23900000000003</v>
      </c>
    </row>
    <row r="3550" spans="4:16" x14ac:dyDescent="0.2">
      <c r="D3550">
        <v>100002114</v>
      </c>
      <c r="E3550" s="49">
        <v>44311</v>
      </c>
      <c r="F3550" t="s">
        <v>3856</v>
      </c>
      <c r="G3550" t="s">
        <v>1817</v>
      </c>
      <c r="H3550">
        <v>4</v>
      </c>
      <c r="I3550">
        <v>33.979999999999997</v>
      </c>
      <c r="J3550" s="50">
        <v>135.91999999999999</v>
      </c>
      <c r="K3550" t="s">
        <v>1618</v>
      </c>
      <c r="M3550" t="s">
        <v>1627</v>
      </c>
      <c r="N3550">
        <v>17.93</v>
      </c>
      <c r="O3550" s="49">
        <v>44315</v>
      </c>
      <c r="P3550" s="50">
        <v>61.163999999999994</v>
      </c>
    </row>
    <row r="3551" spans="4:16" x14ac:dyDescent="0.2">
      <c r="D3551">
        <v>100002115</v>
      </c>
      <c r="E3551" s="49">
        <v>44842</v>
      </c>
      <c r="F3551" t="s">
        <v>3857</v>
      </c>
      <c r="G3551" t="s">
        <v>1859</v>
      </c>
      <c r="H3551">
        <v>9</v>
      </c>
      <c r="I3551">
        <v>108.86</v>
      </c>
      <c r="J3551" s="50">
        <v>979.74</v>
      </c>
      <c r="K3551" t="s">
        <v>1618</v>
      </c>
      <c r="M3551" t="s">
        <v>1627</v>
      </c>
      <c r="N3551">
        <v>57.45</v>
      </c>
      <c r="O3551" s="49">
        <v>44843</v>
      </c>
      <c r="P3551" s="50">
        <v>440.88300000000004</v>
      </c>
    </row>
    <row r="3552" spans="4:16" x14ac:dyDescent="0.2">
      <c r="D3552">
        <v>100002115</v>
      </c>
      <c r="E3552" s="49">
        <v>44699</v>
      </c>
      <c r="F3552" t="s">
        <v>3857</v>
      </c>
      <c r="G3552" t="s">
        <v>1787</v>
      </c>
      <c r="H3552">
        <v>3</v>
      </c>
      <c r="I3552">
        <v>35.79</v>
      </c>
      <c r="J3552" s="50">
        <v>107.37</v>
      </c>
      <c r="K3552" t="s">
        <v>1618</v>
      </c>
      <c r="M3552" t="s">
        <v>1624</v>
      </c>
      <c r="N3552">
        <v>18.89</v>
      </c>
      <c r="O3552" s="49">
        <v>44702</v>
      </c>
      <c r="P3552" s="50">
        <v>48.316500000000005</v>
      </c>
    </row>
    <row r="3553" spans="4:16" x14ac:dyDescent="0.2">
      <c r="D3553">
        <v>100002115</v>
      </c>
      <c r="E3553" s="49">
        <v>45411</v>
      </c>
      <c r="F3553" t="s">
        <v>3857</v>
      </c>
      <c r="G3553" t="s">
        <v>1712</v>
      </c>
      <c r="H3553">
        <v>3</v>
      </c>
      <c r="I3553">
        <v>11.15</v>
      </c>
      <c r="J3553" s="50">
        <v>33.450000000000003</v>
      </c>
      <c r="K3553" t="s">
        <v>1618</v>
      </c>
      <c r="M3553" t="s">
        <v>1624</v>
      </c>
      <c r="N3553">
        <v>5.88</v>
      </c>
      <c r="O3553" s="49">
        <v>45412</v>
      </c>
      <c r="P3553" s="50">
        <v>15.052500000000002</v>
      </c>
    </row>
    <row r="3554" spans="4:16" x14ac:dyDescent="0.2">
      <c r="D3554">
        <v>100002115</v>
      </c>
      <c r="E3554" s="49">
        <v>44273</v>
      </c>
      <c r="F3554" t="s">
        <v>3857</v>
      </c>
      <c r="G3554" t="s">
        <v>2418</v>
      </c>
      <c r="H3554">
        <v>7</v>
      </c>
      <c r="I3554">
        <v>49.22</v>
      </c>
      <c r="J3554" s="50">
        <v>344.54</v>
      </c>
      <c r="K3554" t="s">
        <v>1618</v>
      </c>
      <c r="M3554" t="s">
        <v>1629</v>
      </c>
      <c r="N3554">
        <v>25.98</v>
      </c>
      <c r="O3554" s="49">
        <v>44275</v>
      </c>
      <c r="P3554" s="50">
        <v>155.04300000000001</v>
      </c>
    </row>
    <row r="3555" spans="4:16" x14ac:dyDescent="0.2">
      <c r="D3555">
        <v>100002116</v>
      </c>
      <c r="E3555" s="49">
        <v>45006</v>
      </c>
      <c r="F3555" t="s">
        <v>3858</v>
      </c>
      <c r="G3555" t="s">
        <v>2101</v>
      </c>
      <c r="H3555">
        <v>1</v>
      </c>
      <c r="I3555">
        <v>110.92</v>
      </c>
      <c r="J3555" s="50">
        <v>110.92</v>
      </c>
      <c r="K3555" t="s">
        <v>1632</v>
      </c>
      <c r="M3555" t="s">
        <v>1621</v>
      </c>
      <c r="N3555">
        <v>58.54</v>
      </c>
      <c r="O3555" s="49">
        <v>45009</v>
      </c>
      <c r="P3555" s="50">
        <v>49.914000000000001</v>
      </c>
    </row>
    <row r="3556" spans="4:16" x14ac:dyDescent="0.2">
      <c r="D3556">
        <v>100002117</v>
      </c>
      <c r="E3556" s="49">
        <v>44557</v>
      </c>
      <c r="F3556" t="s">
        <v>3859</v>
      </c>
      <c r="G3556" t="s">
        <v>2116</v>
      </c>
      <c r="H3556">
        <v>6</v>
      </c>
      <c r="I3556">
        <v>82.64</v>
      </c>
      <c r="J3556" s="50">
        <v>495.84</v>
      </c>
      <c r="K3556" t="s">
        <v>1632</v>
      </c>
      <c r="M3556" t="s">
        <v>1621</v>
      </c>
      <c r="N3556">
        <v>43.62</v>
      </c>
      <c r="O3556" s="49">
        <v>44561</v>
      </c>
      <c r="P3556" s="50">
        <v>223.12799999999999</v>
      </c>
    </row>
    <row r="3557" spans="4:16" x14ac:dyDescent="0.2">
      <c r="D3557">
        <v>100002117</v>
      </c>
      <c r="E3557" s="49">
        <v>44198</v>
      </c>
      <c r="F3557" t="s">
        <v>3859</v>
      </c>
      <c r="G3557" t="s">
        <v>2116</v>
      </c>
      <c r="H3557">
        <v>7</v>
      </c>
      <c r="I3557">
        <v>94.2</v>
      </c>
      <c r="J3557" s="50">
        <v>659.4</v>
      </c>
      <c r="K3557" t="s">
        <v>1632</v>
      </c>
      <c r="M3557" t="s">
        <v>1629</v>
      </c>
      <c r="N3557">
        <v>49.72</v>
      </c>
      <c r="O3557" s="49">
        <v>44200</v>
      </c>
      <c r="P3557" s="50">
        <v>296.73</v>
      </c>
    </row>
    <row r="3558" spans="4:16" x14ac:dyDescent="0.2">
      <c r="D3558">
        <v>100002117</v>
      </c>
      <c r="E3558" s="49">
        <v>45245</v>
      </c>
      <c r="F3558" t="s">
        <v>3859</v>
      </c>
      <c r="G3558" t="s">
        <v>2174</v>
      </c>
      <c r="H3558">
        <v>8</v>
      </c>
      <c r="I3558">
        <v>107.15</v>
      </c>
      <c r="J3558" s="50">
        <v>857.2</v>
      </c>
      <c r="K3558" t="s">
        <v>1632</v>
      </c>
      <c r="M3558" t="s">
        <v>1627</v>
      </c>
      <c r="N3558">
        <v>56.55</v>
      </c>
      <c r="O3558" s="49">
        <v>45248</v>
      </c>
      <c r="P3558" s="50">
        <v>385.74</v>
      </c>
    </row>
    <row r="3559" spans="4:16" x14ac:dyDescent="0.2">
      <c r="D3559">
        <v>100002117</v>
      </c>
      <c r="E3559" s="49">
        <v>45330</v>
      </c>
      <c r="F3559" t="s">
        <v>3859</v>
      </c>
      <c r="G3559" t="s">
        <v>2062</v>
      </c>
      <c r="H3559">
        <v>4</v>
      </c>
      <c r="I3559">
        <v>12.18</v>
      </c>
      <c r="J3559" s="50">
        <v>48.72</v>
      </c>
      <c r="K3559" t="s">
        <v>1632</v>
      </c>
      <c r="M3559" t="s">
        <v>1627</v>
      </c>
      <c r="N3559">
        <v>6.43</v>
      </c>
      <c r="O3559" s="49">
        <v>45335</v>
      </c>
      <c r="P3559" s="50">
        <v>21.923999999999999</v>
      </c>
    </row>
    <row r="3560" spans="4:16" x14ac:dyDescent="0.2">
      <c r="D3560">
        <v>100002117</v>
      </c>
      <c r="E3560" s="49">
        <v>44520</v>
      </c>
      <c r="F3560" t="s">
        <v>3859</v>
      </c>
      <c r="G3560" t="s">
        <v>2291</v>
      </c>
      <c r="H3560">
        <v>4</v>
      </c>
      <c r="I3560">
        <v>82.11</v>
      </c>
      <c r="J3560" s="50">
        <v>328.44</v>
      </c>
      <c r="K3560" t="s">
        <v>1632</v>
      </c>
      <c r="M3560" t="s">
        <v>1621</v>
      </c>
      <c r="N3560">
        <v>43.34</v>
      </c>
      <c r="O3560" s="49">
        <v>44524</v>
      </c>
      <c r="P3560" s="50">
        <v>147.798</v>
      </c>
    </row>
    <row r="3561" spans="4:16" x14ac:dyDescent="0.2">
      <c r="D3561">
        <v>100002117</v>
      </c>
      <c r="E3561" s="49">
        <v>45293</v>
      </c>
      <c r="F3561" t="s">
        <v>3859</v>
      </c>
      <c r="G3561" t="s">
        <v>1675</v>
      </c>
      <c r="H3561">
        <v>7</v>
      </c>
      <c r="I3561">
        <v>54.09</v>
      </c>
      <c r="J3561" s="50">
        <v>378.63</v>
      </c>
      <c r="K3561" t="s">
        <v>1632</v>
      </c>
      <c r="M3561" t="s">
        <v>1624</v>
      </c>
      <c r="N3561">
        <v>28.55</v>
      </c>
      <c r="O3561" s="49">
        <v>45296</v>
      </c>
      <c r="P3561" s="50">
        <v>170.3835</v>
      </c>
    </row>
    <row r="3562" spans="4:16" x14ac:dyDescent="0.2">
      <c r="D3562">
        <v>100002117</v>
      </c>
      <c r="E3562" s="49">
        <v>45337</v>
      </c>
      <c r="F3562" t="s">
        <v>3859</v>
      </c>
      <c r="G3562" t="s">
        <v>2242</v>
      </c>
      <c r="H3562">
        <v>7</v>
      </c>
      <c r="I3562">
        <v>42.87</v>
      </c>
      <c r="J3562" s="50">
        <v>300.08999999999997</v>
      </c>
      <c r="K3562" t="s">
        <v>1632</v>
      </c>
      <c r="M3562" t="s">
        <v>1619</v>
      </c>
      <c r="N3562">
        <v>22.63</v>
      </c>
      <c r="O3562" s="49">
        <v>45341</v>
      </c>
      <c r="P3562" s="50">
        <v>135.04049999999998</v>
      </c>
    </row>
    <row r="3563" spans="4:16" x14ac:dyDescent="0.2">
      <c r="D3563">
        <v>100002117</v>
      </c>
      <c r="E3563" s="49">
        <v>44491</v>
      </c>
      <c r="F3563" t="s">
        <v>3859</v>
      </c>
      <c r="G3563" t="s">
        <v>2125</v>
      </c>
      <c r="H3563">
        <v>9</v>
      </c>
      <c r="I3563">
        <v>71.95</v>
      </c>
      <c r="J3563" s="50">
        <v>647.55000000000007</v>
      </c>
      <c r="K3563" t="s">
        <v>1632</v>
      </c>
      <c r="M3563" t="s">
        <v>1621</v>
      </c>
      <c r="N3563">
        <v>37.97</v>
      </c>
      <c r="O3563" s="49">
        <v>44492</v>
      </c>
      <c r="P3563" s="50">
        <v>291.39750000000004</v>
      </c>
    </row>
    <row r="3564" spans="4:16" x14ac:dyDescent="0.2">
      <c r="D3564">
        <v>100002119</v>
      </c>
      <c r="E3564" s="49">
        <v>45425</v>
      </c>
      <c r="F3564" t="s">
        <v>3860</v>
      </c>
      <c r="G3564" t="s">
        <v>2103</v>
      </c>
      <c r="H3564">
        <v>8</v>
      </c>
      <c r="I3564">
        <v>97.44</v>
      </c>
      <c r="J3564" s="50">
        <v>779.52</v>
      </c>
      <c r="K3564" t="s">
        <v>1618</v>
      </c>
      <c r="M3564" t="s">
        <v>1627</v>
      </c>
      <c r="N3564">
        <v>51.43</v>
      </c>
      <c r="O3564" s="49">
        <v>45426</v>
      </c>
      <c r="P3564" s="50">
        <v>350.78399999999999</v>
      </c>
    </row>
    <row r="3565" spans="4:16" x14ac:dyDescent="0.2">
      <c r="D3565">
        <v>100002121</v>
      </c>
      <c r="E3565" s="49">
        <v>44469</v>
      </c>
      <c r="F3565" t="s">
        <v>3861</v>
      </c>
      <c r="G3565" t="s">
        <v>1866</v>
      </c>
      <c r="H3565">
        <v>1</v>
      </c>
      <c r="I3565">
        <v>27.01</v>
      </c>
      <c r="J3565" s="50">
        <v>27.01</v>
      </c>
      <c r="K3565" t="s">
        <v>1618</v>
      </c>
      <c r="L3565" t="s">
        <v>3862</v>
      </c>
      <c r="M3565" t="s">
        <v>1624</v>
      </c>
      <c r="N3565">
        <v>14.26</v>
      </c>
      <c r="O3565" s="49">
        <v>44472</v>
      </c>
      <c r="P3565" s="50">
        <v>12.154500000000001</v>
      </c>
    </row>
    <row r="3566" spans="4:16" x14ac:dyDescent="0.2">
      <c r="D3566">
        <v>100002122</v>
      </c>
      <c r="E3566" s="49">
        <v>45277</v>
      </c>
      <c r="F3566" t="s">
        <v>3863</v>
      </c>
      <c r="G3566" t="s">
        <v>1770</v>
      </c>
      <c r="H3566">
        <v>1</v>
      </c>
      <c r="I3566">
        <v>37.229999999999997</v>
      </c>
      <c r="J3566" s="50">
        <v>37.229999999999997</v>
      </c>
      <c r="K3566" t="s">
        <v>1618</v>
      </c>
      <c r="M3566" t="s">
        <v>1621</v>
      </c>
      <c r="N3566">
        <v>19.649999999999999</v>
      </c>
      <c r="O3566" s="49">
        <v>45280</v>
      </c>
      <c r="P3566" s="50">
        <v>16.753499999999999</v>
      </c>
    </row>
    <row r="3567" spans="4:16" x14ac:dyDescent="0.2">
      <c r="D3567">
        <v>100002123</v>
      </c>
      <c r="E3567" s="49">
        <v>45337</v>
      </c>
      <c r="F3567" t="s">
        <v>3864</v>
      </c>
      <c r="G3567" t="s">
        <v>1833</v>
      </c>
      <c r="H3567">
        <v>7</v>
      </c>
      <c r="I3567">
        <v>111.54</v>
      </c>
      <c r="J3567" s="50">
        <v>780.78000000000009</v>
      </c>
      <c r="K3567" t="s">
        <v>1632</v>
      </c>
      <c r="M3567" t="s">
        <v>1621</v>
      </c>
      <c r="N3567">
        <v>58.87</v>
      </c>
      <c r="O3567" s="49">
        <v>45341</v>
      </c>
      <c r="P3567" s="50">
        <v>351.35100000000006</v>
      </c>
    </row>
    <row r="3568" spans="4:16" x14ac:dyDescent="0.2">
      <c r="D3568">
        <v>100002124</v>
      </c>
      <c r="E3568" s="49">
        <v>45358</v>
      </c>
      <c r="F3568" t="s">
        <v>3865</v>
      </c>
      <c r="G3568" t="s">
        <v>1623</v>
      </c>
      <c r="H3568">
        <v>8</v>
      </c>
      <c r="I3568">
        <v>70.55</v>
      </c>
      <c r="J3568" s="50">
        <v>564.4</v>
      </c>
      <c r="K3568" t="s">
        <v>1618</v>
      </c>
      <c r="M3568" t="s">
        <v>1619</v>
      </c>
      <c r="N3568">
        <v>37.229999999999997</v>
      </c>
      <c r="O3568" s="49">
        <v>45359</v>
      </c>
      <c r="P3568" s="50">
        <v>253.98</v>
      </c>
    </row>
    <row r="3569" spans="4:16" x14ac:dyDescent="0.2">
      <c r="D3569">
        <v>100002124</v>
      </c>
      <c r="E3569" s="49">
        <v>44370</v>
      </c>
      <c r="F3569" t="s">
        <v>3865</v>
      </c>
      <c r="G3569" t="s">
        <v>1842</v>
      </c>
      <c r="H3569">
        <v>7</v>
      </c>
      <c r="I3569">
        <v>85.63</v>
      </c>
      <c r="J3569" s="50">
        <v>599.41</v>
      </c>
      <c r="K3569" t="s">
        <v>1618</v>
      </c>
      <c r="M3569" t="s">
        <v>1619</v>
      </c>
      <c r="N3569">
        <v>45.19</v>
      </c>
      <c r="O3569" s="49">
        <v>44373</v>
      </c>
      <c r="P3569" s="50">
        <v>269.73449999999997</v>
      </c>
    </row>
    <row r="3570" spans="4:16" x14ac:dyDescent="0.2">
      <c r="D3570">
        <v>100002125</v>
      </c>
      <c r="E3570" s="49">
        <v>44884</v>
      </c>
      <c r="F3570" t="s">
        <v>3866</v>
      </c>
      <c r="G3570" t="s">
        <v>1792</v>
      </c>
      <c r="H3570">
        <v>9</v>
      </c>
      <c r="I3570">
        <v>74.55</v>
      </c>
      <c r="J3570" s="50">
        <v>670.94999999999993</v>
      </c>
      <c r="K3570" t="s">
        <v>1618</v>
      </c>
      <c r="M3570" t="s">
        <v>1627</v>
      </c>
      <c r="N3570">
        <v>39.35</v>
      </c>
      <c r="O3570" s="49">
        <v>44887</v>
      </c>
      <c r="P3570" s="50">
        <v>301.92749999999995</v>
      </c>
    </row>
    <row r="3571" spans="4:16" x14ac:dyDescent="0.2">
      <c r="D3571">
        <v>100002126</v>
      </c>
      <c r="E3571" s="49">
        <v>44255</v>
      </c>
      <c r="F3571" t="s">
        <v>3867</v>
      </c>
      <c r="G3571" t="s">
        <v>1985</v>
      </c>
      <c r="H3571">
        <v>1</v>
      </c>
      <c r="I3571">
        <v>52.91</v>
      </c>
      <c r="J3571" s="50">
        <v>52.91</v>
      </c>
      <c r="K3571" t="s">
        <v>1618</v>
      </c>
      <c r="L3571" t="s">
        <v>3868</v>
      </c>
      <c r="M3571" t="s">
        <v>1624</v>
      </c>
      <c r="N3571">
        <v>27.92</v>
      </c>
      <c r="O3571" s="49">
        <v>44258</v>
      </c>
      <c r="P3571" s="50">
        <v>23.8095</v>
      </c>
    </row>
    <row r="3572" spans="4:16" x14ac:dyDescent="0.2">
      <c r="D3572">
        <v>100002126</v>
      </c>
      <c r="E3572" s="49">
        <v>45540</v>
      </c>
      <c r="F3572" t="s">
        <v>3867</v>
      </c>
      <c r="G3572" t="s">
        <v>1893</v>
      </c>
      <c r="H3572">
        <v>10</v>
      </c>
      <c r="I3572">
        <v>99.4</v>
      </c>
      <c r="J3572" s="50">
        <v>994</v>
      </c>
      <c r="K3572" t="s">
        <v>1618</v>
      </c>
      <c r="L3572" t="s">
        <v>3868</v>
      </c>
      <c r="M3572" t="s">
        <v>1629</v>
      </c>
      <c r="N3572">
        <v>52.46</v>
      </c>
      <c r="O3572" s="49">
        <v>45545</v>
      </c>
      <c r="P3572" s="50">
        <v>447.3</v>
      </c>
    </row>
    <row r="3573" spans="4:16" x14ac:dyDescent="0.2">
      <c r="D3573">
        <v>100002126</v>
      </c>
      <c r="E3573" s="49">
        <v>44719</v>
      </c>
      <c r="F3573" t="s">
        <v>3867</v>
      </c>
      <c r="G3573" t="s">
        <v>1699</v>
      </c>
      <c r="H3573">
        <v>2</v>
      </c>
      <c r="I3573">
        <v>89.68</v>
      </c>
      <c r="J3573" s="50">
        <v>179.36</v>
      </c>
      <c r="K3573" t="s">
        <v>1618</v>
      </c>
      <c r="L3573" t="s">
        <v>3868</v>
      </c>
      <c r="M3573" t="s">
        <v>1624</v>
      </c>
      <c r="N3573">
        <v>47.33</v>
      </c>
      <c r="O3573" s="49">
        <v>44721</v>
      </c>
      <c r="P3573" s="50">
        <v>80.712000000000003</v>
      </c>
    </row>
    <row r="3574" spans="4:16" x14ac:dyDescent="0.2">
      <c r="D3574">
        <v>100002126</v>
      </c>
      <c r="E3574" s="49">
        <v>44995</v>
      </c>
      <c r="F3574" t="s">
        <v>3867</v>
      </c>
      <c r="G3574" t="s">
        <v>1902</v>
      </c>
      <c r="H3574">
        <v>3</v>
      </c>
      <c r="I3574">
        <v>62.79</v>
      </c>
      <c r="J3574" s="50">
        <v>188.37</v>
      </c>
      <c r="K3574" t="s">
        <v>1618</v>
      </c>
      <c r="L3574" t="s">
        <v>3868</v>
      </c>
      <c r="M3574" t="s">
        <v>1619</v>
      </c>
      <c r="N3574">
        <v>33.14</v>
      </c>
      <c r="O3574" s="49">
        <v>44997</v>
      </c>
      <c r="P3574" s="50">
        <v>84.766500000000008</v>
      </c>
    </row>
    <row r="3575" spans="4:16" x14ac:dyDescent="0.2">
      <c r="D3575">
        <v>100002126</v>
      </c>
      <c r="E3575" s="49">
        <v>44594</v>
      </c>
      <c r="F3575" t="s">
        <v>3867</v>
      </c>
      <c r="G3575" t="s">
        <v>2192</v>
      </c>
      <c r="H3575">
        <v>4</v>
      </c>
      <c r="I3575">
        <v>98.29</v>
      </c>
      <c r="J3575" s="50">
        <v>393.16</v>
      </c>
      <c r="K3575" t="s">
        <v>1618</v>
      </c>
      <c r="L3575" t="s">
        <v>3868</v>
      </c>
      <c r="M3575" t="s">
        <v>1627</v>
      </c>
      <c r="N3575">
        <v>51.87</v>
      </c>
      <c r="O3575" s="49">
        <v>44598</v>
      </c>
      <c r="P3575" s="50">
        <v>176.92200000000003</v>
      </c>
    </row>
    <row r="3576" spans="4:16" x14ac:dyDescent="0.2">
      <c r="D3576">
        <v>100002126</v>
      </c>
      <c r="E3576" s="49">
        <v>45639</v>
      </c>
      <c r="F3576" t="s">
        <v>3867</v>
      </c>
      <c r="G3576" t="s">
        <v>1880</v>
      </c>
      <c r="H3576">
        <v>10</v>
      </c>
      <c r="I3576">
        <v>73.790000000000006</v>
      </c>
      <c r="J3576" s="50">
        <v>737.90000000000009</v>
      </c>
      <c r="K3576" t="s">
        <v>1618</v>
      </c>
      <c r="L3576" t="s">
        <v>3868</v>
      </c>
      <c r="M3576" t="s">
        <v>1624</v>
      </c>
      <c r="N3576">
        <v>38.94</v>
      </c>
      <c r="O3576" s="49">
        <v>45640</v>
      </c>
      <c r="P3576" s="50">
        <v>332.05500000000006</v>
      </c>
    </row>
    <row r="3577" spans="4:16" x14ac:dyDescent="0.2">
      <c r="D3577">
        <v>100002127</v>
      </c>
      <c r="E3577" s="49">
        <v>45141</v>
      </c>
      <c r="F3577" t="s">
        <v>3869</v>
      </c>
      <c r="G3577" t="s">
        <v>1661</v>
      </c>
      <c r="H3577">
        <v>4</v>
      </c>
      <c r="I3577">
        <v>12.63</v>
      </c>
      <c r="J3577" s="50">
        <v>50.52</v>
      </c>
      <c r="K3577" t="s">
        <v>1618</v>
      </c>
      <c r="M3577" t="s">
        <v>1627</v>
      </c>
      <c r="N3577">
        <v>6.67</v>
      </c>
      <c r="O3577" s="49">
        <v>45145</v>
      </c>
      <c r="P3577" s="50">
        <v>22.734000000000002</v>
      </c>
    </row>
    <row r="3578" spans="4:16" x14ac:dyDescent="0.2">
      <c r="D3578">
        <v>100002128</v>
      </c>
      <c r="E3578" s="49">
        <v>45544</v>
      </c>
      <c r="F3578" t="s">
        <v>3870</v>
      </c>
      <c r="G3578" t="s">
        <v>1857</v>
      </c>
      <c r="H3578">
        <v>9</v>
      </c>
      <c r="I3578">
        <v>44.27</v>
      </c>
      <c r="J3578" s="50">
        <v>398.43</v>
      </c>
      <c r="K3578" t="s">
        <v>1632</v>
      </c>
      <c r="M3578" t="s">
        <v>1621</v>
      </c>
      <c r="N3578">
        <v>23.36</v>
      </c>
      <c r="O3578" s="49">
        <v>45549</v>
      </c>
      <c r="P3578" s="50">
        <v>179.29349999999999</v>
      </c>
    </row>
    <row r="3579" spans="4:16" x14ac:dyDescent="0.2">
      <c r="D3579">
        <v>100002128</v>
      </c>
      <c r="E3579" s="49">
        <v>44742</v>
      </c>
      <c r="F3579" t="s">
        <v>3870</v>
      </c>
      <c r="G3579" t="s">
        <v>1762</v>
      </c>
      <c r="H3579">
        <v>1</v>
      </c>
      <c r="I3579">
        <v>19.29</v>
      </c>
      <c r="J3579" s="50">
        <v>19.29</v>
      </c>
      <c r="K3579" t="s">
        <v>1632</v>
      </c>
      <c r="M3579" t="s">
        <v>1624</v>
      </c>
      <c r="N3579">
        <v>10.18</v>
      </c>
      <c r="O3579" s="49">
        <v>44747</v>
      </c>
      <c r="P3579" s="50">
        <v>8.6805000000000003</v>
      </c>
    </row>
    <row r="3580" spans="4:16" x14ac:dyDescent="0.2">
      <c r="D3580">
        <v>100002128</v>
      </c>
      <c r="E3580" s="49">
        <v>45008</v>
      </c>
      <c r="F3580" t="s">
        <v>3870</v>
      </c>
      <c r="G3580" t="s">
        <v>3135</v>
      </c>
      <c r="H3580">
        <v>3</v>
      </c>
      <c r="I3580">
        <v>78.63</v>
      </c>
      <c r="J3580" s="50">
        <v>235.89</v>
      </c>
      <c r="K3580" t="s">
        <v>1632</v>
      </c>
      <c r="M3580" t="s">
        <v>1621</v>
      </c>
      <c r="N3580">
        <v>41.5</v>
      </c>
      <c r="O3580" s="49">
        <v>45012</v>
      </c>
      <c r="P3580" s="50">
        <v>106.15049999999999</v>
      </c>
    </row>
    <row r="3581" spans="4:16" x14ac:dyDescent="0.2">
      <c r="D3581">
        <v>100002128</v>
      </c>
      <c r="E3581" s="49">
        <v>45478</v>
      </c>
      <c r="F3581" t="s">
        <v>3870</v>
      </c>
      <c r="G3581" t="s">
        <v>2158</v>
      </c>
      <c r="H3581">
        <v>7</v>
      </c>
      <c r="I3581">
        <v>101.41</v>
      </c>
      <c r="J3581" s="50">
        <v>709.87</v>
      </c>
      <c r="K3581" t="s">
        <v>1632</v>
      </c>
      <c r="M3581" t="s">
        <v>1627</v>
      </c>
      <c r="N3581">
        <v>53.52</v>
      </c>
      <c r="O3581" s="49">
        <v>45480</v>
      </c>
      <c r="P3581" s="50">
        <v>319.44150000000002</v>
      </c>
    </row>
    <row r="3582" spans="4:16" x14ac:dyDescent="0.2">
      <c r="D3582">
        <v>100002128</v>
      </c>
      <c r="E3582" s="49">
        <v>44638</v>
      </c>
      <c r="F3582" t="s">
        <v>3870</v>
      </c>
      <c r="G3582" t="s">
        <v>2348</v>
      </c>
      <c r="H3582">
        <v>4</v>
      </c>
      <c r="I3582">
        <v>102.24</v>
      </c>
      <c r="J3582" s="50">
        <v>408.96</v>
      </c>
      <c r="K3582" t="s">
        <v>1632</v>
      </c>
      <c r="M3582" t="s">
        <v>1624</v>
      </c>
      <c r="N3582">
        <v>53.96</v>
      </c>
      <c r="O3582" s="49">
        <v>44640</v>
      </c>
      <c r="P3582" s="50">
        <v>184.03199999999998</v>
      </c>
    </row>
    <row r="3583" spans="4:16" x14ac:dyDescent="0.2">
      <c r="D3583">
        <v>100002128</v>
      </c>
      <c r="E3583" s="49">
        <v>44354</v>
      </c>
      <c r="F3583" t="s">
        <v>3870</v>
      </c>
      <c r="G3583" t="s">
        <v>2050</v>
      </c>
      <c r="H3583">
        <v>1</v>
      </c>
      <c r="I3583">
        <v>21.41</v>
      </c>
      <c r="J3583" s="50">
        <v>21.41</v>
      </c>
      <c r="K3583" t="s">
        <v>1632</v>
      </c>
      <c r="M3583" t="s">
        <v>1624</v>
      </c>
      <c r="N3583">
        <v>11.3</v>
      </c>
      <c r="O3583" s="49">
        <v>44357</v>
      </c>
      <c r="P3583" s="50">
        <v>9.634500000000001</v>
      </c>
    </row>
    <row r="3584" spans="4:16" x14ac:dyDescent="0.2">
      <c r="D3584">
        <v>100002128</v>
      </c>
      <c r="E3584" s="49">
        <v>45076</v>
      </c>
      <c r="F3584" t="s">
        <v>3870</v>
      </c>
      <c r="G3584" t="s">
        <v>1744</v>
      </c>
      <c r="H3584">
        <v>10</v>
      </c>
      <c r="I3584">
        <v>110.64</v>
      </c>
      <c r="J3584" s="50">
        <v>1106.4000000000001</v>
      </c>
      <c r="K3584" t="s">
        <v>1632</v>
      </c>
      <c r="M3584" t="s">
        <v>1629</v>
      </c>
      <c r="N3584">
        <v>58.39</v>
      </c>
      <c r="O3584" s="49">
        <v>45077</v>
      </c>
      <c r="P3584" s="50">
        <v>497.88000000000005</v>
      </c>
    </row>
    <row r="3585" spans="4:16" x14ac:dyDescent="0.2">
      <c r="D3585">
        <v>100002128</v>
      </c>
      <c r="E3585" s="49">
        <v>45091</v>
      </c>
      <c r="F3585" t="s">
        <v>3870</v>
      </c>
      <c r="G3585" t="s">
        <v>1666</v>
      </c>
      <c r="H3585">
        <v>3</v>
      </c>
      <c r="I3585">
        <v>32.799999999999997</v>
      </c>
      <c r="J3585" s="50">
        <v>98.399999999999991</v>
      </c>
      <c r="K3585" t="s">
        <v>1632</v>
      </c>
      <c r="M3585" t="s">
        <v>1627</v>
      </c>
      <c r="N3585">
        <v>17.309999999999999</v>
      </c>
      <c r="O3585" s="49">
        <v>45093</v>
      </c>
      <c r="P3585" s="50">
        <v>44.279999999999994</v>
      </c>
    </row>
    <row r="3586" spans="4:16" x14ac:dyDescent="0.2">
      <c r="D3586">
        <v>100002128</v>
      </c>
      <c r="E3586" s="49">
        <v>45321</v>
      </c>
      <c r="F3586" t="s">
        <v>3870</v>
      </c>
      <c r="G3586" t="s">
        <v>1675</v>
      </c>
      <c r="H3586">
        <v>6</v>
      </c>
      <c r="I3586">
        <v>39.369999999999997</v>
      </c>
      <c r="J3586" s="50">
        <v>236.22</v>
      </c>
      <c r="K3586" t="s">
        <v>1632</v>
      </c>
      <c r="M3586" t="s">
        <v>1624</v>
      </c>
      <c r="N3586">
        <v>20.78</v>
      </c>
      <c r="O3586" s="49">
        <v>45323</v>
      </c>
      <c r="P3586" s="50">
        <v>106.29900000000001</v>
      </c>
    </row>
    <row r="3587" spans="4:16" x14ac:dyDescent="0.2">
      <c r="D3587">
        <v>100002128</v>
      </c>
      <c r="E3587" s="49">
        <v>44543</v>
      </c>
      <c r="F3587" t="s">
        <v>3870</v>
      </c>
      <c r="G3587" t="s">
        <v>2707</v>
      </c>
      <c r="H3587">
        <v>10</v>
      </c>
      <c r="I3587">
        <v>81.760000000000005</v>
      </c>
      <c r="J3587" s="50">
        <v>817.6</v>
      </c>
      <c r="K3587" t="s">
        <v>1632</v>
      </c>
      <c r="M3587" t="s">
        <v>1629</v>
      </c>
      <c r="N3587">
        <v>43.15</v>
      </c>
      <c r="O3587" s="49">
        <v>44546</v>
      </c>
      <c r="P3587" s="50">
        <v>367.92</v>
      </c>
    </row>
    <row r="3588" spans="4:16" x14ac:dyDescent="0.2">
      <c r="D3588">
        <v>100002129</v>
      </c>
      <c r="E3588" s="49">
        <v>45040</v>
      </c>
      <c r="F3588" t="s">
        <v>2391</v>
      </c>
      <c r="G3588" t="s">
        <v>1812</v>
      </c>
      <c r="H3588">
        <v>7</v>
      </c>
      <c r="I3588">
        <v>99.67</v>
      </c>
      <c r="J3588" s="50">
        <v>697.69</v>
      </c>
      <c r="K3588" t="s">
        <v>1618</v>
      </c>
      <c r="L3588" t="s">
        <v>2995</v>
      </c>
      <c r="M3588" t="s">
        <v>1627</v>
      </c>
      <c r="N3588">
        <v>52.6</v>
      </c>
      <c r="O3588" s="49">
        <v>45042</v>
      </c>
      <c r="P3588" s="50">
        <v>313.96050000000002</v>
      </c>
    </row>
    <row r="3589" spans="4:16" x14ac:dyDescent="0.2">
      <c r="D3589">
        <v>100002129</v>
      </c>
      <c r="E3589" s="49">
        <v>45457</v>
      </c>
      <c r="F3589" t="s">
        <v>2391</v>
      </c>
      <c r="G3589" t="s">
        <v>2346</v>
      </c>
      <c r="H3589">
        <v>1</v>
      </c>
      <c r="I3589">
        <v>68.25</v>
      </c>
      <c r="J3589" s="50">
        <v>68.25</v>
      </c>
      <c r="K3589" t="s">
        <v>1618</v>
      </c>
      <c r="L3589" t="s">
        <v>2995</v>
      </c>
      <c r="M3589" t="s">
        <v>1619</v>
      </c>
      <c r="N3589">
        <v>36.020000000000003</v>
      </c>
      <c r="O3589" s="49">
        <v>45462</v>
      </c>
      <c r="P3589" s="50">
        <v>30.712500000000002</v>
      </c>
    </row>
    <row r="3590" spans="4:16" x14ac:dyDescent="0.2">
      <c r="D3590">
        <v>100002130</v>
      </c>
      <c r="E3590" s="49">
        <v>44312</v>
      </c>
      <c r="F3590" t="s">
        <v>3871</v>
      </c>
      <c r="G3590" t="s">
        <v>1733</v>
      </c>
      <c r="H3590">
        <v>10</v>
      </c>
      <c r="I3590">
        <v>97.47</v>
      </c>
      <c r="J3590" s="50">
        <v>974.7</v>
      </c>
      <c r="K3590" t="s">
        <v>1618</v>
      </c>
      <c r="M3590" t="s">
        <v>1621</v>
      </c>
      <c r="N3590">
        <v>51.44</v>
      </c>
      <c r="O3590" s="49">
        <v>44315</v>
      </c>
      <c r="P3590" s="50">
        <v>438.61500000000001</v>
      </c>
    </row>
    <row r="3591" spans="4:16" x14ac:dyDescent="0.2">
      <c r="D3591">
        <v>100002131</v>
      </c>
      <c r="E3591" s="49">
        <v>45060</v>
      </c>
      <c r="F3591" t="s">
        <v>3872</v>
      </c>
      <c r="G3591" t="s">
        <v>1641</v>
      </c>
      <c r="H3591">
        <v>6</v>
      </c>
      <c r="I3591">
        <v>80.510000000000005</v>
      </c>
      <c r="J3591" s="50">
        <v>483.06000000000012</v>
      </c>
      <c r="K3591" t="s">
        <v>1618</v>
      </c>
      <c r="M3591" t="s">
        <v>1627</v>
      </c>
      <c r="N3591">
        <v>42.49</v>
      </c>
      <c r="O3591" s="49">
        <v>45064</v>
      </c>
      <c r="P3591" s="50">
        <v>217.37700000000007</v>
      </c>
    </row>
    <row r="3592" spans="4:16" x14ac:dyDescent="0.2">
      <c r="D3592">
        <v>100002131</v>
      </c>
      <c r="E3592" s="49">
        <v>44775</v>
      </c>
      <c r="F3592" t="s">
        <v>3872</v>
      </c>
      <c r="G3592" t="s">
        <v>2204</v>
      </c>
      <c r="H3592">
        <v>9</v>
      </c>
      <c r="I3592">
        <v>106.53</v>
      </c>
      <c r="J3592" s="50">
        <v>958.77</v>
      </c>
      <c r="K3592" t="s">
        <v>1618</v>
      </c>
      <c r="M3592" t="s">
        <v>1621</v>
      </c>
      <c r="N3592">
        <v>56.22</v>
      </c>
      <c r="O3592" s="49">
        <v>44776</v>
      </c>
      <c r="P3592" s="50">
        <v>431.44650000000001</v>
      </c>
    </row>
    <row r="3593" spans="4:16" x14ac:dyDescent="0.2">
      <c r="D3593">
        <v>100002131</v>
      </c>
      <c r="E3593" s="49">
        <v>44586</v>
      </c>
      <c r="F3593" t="s">
        <v>3872</v>
      </c>
      <c r="G3593" t="s">
        <v>2418</v>
      </c>
      <c r="H3593">
        <v>4</v>
      </c>
      <c r="I3593">
        <v>68.75</v>
      </c>
      <c r="J3593" s="50">
        <v>275</v>
      </c>
      <c r="K3593" t="s">
        <v>1618</v>
      </c>
      <c r="M3593" t="s">
        <v>1624</v>
      </c>
      <c r="N3593">
        <v>36.28</v>
      </c>
      <c r="O3593" s="49">
        <v>44588</v>
      </c>
      <c r="P3593" s="50">
        <v>123.75</v>
      </c>
    </row>
    <row r="3594" spans="4:16" x14ac:dyDescent="0.2">
      <c r="D3594">
        <v>100002131</v>
      </c>
      <c r="E3594" s="49">
        <v>45463</v>
      </c>
      <c r="F3594" t="s">
        <v>3872</v>
      </c>
      <c r="G3594" t="s">
        <v>2068</v>
      </c>
      <c r="H3594">
        <v>7</v>
      </c>
      <c r="I3594">
        <v>96.67</v>
      </c>
      <c r="J3594" s="50">
        <v>676.69</v>
      </c>
      <c r="K3594" t="s">
        <v>1618</v>
      </c>
      <c r="M3594" t="s">
        <v>1619</v>
      </c>
      <c r="N3594">
        <v>51.02</v>
      </c>
      <c r="O3594" s="49">
        <v>45468</v>
      </c>
      <c r="P3594" s="50">
        <v>304.51050000000004</v>
      </c>
    </row>
    <row r="3595" spans="4:16" x14ac:dyDescent="0.2">
      <c r="D3595">
        <v>100002131</v>
      </c>
      <c r="E3595" s="49">
        <v>44974</v>
      </c>
      <c r="F3595" t="s">
        <v>3872</v>
      </c>
      <c r="G3595" t="s">
        <v>1955</v>
      </c>
      <c r="H3595">
        <v>7</v>
      </c>
      <c r="I3595">
        <v>73.510000000000005</v>
      </c>
      <c r="J3595" s="50">
        <v>514.57000000000005</v>
      </c>
      <c r="K3595" t="s">
        <v>1618</v>
      </c>
      <c r="M3595" t="s">
        <v>1629</v>
      </c>
      <c r="N3595">
        <v>38.799999999999997</v>
      </c>
      <c r="O3595" s="49">
        <v>44979</v>
      </c>
      <c r="P3595" s="50">
        <v>231.55650000000003</v>
      </c>
    </row>
    <row r="3596" spans="4:16" x14ac:dyDescent="0.2">
      <c r="D3596">
        <v>100002133</v>
      </c>
      <c r="E3596" s="49">
        <v>44251</v>
      </c>
      <c r="F3596" t="s">
        <v>3873</v>
      </c>
      <c r="G3596" t="s">
        <v>2074</v>
      </c>
      <c r="H3596">
        <v>5</v>
      </c>
      <c r="I3596">
        <v>17.100000000000001</v>
      </c>
      <c r="J3596" s="50">
        <v>85.5</v>
      </c>
      <c r="K3596" t="s">
        <v>1618</v>
      </c>
      <c r="M3596" t="s">
        <v>1624</v>
      </c>
      <c r="N3596">
        <v>9.02</v>
      </c>
      <c r="O3596" s="49">
        <v>44256</v>
      </c>
      <c r="P3596" s="50">
        <v>38.475000000000001</v>
      </c>
    </row>
    <row r="3597" spans="4:16" x14ac:dyDescent="0.2">
      <c r="D3597">
        <v>100002135</v>
      </c>
      <c r="E3597" s="49">
        <v>45357</v>
      </c>
      <c r="F3597" t="s">
        <v>3874</v>
      </c>
      <c r="G3597" t="s">
        <v>1794</v>
      </c>
      <c r="H3597">
        <v>5</v>
      </c>
      <c r="I3597">
        <v>77.95</v>
      </c>
      <c r="J3597" s="50">
        <v>389.75</v>
      </c>
      <c r="K3597" t="s">
        <v>1618</v>
      </c>
      <c r="M3597" t="s">
        <v>1627</v>
      </c>
      <c r="N3597">
        <v>41.14</v>
      </c>
      <c r="O3597" s="49">
        <v>45358</v>
      </c>
      <c r="P3597" s="50">
        <v>175.38750000000002</v>
      </c>
    </row>
    <row r="3598" spans="4:16" x14ac:dyDescent="0.2">
      <c r="D3598">
        <v>100002136</v>
      </c>
      <c r="E3598" s="49">
        <v>44352</v>
      </c>
      <c r="F3598" t="s">
        <v>3875</v>
      </c>
      <c r="G3598" t="s">
        <v>1967</v>
      </c>
      <c r="H3598">
        <v>1</v>
      </c>
      <c r="I3598">
        <v>92.87</v>
      </c>
      <c r="J3598" s="50">
        <v>92.87</v>
      </c>
      <c r="K3598" t="s">
        <v>1618</v>
      </c>
      <c r="M3598" t="s">
        <v>1619</v>
      </c>
      <c r="N3598">
        <v>49.01</v>
      </c>
      <c r="O3598" s="49">
        <v>44355</v>
      </c>
      <c r="P3598" s="50">
        <v>41.791500000000006</v>
      </c>
    </row>
    <row r="3599" spans="4:16" x14ac:dyDescent="0.2">
      <c r="D3599">
        <v>100002138</v>
      </c>
      <c r="E3599" s="49">
        <v>45515</v>
      </c>
      <c r="F3599" t="s">
        <v>3876</v>
      </c>
      <c r="G3599" t="s">
        <v>1955</v>
      </c>
      <c r="H3599">
        <v>3</v>
      </c>
      <c r="I3599">
        <v>104.15</v>
      </c>
      <c r="J3599" s="50">
        <v>312.45</v>
      </c>
      <c r="K3599" t="s">
        <v>1632</v>
      </c>
      <c r="L3599" t="s">
        <v>3877</v>
      </c>
      <c r="M3599" t="s">
        <v>1624</v>
      </c>
      <c r="N3599">
        <v>54.97</v>
      </c>
      <c r="O3599" s="49">
        <v>45516</v>
      </c>
      <c r="P3599" s="50">
        <v>140.60249999999999</v>
      </c>
    </row>
    <row r="3600" spans="4:16" x14ac:dyDescent="0.2">
      <c r="D3600">
        <v>100002139</v>
      </c>
      <c r="E3600" s="49">
        <v>44711</v>
      </c>
      <c r="F3600" t="s">
        <v>3878</v>
      </c>
      <c r="G3600" t="s">
        <v>1707</v>
      </c>
      <c r="H3600">
        <v>4</v>
      </c>
      <c r="I3600">
        <v>112.34</v>
      </c>
      <c r="J3600" s="50">
        <v>449.36</v>
      </c>
      <c r="K3600" t="s">
        <v>1632</v>
      </c>
      <c r="M3600" t="s">
        <v>1624</v>
      </c>
      <c r="N3600">
        <v>59.29</v>
      </c>
      <c r="O3600" s="49">
        <v>44714</v>
      </c>
      <c r="P3600" s="50">
        <v>202.21200000000002</v>
      </c>
    </row>
    <row r="3601" spans="4:16" x14ac:dyDescent="0.2">
      <c r="D3601">
        <v>100002139</v>
      </c>
      <c r="E3601" s="49">
        <v>44383</v>
      </c>
      <c r="F3601" t="s">
        <v>3878</v>
      </c>
      <c r="G3601" t="s">
        <v>2079</v>
      </c>
      <c r="H3601">
        <v>4</v>
      </c>
      <c r="I3601">
        <v>25.2</v>
      </c>
      <c r="J3601" s="50">
        <v>100.8</v>
      </c>
      <c r="K3601" t="s">
        <v>1632</v>
      </c>
      <c r="M3601" t="s">
        <v>1629</v>
      </c>
      <c r="N3601">
        <v>13.3</v>
      </c>
      <c r="O3601" s="49">
        <v>44387</v>
      </c>
      <c r="P3601" s="50">
        <v>45.36</v>
      </c>
    </row>
    <row r="3602" spans="4:16" x14ac:dyDescent="0.2">
      <c r="D3602">
        <v>100002140</v>
      </c>
      <c r="E3602" s="49">
        <v>44520</v>
      </c>
      <c r="F3602" t="s">
        <v>3879</v>
      </c>
      <c r="G3602" t="s">
        <v>1802</v>
      </c>
      <c r="H3602">
        <v>7</v>
      </c>
      <c r="I3602">
        <v>25.62</v>
      </c>
      <c r="J3602" s="50">
        <v>179.34</v>
      </c>
      <c r="K3602" t="s">
        <v>1618</v>
      </c>
      <c r="M3602" t="s">
        <v>1629</v>
      </c>
      <c r="N3602">
        <v>13.52</v>
      </c>
      <c r="O3602" s="49">
        <v>44523</v>
      </c>
      <c r="P3602" s="50">
        <v>80.703000000000003</v>
      </c>
    </row>
    <row r="3603" spans="4:16" x14ac:dyDescent="0.2">
      <c r="D3603">
        <v>100002141</v>
      </c>
      <c r="E3603" s="49">
        <v>45226</v>
      </c>
      <c r="F3603" t="s">
        <v>3880</v>
      </c>
      <c r="G3603" t="s">
        <v>1781</v>
      </c>
      <c r="H3603">
        <v>5</v>
      </c>
      <c r="I3603">
        <v>102.78</v>
      </c>
      <c r="J3603" s="50">
        <v>513.9</v>
      </c>
      <c r="K3603" t="s">
        <v>1632</v>
      </c>
      <c r="M3603" t="s">
        <v>1624</v>
      </c>
      <c r="N3603">
        <v>54.24</v>
      </c>
      <c r="O3603" s="49">
        <v>45227</v>
      </c>
      <c r="P3603" s="50">
        <v>231.255</v>
      </c>
    </row>
    <row r="3604" spans="4:16" x14ac:dyDescent="0.2">
      <c r="D3604">
        <v>100002141</v>
      </c>
      <c r="E3604" s="49">
        <v>44268</v>
      </c>
      <c r="F3604" t="s">
        <v>3880</v>
      </c>
      <c r="G3604" t="s">
        <v>1751</v>
      </c>
      <c r="H3604">
        <v>7</v>
      </c>
      <c r="I3604">
        <v>25.83</v>
      </c>
      <c r="J3604" s="50">
        <v>180.81</v>
      </c>
      <c r="K3604" t="s">
        <v>1632</v>
      </c>
      <c r="M3604" t="s">
        <v>1627</v>
      </c>
      <c r="N3604">
        <v>13.63</v>
      </c>
      <c r="O3604" s="49">
        <v>44271</v>
      </c>
      <c r="P3604" s="50">
        <v>81.364500000000007</v>
      </c>
    </row>
    <row r="3605" spans="4:16" x14ac:dyDescent="0.2">
      <c r="D3605">
        <v>100002142</v>
      </c>
      <c r="E3605" s="49">
        <v>44737</v>
      </c>
      <c r="F3605" t="s">
        <v>2892</v>
      </c>
      <c r="G3605" t="s">
        <v>2416</v>
      </c>
      <c r="H3605">
        <v>7</v>
      </c>
      <c r="I3605">
        <v>18.260000000000002</v>
      </c>
      <c r="J3605" s="50">
        <v>127.82</v>
      </c>
      <c r="K3605" t="s">
        <v>1618</v>
      </c>
      <c r="M3605" t="s">
        <v>1619</v>
      </c>
      <c r="N3605">
        <v>9.64</v>
      </c>
      <c r="O3605" s="49">
        <v>44741</v>
      </c>
      <c r="P3605" s="50">
        <v>57.518999999999998</v>
      </c>
    </row>
    <row r="3606" spans="4:16" x14ac:dyDescent="0.2">
      <c r="D3606">
        <v>100002145</v>
      </c>
      <c r="E3606" s="49">
        <v>44930</v>
      </c>
      <c r="F3606" t="s">
        <v>3881</v>
      </c>
      <c r="G3606" t="s">
        <v>1690</v>
      </c>
      <c r="H3606">
        <v>7</v>
      </c>
      <c r="I3606">
        <v>45.26</v>
      </c>
      <c r="J3606" s="50">
        <v>316.82</v>
      </c>
      <c r="K3606" t="s">
        <v>1618</v>
      </c>
      <c r="M3606" t="s">
        <v>1624</v>
      </c>
      <c r="N3606">
        <v>23.89</v>
      </c>
      <c r="O3606" s="49">
        <v>44933</v>
      </c>
      <c r="P3606" s="50">
        <v>142.56899999999999</v>
      </c>
    </row>
    <row r="3607" spans="4:16" x14ac:dyDescent="0.2">
      <c r="D3607">
        <v>100002145</v>
      </c>
      <c r="E3607" s="49">
        <v>45385</v>
      </c>
      <c r="F3607" t="s">
        <v>3881</v>
      </c>
      <c r="G3607" t="s">
        <v>1719</v>
      </c>
      <c r="H3607">
        <v>10</v>
      </c>
      <c r="I3607">
        <v>50.66</v>
      </c>
      <c r="J3607" s="50">
        <v>506.6</v>
      </c>
      <c r="K3607" t="s">
        <v>1618</v>
      </c>
      <c r="M3607" t="s">
        <v>1621</v>
      </c>
      <c r="N3607">
        <v>26.74</v>
      </c>
      <c r="O3607" s="49">
        <v>45386</v>
      </c>
      <c r="P3607" s="50">
        <v>227.97000000000003</v>
      </c>
    </row>
    <row r="3608" spans="4:16" x14ac:dyDescent="0.2">
      <c r="D3608">
        <v>100002148</v>
      </c>
      <c r="E3608" s="49">
        <v>45310</v>
      </c>
      <c r="F3608" t="s">
        <v>3882</v>
      </c>
      <c r="G3608" t="s">
        <v>1963</v>
      </c>
      <c r="H3608">
        <v>9</v>
      </c>
      <c r="I3608">
        <v>62.14</v>
      </c>
      <c r="J3608" s="50">
        <v>559.26</v>
      </c>
      <c r="K3608" t="s">
        <v>1618</v>
      </c>
      <c r="L3608" t="s">
        <v>3883</v>
      </c>
      <c r="M3608" t="s">
        <v>1624</v>
      </c>
      <c r="N3608">
        <v>32.799999999999997</v>
      </c>
      <c r="O3608" s="49">
        <v>45314</v>
      </c>
      <c r="P3608" s="50">
        <v>251.667</v>
      </c>
    </row>
    <row r="3609" spans="4:16" x14ac:dyDescent="0.2">
      <c r="D3609">
        <v>100002151</v>
      </c>
      <c r="E3609" s="49">
        <v>45454</v>
      </c>
      <c r="F3609" t="s">
        <v>3884</v>
      </c>
      <c r="G3609" t="s">
        <v>1893</v>
      </c>
      <c r="H3609">
        <v>4</v>
      </c>
      <c r="I3609">
        <v>78.45</v>
      </c>
      <c r="J3609" s="50">
        <v>313.8</v>
      </c>
      <c r="K3609" t="s">
        <v>1632</v>
      </c>
      <c r="M3609" t="s">
        <v>1629</v>
      </c>
      <c r="N3609">
        <v>41.4</v>
      </c>
      <c r="O3609" s="49">
        <v>45455</v>
      </c>
      <c r="P3609" s="50">
        <v>141.21</v>
      </c>
    </row>
    <row r="3610" spans="4:16" x14ac:dyDescent="0.2">
      <c r="D3610">
        <v>100002152</v>
      </c>
      <c r="E3610" s="49">
        <v>45236</v>
      </c>
      <c r="F3610" t="s">
        <v>3885</v>
      </c>
      <c r="G3610" t="s">
        <v>1890</v>
      </c>
      <c r="H3610">
        <v>10</v>
      </c>
      <c r="I3610">
        <v>90.3</v>
      </c>
      <c r="J3610" s="50">
        <v>903</v>
      </c>
      <c r="K3610" t="s">
        <v>1632</v>
      </c>
      <c r="M3610" t="s">
        <v>1619</v>
      </c>
      <c r="N3610">
        <v>47.66</v>
      </c>
      <c r="O3610" s="49">
        <v>45238</v>
      </c>
      <c r="P3610" s="50">
        <v>406.35</v>
      </c>
    </row>
    <row r="3611" spans="4:16" x14ac:dyDescent="0.2">
      <c r="D3611">
        <v>100002153</v>
      </c>
      <c r="E3611" s="49">
        <v>44788</v>
      </c>
      <c r="F3611" t="s">
        <v>3886</v>
      </c>
      <c r="G3611" t="s">
        <v>2427</v>
      </c>
      <c r="H3611">
        <v>9</v>
      </c>
      <c r="I3611">
        <v>111.41</v>
      </c>
      <c r="J3611" s="50">
        <v>1002.69</v>
      </c>
      <c r="K3611" t="s">
        <v>1618</v>
      </c>
      <c r="M3611" t="s">
        <v>1629</v>
      </c>
      <c r="N3611">
        <v>58.8</v>
      </c>
      <c r="O3611" s="49">
        <v>44791</v>
      </c>
      <c r="P3611" s="50">
        <v>451.21050000000002</v>
      </c>
    </row>
    <row r="3612" spans="4:16" x14ac:dyDescent="0.2">
      <c r="D3612">
        <v>100002153</v>
      </c>
      <c r="E3612" s="49">
        <v>44237</v>
      </c>
      <c r="F3612" t="s">
        <v>3886</v>
      </c>
      <c r="G3612" t="s">
        <v>2064</v>
      </c>
      <c r="H3612">
        <v>4</v>
      </c>
      <c r="I3612">
        <v>39.15</v>
      </c>
      <c r="J3612" s="50">
        <v>156.6</v>
      </c>
      <c r="K3612" t="s">
        <v>1618</v>
      </c>
      <c r="M3612" t="s">
        <v>1621</v>
      </c>
      <c r="N3612">
        <v>20.66</v>
      </c>
      <c r="O3612" s="49">
        <v>44241</v>
      </c>
      <c r="P3612" s="50">
        <v>70.47</v>
      </c>
    </row>
    <row r="3613" spans="4:16" x14ac:dyDescent="0.2">
      <c r="D3613">
        <v>100002153</v>
      </c>
      <c r="E3613" s="49">
        <v>44252</v>
      </c>
      <c r="F3613" t="s">
        <v>3886</v>
      </c>
      <c r="G3613" t="s">
        <v>1681</v>
      </c>
      <c r="H3613">
        <v>10</v>
      </c>
      <c r="I3613">
        <v>77.989999999999995</v>
      </c>
      <c r="J3613" s="50">
        <v>779.9</v>
      </c>
      <c r="K3613" t="s">
        <v>1618</v>
      </c>
      <c r="M3613" t="s">
        <v>1629</v>
      </c>
      <c r="N3613">
        <v>41.16</v>
      </c>
      <c r="O3613" s="49">
        <v>44256</v>
      </c>
      <c r="P3613" s="50">
        <v>350.95499999999998</v>
      </c>
    </row>
    <row r="3614" spans="4:16" x14ac:dyDescent="0.2">
      <c r="D3614">
        <v>100002154</v>
      </c>
      <c r="E3614" s="49">
        <v>44526</v>
      </c>
      <c r="F3614" t="s">
        <v>3887</v>
      </c>
      <c r="G3614" t="s">
        <v>2301</v>
      </c>
      <c r="H3614">
        <v>4</v>
      </c>
      <c r="I3614">
        <v>119.56</v>
      </c>
      <c r="J3614" s="50">
        <v>478.24</v>
      </c>
      <c r="K3614" t="s">
        <v>1618</v>
      </c>
      <c r="M3614" t="s">
        <v>1624</v>
      </c>
      <c r="N3614">
        <v>63.1</v>
      </c>
      <c r="O3614" s="49">
        <v>44531</v>
      </c>
      <c r="P3614" s="50">
        <v>215.208</v>
      </c>
    </row>
    <row r="3615" spans="4:16" x14ac:dyDescent="0.2">
      <c r="D3615">
        <v>100002156</v>
      </c>
      <c r="E3615" s="49">
        <v>45508</v>
      </c>
      <c r="F3615" t="s">
        <v>3888</v>
      </c>
      <c r="G3615" t="s">
        <v>1664</v>
      </c>
      <c r="H3615">
        <v>9</v>
      </c>
      <c r="I3615">
        <v>72.09</v>
      </c>
      <c r="J3615" s="50">
        <v>648.81000000000006</v>
      </c>
      <c r="K3615" t="s">
        <v>1618</v>
      </c>
      <c r="M3615" t="s">
        <v>1629</v>
      </c>
      <c r="N3615">
        <v>38.049999999999997</v>
      </c>
      <c r="O3615" s="49">
        <v>45513</v>
      </c>
      <c r="P3615" s="50">
        <v>291.96450000000004</v>
      </c>
    </row>
    <row r="3616" spans="4:16" x14ac:dyDescent="0.2">
      <c r="D3616">
        <v>100002157</v>
      </c>
      <c r="E3616" s="49">
        <v>44302</v>
      </c>
      <c r="F3616" t="s">
        <v>3889</v>
      </c>
      <c r="G3616" t="s">
        <v>2003</v>
      </c>
      <c r="H3616">
        <v>9</v>
      </c>
      <c r="I3616">
        <v>60.49</v>
      </c>
      <c r="J3616" s="50">
        <v>544.41</v>
      </c>
      <c r="K3616" t="s">
        <v>1618</v>
      </c>
      <c r="L3616" t="s">
        <v>3890</v>
      </c>
      <c r="M3616" t="s">
        <v>1624</v>
      </c>
      <c r="N3616">
        <v>31.93</v>
      </c>
      <c r="O3616" s="49">
        <v>44303</v>
      </c>
      <c r="P3616" s="50">
        <v>244.9845</v>
      </c>
    </row>
    <row r="3617" spans="4:16" x14ac:dyDescent="0.2">
      <c r="D3617">
        <v>100002160</v>
      </c>
      <c r="E3617" s="49">
        <v>44529</v>
      </c>
      <c r="F3617" t="s">
        <v>3891</v>
      </c>
      <c r="G3617" t="s">
        <v>2028</v>
      </c>
      <c r="H3617">
        <v>8</v>
      </c>
      <c r="I3617">
        <v>15.68</v>
      </c>
      <c r="J3617" s="50">
        <v>125.44</v>
      </c>
      <c r="K3617" t="s">
        <v>1618</v>
      </c>
      <c r="L3617" t="s">
        <v>3705</v>
      </c>
      <c r="M3617" t="s">
        <v>1624</v>
      </c>
      <c r="N3617">
        <v>8.2799999999999994</v>
      </c>
      <c r="O3617" s="49">
        <v>44530</v>
      </c>
      <c r="P3617" s="50">
        <v>56.448</v>
      </c>
    </row>
    <row r="3618" spans="4:16" x14ac:dyDescent="0.2">
      <c r="D3618">
        <v>100002161</v>
      </c>
      <c r="E3618" s="49">
        <v>44618</v>
      </c>
      <c r="F3618" t="s">
        <v>3892</v>
      </c>
      <c r="G3618" t="s">
        <v>1658</v>
      </c>
      <c r="H3618">
        <v>8</v>
      </c>
      <c r="I3618">
        <v>85.02</v>
      </c>
      <c r="J3618" s="50">
        <v>680.16</v>
      </c>
      <c r="K3618" t="s">
        <v>1618</v>
      </c>
      <c r="M3618" t="s">
        <v>1624</v>
      </c>
      <c r="N3618">
        <v>44.87</v>
      </c>
      <c r="O3618" s="49">
        <v>44623</v>
      </c>
      <c r="P3618" s="50">
        <v>306.072</v>
      </c>
    </row>
    <row r="3619" spans="4:16" x14ac:dyDescent="0.2">
      <c r="D3619">
        <v>100002161</v>
      </c>
      <c r="E3619" s="49">
        <v>44848</v>
      </c>
      <c r="F3619" t="s">
        <v>3892</v>
      </c>
      <c r="G3619" t="s">
        <v>1679</v>
      </c>
      <c r="H3619">
        <v>5</v>
      </c>
      <c r="I3619">
        <v>115.48</v>
      </c>
      <c r="J3619" s="50">
        <v>577.4</v>
      </c>
      <c r="K3619" t="s">
        <v>1618</v>
      </c>
      <c r="M3619" t="s">
        <v>1627</v>
      </c>
      <c r="N3619">
        <v>60.95</v>
      </c>
      <c r="O3619" s="49">
        <v>44853</v>
      </c>
      <c r="P3619" s="50">
        <v>259.83</v>
      </c>
    </row>
    <row r="3620" spans="4:16" x14ac:dyDescent="0.2">
      <c r="D3620">
        <v>100002163</v>
      </c>
      <c r="E3620" s="49">
        <v>45636</v>
      </c>
      <c r="F3620" t="s">
        <v>3893</v>
      </c>
      <c r="G3620" t="s">
        <v>2331</v>
      </c>
      <c r="H3620">
        <v>1</v>
      </c>
      <c r="I3620">
        <v>56.2</v>
      </c>
      <c r="J3620" s="50">
        <v>56.2</v>
      </c>
      <c r="K3620" t="s">
        <v>1618</v>
      </c>
      <c r="L3620" t="s">
        <v>3130</v>
      </c>
      <c r="M3620" t="s">
        <v>1621</v>
      </c>
      <c r="N3620">
        <v>29.66</v>
      </c>
      <c r="O3620" s="49">
        <v>45641</v>
      </c>
      <c r="P3620" s="50">
        <v>25.290000000000003</v>
      </c>
    </row>
    <row r="3621" spans="4:16" x14ac:dyDescent="0.2">
      <c r="D3621">
        <v>100002163</v>
      </c>
      <c r="E3621" s="49">
        <v>45345</v>
      </c>
      <c r="F3621" t="s">
        <v>3893</v>
      </c>
      <c r="G3621" t="s">
        <v>2230</v>
      </c>
      <c r="H3621">
        <v>1</v>
      </c>
      <c r="I3621">
        <v>61.19</v>
      </c>
      <c r="J3621" s="50">
        <v>61.19</v>
      </c>
      <c r="K3621" t="s">
        <v>1618</v>
      </c>
      <c r="L3621" t="s">
        <v>3130</v>
      </c>
      <c r="M3621" t="s">
        <v>1627</v>
      </c>
      <c r="N3621">
        <v>32.29</v>
      </c>
      <c r="O3621" s="49">
        <v>45349</v>
      </c>
      <c r="P3621" s="50">
        <v>27.535499999999999</v>
      </c>
    </row>
    <row r="3622" spans="4:16" x14ac:dyDescent="0.2">
      <c r="D3622">
        <v>100002163</v>
      </c>
      <c r="E3622" s="49">
        <v>44781</v>
      </c>
      <c r="F3622" t="s">
        <v>3893</v>
      </c>
      <c r="G3622" t="s">
        <v>1958</v>
      </c>
      <c r="H3622">
        <v>2</v>
      </c>
      <c r="I3622">
        <v>98.6</v>
      </c>
      <c r="J3622" s="50">
        <v>197.2</v>
      </c>
      <c r="K3622" t="s">
        <v>1618</v>
      </c>
      <c r="L3622" t="s">
        <v>3130</v>
      </c>
      <c r="M3622" t="s">
        <v>1629</v>
      </c>
      <c r="N3622">
        <v>52.04</v>
      </c>
      <c r="O3622" s="49">
        <v>44785</v>
      </c>
      <c r="P3622" s="50">
        <v>88.74</v>
      </c>
    </row>
    <row r="3623" spans="4:16" x14ac:dyDescent="0.2">
      <c r="D3623">
        <v>100002166</v>
      </c>
      <c r="E3623" s="49">
        <v>45127</v>
      </c>
      <c r="F3623" t="s">
        <v>3894</v>
      </c>
      <c r="G3623" t="s">
        <v>1664</v>
      </c>
      <c r="H3623">
        <v>7</v>
      </c>
      <c r="I3623">
        <v>46.4</v>
      </c>
      <c r="J3623" s="50">
        <v>324.8</v>
      </c>
      <c r="K3623" t="s">
        <v>1632</v>
      </c>
      <c r="M3623" t="s">
        <v>1629</v>
      </c>
      <c r="N3623">
        <v>24.49</v>
      </c>
      <c r="O3623" s="49">
        <v>45132</v>
      </c>
      <c r="P3623" s="50">
        <v>146.16</v>
      </c>
    </row>
    <row r="3624" spans="4:16" x14ac:dyDescent="0.2">
      <c r="D3624">
        <v>100002166</v>
      </c>
      <c r="E3624" s="49">
        <v>44855</v>
      </c>
      <c r="F3624" t="s">
        <v>3894</v>
      </c>
      <c r="G3624" t="s">
        <v>1695</v>
      </c>
      <c r="H3624">
        <v>2</v>
      </c>
      <c r="I3624">
        <v>51.77</v>
      </c>
      <c r="J3624" s="50">
        <v>103.54</v>
      </c>
      <c r="K3624" t="s">
        <v>1632</v>
      </c>
      <c r="M3624" t="s">
        <v>1619</v>
      </c>
      <c r="N3624">
        <v>27.32</v>
      </c>
      <c r="O3624" s="49">
        <v>44857</v>
      </c>
      <c r="P3624" s="50">
        <v>46.593000000000004</v>
      </c>
    </row>
    <row r="3625" spans="4:16" x14ac:dyDescent="0.2">
      <c r="D3625">
        <v>100002168</v>
      </c>
      <c r="E3625" s="49">
        <v>44955</v>
      </c>
      <c r="F3625" t="s">
        <v>3895</v>
      </c>
      <c r="G3625" t="s">
        <v>2150</v>
      </c>
      <c r="H3625">
        <v>3</v>
      </c>
      <c r="I3625">
        <v>86.63</v>
      </c>
      <c r="J3625" s="50">
        <v>259.89</v>
      </c>
      <c r="K3625" t="s">
        <v>1618</v>
      </c>
      <c r="M3625" t="s">
        <v>1627</v>
      </c>
      <c r="N3625">
        <v>45.72</v>
      </c>
      <c r="O3625" s="49">
        <v>44958</v>
      </c>
      <c r="P3625" s="50">
        <v>116.95049999999999</v>
      </c>
    </row>
    <row r="3626" spans="4:16" x14ac:dyDescent="0.2">
      <c r="D3626">
        <v>100002169</v>
      </c>
      <c r="E3626" s="49">
        <v>44671</v>
      </c>
      <c r="F3626" t="s">
        <v>3896</v>
      </c>
      <c r="G3626" t="s">
        <v>1975</v>
      </c>
      <c r="H3626">
        <v>5</v>
      </c>
      <c r="I3626">
        <v>87.28</v>
      </c>
      <c r="J3626" s="50">
        <v>436.4</v>
      </c>
      <c r="K3626" t="s">
        <v>1618</v>
      </c>
      <c r="M3626" t="s">
        <v>1624</v>
      </c>
      <c r="N3626">
        <v>46.06</v>
      </c>
      <c r="O3626" s="49">
        <v>44672</v>
      </c>
      <c r="P3626" s="50">
        <v>196.38</v>
      </c>
    </row>
    <row r="3627" spans="4:16" x14ac:dyDescent="0.2">
      <c r="D3627">
        <v>100002169</v>
      </c>
      <c r="E3627" s="49">
        <v>45187</v>
      </c>
      <c r="F3627" t="s">
        <v>3896</v>
      </c>
      <c r="G3627" t="s">
        <v>2707</v>
      </c>
      <c r="H3627">
        <v>7</v>
      </c>
      <c r="I3627">
        <v>18.170000000000002</v>
      </c>
      <c r="J3627" s="50">
        <v>127.19</v>
      </c>
      <c r="K3627" t="s">
        <v>1618</v>
      </c>
      <c r="M3627" t="s">
        <v>1624</v>
      </c>
      <c r="N3627">
        <v>9.59</v>
      </c>
      <c r="O3627" s="49">
        <v>45192</v>
      </c>
      <c r="P3627" s="50">
        <v>57.235500000000002</v>
      </c>
    </row>
    <row r="3628" spans="4:16" x14ac:dyDescent="0.2">
      <c r="D3628">
        <v>100002169</v>
      </c>
      <c r="E3628" s="49">
        <v>44820</v>
      </c>
      <c r="F3628" t="s">
        <v>3896</v>
      </c>
      <c r="G3628" t="s">
        <v>2427</v>
      </c>
      <c r="H3628">
        <v>4</v>
      </c>
      <c r="I3628">
        <v>50.76</v>
      </c>
      <c r="J3628" s="50">
        <v>203.04</v>
      </c>
      <c r="K3628" t="s">
        <v>1618</v>
      </c>
      <c r="M3628" t="s">
        <v>1619</v>
      </c>
      <c r="N3628">
        <v>26.79</v>
      </c>
      <c r="O3628" s="49">
        <v>44822</v>
      </c>
      <c r="P3628" s="50">
        <v>91.367999999999995</v>
      </c>
    </row>
    <row r="3629" spans="4:16" x14ac:dyDescent="0.2">
      <c r="D3629">
        <v>100002170</v>
      </c>
      <c r="E3629" s="49">
        <v>45624</v>
      </c>
      <c r="F3629" t="s">
        <v>3897</v>
      </c>
      <c r="G3629" t="s">
        <v>1710</v>
      </c>
      <c r="H3629">
        <v>10</v>
      </c>
      <c r="I3629">
        <v>110.77</v>
      </c>
      <c r="J3629" s="50">
        <v>1107.7</v>
      </c>
      <c r="K3629" t="s">
        <v>1632</v>
      </c>
      <c r="M3629" t="s">
        <v>1627</v>
      </c>
      <c r="N3629">
        <v>58.46</v>
      </c>
      <c r="O3629" s="49">
        <v>45625</v>
      </c>
      <c r="P3629" s="50">
        <v>498.46500000000003</v>
      </c>
    </row>
    <row r="3630" spans="4:16" x14ac:dyDescent="0.2">
      <c r="D3630">
        <v>100002170</v>
      </c>
      <c r="E3630" s="49">
        <v>45213</v>
      </c>
      <c r="F3630" t="s">
        <v>3897</v>
      </c>
      <c r="G3630" t="s">
        <v>1670</v>
      </c>
      <c r="H3630">
        <v>5</v>
      </c>
      <c r="I3630">
        <v>117.55</v>
      </c>
      <c r="J3630" s="50">
        <v>587.75</v>
      </c>
      <c r="K3630" t="s">
        <v>1632</v>
      </c>
      <c r="M3630" t="s">
        <v>1624</v>
      </c>
      <c r="N3630">
        <v>62.04</v>
      </c>
      <c r="O3630" s="49">
        <v>45215</v>
      </c>
      <c r="P3630" s="50">
        <v>264.48750000000001</v>
      </c>
    </row>
    <row r="3631" spans="4:16" x14ac:dyDescent="0.2">
      <c r="D3631">
        <v>100002170</v>
      </c>
      <c r="E3631" s="49">
        <v>44473</v>
      </c>
      <c r="F3631" t="s">
        <v>3897</v>
      </c>
      <c r="G3631" t="s">
        <v>2706</v>
      </c>
      <c r="H3631">
        <v>6</v>
      </c>
      <c r="I3631">
        <v>52.99</v>
      </c>
      <c r="J3631" s="50">
        <v>317.94</v>
      </c>
      <c r="K3631" t="s">
        <v>1632</v>
      </c>
      <c r="M3631" t="s">
        <v>1624</v>
      </c>
      <c r="N3631">
        <v>27.97</v>
      </c>
      <c r="O3631" s="49">
        <v>44475</v>
      </c>
      <c r="P3631" s="50">
        <v>143.07300000000001</v>
      </c>
    </row>
    <row r="3632" spans="4:16" x14ac:dyDescent="0.2">
      <c r="D3632">
        <v>100002170</v>
      </c>
      <c r="E3632" s="49">
        <v>44275</v>
      </c>
      <c r="F3632" t="s">
        <v>3897</v>
      </c>
      <c r="G3632" t="s">
        <v>2613</v>
      </c>
      <c r="H3632">
        <v>7</v>
      </c>
      <c r="I3632">
        <v>63.27</v>
      </c>
      <c r="J3632" s="50">
        <v>442.89</v>
      </c>
      <c r="K3632" t="s">
        <v>1632</v>
      </c>
      <c r="M3632" t="s">
        <v>1624</v>
      </c>
      <c r="N3632">
        <v>33.39</v>
      </c>
      <c r="O3632" s="49">
        <v>44280</v>
      </c>
      <c r="P3632" s="50">
        <v>199.3005</v>
      </c>
    </row>
    <row r="3633" spans="4:16" x14ac:dyDescent="0.2">
      <c r="D3633">
        <v>100002171</v>
      </c>
      <c r="E3633" s="49">
        <v>44447</v>
      </c>
      <c r="F3633" t="s">
        <v>3898</v>
      </c>
      <c r="G3633" t="s">
        <v>1727</v>
      </c>
      <c r="H3633">
        <v>6</v>
      </c>
      <c r="I3633">
        <v>32.81</v>
      </c>
      <c r="J3633" s="50">
        <v>196.86</v>
      </c>
      <c r="K3633" t="s">
        <v>1632</v>
      </c>
      <c r="M3633" t="s">
        <v>1619</v>
      </c>
      <c r="N3633">
        <v>17.32</v>
      </c>
      <c r="O3633" s="49">
        <v>44452</v>
      </c>
      <c r="P3633" s="50">
        <v>88.587000000000003</v>
      </c>
    </row>
    <row r="3634" spans="4:16" x14ac:dyDescent="0.2">
      <c r="D3634">
        <v>100002171</v>
      </c>
      <c r="E3634" s="49">
        <v>45655</v>
      </c>
      <c r="F3634" t="s">
        <v>3898</v>
      </c>
      <c r="G3634" t="s">
        <v>1646</v>
      </c>
      <c r="H3634">
        <v>3</v>
      </c>
      <c r="I3634">
        <v>52.74</v>
      </c>
      <c r="J3634" s="50">
        <v>158.22</v>
      </c>
      <c r="K3634" t="s">
        <v>1632</v>
      </c>
      <c r="M3634" t="s">
        <v>1624</v>
      </c>
      <c r="N3634">
        <v>27.83</v>
      </c>
      <c r="O3634" s="49">
        <v>45660</v>
      </c>
      <c r="P3634" s="50">
        <v>71.198999999999998</v>
      </c>
    </row>
    <row r="3635" spans="4:16" x14ac:dyDescent="0.2">
      <c r="D3635">
        <v>100002173</v>
      </c>
      <c r="E3635" s="49">
        <v>45422</v>
      </c>
      <c r="F3635" t="s">
        <v>3899</v>
      </c>
      <c r="G3635" t="s">
        <v>1729</v>
      </c>
      <c r="H3635">
        <v>5</v>
      </c>
      <c r="I3635">
        <v>15.35</v>
      </c>
      <c r="J3635" s="50">
        <v>76.75</v>
      </c>
      <c r="K3635" t="s">
        <v>1618</v>
      </c>
      <c r="M3635" t="s">
        <v>1627</v>
      </c>
      <c r="N3635">
        <v>8.1</v>
      </c>
      <c r="O3635" s="49">
        <v>45427</v>
      </c>
      <c r="P3635" s="50">
        <v>34.537500000000001</v>
      </c>
    </row>
    <row r="3636" spans="4:16" x14ac:dyDescent="0.2">
      <c r="D3636">
        <v>100002173</v>
      </c>
      <c r="E3636" s="49">
        <v>45131</v>
      </c>
      <c r="F3636" t="s">
        <v>3899</v>
      </c>
      <c r="G3636" t="s">
        <v>1729</v>
      </c>
      <c r="H3636">
        <v>3</v>
      </c>
      <c r="I3636">
        <v>27.57</v>
      </c>
      <c r="J3636" s="50">
        <v>82.710000000000008</v>
      </c>
      <c r="K3636" t="s">
        <v>1618</v>
      </c>
      <c r="M3636" t="s">
        <v>1619</v>
      </c>
      <c r="N3636">
        <v>14.55</v>
      </c>
      <c r="O3636" s="49">
        <v>45135</v>
      </c>
      <c r="P3636" s="50">
        <v>37.219500000000004</v>
      </c>
    </row>
    <row r="3637" spans="4:16" x14ac:dyDescent="0.2">
      <c r="D3637">
        <v>100002173</v>
      </c>
      <c r="E3637" s="49">
        <v>45152</v>
      </c>
      <c r="F3637" t="s">
        <v>3899</v>
      </c>
      <c r="G3637" t="s">
        <v>2038</v>
      </c>
      <c r="H3637">
        <v>9</v>
      </c>
      <c r="I3637">
        <v>72.349999999999994</v>
      </c>
      <c r="J3637" s="50">
        <v>651.15</v>
      </c>
      <c r="K3637" t="s">
        <v>1618</v>
      </c>
      <c r="M3637" t="s">
        <v>1619</v>
      </c>
      <c r="N3637">
        <v>38.18</v>
      </c>
      <c r="O3637" s="49">
        <v>45157</v>
      </c>
      <c r="P3637" s="50">
        <v>293.01749999999998</v>
      </c>
    </row>
    <row r="3638" spans="4:16" x14ac:dyDescent="0.2">
      <c r="D3638">
        <v>100002174</v>
      </c>
      <c r="E3638" s="49">
        <v>45309</v>
      </c>
      <c r="F3638" t="s">
        <v>3900</v>
      </c>
      <c r="G3638" t="s">
        <v>2062</v>
      </c>
      <c r="H3638">
        <v>6</v>
      </c>
      <c r="I3638">
        <v>111.47</v>
      </c>
      <c r="J3638" s="50">
        <v>668.81999999999994</v>
      </c>
      <c r="K3638" t="s">
        <v>1618</v>
      </c>
      <c r="M3638" t="s">
        <v>1629</v>
      </c>
      <c r="N3638">
        <v>58.83</v>
      </c>
      <c r="O3638" s="49">
        <v>45311</v>
      </c>
      <c r="P3638" s="50">
        <v>300.96899999999999</v>
      </c>
    </row>
    <row r="3639" spans="4:16" x14ac:dyDescent="0.2">
      <c r="D3639">
        <v>100002174</v>
      </c>
      <c r="E3639" s="49">
        <v>44578</v>
      </c>
      <c r="F3639" t="s">
        <v>3900</v>
      </c>
      <c r="G3639" t="s">
        <v>1650</v>
      </c>
      <c r="H3639">
        <v>4</v>
      </c>
      <c r="I3639">
        <v>104.51</v>
      </c>
      <c r="J3639" s="50">
        <v>418.04</v>
      </c>
      <c r="K3639" t="s">
        <v>1618</v>
      </c>
      <c r="M3639" t="s">
        <v>1627</v>
      </c>
      <c r="N3639">
        <v>55.16</v>
      </c>
      <c r="O3639" s="49">
        <v>44581</v>
      </c>
      <c r="P3639" s="50">
        <v>188.11800000000002</v>
      </c>
    </row>
    <row r="3640" spans="4:16" x14ac:dyDescent="0.2">
      <c r="D3640">
        <v>100002175</v>
      </c>
      <c r="E3640" s="49">
        <v>44352</v>
      </c>
      <c r="F3640" t="s">
        <v>3901</v>
      </c>
      <c r="G3640" t="s">
        <v>2047</v>
      </c>
      <c r="H3640">
        <v>7</v>
      </c>
      <c r="I3640">
        <v>114.52</v>
      </c>
      <c r="J3640" s="50">
        <v>801.64</v>
      </c>
      <c r="K3640" t="s">
        <v>1632</v>
      </c>
      <c r="M3640" t="s">
        <v>1619</v>
      </c>
      <c r="N3640">
        <v>60.44</v>
      </c>
      <c r="O3640" s="49">
        <v>44353</v>
      </c>
      <c r="P3640" s="50">
        <v>360.738</v>
      </c>
    </row>
    <row r="3641" spans="4:16" x14ac:dyDescent="0.2">
      <c r="D3641">
        <v>100002176</v>
      </c>
      <c r="E3641" s="49">
        <v>45338</v>
      </c>
      <c r="F3641" t="s">
        <v>3642</v>
      </c>
      <c r="G3641" t="s">
        <v>1718</v>
      </c>
      <c r="H3641">
        <v>1</v>
      </c>
      <c r="I3641">
        <v>74.14</v>
      </c>
      <c r="J3641" s="50">
        <v>74.14</v>
      </c>
      <c r="K3641" t="s">
        <v>1618</v>
      </c>
      <c r="M3641" t="s">
        <v>1619</v>
      </c>
      <c r="N3641">
        <v>39.130000000000003</v>
      </c>
      <c r="O3641" s="49">
        <v>45341</v>
      </c>
      <c r="P3641" s="50">
        <v>33.363</v>
      </c>
    </row>
    <row r="3642" spans="4:16" x14ac:dyDescent="0.2">
      <c r="D3642">
        <v>100002176</v>
      </c>
      <c r="E3642" s="49">
        <v>45602</v>
      </c>
      <c r="F3642" t="s">
        <v>3642</v>
      </c>
      <c r="G3642" t="s">
        <v>1720</v>
      </c>
      <c r="H3642">
        <v>1</v>
      </c>
      <c r="I3642">
        <v>16.600000000000001</v>
      </c>
      <c r="J3642" s="50">
        <v>16.600000000000001</v>
      </c>
      <c r="K3642" t="s">
        <v>1618</v>
      </c>
      <c r="M3642" t="s">
        <v>1621</v>
      </c>
      <c r="N3642">
        <v>8.76</v>
      </c>
      <c r="O3642" s="49">
        <v>45606</v>
      </c>
      <c r="P3642" s="50">
        <v>7.4700000000000006</v>
      </c>
    </row>
    <row r="3643" spans="4:16" x14ac:dyDescent="0.2">
      <c r="D3643">
        <v>100002177</v>
      </c>
      <c r="E3643" s="49">
        <v>45327</v>
      </c>
      <c r="F3643" t="s">
        <v>3902</v>
      </c>
      <c r="G3643" t="s">
        <v>1672</v>
      </c>
      <c r="H3643">
        <v>7</v>
      </c>
      <c r="I3643">
        <v>95.51</v>
      </c>
      <c r="J3643" s="50">
        <v>668.57</v>
      </c>
      <c r="K3643" t="s">
        <v>1618</v>
      </c>
      <c r="L3643" t="s">
        <v>3151</v>
      </c>
      <c r="M3643" t="s">
        <v>1627</v>
      </c>
      <c r="N3643">
        <v>50.41</v>
      </c>
      <c r="O3643" s="49">
        <v>45331</v>
      </c>
      <c r="P3643" s="50">
        <v>300.85650000000004</v>
      </c>
    </row>
    <row r="3644" spans="4:16" x14ac:dyDescent="0.2">
      <c r="D3644">
        <v>100002177</v>
      </c>
      <c r="E3644" s="49">
        <v>44968</v>
      </c>
      <c r="F3644" t="s">
        <v>3902</v>
      </c>
      <c r="G3644" t="s">
        <v>1718</v>
      </c>
      <c r="H3644">
        <v>1</v>
      </c>
      <c r="I3644">
        <v>53.47</v>
      </c>
      <c r="J3644" s="50">
        <v>53.47</v>
      </c>
      <c r="K3644" t="s">
        <v>1618</v>
      </c>
      <c r="L3644" t="s">
        <v>3151</v>
      </c>
      <c r="M3644" t="s">
        <v>1627</v>
      </c>
      <c r="N3644">
        <v>28.22</v>
      </c>
      <c r="O3644" s="49">
        <v>44972</v>
      </c>
      <c r="P3644" s="50">
        <v>24.061499999999999</v>
      </c>
    </row>
    <row r="3645" spans="4:16" x14ac:dyDescent="0.2">
      <c r="D3645">
        <v>100002179</v>
      </c>
      <c r="E3645" s="49">
        <v>44470</v>
      </c>
      <c r="F3645" t="s">
        <v>3903</v>
      </c>
      <c r="G3645" t="s">
        <v>2038</v>
      </c>
      <c r="H3645">
        <v>1</v>
      </c>
      <c r="I3645">
        <v>34.78</v>
      </c>
      <c r="J3645" s="50">
        <v>34.78</v>
      </c>
      <c r="K3645" t="s">
        <v>1618</v>
      </c>
      <c r="M3645" t="s">
        <v>1627</v>
      </c>
      <c r="N3645">
        <v>18.36</v>
      </c>
      <c r="O3645" s="49">
        <v>44472</v>
      </c>
      <c r="P3645" s="50">
        <v>15.651000000000002</v>
      </c>
    </row>
    <row r="3646" spans="4:16" x14ac:dyDescent="0.2">
      <c r="D3646">
        <v>100002179</v>
      </c>
      <c r="E3646" s="49">
        <v>45172</v>
      </c>
      <c r="F3646" t="s">
        <v>3903</v>
      </c>
      <c r="G3646" t="s">
        <v>1853</v>
      </c>
      <c r="H3646">
        <v>9</v>
      </c>
      <c r="I3646">
        <v>81.77</v>
      </c>
      <c r="J3646" s="50">
        <v>735.93</v>
      </c>
      <c r="K3646" t="s">
        <v>1618</v>
      </c>
      <c r="M3646" t="s">
        <v>1627</v>
      </c>
      <c r="N3646">
        <v>43.16</v>
      </c>
      <c r="O3646" s="49">
        <v>45177</v>
      </c>
      <c r="P3646" s="50">
        <v>331.16849999999999</v>
      </c>
    </row>
    <row r="3647" spans="4:16" x14ac:dyDescent="0.2">
      <c r="D3647">
        <v>100002179</v>
      </c>
      <c r="E3647" s="49">
        <v>44880</v>
      </c>
      <c r="F3647" t="s">
        <v>3903</v>
      </c>
      <c r="G3647" t="s">
        <v>1756</v>
      </c>
      <c r="H3647">
        <v>6</v>
      </c>
      <c r="I3647">
        <v>82.2</v>
      </c>
      <c r="J3647" s="50">
        <v>493.2</v>
      </c>
      <c r="K3647" t="s">
        <v>1618</v>
      </c>
      <c r="M3647" t="s">
        <v>1627</v>
      </c>
      <c r="N3647">
        <v>43.38</v>
      </c>
      <c r="O3647" s="49">
        <v>44884</v>
      </c>
      <c r="P3647" s="50">
        <v>221.94</v>
      </c>
    </row>
    <row r="3648" spans="4:16" x14ac:dyDescent="0.2">
      <c r="D3648">
        <v>100002180</v>
      </c>
      <c r="E3648" s="49">
        <v>45079</v>
      </c>
      <c r="F3648" t="s">
        <v>3904</v>
      </c>
      <c r="G3648" t="s">
        <v>1652</v>
      </c>
      <c r="H3648">
        <v>3</v>
      </c>
      <c r="I3648">
        <v>37.159999999999997</v>
      </c>
      <c r="J3648" s="50">
        <v>111.48</v>
      </c>
      <c r="K3648" t="s">
        <v>1618</v>
      </c>
      <c r="M3648" t="s">
        <v>1621</v>
      </c>
      <c r="N3648">
        <v>19.61</v>
      </c>
      <c r="O3648" s="49">
        <v>45081</v>
      </c>
      <c r="P3648" s="50">
        <v>50.166000000000004</v>
      </c>
    </row>
    <row r="3649" spans="4:16" x14ac:dyDescent="0.2">
      <c r="D3649">
        <v>100002180</v>
      </c>
      <c r="E3649" s="49">
        <v>45393</v>
      </c>
      <c r="F3649" t="s">
        <v>3904</v>
      </c>
      <c r="G3649" t="s">
        <v>1777</v>
      </c>
      <c r="H3649">
        <v>6</v>
      </c>
      <c r="I3649">
        <v>101.73</v>
      </c>
      <c r="J3649" s="50">
        <v>610.38</v>
      </c>
      <c r="K3649" t="s">
        <v>1618</v>
      </c>
      <c r="M3649" t="s">
        <v>1627</v>
      </c>
      <c r="N3649">
        <v>53.69</v>
      </c>
      <c r="O3649" s="49">
        <v>45398</v>
      </c>
      <c r="P3649" s="50">
        <v>274.67099999999999</v>
      </c>
    </row>
    <row r="3650" spans="4:16" x14ac:dyDescent="0.2">
      <c r="D3650">
        <v>100002182</v>
      </c>
      <c r="E3650" s="49">
        <v>45102</v>
      </c>
      <c r="F3650" t="s">
        <v>3905</v>
      </c>
      <c r="G3650" t="s">
        <v>2086</v>
      </c>
      <c r="H3650">
        <v>9</v>
      </c>
      <c r="I3650">
        <v>98.5</v>
      </c>
      <c r="J3650" s="50">
        <v>886.5</v>
      </c>
      <c r="K3650" t="s">
        <v>1618</v>
      </c>
      <c r="M3650" t="s">
        <v>1619</v>
      </c>
      <c r="N3650">
        <v>51.99</v>
      </c>
      <c r="O3650" s="49">
        <v>45105</v>
      </c>
      <c r="P3650" s="50">
        <v>398.92500000000001</v>
      </c>
    </row>
    <row r="3651" spans="4:16" x14ac:dyDescent="0.2">
      <c r="D3651">
        <v>100002183</v>
      </c>
      <c r="E3651" s="49">
        <v>45206</v>
      </c>
      <c r="F3651" t="s">
        <v>3906</v>
      </c>
      <c r="G3651" t="s">
        <v>1812</v>
      </c>
      <c r="H3651">
        <v>8</v>
      </c>
      <c r="I3651">
        <v>47.66</v>
      </c>
      <c r="J3651" s="50">
        <v>381.28</v>
      </c>
      <c r="K3651" t="s">
        <v>1632</v>
      </c>
      <c r="M3651" t="s">
        <v>1621</v>
      </c>
      <c r="N3651">
        <v>25.15</v>
      </c>
      <c r="O3651" s="49">
        <v>45208</v>
      </c>
      <c r="P3651" s="50">
        <v>171.57599999999999</v>
      </c>
    </row>
    <row r="3652" spans="4:16" x14ac:dyDescent="0.2">
      <c r="D3652">
        <v>100002183</v>
      </c>
      <c r="E3652" s="49">
        <v>44816</v>
      </c>
      <c r="F3652" t="s">
        <v>3906</v>
      </c>
      <c r="G3652" t="s">
        <v>2447</v>
      </c>
      <c r="H3652">
        <v>4</v>
      </c>
      <c r="I3652">
        <v>16.3</v>
      </c>
      <c r="J3652" s="50">
        <v>65.2</v>
      </c>
      <c r="K3652" t="s">
        <v>1632</v>
      </c>
      <c r="M3652" t="s">
        <v>1619</v>
      </c>
      <c r="N3652">
        <v>8.6</v>
      </c>
      <c r="O3652" s="49">
        <v>44817</v>
      </c>
      <c r="P3652" s="50">
        <v>29.340000000000003</v>
      </c>
    </row>
    <row r="3653" spans="4:16" x14ac:dyDescent="0.2">
      <c r="D3653">
        <v>100002183</v>
      </c>
      <c r="E3653" s="49">
        <v>45051</v>
      </c>
      <c r="F3653" t="s">
        <v>3906</v>
      </c>
      <c r="G3653" t="s">
        <v>1666</v>
      </c>
      <c r="H3653">
        <v>5</v>
      </c>
      <c r="I3653">
        <v>14.12</v>
      </c>
      <c r="J3653" s="50">
        <v>70.599999999999994</v>
      </c>
      <c r="K3653" t="s">
        <v>1632</v>
      </c>
      <c r="M3653" t="s">
        <v>1621</v>
      </c>
      <c r="N3653">
        <v>7.45</v>
      </c>
      <c r="O3653" s="49">
        <v>45056</v>
      </c>
      <c r="P3653" s="50">
        <v>31.77</v>
      </c>
    </row>
    <row r="3654" spans="4:16" x14ac:dyDescent="0.2">
      <c r="D3654">
        <v>100002183</v>
      </c>
      <c r="E3654" s="49">
        <v>44696</v>
      </c>
      <c r="F3654" t="s">
        <v>3906</v>
      </c>
      <c r="G3654" t="s">
        <v>2628</v>
      </c>
      <c r="H3654">
        <v>7</v>
      </c>
      <c r="I3654">
        <v>18.63</v>
      </c>
      <c r="J3654" s="50">
        <v>130.41</v>
      </c>
      <c r="K3654" t="s">
        <v>1632</v>
      </c>
      <c r="M3654" t="s">
        <v>1624</v>
      </c>
      <c r="N3654">
        <v>9.83</v>
      </c>
      <c r="O3654" s="49">
        <v>44697</v>
      </c>
      <c r="P3654" s="50">
        <v>58.6845</v>
      </c>
    </row>
    <row r="3655" spans="4:16" x14ac:dyDescent="0.2">
      <c r="D3655">
        <v>100002183</v>
      </c>
      <c r="E3655" s="49">
        <v>44563</v>
      </c>
      <c r="F3655" t="s">
        <v>3906</v>
      </c>
      <c r="G3655" t="s">
        <v>1677</v>
      </c>
      <c r="H3655">
        <v>10</v>
      </c>
      <c r="I3655">
        <v>49.82</v>
      </c>
      <c r="J3655" s="50">
        <v>498.2</v>
      </c>
      <c r="K3655" t="s">
        <v>1632</v>
      </c>
      <c r="M3655" t="s">
        <v>1621</v>
      </c>
      <c r="N3655">
        <v>26.29</v>
      </c>
      <c r="O3655" s="49">
        <v>44567</v>
      </c>
      <c r="P3655" s="50">
        <v>224.19</v>
      </c>
    </row>
    <row r="3656" spans="4:16" x14ac:dyDescent="0.2">
      <c r="D3656">
        <v>100002183</v>
      </c>
      <c r="E3656" s="49">
        <v>45331</v>
      </c>
      <c r="F3656" t="s">
        <v>3906</v>
      </c>
      <c r="G3656" t="s">
        <v>1758</v>
      </c>
      <c r="H3656">
        <v>4</v>
      </c>
      <c r="I3656">
        <v>82.08</v>
      </c>
      <c r="J3656" s="50">
        <v>328.32</v>
      </c>
      <c r="K3656" t="s">
        <v>1632</v>
      </c>
      <c r="M3656" t="s">
        <v>1621</v>
      </c>
      <c r="N3656">
        <v>43.32</v>
      </c>
      <c r="O3656" s="49">
        <v>45335</v>
      </c>
      <c r="P3656" s="50">
        <v>147.744</v>
      </c>
    </row>
    <row r="3657" spans="4:16" x14ac:dyDescent="0.2">
      <c r="D3657">
        <v>100002184</v>
      </c>
      <c r="E3657" s="49">
        <v>45000</v>
      </c>
      <c r="F3657" t="s">
        <v>3907</v>
      </c>
      <c r="G3657" t="s">
        <v>1830</v>
      </c>
      <c r="H3657">
        <v>7</v>
      </c>
      <c r="I3657">
        <v>53.16</v>
      </c>
      <c r="J3657" s="50">
        <v>372.12</v>
      </c>
      <c r="K3657" t="s">
        <v>1618</v>
      </c>
      <c r="M3657" t="s">
        <v>1624</v>
      </c>
      <c r="N3657">
        <v>28.06</v>
      </c>
      <c r="O3657" s="49">
        <v>45005</v>
      </c>
      <c r="P3657" s="50">
        <v>167.45400000000001</v>
      </c>
    </row>
    <row r="3658" spans="4:16" x14ac:dyDescent="0.2">
      <c r="D3658">
        <v>100002184</v>
      </c>
      <c r="E3658" s="49">
        <v>45510</v>
      </c>
      <c r="F3658" t="s">
        <v>3907</v>
      </c>
      <c r="G3658" t="s">
        <v>1672</v>
      </c>
      <c r="H3658">
        <v>9</v>
      </c>
      <c r="I3658">
        <v>72.13</v>
      </c>
      <c r="J3658" s="50">
        <v>649.16999999999996</v>
      </c>
      <c r="K3658" t="s">
        <v>1618</v>
      </c>
      <c r="M3658" t="s">
        <v>1629</v>
      </c>
      <c r="N3658">
        <v>38.07</v>
      </c>
      <c r="O3658" s="49">
        <v>45511</v>
      </c>
      <c r="P3658" s="50">
        <v>292.12649999999996</v>
      </c>
    </row>
    <row r="3659" spans="4:16" x14ac:dyDescent="0.2">
      <c r="D3659">
        <v>100002184</v>
      </c>
      <c r="E3659" s="49">
        <v>45493</v>
      </c>
      <c r="F3659" t="s">
        <v>3907</v>
      </c>
      <c r="G3659" t="s">
        <v>1872</v>
      </c>
      <c r="H3659">
        <v>3</v>
      </c>
      <c r="I3659">
        <v>59.25</v>
      </c>
      <c r="J3659" s="50">
        <v>177.75</v>
      </c>
      <c r="K3659" t="s">
        <v>1618</v>
      </c>
      <c r="M3659" t="s">
        <v>1624</v>
      </c>
      <c r="N3659">
        <v>31.27</v>
      </c>
      <c r="O3659" s="49">
        <v>45494</v>
      </c>
      <c r="P3659" s="50">
        <v>79.987499999999997</v>
      </c>
    </row>
    <row r="3660" spans="4:16" x14ac:dyDescent="0.2">
      <c r="D3660">
        <v>100002184</v>
      </c>
      <c r="E3660" s="49">
        <v>44788</v>
      </c>
      <c r="F3660" t="s">
        <v>3907</v>
      </c>
      <c r="G3660" t="s">
        <v>1855</v>
      </c>
      <c r="H3660">
        <v>5</v>
      </c>
      <c r="I3660">
        <v>114.02</v>
      </c>
      <c r="J3660" s="50">
        <v>570.1</v>
      </c>
      <c r="K3660" t="s">
        <v>1618</v>
      </c>
      <c r="M3660" t="s">
        <v>1624</v>
      </c>
      <c r="N3660">
        <v>60.18</v>
      </c>
      <c r="O3660" s="49">
        <v>44793</v>
      </c>
      <c r="P3660" s="50">
        <v>256.54500000000002</v>
      </c>
    </row>
    <row r="3661" spans="4:16" x14ac:dyDescent="0.2">
      <c r="D3661">
        <v>100002184</v>
      </c>
      <c r="E3661" s="49">
        <v>45651</v>
      </c>
      <c r="F3661" t="s">
        <v>3907</v>
      </c>
      <c r="G3661" t="s">
        <v>1897</v>
      </c>
      <c r="H3661">
        <v>1</v>
      </c>
      <c r="I3661">
        <v>76.14</v>
      </c>
      <c r="J3661" s="50">
        <v>76.14</v>
      </c>
      <c r="K3661" t="s">
        <v>1618</v>
      </c>
      <c r="M3661" t="s">
        <v>1629</v>
      </c>
      <c r="N3661">
        <v>40.18</v>
      </c>
      <c r="O3661" s="49">
        <v>45652</v>
      </c>
      <c r="P3661" s="50">
        <v>34.262999999999998</v>
      </c>
    </row>
    <row r="3662" spans="4:16" x14ac:dyDescent="0.2">
      <c r="D3662">
        <v>100002184</v>
      </c>
      <c r="E3662" s="49">
        <v>45612</v>
      </c>
      <c r="F3662" t="s">
        <v>3907</v>
      </c>
      <c r="G3662" t="s">
        <v>2436</v>
      </c>
      <c r="H3662">
        <v>9</v>
      </c>
      <c r="I3662">
        <v>58.33</v>
      </c>
      <c r="J3662" s="50">
        <v>524.97</v>
      </c>
      <c r="K3662" t="s">
        <v>1618</v>
      </c>
      <c r="M3662" t="s">
        <v>1629</v>
      </c>
      <c r="N3662">
        <v>30.79</v>
      </c>
      <c r="O3662" s="49">
        <v>45617</v>
      </c>
      <c r="P3662" s="50">
        <v>236.23650000000001</v>
      </c>
    </row>
    <row r="3663" spans="4:16" x14ac:dyDescent="0.2">
      <c r="D3663">
        <v>100002185</v>
      </c>
      <c r="E3663" s="49">
        <v>45086</v>
      </c>
      <c r="F3663" t="s">
        <v>3908</v>
      </c>
      <c r="G3663" t="s">
        <v>2192</v>
      </c>
      <c r="H3663">
        <v>2</v>
      </c>
      <c r="I3663">
        <v>14.77</v>
      </c>
      <c r="J3663" s="50">
        <v>29.54</v>
      </c>
      <c r="K3663" t="s">
        <v>1632</v>
      </c>
      <c r="M3663" t="s">
        <v>1629</v>
      </c>
      <c r="N3663">
        <v>7.8</v>
      </c>
      <c r="O3663" s="49">
        <v>45089</v>
      </c>
      <c r="P3663" s="50">
        <v>13.292999999999999</v>
      </c>
    </row>
    <row r="3664" spans="4:16" x14ac:dyDescent="0.2">
      <c r="D3664">
        <v>100002185</v>
      </c>
      <c r="E3664" s="49">
        <v>44967</v>
      </c>
      <c r="F3664" t="s">
        <v>3908</v>
      </c>
      <c r="G3664" t="s">
        <v>2180</v>
      </c>
      <c r="H3664">
        <v>3</v>
      </c>
      <c r="I3664">
        <v>37.04</v>
      </c>
      <c r="J3664" s="50">
        <v>111.12</v>
      </c>
      <c r="K3664" t="s">
        <v>1632</v>
      </c>
      <c r="M3664" t="s">
        <v>1629</v>
      </c>
      <c r="N3664">
        <v>19.55</v>
      </c>
      <c r="O3664" s="49">
        <v>44972</v>
      </c>
      <c r="P3664" s="50">
        <v>50.004000000000005</v>
      </c>
    </row>
    <row r="3665" spans="4:16" x14ac:dyDescent="0.2">
      <c r="D3665">
        <v>100002185</v>
      </c>
      <c r="E3665" s="49">
        <v>45614</v>
      </c>
      <c r="F3665" t="s">
        <v>3908</v>
      </c>
      <c r="G3665" t="s">
        <v>2079</v>
      </c>
      <c r="H3665">
        <v>6</v>
      </c>
      <c r="I3665">
        <v>78.47</v>
      </c>
      <c r="J3665" s="50">
        <v>470.82</v>
      </c>
      <c r="K3665" t="s">
        <v>1632</v>
      </c>
      <c r="M3665" t="s">
        <v>1627</v>
      </c>
      <c r="N3665">
        <v>41.41</v>
      </c>
      <c r="O3665" s="49">
        <v>45616</v>
      </c>
      <c r="P3665" s="50">
        <v>211.869</v>
      </c>
    </row>
    <row r="3666" spans="4:16" x14ac:dyDescent="0.2">
      <c r="D3666">
        <v>100002186</v>
      </c>
      <c r="E3666" s="49">
        <v>44612</v>
      </c>
      <c r="F3666" t="s">
        <v>3909</v>
      </c>
      <c r="G3666" t="s">
        <v>1947</v>
      </c>
      <c r="H3666">
        <v>2</v>
      </c>
      <c r="I3666">
        <v>50.03</v>
      </c>
      <c r="J3666" s="50">
        <v>100.06</v>
      </c>
      <c r="K3666" t="s">
        <v>1632</v>
      </c>
      <c r="M3666" t="s">
        <v>1624</v>
      </c>
      <c r="N3666">
        <v>26.4</v>
      </c>
      <c r="O3666" s="49">
        <v>44614</v>
      </c>
      <c r="P3666" s="50">
        <v>45.027000000000001</v>
      </c>
    </row>
    <row r="3667" spans="4:16" x14ac:dyDescent="0.2">
      <c r="D3667">
        <v>100002186</v>
      </c>
      <c r="E3667" s="49">
        <v>45250</v>
      </c>
      <c r="F3667" t="s">
        <v>3909</v>
      </c>
      <c r="G3667" t="s">
        <v>2048</v>
      </c>
      <c r="H3667">
        <v>4</v>
      </c>
      <c r="I3667">
        <v>72.22</v>
      </c>
      <c r="J3667" s="50">
        <v>288.88</v>
      </c>
      <c r="K3667" t="s">
        <v>1632</v>
      </c>
      <c r="M3667" t="s">
        <v>1624</v>
      </c>
      <c r="N3667">
        <v>38.119999999999997</v>
      </c>
      <c r="O3667" s="49">
        <v>45253</v>
      </c>
      <c r="P3667" s="50">
        <v>129.99600000000001</v>
      </c>
    </row>
    <row r="3668" spans="4:16" x14ac:dyDescent="0.2">
      <c r="D3668">
        <v>100002186</v>
      </c>
      <c r="E3668" s="49">
        <v>44805</v>
      </c>
      <c r="F3668" t="s">
        <v>3909</v>
      </c>
      <c r="G3668" t="s">
        <v>1834</v>
      </c>
      <c r="H3668">
        <v>6</v>
      </c>
      <c r="I3668">
        <v>79.98</v>
      </c>
      <c r="J3668" s="50">
        <v>479.88</v>
      </c>
      <c r="K3668" t="s">
        <v>1632</v>
      </c>
      <c r="M3668" t="s">
        <v>1619</v>
      </c>
      <c r="N3668">
        <v>42.21</v>
      </c>
      <c r="O3668" s="49">
        <v>44807</v>
      </c>
      <c r="P3668" s="50">
        <v>215.946</v>
      </c>
    </row>
    <row r="3669" spans="4:16" x14ac:dyDescent="0.2">
      <c r="D3669">
        <v>100002186</v>
      </c>
      <c r="E3669" s="49">
        <v>44832</v>
      </c>
      <c r="F3669" t="s">
        <v>3909</v>
      </c>
      <c r="G3669" t="s">
        <v>1990</v>
      </c>
      <c r="H3669">
        <v>10</v>
      </c>
      <c r="I3669">
        <v>28.56</v>
      </c>
      <c r="J3669" s="50">
        <v>285.60000000000002</v>
      </c>
      <c r="K3669" t="s">
        <v>1632</v>
      </c>
      <c r="M3669" t="s">
        <v>1627</v>
      </c>
      <c r="N3669">
        <v>15.07</v>
      </c>
      <c r="O3669" s="49">
        <v>44834</v>
      </c>
      <c r="P3669" s="50">
        <v>128.52000000000001</v>
      </c>
    </row>
    <row r="3670" spans="4:16" x14ac:dyDescent="0.2">
      <c r="D3670">
        <v>100002186</v>
      </c>
      <c r="E3670" s="49">
        <v>45629</v>
      </c>
      <c r="F3670" t="s">
        <v>3909</v>
      </c>
      <c r="G3670" t="s">
        <v>1702</v>
      </c>
      <c r="H3670">
        <v>9</v>
      </c>
      <c r="I3670">
        <v>24.89</v>
      </c>
      <c r="J3670" s="50">
        <v>224.01</v>
      </c>
      <c r="K3670" t="s">
        <v>1632</v>
      </c>
      <c r="M3670" t="s">
        <v>1619</v>
      </c>
      <c r="N3670">
        <v>13.14</v>
      </c>
      <c r="O3670" s="49">
        <v>45633</v>
      </c>
      <c r="P3670" s="50">
        <v>100.8045</v>
      </c>
    </row>
    <row r="3671" spans="4:16" x14ac:dyDescent="0.2">
      <c r="D3671">
        <v>100002187</v>
      </c>
      <c r="E3671" s="49">
        <v>44950</v>
      </c>
      <c r="F3671" t="s">
        <v>2097</v>
      </c>
      <c r="G3671" t="s">
        <v>2412</v>
      </c>
      <c r="H3671">
        <v>7</v>
      </c>
      <c r="I3671">
        <v>45.17</v>
      </c>
      <c r="J3671" s="50">
        <v>316.19</v>
      </c>
      <c r="K3671" t="s">
        <v>1618</v>
      </c>
      <c r="M3671" t="s">
        <v>1627</v>
      </c>
      <c r="N3671">
        <v>23.84</v>
      </c>
      <c r="O3671" s="49">
        <v>44954</v>
      </c>
      <c r="P3671" s="50">
        <v>142.28550000000001</v>
      </c>
    </row>
    <row r="3672" spans="4:16" x14ac:dyDescent="0.2">
      <c r="D3672">
        <v>100002188</v>
      </c>
      <c r="E3672" s="49">
        <v>44939</v>
      </c>
      <c r="F3672" t="s">
        <v>3910</v>
      </c>
      <c r="G3672" t="s">
        <v>2302</v>
      </c>
      <c r="H3672">
        <v>5</v>
      </c>
      <c r="I3672">
        <v>96.98</v>
      </c>
      <c r="J3672" s="50">
        <v>484.9</v>
      </c>
      <c r="K3672" t="s">
        <v>1618</v>
      </c>
      <c r="M3672" t="s">
        <v>1629</v>
      </c>
      <c r="N3672">
        <v>51.18</v>
      </c>
      <c r="O3672" s="49">
        <v>44944</v>
      </c>
      <c r="P3672" s="50">
        <v>218.20499999999998</v>
      </c>
    </row>
    <row r="3673" spans="4:16" x14ac:dyDescent="0.2">
      <c r="D3673">
        <v>100002188</v>
      </c>
      <c r="E3673" s="49">
        <v>45028</v>
      </c>
      <c r="F3673" t="s">
        <v>3910</v>
      </c>
      <c r="G3673" t="s">
        <v>1647</v>
      </c>
      <c r="H3673">
        <v>10</v>
      </c>
      <c r="I3673">
        <v>27.1</v>
      </c>
      <c r="J3673" s="50">
        <v>271</v>
      </c>
      <c r="K3673" t="s">
        <v>1618</v>
      </c>
      <c r="M3673" t="s">
        <v>1619</v>
      </c>
      <c r="N3673">
        <v>14.3</v>
      </c>
      <c r="O3673" s="49">
        <v>45029</v>
      </c>
      <c r="P3673" s="50">
        <v>121.95</v>
      </c>
    </row>
    <row r="3674" spans="4:16" x14ac:dyDescent="0.2">
      <c r="D3674">
        <v>100002190</v>
      </c>
      <c r="E3674" s="49">
        <v>45431</v>
      </c>
      <c r="F3674" t="s">
        <v>3911</v>
      </c>
      <c r="G3674" t="s">
        <v>1724</v>
      </c>
      <c r="H3674">
        <v>5</v>
      </c>
      <c r="I3674">
        <v>44.15</v>
      </c>
      <c r="J3674" s="50">
        <v>220.75</v>
      </c>
      <c r="K3674" t="s">
        <v>1618</v>
      </c>
      <c r="M3674" t="s">
        <v>1624</v>
      </c>
      <c r="N3674">
        <v>23.3</v>
      </c>
      <c r="O3674" s="49">
        <v>45432</v>
      </c>
      <c r="P3674" s="50">
        <v>99.337500000000006</v>
      </c>
    </row>
    <row r="3675" spans="4:16" x14ac:dyDescent="0.2">
      <c r="D3675">
        <v>100002190</v>
      </c>
      <c r="E3675" s="49">
        <v>44321</v>
      </c>
      <c r="F3675" t="s">
        <v>3911</v>
      </c>
      <c r="G3675" t="s">
        <v>3075</v>
      </c>
      <c r="H3675">
        <v>4</v>
      </c>
      <c r="I3675">
        <v>102.58</v>
      </c>
      <c r="J3675" s="50">
        <v>410.32</v>
      </c>
      <c r="K3675" t="s">
        <v>1618</v>
      </c>
      <c r="M3675" t="s">
        <v>1629</v>
      </c>
      <c r="N3675">
        <v>54.14</v>
      </c>
      <c r="O3675" s="49">
        <v>44326</v>
      </c>
      <c r="P3675" s="50">
        <v>184.64400000000001</v>
      </c>
    </row>
    <row r="3676" spans="4:16" x14ac:dyDescent="0.2">
      <c r="D3676">
        <v>100002191</v>
      </c>
      <c r="E3676" s="49">
        <v>45267</v>
      </c>
      <c r="F3676" t="s">
        <v>3912</v>
      </c>
      <c r="G3676" t="s">
        <v>2064</v>
      </c>
      <c r="H3676">
        <v>1</v>
      </c>
      <c r="I3676">
        <v>49.36</v>
      </c>
      <c r="J3676" s="50">
        <v>49.36</v>
      </c>
      <c r="K3676" t="s">
        <v>1618</v>
      </c>
      <c r="M3676" t="s">
        <v>1629</v>
      </c>
      <c r="N3676">
        <v>26.05</v>
      </c>
      <c r="O3676" s="49">
        <v>45270</v>
      </c>
      <c r="P3676" s="50">
        <v>22.212</v>
      </c>
    </row>
    <row r="3677" spans="4:16" x14ac:dyDescent="0.2">
      <c r="D3677">
        <v>100002191</v>
      </c>
      <c r="E3677" s="49">
        <v>45402</v>
      </c>
      <c r="F3677" t="s">
        <v>3912</v>
      </c>
      <c r="G3677" t="s">
        <v>2373</v>
      </c>
      <c r="H3677">
        <v>6</v>
      </c>
      <c r="I3677">
        <v>72.790000000000006</v>
      </c>
      <c r="J3677" s="50">
        <v>436.74</v>
      </c>
      <c r="K3677" t="s">
        <v>1618</v>
      </c>
      <c r="M3677" t="s">
        <v>1619</v>
      </c>
      <c r="N3677">
        <v>38.42</v>
      </c>
      <c r="O3677" s="49">
        <v>45406</v>
      </c>
      <c r="P3677" s="50">
        <v>196.53300000000002</v>
      </c>
    </row>
    <row r="3678" spans="4:16" x14ac:dyDescent="0.2">
      <c r="D3678">
        <v>100002192</v>
      </c>
      <c r="E3678" s="49">
        <v>44526</v>
      </c>
      <c r="F3678" t="s">
        <v>3913</v>
      </c>
      <c r="G3678" t="s">
        <v>1705</v>
      </c>
      <c r="H3678">
        <v>5</v>
      </c>
      <c r="I3678">
        <v>103.06</v>
      </c>
      <c r="J3678" s="50">
        <v>515.29999999999995</v>
      </c>
      <c r="K3678" t="s">
        <v>1618</v>
      </c>
      <c r="L3678" t="s">
        <v>3914</v>
      </c>
      <c r="M3678" t="s">
        <v>1619</v>
      </c>
      <c r="N3678">
        <v>54.39</v>
      </c>
      <c r="O3678" s="49">
        <v>44529</v>
      </c>
      <c r="P3678" s="50">
        <v>231.88499999999999</v>
      </c>
    </row>
    <row r="3679" spans="4:16" x14ac:dyDescent="0.2">
      <c r="D3679">
        <v>100002192</v>
      </c>
      <c r="E3679" s="49">
        <v>44544</v>
      </c>
      <c r="F3679" t="s">
        <v>3913</v>
      </c>
      <c r="G3679" t="s">
        <v>1864</v>
      </c>
      <c r="H3679">
        <v>5</v>
      </c>
      <c r="I3679">
        <v>12.12</v>
      </c>
      <c r="J3679" s="50">
        <v>60.599999999999987</v>
      </c>
      <c r="K3679" t="s">
        <v>1618</v>
      </c>
      <c r="L3679" t="s">
        <v>3914</v>
      </c>
      <c r="M3679" t="s">
        <v>1629</v>
      </c>
      <c r="N3679">
        <v>6.4</v>
      </c>
      <c r="O3679" s="49">
        <v>44547</v>
      </c>
      <c r="P3679" s="50">
        <v>27.269999999999996</v>
      </c>
    </row>
    <row r="3680" spans="4:16" x14ac:dyDescent="0.2">
      <c r="D3680">
        <v>100002194</v>
      </c>
      <c r="E3680" s="49">
        <v>44420</v>
      </c>
      <c r="F3680" t="s">
        <v>3915</v>
      </c>
      <c r="G3680" t="s">
        <v>1856</v>
      </c>
      <c r="H3680">
        <v>9</v>
      </c>
      <c r="I3680">
        <v>91.12</v>
      </c>
      <c r="J3680" s="50">
        <v>820.08</v>
      </c>
      <c r="K3680" t="s">
        <v>1632</v>
      </c>
      <c r="L3680" t="s">
        <v>1871</v>
      </c>
      <c r="M3680" t="s">
        <v>1621</v>
      </c>
      <c r="N3680">
        <v>48.09</v>
      </c>
      <c r="O3680" s="49">
        <v>44424</v>
      </c>
      <c r="P3680" s="50">
        <v>369.036</v>
      </c>
    </row>
    <row r="3681" spans="4:16" x14ac:dyDescent="0.2">
      <c r="D3681">
        <v>100002194</v>
      </c>
      <c r="E3681" s="49">
        <v>44520</v>
      </c>
      <c r="F3681" t="s">
        <v>3915</v>
      </c>
      <c r="G3681" t="s">
        <v>1710</v>
      </c>
      <c r="H3681">
        <v>7</v>
      </c>
      <c r="I3681">
        <v>48.64</v>
      </c>
      <c r="J3681" s="50">
        <v>340.48</v>
      </c>
      <c r="K3681" t="s">
        <v>1632</v>
      </c>
      <c r="L3681" t="s">
        <v>1871</v>
      </c>
      <c r="M3681" t="s">
        <v>1627</v>
      </c>
      <c r="N3681">
        <v>25.67</v>
      </c>
      <c r="O3681" s="49">
        <v>44523</v>
      </c>
      <c r="P3681" s="50">
        <v>153.21600000000001</v>
      </c>
    </row>
    <row r="3682" spans="4:16" x14ac:dyDescent="0.2">
      <c r="D3682">
        <v>100002195</v>
      </c>
      <c r="E3682" s="49">
        <v>45059</v>
      </c>
      <c r="F3682" t="s">
        <v>3916</v>
      </c>
      <c r="G3682" t="s">
        <v>1975</v>
      </c>
      <c r="H3682">
        <v>5</v>
      </c>
      <c r="I3682">
        <v>30.68</v>
      </c>
      <c r="J3682" s="50">
        <v>153.4</v>
      </c>
      <c r="K3682" t="s">
        <v>1618</v>
      </c>
      <c r="M3682" t="s">
        <v>1619</v>
      </c>
      <c r="N3682">
        <v>16.190000000000001</v>
      </c>
      <c r="O3682" s="49">
        <v>45061</v>
      </c>
      <c r="P3682" s="50">
        <v>69.03</v>
      </c>
    </row>
    <row r="3683" spans="4:16" x14ac:dyDescent="0.2">
      <c r="D3683">
        <v>100002195</v>
      </c>
      <c r="E3683" s="49">
        <v>44767</v>
      </c>
      <c r="F3683" t="s">
        <v>3916</v>
      </c>
      <c r="G3683" t="s">
        <v>1955</v>
      </c>
      <c r="H3683">
        <v>8</v>
      </c>
      <c r="I3683">
        <v>93.91</v>
      </c>
      <c r="J3683" s="50">
        <v>751.28</v>
      </c>
      <c r="K3683" t="s">
        <v>1618</v>
      </c>
      <c r="M3683" t="s">
        <v>1619</v>
      </c>
      <c r="N3683">
        <v>49.56</v>
      </c>
      <c r="O3683" s="49">
        <v>44770</v>
      </c>
      <c r="P3683" s="50">
        <v>338.07600000000002</v>
      </c>
    </row>
    <row r="3684" spans="4:16" x14ac:dyDescent="0.2">
      <c r="D3684">
        <v>100002197</v>
      </c>
      <c r="E3684" s="49">
        <v>44474</v>
      </c>
      <c r="F3684" t="s">
        <v>3917</v>
      </c>
      <c r="G3684" t="s">
        <v>1731</v>
      </c>
      <c r="H3684">
        <v>5</v>
      </c>
      <c r="I3684">
        <v>103.75</v>
      </c>
      <c r="J3684" s="50">
        <v>518.75</v>
      </c>
      <c r="K3684" t="s">
        <v>1618</v>
      </c>
      <c r="M3684" t="s">
        <v>1624</v>
      </c>
      <c r="N3684">
        <v>54.76</v>
      </c>
      <c r="O3684" s="49">
        <v>44476</v>
      </c>
      <c r="P3684" s="50">
        <v>233.4375</v>
      </c>
    </row>
    <row r="3685" spans="4:16" x14ac:dyDescent="0.2">
      <c r="D3685">
        <v>100002198</v>
      </c>
      <c r="E3685" s="49">
        <v>45639</v>
      </c>
      <c r="F3685" t="s">
        <v>3918</v>
      </c>
      <c r="G3685" t="s">
        <v>2571</v>
      </c>
      <c r="H3685">
        <v>8</v>
      </c>
      <c r="I3685">
        <v>113.32</v>
      </c>
      <c r="J3685" s="50">
        <v>906.56</v>
      </c>
      <c r="K3685" t="s">
        <v>1632</v>
      </c>
      <c r="M3685" t="s">
        <v>1621</v>
      </c>
      <c r="N3685">
        <v>59.81</v>
      </c>
      <c r="O3685" s="49">
        <v>45641</v>
      </c>
      <c r="P3685" s="50">
        <v>407.952</v>
      </c>
    </row>
    <row r="3686" spans="4:16" x14ac:dyDescent="0.2">
      <c r="D3686">
        <v>100002199</v>
      </c>
      <c r="E3686" s="49">
        <v>44774</v>
      </c>
      <c r="F3686" t="s">
        <v>3919</v>
      </c>
      <c r="G3686" t="s">
        <v>2574</v>
      </c>
      <c r="H3686">
        <v>2</v>
      </c>
      <c r="I3686">
        <v>29.83</v>
      </c>
      <c r="J3686" s="50">
        <v>59.66</v>
      </c>
      <c r="K3686" t="s">
        <v>1632</v>
      </c>
      <c r="M3686" t="s">
        <v>1619</v>
      </c>
      <c r="N3686">
        <v>15.74</v>
      </c>
      <c r="O3686" s="49">
        <v>44775</v>
      </c>
      <c r="P3686" s="50">
        <v>26.846999999999998</v>
      </c>
    </row>
    <row r="3687" spans="4:16" x14ac:dyDescent="0.2">
      <c r="D3687">
        <v>100002199</v>
      </c>
      <c r="E3687" s="49">
        <v>45240</v>
      </c>
      <c r="F3687" t="s">
        <v>3919</v>
      </c>
      <c r="G3687" t="s">
        <v>2005</v>
      </c>
      <c r="H3687">
        <v>6</v>
      </c>
      <c r="I3687">
        <v>52.08</v>
      </c>
      <c r="J3687" s="50">
        <v>312.48</v>
      </c>
      <c r="K3687" t="s">
        <v>1632</v>
      </c>
      <c r="M3687" t="s">
        <v>1619</v>
      </c>
      <c r="N3687">
        <v>27.49</v>
      </c>
      <c r="O3687" s="49">
        <v>45245</v>
      </c>
      <c r="P3687" s="50">
        <v>140.61600000000001</v>
      </c>
    </row>
    <row r="3688" spans="4:16" x14ac:dyDescent="0.2">
      <c r="D3688">
        <v>100002199</v>
      </c>
      <c r="E3688" s="49">
        <v>44688</v>
      </c>
      <c r="F3688" t="s">
        <v>3919</v>
      </c>
      <c r="G3688" t="s">
        <v>1714</v>
      </c>
      <c r="H3688">
        <v>3</v>
      </c>
      <c r="I3688">
        <v>17.98</v>
      </c>
      <c r="J3688" s="50">
        <v>53.94</v>
      </c>
      <c r="K3688" t="s">
        <v>1632</v>
      </c>
      <c r="M3688" t="s">
        <v>1629</v>
      </c>
      <c r="N3688">
        <v>9.49</v>
      </c>
      <c r="O3688" s="49">
        <v>44689</v>
      </c>
      <c r="P3688" s="50">
        <v>24.273</v>
      </c>
    </row>
    <row r="3689" spans="4:16" x14ac:dyDescent="0.2">
      <c r="D3689">
        <v>100002200</v>
      </c>
      <c r="E3689" s="49">
        <v>45143</v>
      </c>
      <c r="F3689" t="s">
        <v>3920</v>
      </c>
      <c r="G3689" t="s">
        <v>2387</v>
      </c>
      <c r="H3689">
        <v>10</v>
      </c>
      <c r="I3689">
        <v>23.62</v>
      </c>
      <c r="J3689" s="50">
        <v>236.2</v>
      </c>
      <c r="K3689" t="s">
        <v>1618</v>
      </c>
      <c r="M3689" t="s">
        <v>1624</v>
      </c>
      <c r="N3689">
        <v>12.47</v>
      </c>
      <c r="O3689" s="49">
        <v>45146</v>
      </c>
      <c r="P3689" s="50">
        <v>106.28999999999999</v>
      </c>
    </row>
    <row r="3690" spans="4:16" x14ac:dyDescent="0.2">
      <c r="D3690">
        <v>100002202</v>
      </c>
      <c r="E3690" s="49">
        <v>45409</v>
      </c>
      <c r="F3690" t="s">
        <v>3921</v>
      </c>
      <c r="G3690" t="s">
        <v>1620</v>
      </c>
      <c r="H3690">
        <v>5</v>
      </c>
      <c r="I3690">
        <v>103.77</v>
      </c>
      <c r="J3690" s="50">
        <v>518.85</v>
      </c>
      <c r="K3690" t="s">
        <v>1632</v>
      </c>
      <c r="M3690" t="s">
        <v>1624</v>
      </c>
      <c r="N3690">
        <v>54.77</v>
      </c>
      <c r="O3690" s="49">
        <v>45413</v>
      </c>
      <c r="P3690" s="50">
        <v>233.48250000000002</v>
      </c>
    </row>
    <row r="3691" spans="4:16" x14ac:dyDescent="0.2">
      <c r="D3691">
        <v>100002202</v>
      </c>
      <c r="E3691" s="49">
        <v>44778</v>
      </c>
      <c r="F3691" t="s">
        <v>3921</v>
      </c>
      <c r="G3691" t="s">
        <v>1752</v>
      </c>
      <c r="H3691">
        <v>4</v>
      </c>
      <c r="I3691">
        <v>21.13</v>
      </c>
      <c r="J3691" s="50">
        <v>84.52</v>
      </c>
      <c r="K3691" t="s">
        <v>1632</v>
      </c>
      <c r="M3691" t="s">
        <v>1627</v>
      </c>
      <c r="N3691">
        <v>11.15</v>
      </c>
      <c r="O3691" s="49">
        <v>44780</v>
      </c>
      <c r="P3691" s="50">
        <v>38.033999999999999</v>
      </c>
    </row>
    <row r="3692" spans="4:16" x14ac:dyDescent="0.2">
      <c r="D3692">
        <v>100002204</v>
      </c>
      <c r="E3692" s="49">
        <v>44505</v>
      </c>
      <c r="F3692" t="s">
        <v>3922</v>
      </c>
      <c r="G3692" t="s">
        <v>1929</v>
      </c>
      <c r="H3692">
        <v>9</v>
      </c>
      <c r="I3692">
        <v>86.37</v>
      </c>
      <c r="J3692" s="50">
        <v>777.33</v>
      </c>
      <c r="K3692" t="s">
        <v>1618</v>
      </c>
      <c r="M3692" t="s">
        <v>1619</v>
      </c>
      <c r="N3692">
        <v>45.58</v>
      </c>
      <c r="O3692" s="49">
        <v>44510</v>
      </c>
      <c r="P3692" s="50">
        <v>349.79850000000005</v>
      </c>
    </row>
    <row r="3693" spans="4:16" x14ac:dyDescent="0.2">
      <c r="D3693">
        <v>100002205</v>
      </c>
      <c r="E3693" s="49">
        <v>44804</v>
      </c>
      <c r="F3693" t="s">
        <v>3923</v>
      </c>
      <c r="G3693" t="s">
        <v>2372</v>
      </c>
      <c r="H3693">
        <v>6</v>
      </c>
      <c r="I3693">
        <v>47.75</v>
      </c>
      <c r="J3693" s="50">
        <v>286.5</v>
      </c>
      <c r="K3693" t="s">
        <v>1618</v>
      </c>
      <c r="L3693" t="s">
        <v>2091</v>
      </c>
      <c r="M3693" t="s">
        <v>1624</v>
      </c>
      <c r="N3693">
        <v>25.2</v>
      </c>
      <c r="O3693" s="49">
        <v>44806</v>
      </c>
      <c r="P3693" s="50">
        <v>128.92500000000001</v>
      </c>
    </row>
    <row r="3694" spans="4:16" x14ac:dyDescent="0.2">
      <c r="D3694">
        <v>100002206</v>
      </c>
      <c r="E3694" s="49">
        <v>45549</v>
      </c>
      <c r="F3694" t="s">
        <v>3924</v>
      </c>
      <c r="G3694" t="s">
        <v>1944</v>
      </c>
      <c r="H3694">
        <v>5</v>
      </c>
      <c r="I3694">
        <v>47.82</v>
      </c>
      <c r="J3694" s="50">
        <v>239.1</v>
      </c>
      <c r="K3694" t="s">
        <v>1632</v>
      </c>
      <c r="M3694" t="s">
        <v>1621</v>
      </c>
      <c r="N3694">
        <v>25.24</v>
      </c>
      <c r="O3694" s="49">
        <v>45553</v>
      </c>
      <c r="P3694" s="50">
        <v>107.595</v>
      </c>
    </row>
    <row r="3695" spans="4:16" x14ac:dyDescent="0.2">
      <c r="D3695">
        <v>100002207</v>
      </c>
      <c r="E3695" s="49">
        <v>45089</v>
      </c>
      <c r="F3695" t="s">
        <v>3925</v>
      </c>
      <c r="G3695" t="s">
        <v>1985</v>
      </c>
      <c r="H3695">
        <v>8</v>
      </c>
      <c r="I3695">
        <v>13.62</v>
      </c>
      <c r="J3695" s="50">
        <v>108.96</v>
      </c>
      <c r="K3695" t="s">
        <v>1618</v>
      </c>
      <c r="L3695" t="s">
        <v>3926</v>
      </c>
      <c r="M3695" t="s">
        <v>1629</v>
      </c>
      <c r="N3695">
        <v>7.19</v>
      </c>
      <c r="O3695" s="49">
        <v>45094</v>
      </c>
      <c r="P3695" s="50">
        <v>49.031999999999996</v>
      </c>
    </row>
    <row r="3696" spans="4:16" x14ac:dyDescent="0.2">
      <c r="D3696">
        <v>100002208</v>
      </c>
      <c r="E3696" s="49">
        <v>45561</v>
      </c>
      <c r="F3696" t="s">
        <v>3927</v>
      </c>
      <c r="G3696" t="s">
        <v>1897</v>
      </c>
      <c r="H3696">
        <v>6</v>
      </c>
      <c r="I3696">
        <v>111.2</v>
      </c>
      <c r="J3696" s="50">
        <v>667.2</v>
      </c>
      <c r="K3696" t="s">
        <v>1632</v>
      </c>
      <c r="M3696" t="s">
        <v>1624</v>
      </c>
      <c r="N3696">
        <v>58.69</v>
      </c>
      <c r="O3696" s="49">
        <v>45564</v>
      </c>
      <c r="P3696" s="50">
        <v>300.24</v>
      </c>
    </row>
    <row r="3697" spans="4:16" x14ac:dyDescent="0.2">
      <c r="D3697">
        <v>100002208</v>
      </c>
      <c r="E3697" s="49">
        <v>44295</v>
      </c>
      <c r="F3697" t="s">
        <v>3927</v>
      </c>
      <c r="G3697" t="s">
        <v>1868</v>
      </c>
      <c r="H3697">
        <v>5</v>
      </c>
      <c r="I3697">
        <v>92.75</v>
      </c>
      <c r="J3697" s="50">
        <v>463.75</v>
      </c>
      <c r="K3697" t="s">
        <v>1632</v>
      </c>
      <c r="M3697" t="s">
        <v>1629</v>
      </c>
      <c r="N3697">
        <v>48.95</v>
      </c>
      <c r="O3697" s="49">
        <v>44300</v>
      </c>
      <c r="P3697" s="50">
        <v>208.6875</v>
      </c>
    </row>
    <row r="3698" spans="4:16" x14ac:dyDescent="0.2">
      <c r="D3698">
        <v>100002209</v>
      </c>
      <c r="E3698" s="49">
        <v>44684</v>
      </c>
      <c r="F3698" t="s">
        <v>3928</v>
      </c>
      <c r="G3698" t="s">
        <v>1677</v>
      </c>
      <c r="H3698">
        <v>4</v>
      </c>
      <c r="I3698">
        <v>102.3</v>
      </c>
      <c r="J3698" s="50">
        <v>409.2</v>
      </c>
      <c r="K3698" t="s">
        <v>1632</v>
      </c>
      <c r="L3698" t="s">
        <v>3726</v>
      </c>
      <c r="M3698" t="s">
        <v>1621</v>
      </c>
      <c r="N3698">
        <v>53.99</v>
      </c>
      <c r="O3698" s="49">
        <v>44687</v>
      </c>
      <c r="P3698" s="50">
        <v>184.14</v>
      </c>
    </row>
    <row r="3699" spans="4:16" x14ac:dyDescent="0.2">
      <c r="D3699">
        <v>100002210</v>
      </c>
      <c r="E3699" s="49">
        <v>44943</v>
      </c>
      <c r="F3699" t="s">
        <v>3929</v>
      </c>
      <c r="G3699" t="s">
        <v>1726</v>
      </c>
      <c r="H3699">
        <v>1</v>
      </c>
      <c r="I3699">
        <v>99.56</v>
      </c>
      <c r="J3699" s="50">
        <v>99.56</v>
      </c>
      <c r="K3699" t="s">
        <v>1618</v>
      </c>
      <c r="M3699" t="s">
        <v>1629</v>
      </c>
      <c r="N3699">
        <v>52.55</v>
      </c>
      <c r="O3699" s="49">
        <v>44947</v>
      </c>
      <c r="P3699" s="50">
        <v>44.802</v>
      </c>
    </row>
    <row r="3700" spans="4:16" x14ac:dyDescent="0.2">
      <c r="D3700">
        <v>100002210</v>
      </c>
      <c r="E3700" s="49">
        <v>45513</v>
      </c>
      <c r="F3700" t="s">
        <v>3929</v>
      </c>
      <c r="G3700" t="s">
        <v>1853</v>
      </c>
      <c r="H3700">
        <v>9</v>
      </c>
      <c r="I3700">
        <v>93.26</v>
      </c>
      <c r="J3700" s="50">
        <v>839.34</v>
      </c>
      <c r="K3700" t="s">
        <v>1618</v>
      </c>
      <c r="M3700" t="s">
        <v>1619</v>
      </c>
      <c r="N3700">
        <v>49.22</v>
      </c>
      <c r="O3700" s="49">
        <v>45516</v>
      </c>
      <c r="P3700" s="50">
        <v>377.70300000000003</v>
      </c>
    </row>
    <row r="3701" spans="4:16" x14ac:dyDescent="0.2">
      <c r="D3701">
        <v>100002210</v>
      </c>
      <c r="E3701" s="49">
        <v>44207</v>
      </c>
      <c r="F3701" t="s">
        <v>3929</v>
      </c>
      <c r="G3701" t="s">
        <v>1950</v>
      </c>
      <c r="H3701">
        <v>10</v>
      </c>
      <c r="I3701">
        <v>82.99</v>
      </c>
      <c r="J3701" s="50">
        <v>829.9</v>
      </c>
      <c r="K3701" t="s">
        <v>1618</v>
      </c>
      <c r="M3701" t="s">
        <v>1621</v>
      </c>
      <c r="N3701">
        <v>43.8</v>
      </c>
      <c r="O3701" s="49">
        <v>44211</v>
      </c>
      <c r="P3701" s="50">
        <v>373.45499999999998</v>
      </c>
    </row>
    <row r="3702" spans="4:16" x14ac:dyDescent="0.2">
      <c r="D3702">
        <v>100002210</v>
      </c>
      <c r="E3702" s="49">
        <v>44613</v>
      </c>
      <c r="F3702" t="s">
        <v>3929</v>
      </c>
      <c r="G3702" t="s">
        <v>2207</v>
      </c>
      <c r="H3702">
        <v>6</v>
      </c>
      <c r="I3702">
        <v>54.42</v>
      </c>
      <c r="J3702" s="50">
        <v>326.52</v>
      </c>
      <c r="K3702" t="s">
        <v>1618</v>
      </c>
      <c r="M3702" t="s">
        <v>1629</v>
      </c>
      <c r="N3702">
        <v>28.72</v>
      </c>
      <c r="O3702" s="49">
        <v>44614</v>
      </c>
      <c r="P3702" s="50">
        <v>146.934</v>
      </c>
    </row>
    <row r="3703" spans="4:16" x14ac:dyDescent="0.2">
      <c r="D3703">
        <v>100002210</v>
      </c>
      <c r="E3703" s="49">
        <v>45580</v>
      </c>
      <c r="F3703" t="s">
        <v>3929</v>
      </c>
      <c r="G3703" t="s">
        <v>2159</v>
      </c>
      <c r="H3703">
        <v>3</v>
      </c>
      <c r="I3703">
        <v>28.41</v>
      </c>
      <c r="J3703" s="50">
        <v>85.23</v>
      </c>
      <c r="K3703" t="s">
        <v>1618</v>
      </c>
      <c r="M3703" t="s">
        <v>1621</v>
      </c>
      <c r="N3703">
        <v>14.99</v>
      </c>
      <c r="O3703" s="49">
        <v>45582</v>
      </c>
      <c r="P3703" s="50">
        <v>38.353500000000004</v>
      </c>
    </row>
    <row r="3704" spans="4:16" x14ac:dyDescent="0.2">
      <c r="D3704">
        <v>100002210</v>
      </c>
      <c r="E3704" s="49">
        <v>44978</v>
      </c>
      <c r="F3704" t="s">
        <v>3929</v>
      </c>
      <c r="G3704" t="s">
        <v>1817</v>
      </c>
      <c r="H3704">
        <v>8</v>
      </c>
      <c r="I3704">
        <v>85.87</v>
      </c>
      <c r="J3704" s="50">
        <v>686.96</v>
      </c>
      <c r="K3704" t="s">
        <v>1618</v>
      </c>
      <c r="M3704" t="s">
        <v>1619</v>
      </c>
      <c r="N3704">
        <v>45.32</v>
      </c>
      <c r="O3704" s="49">
        <v>44982</v>
      </c>
      <c r="P3704" s="50">
        <v>309.13200000000001</v>
      </c>
    </row>
    <row r="3705" spans="4:16" x14ac:dyDescent="0.2">
      <c r="D3705">
        <v>100002212</v>
      </c>
      <c r="E3705" s="49">
        <v>44626</v>
      </c>
      <c r="F3705" t="s">
        <v>3930</v>
      </c>
      <c r="G3705" t="s">
        <v>1754</v>
      </c>
      <c r="H3705">
        <v>6</v>
      </c>
      <c r="I3705">
        <v>85.21</v>
      </c>
      <c r="J3705" s="50">
        <v>511.26</v>
      </c>
      <c r="K3705" t="s">
        <v>1618</v>
      </c>
      <c r="M3705" t="s">
        <v>1624</v>
      </c>
      <c r="N3705">
        <v>44.97</v>
      </c>
      <c r="O3705" s="49">
        <v>44628</v>
      </c>
      <c r="P3705" s="50">
        <v>230.06700000000001</v>
      </c>
    </row>
    <row r="3706" spans="4:16" x14ac:dyDescent="0.2">
      <c r="D3706">
        <v>100002212</v>
      </c>
      <c r="E3706" s="49">
        <v>45312</v>
      </c>
      <c r="F3706" t="s">
        <v>3930</v>
      </c>
      <c r="G3706" t="s">
        <v>2069</v>
      </c>
      <c r="H3706">
        <v>3</v>
      </c>
      <c r="I3706">
        <v>111.65</v>
      </c>
      <c r="J3706" s="50">
        <v>334.95</v>
      </c>
      <c r="K3706" t="s">
        <v>1618</v>
      </c>
      <c r="M3706" t="s">
        <v>1621</v>
      </c>
      <c r="N3706">
        <v>58.93</v>
      </c>
      <c r="O3706" s="49">
        <v>45314</v>
      </c>
      <c r="P3706" s="50">
        <v>150.72749999999999</v>
      </c>
    </row>
    <row r="3707" spans="4:16" x14ac:dyDescent="0.2">
      <c r="D3707">
        <v>100002213</v>
      </c>
      <c r="E3707" s="49">
        <v>44339</v>
      </c>
      <c r="F3707" t="s">
        <v>3931</v>
      </c>
      <c r="G3707" t="s">
        <v>1712</v>
      </c>
      <c r="H3707">
        <v>2</v>
      </c>
      <c r="I3707">
        <v>20.8</v>
      </c>
      <c r="J3707" s="50">
        <v>41.6</v>
      </c>
      <c r="K3707" t="s">
        <v>1618</v>
      </c>
      <c r="M3707" t="s">
        <v>1624</v>
      </c>
      <c r="N3707">
        <v>10.98</v>
      </c>
      <c r="O3707" s="49">
        <v>44340</v>
      </c>
      <c r="P3707" s="50">
        <v>18.720000000000002</v>
      </c>
    </row>
    <row r="3708" spans="4:16" x14ac:dyDescent="0.2">
      <c r="D3708">
        <v>100002214</v>
      </c>
      <c r="E3708" s="49">
        <v>45485</v>
      </c>
      <c r="F3708" t="s">
        <v>3932</v>
      </c>
      <c r="G3708" t="s">
        <v>1866</v>
      </c>
      <c r="H3708">
        <v>6</v>
      </c>
      <c r="I3708">
        <v>11.83</v>
      </c>
      <c r="J3708" s="50">
        <v>70.98</v>
      </c>
      <c r="K3708" t="s">
        <v>1618</v>
      </c>
      <c r="M3708" t="s">
        <v>1621</v>
      </c>
      <c r="N3708">
        <v>6.24</v>
      </c>
      <c r="O3708" s="49">
        <v>45488</v>
      </c>
      <c r="P3708" s="50">
        <v>31.941000000000003</v>
      </c>
    </row>
    <row r="3709" spans="4:16" x14ac:dyDescent="0.2">
      <c r="D3709">
        <v>100002216</v>
      </c>
      <c r="E3709" s="49">
        <v>44454</v>
      </c>
      <c r="F3709" t="s">
        <v>3933</v>
      </c>
      <c r="G3709" t="s">
        <v>1719</v>
      </c>
      <c r="H3709">
        <v>5</v>
      </c>
      <c r="I3709">
        <v>66.11</v>
      </c>
      <c r="J3709" s="50">
        <v>330.55</v>
      </c>
      <c r="K3709" t="s">
        <v>1632</v>
      </c>
      <c r="L3709" t="s">
        <v>3934</v>
      </c>
      <c r="M3709" t="s">
        <v>1629</v>
      </c>
      <c r="N3709">
        <v>34.89</v>
      </c>
      <c r="O3709" s="49">
        <v>44459</v>
      </c>
      <c r="P3709" s="50">
        <v>148.7475</v>
      </c>
    </row>
    <row r="3710" spans="4:16" x14ac:dyDescent="0.2">
      <c r="D3710">
        <v>100002216</v>
      </c>
      <c r="E3710" s="49">
        <v>45456</v>
      </c>
      <c r="F3710" t="s">
        <v>3933</v>
      </c>
      <c r="G3710" t="s">
        <v>1825</v>
      </c>
      <c r="H3710">
        <v>3</v>
      </c>
      <c r="I3710">
        <v>47.78</v>
      </c>
      <c r="J3710" s="50">
        <v>143.34</v>
      </c>
      <c r="K3710" t="s">
        <v>1632</v>
      </c>
      <c r="L3710" t="s">
        <v>3934</v>
      </c>
      <c r="M3710" t="s">
        <v>1627</v>
      </c>
      <c r="N3710">
        <v>25.22</v>
      </c>
      <c r="O3710" s="49">
        <v>45459</v>
      </c>
      <c r="P3710" s="50">
        <v>64.503</v>
      </c>
    </row>
    <row r="3711" spans="4:16" x14ac:dyDescent="0.2">
      <c r="D3711">
        <v>100002217</v>
      </c>
      <c r="E3711" s="49">
        <v>45621</v>
      </c>
      <c r="F3711" t="s">
        <v>3935</v>
      </c>
      <c r="G3711" t="s">
        <v>1918</v>
      </c>
      <c r="H3711">
        <v>9</v>
      </c>
      <c r="I3711">
        <v>36.04</v>
      </c>
      <c r="J3711" s="50">
        <v>324.36</v>
      </c>
      <c r="K3711" t="s">
        <v>1618</v>
      </c>
      <c r="M3711" t="s">
        <v>1629</v>
      </c>
      <c r="N3711">
        <v>19.02</v>
      </c>
      <c r="O3711" s="49">
        <v>45623</v>
      </c>
      <c r="P3711" s="50">
        <v>145.96200000000002</v>
      </c>
    </row>
    <row r="3712" spans="4:16" x14ac:dyDescent="0.2">
      <c r="D3712">
        <v>100002219</v>
      </c>
      <c r="E3712" s="49">
        <v>45096</v>
      </c>
      <c r="F3712" t="s">
        <v>3936</v>
      </c>
      <c r="G3712" t="s">
        <v>2514</v>
      </c>
      <c r="H3712">
        <v>10</v>
      </c>
      <c r="I3712">
        <v>69.19</v>
      </c>
      <c r="J3712" s="50">
        <v>691.9</v>
      </c>
      <c r="K3712" t="s">
        <v>1618</v>
      </c>
      <c r="L3712" t="s">
        <v>1839</v>
      </c>
      <c r="M3712" t="s">
        <v>1621</v>
      </c>
      <c r="N3712">
        <v>36.520000000000003</v>
      </c>
      <c r="O3712" s="49">
        <v>45097</v>
      </c>
      <c r="P3712" s="50">
        <v>311.35500000000002</v>
      </c>
    </row>
    <row r="3713" spans="4:16" x14ac:dyDescent="0.2">
      <c r="D3713">
        <v>100002219</v>
      </c>
      <c r="E3713" s="49">
        <v>44940</v>
      </c>
      <c r="F3713" t="s">
        <v>3936</v>
      </c>
      <c r="G3713" t="s">
        <v>2116</v>
      </c>
      <c r="H3713">
        <v>1</v>
      </c>
      <c r="I3713">
        <v>13.85</v>
      </c>
      <c r="J3713" s="50">
        <v>13.85</v>
      </c>
      <c r="K3713" t="s">
        <v>1618</v>
      </c>
      <c r="L3713" t="s">
        <v>1839</v>
      </c>
      <c r="M3713" t="s">
        <v>1619</v>
      </c>
      <c r="N3713">
        <v>7.31</v>
      </c>
      <c r="O3713" s="49">
        <v>44945</v>
      </c>
      <c r="P3713" s="50">
        <v>6.2324999999999999</v>
      </c>
    </row>
    <row r="3714" spans="4:16" x14ac:dyDescent="0.2">
      <c r="D3714">
        <v>100002219</v>
      </c>
      <c r="E3714" s="49">
        <v>44555</v>
      </c>
      <c r="F3714" t="s">
        <v>3936</v>
      </c>
      <c r="G3714" t="s">
        <v>2553</v>
      </c>
      <c r="H3714">
        <v>7</v>
      </c>
      <c r="I3714">
        <v>43.95</v>
      </c>
      <c r="J3714" s="50">
        <v>307.64999999999998</v>
      </c>
      <c r="K3714" t="s">
        <v>1618</v>
      </c>
      <c r="L3714" t="s">
        <v>1839</v>
      </c>
      <c r="M3714" t="s">
        <v>1621</v>
      </c>
      <c r="N3714">
        <v>23.2</v>
      </c>
      <c r="O3714" s="49">
        <v>44557</v>
      </c>
      <c r="P3714" s="50">
        <v>138.4425</v>
      </c>
    </row>
    <row r="3715" spans="4:16" x14ac:dyDescent="0.2">
      <c r="D3715">
        <v>100002220</v>
      </c>
      <c r="E3715" s="49">
        <v>44391</v>
      </c>
      <c r="F3715" t="s">
        <v>3937</v>
      </c>
      <c r="G3715" t="s">
        <v>1669</v>
      </c>
      <c r="H3715">
        <v>1</v>
      </c>
      <c r="I3715">
        <v>100.48</v>
      </c>
      <c r="J3715" s="50">
        <v>100.48</v>
      </c>
      <c r="K3715" t="s">
        <v>1618</v>
      </c>
      <c r="M3715" t="s">
        <v>1627</v>
      </c>
      <c r="N3715">
        <v>53.03</v>
      </c>
      <c r="O3715" s="49">
        <v>44392</v>
      </c>
      <c r="P3715" s="50">
        <v>45.216000000000001</v>
      </c>
    </row>
    <row r="3716" spans="4:16" x14ac:dyDescent="0.2">
      <c r="D3716">
        <v>100002220</v>
      </c>
      <c r="E3716" s="49">
        <v>44611</v>
      </c>
      <c r="F3716" t="s">
        <v>3937</v>
      </c>
      <c r="G3716" t="s">
        <v>1665</v>
      </c>
      <c r="H3716">
        <v>4</v>
      </c>
      <c r="I3716">
        <v>76.599999999999994</v>
      </c>
      <c r="J3716" s="50">
        <v>306.39999999999998</v>
      </c>
      <c r="K3716" t="s">
        <v>1618</v>
      </c>
      <c r="M3716" t="s">
        <v>1621</v>
      </c>
      <c r="N3716">
        <v>40.43</v>
      </c>
      <c r="O3716" s="49">
        <v>44615</v>
      </c>
      <c r="P3716" s="50">
        <v>137.88</v>
      </c>
    </row>
    <row r="3717" spans="4:16" x14ac:dyDescent="0.2">
      <c r="D3717">
        <v>100002220</v>
      </c>
      <c r="E3717" s="49">
        <v>45007</v>
      </c>
      <c r="F3717" t="s">
        <v>3937</v>
      </c>
      <c r="G3717" t="s">
        <v>2305</v>
      </c>
      <c r="H3717">
        <v>5</v>
      </c>
      <c r="I3717">
        <v>90.38</v>
      </c>
      <c r="J3717" s="50">
        <v>451.9</v>
      </c>
      <c r="K3717" t="s">
        <v>1618</v>
      </c>
      <c r="M3717" t="s">
        <v>1619</v>
      </c>
      <c r="N3717">
        <v>47.7</v>
      </c>
      <c r="O3717" s="49">
        <v>45008</v>
      </c>
      <c r="P3717" s="50">
        <v>203.35499999999999</v>
      </c>
    </row>
    <row r="3718" spans="4:16" x14ac:dyDescent="0.2">
      <c r="D3718">
        <v>100002221</v>
      </c>
      <c r="E3718" s="49">
        <v>45408</v>
      </c>
      <c r="F3718" t="s">
        <v>3938</v>
      </c>
      <c r="G3718" t="s">
        <v>1846</v>
      </c>
      <c r="H3718">
        <v>10</v>
      </c>
      <c r="I3718">
        <v>102.44</v>
      </c>
      <c r="J3718" s="50">
        <v>1024.4000000000001</v>
      </c>
      <c r="K3718" t="s">
        <v>1632</v>
      </c>
      <c r="M3718" t="s">
        <v>1619</v>
      </c>
      <c r="N3718">
        <v>54.07</v>
      </c>
      <c r="O3718" s="49">
        <v>45411</v>
      </c>
      <c r="P3718" s="50">
        <v>460.98000000000008</v>
      </c>
    </row>
    <row r="3719" spans="4:16" x14ac:dyDescent="0.2">
      <c r="D3719">
        <v>100002221</v>
      </c>
      <c r="E3719" s="49">
        <v>44867</v>
      </c>
      <c r="F3719" t="s">
        <v>3938</v>
      </c>
      <c r="G3719" t="s">
        <v>2076</v>
      </c>
      <c r="H3719">
        <v>10</v>
      </c>
      <c r="I3719">
        <v>57.72</v>
      </c>
      <c r="J3719" s="50">
        <v>577.20000000000005</v>
      </c>
      <c r="K3719" t="s">
        <v>1632</v>
      </c>
      <c r="M3719" t="s">
        <v>1627</v>
      </c>
      <c r="N3719">
        <v>30.46</v>
      </c>
      <c r="O3719" s="49">
        <v>44871</v>
      </c>
      <c r="P3719" s="50">
        <v>259.74</v>
      </c>
    </row>
    <row r="3720" spans="4:16" x14ac:dyDescent="0.2">
      <c r="D3720">
        <v>100002222</v>
      </c>
      <c r="E3720" s="49">
        <v>44441</v>
      </c>
      <c r="F3720" t="s">
        <v>3939</v>
      </c>
      <c r="G3720" t="s">
        <v>1819</v>
      </c>
      <c r="H3720">
        <v>10</v>
      </c>
      <c r="I3720">
        <v>47.4</v>
      </c>
      <c r="J3720" s="50">
        <v>474</v>
      </c>
      <c r="K3720" t="s">
        <v>1618</v>
      </c>
      <c r="M3720" t="s">
        <v>1619</v>
      </c>
      <c r="N3720">
        <v>25.02</v>
      </c>
      <c r="O3720" s="49">
        <v>44442</v>
      </c>
      <c r="P3720" s="50">
        <v>213.3</v>
      </c>
    </row>
    <row r="3721" spans="4:16" x14ac:dyDescent="0.2">
      <c r="D3721">
        <v>100002222</v>
      </c>
      <c r="E3721" s="49">
        <v>44856</v>
      </c>
      <c r="F3721" t="s">
        <v>3939</v>
      </c>
      <c r="G3721" t="s">
        <v>1864</v>
      </c>
      <c r="H3721">
        <v>6</v>
      </c>
      <c r="I3721">
        <v>59.74</v>
      </c>
      <c r="J3721" s="50">
        <v>358.44</v>
      </c>
      <c r="K3721" t="s">
        <v>1618</v>
      </c>
      <c r="M3721" t="s">
        <v>1619</v>
      </c>
      <c r="N3721">
        <v>31.53</v>
      </c>
      <c r="O3721" s="49">
        <v>44861</v>
      </c>
      <c r="P3721" s="50">
        <v>161.298</v>
      </c>
    </row>
    <row r="3722" spans="4:16" x14ac:dyDescent="0.2">
      <c r="D3722">
        <v>100002223</v>
      </c>
      <c r="E3722" s="49">
        <v>45610</v>
      </c>
      <c r="F3722" t="s">
        <v>3940</v>
      </c>
      <c r="G3722" t="s">
        <v>1697</v>
      </c>
      <c r="H3722">
        <v>4</v>
      </c>
      <c r="I3722">
        <v>69.52</v>
      </c>
      <c r="J3722" s="50">
        <v>278.08</v>
      </c>
      <c r="K3722" t="s">
        <v>1618</v>
      </c>
      <c r="M3722" t="s">
        <v>1619</v>
      </c>
      <c r="N3722">
        <v>36.69</v>
      </c>
      <c r="O3722" s="49">
        <v>45615</v>
      </c>
      <c r="P3722" s="50">
        <v>125.136</v>
      </c>
    </row>
    <row r="3723" spans="4:16" x14ac:dyDescent="0.2">
      <c r="D3723">
        <v>100002224</v>
      </c>
      <c r="E3723" s="49">
        <v>44497</v>
      </c>
      <c r="F3723" t="s">
        <v>3941</v>
      </c>
      <c r="G3723" t="s">
        <v>2213</v>
      </c>
      <c r="H3723">
        <v>9</v>
      </c>
      <c r="I3723">
        <v>63.81</v>
      </c>
      <c r="J3723" s="50">
        <v>574.29</v>
      </c>
      <c r="K3723" t="s">
        <v>1618</v>
      </c>
      <c r="M3723" t="s">
        <v>1629</v>
      </c>
      <c r="N3723">
        <v>33.68</v>
      </c>
      <c r="O3723" s="49">
        <v>44500</v>
      </c>
      <c r="P3723" s="50">
        <v>258.43049999999999</v>
      </c>
    </row>
    <row r="3724" spans="4:16" x14ac:dyDescent="0.2">
      <c r="D3724">
        <v>100002225</v>
      </c>
      <c r="E3724" s="49">
        <v>44655</v>
      </c>
      <c r="F3724" t="s">
        <v>3942</v>
      </c>
      <c r="G3724" t="s">
        <v>1782</v>
      </c>
      <c r="H3724">
        <v>9</v>
      </c>
      <c r="I3724">
        <v>98.78</v>
      </c>
      <c r="J3724" s="50">
        <v>889.02</v>
      </c>
      <c r="K3724" t="s">
        <v>1618</v>
      </c>
      <c r="M3724" t="s">
        <v>1627</v>
      </c>
      <c r="N3724">
        <v>52.13</v>
      </c>
      <c r="O3724" s="49">
        <v>44658</v>
      </c>
      <c r="P3724" s="50">
        <v>400.05900000000003</v>
      </c>
    </row>
    <row r="3725" spans="4:16" x14ac:dyDescent="0.2">
      <c r="D3725">
        <v>100002226</v>
      </c>
      <c r="E3725" s="49">
        <v>44418</v>
      </c>
      <c r="F3725" t="s">
        <v>3943</v>
      </c>
      <c r="G3725" t="s">
        <v>1690</v>
      </c>
      <c r="H3725">
        <v>2</v>
      </c>
      <c r="I3725">
        <v>42.84</v>
      </c>
      <c r="J3725" s="50">
        <v>85.68</v>
      </c>
      <c r="K3725" t="s">
        <v>1618</v>
      </c>
      <c r="M3725" t="s">
        <v>1629</v>
      </c>
      <c r="N3725">
        <v>22.61</v>
      </c>
      <c r="O3725" s="49">
        <v>44420</v>
      </c>
      <c r="P3725" s="50">
        <v>38.556000000000004</v>
      </c>
    </row>
    <row r="3726" spans="4:16" x14ac:dyDescent="0.2">
      <c r="D3726">
        <v>100002226</v>
      </c>
      <c r="E3726" s="49">
        <v>44372</v>
      </c>
      <c r="F3726" t="s">
        <v>3943</v>
      </c>
      <c r="G3726" t="s">
        <v>1978</v>
      </c>
      <c r="H3726">
        <v>9</v>
      </c>
      <c r="I3726">
        <v>111.93</v>
      </c>
      <c r="J3726" s="50">
        <v>1007.37</v>
      </c>
      <c r="K3726" t="s">
        <v>1618</v>
      </c>
      <c r="M3726" t="s">
        <v>1619</v>
      </c>
      <c r="N3726">
        <v>59.07</v>
      </c>
      <c r="O3726" s="49">
        <v>44375</v>
      </c>
      <c r="P3726" s="50">
        <v>453.31650000000002</v>
      </c>
    </row>
    <row r="3727" spans="4:16" x14ac:dyDescent="0.2">
      <c r="D3727">
        <v>100002226</v>
      </c>
      <c r="E3727" s="49">
        <v>44680</v>
      </c>
      <c r="F3727" t="s">
        <v>3943</v>
      </c>
      <c r="G3727" t="s">
        <v>1846</v>
      </c>
      <c r="H3727">
        <v>9</v>
      </c>
      <c r="I3727">
        <v>56.93</v>
      </c>
      <c r="J3727" s="50">
        <v>512.37</v>
      </c>
      <c r="K3727" t="s">
        <v>1618</v>
      </c>
      <c r="M3727" t="s">
        <v>1621</v>
      </c>
      <c r="N3727">
        <v>30.05</v>
      </c>
      <c r="O3727" s="49">
        <v>44681</v>
      </c>
      <c r="P3727" s="50">
        <v>230.56650000000002</v>
      </c>
    </row>
    <row r="3728" spans="4:16" x14ac:dyDescent="0.2">
      <c r="D3728">
        <v>100002227</v>
      </c>
      <c r="E3728" s="49">
        <v>45018</v>
      </c>
      <c r="F3728" t="s">
        <v>3944</v>
      </c>
      <c r="G3728" t="s">
        <v>1922</v>
      </c>
      <c r="H3728">
        <v>10</v>
      </c>
      <c r="I3728">
        <v>30.21</v>
      </c>
      <c r="J3728" s="50">
        <v>302.10000000000002</v>
      </c>
      <c r="K3728" t="s">
        <v>1618</v>
      </c>
      <c r="M3728" t="s">
        <v>1629</v>
      </c>
      <c r="N3728">
        <v>15.94</v>
      </c>
      <c r="O3728" s="49">
        <v>45021</v>
      </c>
      <c r="P3728" s="50">
        <v>135.94500000000002</v>
      </c>
    </row>
    <row r="3729" spans="4:16" x14ac:dyDescent="0.2">
      <c r="D3729">
        <v>100002227</v>
      </c>
      <c r="E3729" s="49">
        <v>45441</v>
      </c>
      <c r="F3729" t="s">
        <v>3944</v>
      </c>
      <c r="G3729" t="s">
        <v>1945</v>
      </c>
      <c r="H3729">
        <v>4</v>
      </c>
      <c r="I3729">
        <v>89.62</v>
      </c>
      <c r="J3729" s="50">
        <v>358.48</v>
      </c>
      <c r="K3729" t="s">
        <v>1618</v>
      </c>
      <c r="M3729" t="s">
        <v>1629</v>
      </c>
      <c r="N3729">
        <v>47.3</v>
      </c>
      <c r="O3729" s="49">
        <v>45445</v>
      </c>
      <c r="P3729" s="50">
        <v>161.316</v>
      </c>
    </row>
    <row r="3730" spans="4:16" x14ac:dyDescent="0.2">
      <c r="D3730">
        <v>100002228</v>
      </c>
      <c r="E3730" s="49">
        <v>45261</v>
      </c>
      <c r="F3730" t="s">
        <v>3945</v>
      </c>
      <c r="G3730" t="s">
        <v>2733</v>
      </c>
      <c r="H3730">
        <v>3</v>
      </c>
      <c r="I3730">
        <v>18.52</v>
      </c>
      <c r="J3730" s="50">
        <v>55.56</v>
      </c>
      <c r="K3730" t="s">
        <v>1618</v>
      </c>
      <c r="M3730" t="s">
        <v>1627</v>
      </c>
      <c r="N3730">
        <v>9.77</v>
      </c>
      <c r="O3730" s="49">
        <v>45266</v>
      </c>
      <c r="P3730" s="50">
        <v>25.002000000000002</v>
      </c>
    </row>
    <row r="3731" spans="4:16" x14ac:dyDescent="0.2">
      <c r="D3731">
        <v>100002230</v>
      </c>
      <c r="E3731" s="49">
        <v>45210</v>
      </c>
      <c r="F3731" t="s">
        <v>3946</v>
      </c>
      <c r="G3731" t="s">
        <v>1731</v>
      </c>
      <c r="H3731">
        <v>7</v>
      </c>
      <c r="I3731">
        <v>118.28</v>
      </c>
      <c r="J3731" s="50">
        <v>827.96</v>
      </c>
      <c r="K3731" t="s">
        <v>1618</v>
      </c>
      <c r="M3731" t="s">
        <v>1629</v>
      </c>
      <c r="N3731">
        <v>62.43</v>
      </c>
      <c r="O3731" s="49">
        <v>45212</v>
      </c>
      <c r="P3731" s="50">
        <v>372.58200000000005</v>
      </c>
    </row>
    <row r="3732" spans="4:16" x14ac:dyDescent="0.2">
      <c r="D3732">
        <v>100002230</v>
      </c>
      <c r="E3732" s="49">
        <v>45620</v>
      </c>
      <c r="F3732" t="s">
        <v>3946</v>
      </c>
      <c r="G3732" t="s">
        <v>1727</v>
      </c>
      <c r="H3732">
        <v>10</v>
      </c>
      <c r="I3732">
        <v>103.47</v>
      </c>
      <c r="J3732" s="50">
        <v>1034.7</v>
      </c>
      <c r="K3732" t="s">
        <v>1618</v>
      </c>
      <c r="M3732" t="s">
        <v>1624</v>
      </c>
      <c r="N3732">
        <v>54.61</v>
      </c>
      <c r="O3732" s="49">
        <v>45623</v>
      </c>
      <c r="P3732" s="50">
        <v>465.61500000000001</v>
      </c>
    </row>
    <row r="3733" spans="4:16" x14ac:dyDescent="0.2">
      <c r="D3733">
        <v>100002230</v>
      </c>
      <c r="E3733" s="49">
        <v>45161</v>
      </c>
      <c r="F3733" t="s">
        <v>3946</v>
      </c>
      <c r="G3733" t="s">
        <v>2581</v>
      </c>
      <c r="H3733">
        <v>6</v>
      </c>
      <c r="I3733">
        <v>119.65</v>
      </c>
      <c r="J3733" s="50">
        <v>717.90000000000009</v>
      </c>
      <c r="K3733" t="s">
        <v>1618</v>
      </c>
      <c r="M3733" t="s">
        <v>1619</v>
      </c>
      <c r="N3733">
        <v>63.15</v>
      </c>
      <c r="O3733" s="49">
        <v>45166</v>
      </c>
      <c r="P3733" s="50">
        <v>323.05500000000006</v>
      </c>
    </row>
    <row r="3734" spans="4:16" x14ac:dyDescent="0.2">
      <c r="D3734">
        <v>100002232</v>
      </c>
      <c r="E3734" s="49">
        <v>45611</v>
      </c>
      <c r="F3734" t="s">
        <v>3947</v>
      </c>
      <c r="G3734" t="s">
        <v>1718</v>
      </c>
      <c r="H3734">
        <v>8</v>
      </c>
      <c r="I3734">
        <v>32.93</v>
      </c>
      <c r="J3734" s="50">
        <v>263.44</v>
      </c>
      <c r="K3734" t="s">
        <v>1618</v>
      </c>
      <c r="L3734" t="s">
        <v>3948</v>
      </c>
      <c r="M3734" t="s">
        <v>1624</v>
      </c>
      <c r="N3734">
        <v>17.38</v>
      </c>
      <c r="O3734" s="49">
        <v>45612</v>
      </c>
      <c r="P3734" s="50">
        <v>118.548</v>
      </c>
    </row>
    <row r="3735" spans="4:16" x14ac:dyDescent="0.2">
      <c r="D3735">
        <v>100002232</v>
      </c>
      <c r="E3735" s="49">
        <v>44254</v>
      </c>
      <c r="F3735" t="s">
        <v>3947</v>
      </c>
      <c r="G3735" t="s">
        <v>2069</v>
      </c>
      <c r="H3735">
        <v>2</v>
      </c>
      <c r="I3735">
        <v>67.59</v>
      </c>
      <c r="J3735" s="50">
        <v>135.18</v>
      </c>
      <c r="K3735" t="s">
        <v>1618</v>
      </c>
      <c r="L3735" t="s">
        <v>3948</v>
      </c>
      <c r="M3735" t="s">
        <v>1619</v>
      </c>
      <c r="N3735">
        <v>35.67</v>
      </c>
      <c r="O3735" s="49">
        <v>44259</v>
      </c>
      <c r="P3735" s="50">
        <v>60.831000000000003</v>
      </c>
    </row>
    <row r="3736" spans="4:16" x14ac:dyDescent="0.2">
      <c r="D3736">
        <v>100002232</v>
      </c>
      <c r="E3736" s="49">
        <v>44380</v>
      </c>
      <c r="F3736" t="s">
        <v>3947</v>
      </c>
      <c r="G3736" t="s">
        <v>1913</v>
      </c>
      <c r="H3736">
        <v>8</v>
      </c>
      <c r="I3736">
        <v>26.59</v>
      </c>
      <c r="J3736" s="50">
        <v>212.72</v>
      </c>
      <c r="K3736" t="s">
        <v>1618</v>
      </c>
      <c r="L3736" t="s">
        <v>3948</v>
      </c>
      <c r="M3736" t="s">
        <v>1624</v>
      </c>
      <c r="N3736">
        <v>14.03</v>
      </c>
      <c r="O3736" s="49">
        <v>44384</v>
      </c>
      <c r="P3736" s="50">
        <v>95.724000000000004</v>
      </c>
    </row>
    <row r="3737" spans="4:16" x14ac:dyDescent="0.2">
      <c r="D3737">
        <v>100002232</v>
      </c>
      <c r="E3737" s="49">
        <v>45510</v>
      </c>
      <c r="F3737" t="s">
        <v>3947</v>
      </c>
      <c r="G3737" t="s">
        <v>1739</v>
      </c>
      <c r="H3737">
        <v>2</v>
      </c>
      <c r="I3737">
        <v>90.3</v>
      </c>
      <c r="J3737" s="50">
        <v>180.6</v>
      </c>
      <c r="K3737" t="s">
        <v>1618</v>
      </c>
      <c r="L3737" t="s">
        <v>3948</v>
      </c>
      <c r="M3737" t="s">
        <v>1619</v>
      </c>
      <c r="N3737">
        <v>47.66</v>
      </c>
      <c r="O3737" s="49">
        <v>45514</v>
      </c>
      <c r="P3737" s="50">
        <v>81.27</v>
      </c>
    </row>
    <row r="3738" spans="4:16" x14ac:dyDescent="0.2">
      <c r="D3738">
        <v>100002232</v>
      </c>
      <c r="E3738" s="49">
        <v>45321</v>
      </c>
      <c r="F3738" t="s">
        <v>3947</v>
      </c>
      <c r="G3738" t="s">
        <v>2412</v>
      </c>
      <c r="H3738">
        <v>5</v>
      </c>
      <c r="I3738">
        <v>71.709999999999994</v>
      </c>
      <c r="J3738" s="50">
        <v>358.55</v>
      </c>
      <c r="K3738" t="s">
        <v>1618</v>
      </c>
      <c r="L3738" t="s">
        <v>3948</v>
      </c>
      <c r="M3738" t="s">
        <v>1619</v>
      </c>
      <c r="N3738">
        <v>37.85</v>
      </c>
      <c r="O3738" s="49">
        <v>45326</v>
      </c>
      <c r="P3738" s="50">
        <v>161.3475</v>
      </c>
    </row>
    <row r="3739" spans="4:16" x14ac:dyDescent="0.2">
      <c r="D3739">
        <v>100002232</v>
      </c>
      <c r="E3739" s="49">
        <v>44985</v>
      </c>
      <c r="F3739" t="s">
        <v>3947</v>
      </c>
      <c r="G3739" t="s">
        <v>1805</v>
      </c>
      <c r="H3739">
        <v>7</v>
      </c>
      <c r="I3739">
        <v>105.65</v>
      </c>
      <c r="J3739" s="50">
        <v>739.55000000000007</v>
      </c>
      <c r="K3739" t="s">
        <v>1618</v>
      </c>
      <c r="L3739" t="s">
        <v>3948</v>
      </c>
      <c r="M3739" t="s">
        <v>1624</v>
      </c>
      <c r="N3739">
        <v>55.76</v>
      </c>
      <c r="O3739" s="49">
        <v>44986</v>
      </c>
      <c r="P3739" s="50">
        <v>332.79750000000001</v>
      </c>
    </row>
    <row r="3740" spans="4:16" x14ac:dyDescent="0.2">
      <c r="D3740">
        <v>100002232</v>
      </c>
      <c r="E3740" s="49">
        <v>44883</v>
      </c>
      <c r="F3740" t="s">
        <v>3947</v>
      </c>
      <c r="G3740" t="s">
        <v>2337</v>
      </c>
      <c r="H3740">
        <v>1</v>
      </c>
      <c r="I3740">
        <v>81.87</v>
      </c>
      <c r="J3740" s="50">
        <v>81.87</v>
      </c>
      <c r="K3740" t="s">
        <v>1618</v>
      </c>
      <c r="L3740" t="s">
        <v>3948</v>
      </c>
      <c r="M3740" t="s">
        <v>1619</v>
      </c>
      <c r="N3740">
        <v>43.21</v>
      </c>
      <c r="O3740" s="49">
        <v>44884</v>
      </c>
      <c r="P3740" s="50">
        <v>36.841500000000003</v>
      </c>
    </row>
    <row r="3741" spans="4:16" x14ac:dyDescent="0.2">
      <c r="D3741">
        <v>100002233</v>
      </c>
      <c r="E3741" s="49">
        <v>45299</v>
      </c>
      <c r="F3741" t="s">
        <v>3638</v>
      </c>
      <c r="G3741" t="s">
        <v>1953</v>
      </c>
      <c r="H3741">
        <v>3</v>
      </c>
      <c r="I3741">
        <v>31.51</v>
      </c>
      <c r="J3741" s="50">
        <v>94.53</v>
      </c>
      <c r="K3741" t="s">
        <v>1618</v>
      </c>
      <c r="L3741" t="s">
        <v>3949</v>
      </c>
      <c r="M3741" t="s">
        <v>1621</v>
      </c>
      <c r="N3741">
        <v>16.63</v>
      </c>
      <c r="O3741" s="49">
        <v>45303</v>
      </c>
      <c r="P3741" s="50">
        <v>42.538499999999999</v>
      </c>
    </row>
    <row r="3742" spans="4:16" x14ac:dyDescent="0.2">
      <c r="D3742">
        <v>100002234</v>
      </c>
      <c r="E3742" s="49">
        <v>45017</v>
      </c>
      <c r="F3742" t="s">
        <v>3950</v>
      </c>
      <c r="G3742" t="s">
        <v>2387</v>
      </c>
      <c r="H3742">
        <v>4</v>
      </c>
      <c r="I3742">
        <v>61.67</v>
      </c>
      <c r="J3742" s="50">
        <v>246.68</v>
      </c>
      <c r="K3742" t="s">
        <v>1618</v>
      </c>
      <c r="M3742" t="s">
        <v>1629</v>
      </c>
      <c r="N3742">
        <v>32.549999999999997</v>
      </c>
      <c r="O3742" s="49">
        <v>45021</v>
      </c>
      <c r="P3742" s="50">
        <v>111.006</v>
      </c>
    </row>
    <row r="3743" spans="4:16" x14ac:dyDescent="0.2">
      <c r="D3743">
        <v>100002235</v>
      </c>
      <c r="E3743" s="49">
        <v>44590</v>
      </c>
      <c r="F3743" t="s">
        <v>3951</v>
      </c>
      <c r="G3743" t="s">
        <v>2465</v>
      </c>
      <c r="H3743">
        <v>10</v>
      </c>
      <c r="I3743">
        <v>105.5</v>
      </c>
      <c r="J3743" s="50">
        <v>1055</v>
      </c>
      <c r="K3743" t="s">
        <v>1618</v>
      </c>
      <c r="M3743" t="s">
        <v>1629</v>
      </c>
      <c r="N3743">
        <v>55.68</v>
      </c>
      <c r="O3743" s="49">
        <v>44591</v>
      </c>
      <c r="P3743" s="50">
        <v>474.75</v>
      </c>
    </row>
    <row r="3744" spans="4:16" x14ac:dyDescent="0.2">
      <c r="D3744">
        <v>100002236</v>
      </c>
      <c r="E3744" s="49">
        <v>44741</v>
      </c>
      <c r="F3744" t="s">
        <v>3952</v>
      </c>
      <c r="G3744" t="s">
        <v>1953</v>
      </c>
      <c r="H3744">
        <v>10</v>
      </c>
      <c r="I3744">
        <v>59.87</v>
      </c>
      <c r="J3744" s="50">
        <v>598.69999999999993</v>
      </c>
      <c r="K3744" t="s">
        <v>1618</v>
      </c>
      <c r="M3744" t="s">
        <v>1621</v>
      </c>
      <c r="N3744">
        <v>31.6</v>
      </c>
      <c r="O3744" s="49">
        <v>44746</v>
      </c>
      <c r="P3744" s="50">
        <v>269.41499999999996</v>
      </c>
    </row>
    <row r="3745" spans="4:16" x14ac:dyDescent="0.2">
      <c r="D3745">
        <v>100002237</v>
      </c>
      <c r="E3745" s="49">
        <v>45151</v>
      </c>
      <c r="F3745" t="s">
        <v>3953</v>
      </c>
      <c r="G3745" t="s">
        <v>1709</v>
      </c>
      <c r="H3745">
        <v>6</v>
      </c>
      <c r="I3745">
        <v>105.58</v>
      </c>
      <c r="J3745" s="50">
        <v>633.48</v>
      </c>
      <c r="K3745" t="s">
        <v>1618</v>
      </c>
      <c r="L3745" t="s">
        <v>3954</v>
      </c>
      <c r="M3745" t="s">
        <v>1627</v>
      </c>
      <c r="N3745">
        <v>55.72</v>
      </c>
      <c r="O3745" s="49">
        <v>45153</v>
      </c>
      <c r="P3745" s="50">
        <v>285.06600000000003</v>
      </c>
    </row>
    <row r="3746" spans="4:16" x14ac:dyDescent="0.2">
      <c r="D3746">
        <v>100002238</v>
      </c>
      <c r="E3746" s="49">
        <v>44404</v>
      </c>
      <c r="F3746" t="s">
        <v>3955</v>
      </c>
      <c r="G3746" t="s">
        <v>1731</v>
      </c>
      <c r="H3746">
        <v>8</v>
      </c>
      <c r="I3746">
        <v>114.59</v>
      </c>
      <c r="J3746" s="50">
        <v>916.72</v>
      </c>
      <c r="K3746" t="s">
        <v>1632</v>
      </c>
      <c r="L3746" t="s">
        <v>3956</v>
      </c>
      <c r="M3746" t="s">
        <v>1624</v>
      </c>
      <c r="N3746">
        <v>60.48</v>
      </c>
      <c r="O3746" s="49">
        <v>44408</v>
      </c>
      <c r="P3746" s="50">
        <v>412.524</v>
      </c>
    </row>
    <row r="3747" spans="4:16" x14ac:dyDescent="0.2">
      <c r="D3747">
        <v>100002242</v>
      </c>
      <c r="E3747" s="49">
        <v>44342</v>
      </c>
      <c r="F3747" t="s">
        <v>3957</v>
      </c>
      <c r="G3747" t="s">
        <v>2217</v>
      </c>
      <c r="H3747">
        <v>8</v>
      </c>
      <c r="I3747">
        <v>80.040000000000006</v>
      </c>
      <c r="J3747" s="50">
        <v>640.32000000000005</v>
      </c>
      <c r="K3747" t="s">
        <v>1618</v>
      </c>
      <c r="M3747" t="s">
        <v>1621</v>
      </c>
      <c r="N3747">
        <v>42.24</v>
      </c>
      <c r="O3747" s="49">
        <v>44343</v>
      </c>
      <c r="P3747" s="50">
        <v>288.14400000000001</v>
      </c>
    </row>
    <row r="3748" spans="4:16" x14ac:dyDescent="0.2">
      <c r="D3748">
        <v>100002242</v>
      </c>
      <c r="E3748" s="49">
        <v>44495</v>
      </c>
      <c r="F3748" t="s">
        <v>3957</v>
      </c>
      <c r="G3748" t="s">
        <v>1963</v>
      </c>
      <c r="H3748">
        <v>2</v>
      </c>
      <c r="I3748">
        <v>90.4</v>
      </c>
      <c r="J3748" s="50">
        <v>180.8</v>
      </c>
      <c r="K3748" t="s">
        <v>1618</v>
      </c>
      <c r="M3748" t="s">
        <v>1619</v>
      </c>
      <c r="N3748">
        <v>47.71</v>
      </c>
      <c r="O3748" s="49">
        <v>44496</v>
      </c>
      <c r="P3748" s="50">
        <v>81.360000000000014</v>
      </c>
    </row>
    <row r="3749" spans="4:16" x14ac:dyDescent="0.2">
      <c r="D3749">
        <v>100002242</v>
      </c>
      <c r="E3749" s="49">
        <v>44239</v>
      </c>
      <c r="F3749" t="s">
        <v>3957</v>
      </c>
      <c r="G3749" t="s">
        <v>2071</v>
      </c>
      <c r="H3749">
        <v>8</v>
      </c>
      <c r="I3749">
        <v>63.11</v>
      </c>
      <c r="J3749" s="50">
        <v>504.88</v>
      </c>
      <c r="K3749" t="s">
        <v>1618</v>
      </c>
      <c r="M3749" t="s">
        <v>1627</v>
      </c>
      <c r="N3749">
        <v>33.31</v>
      </c>
      <c r="O3749" s="49">
        <v>44242</v>
      </c>
      <c r="P3749" s="50">
        <v>227.196</v>
      </c>
    </row>
    <row r="3750" spans="4:16" x14ac:dyDescent="0.2">
      <c r="D3750">
        <v>100002242</v>
      </c>
      <c r="E3750" s="49">
        <v>45606</v>
      </c>
      <c r="F3750" t="s">
        <v>3957</v>
      </c>
      <c r="G3750" t="s">
        <v>1918</v>
      </c>
      <c r="H3750">
        <v>10</v>
      </c>
      <c r="I3750">
        <v>11.34</v>
      </c>
      <c r="J3750" s="50">
        <v>113.4</v>
      </c>
      <c r="K3750" t="s">
        <v>1618</v>
      </c>
      <c r="M3750" t="s">
        <v>1621</v>
      </c>
      <c r="N3750">
        <v>5.98</v>
      </c>
      <c r="O3750" s="49">
        <v>45609</v>
      </c>
      <c r="P3750" s="50">
        <v>51.03</v>
      </c>
    </row>
    <row r="3751" spans="4:16" x14ac:dyDescent="0.2">
      <c r="D3751">
        <v>100002242</v>
      </c>
      <c r="E3751" s="49">
        <v>44245</v>
      </c>
      <c r="F3751" t="s">
        <v>3957</v>
      </c>
      <c r="G3751" t="s">
        <v>2158</v>
      </c>
      <c r="H3751">
        <v>7</v>
      </c>
      <c r="I3751">
        <v>41.75</v>
      </c>
      <c r="J3751" s="50">
        <v>292.25</v>
      </c>
      <c r="K3751" t="s">
        <v>1618</v>
      </c>
      <c r="M3751" t="s">
        <v>1621</v>
      </c>
      <c r="N3751">
        <v>22.03</v>
      </c>
      <c r="O3751" s="49">
        <v>44246</v>
      </c>
      <c r="P3751" s="50">
        <v>131.51250000000002</v>
      </c>
    </row>
    <row r="3752" spans="4:16" x14ac:dyDescent="0.2">
      <c r="D3752">
        <v>100002243</v>
      </c>
      <c r="E3752" s="49">
        <v>45176</v>
      </c>
      <c r="F3752" t="s">
        <v>3958</v>
      </c>
      <c r="G3752" t="s">
        <v>2191</v>
      </c>
      <c r="H3752">
        <v>5</v>
      </c>
      <c r="I3752">
        <v>115.33</v>
      </c>
      <c r="J3752" s="50">
        <v>576.65</v>
      </c>
      <c r="K3752" t="s">
        <v>1618</v>
      </c>
      <c r="M3752" t="s">
        <v>1627</v>
      </c>
      <c r="N3752">
        <v>60.87</v>
      </c>
      <c r="O3752" s="49">
        <v>45179</v>
      </c>
      <c r="P3752" s="50">
        <v>259.49250000000001</v>
      </c>
    </row>
    <row r="3753" spans="4:16" x14ac:dyDescent="0.2">
      <c r="D3753">
        <v>100002243</v>
      </c>
      <c r="E3753" s="49">
        <v>44777</v>
      </c>
      <c r="F3753" t="s">
        <v>3958</v>
      </c>
      <c r="G3753" t="s">
        <v>1705</v>
      </c>
      <c r="H3753">
        <v>8</v>
      </c>
      <c r="I3753">
        <v>63.01</v>
      </c>
      <c r="J3753" s="50">
        <v>504.08</v>
      </c>
      <c r="K3753" t="s">
        <v>1618</v>
      </c>
      <c r="M3753" t="s">
        <v>1624</v>
      </c>
      <c r="N3753">
        <v>33.26</v>
      </c>
      <c r="O3753" s="49">
        <v>44782</v>
      </c>
      <c r="P3753" s="50">
        <v>226.83599999999998</v>
      </c>
    </row>
    <row r="3754" spans="4:16" x14ac:dyDescent="0.2">
      <c r="D3754">
        <v>100002243</v>
      </c>
      <c r="E3754" s="49">
        <v>44446</v>
      </c>
      <c r="F3754" t="s">
        <v>3958</v>
      </c>
      <c r="G3754" t="s">
        <v>1636</v>
      </c>
      <c r="H3754">
        <v>9</v>
      </c>
      <c r="I3754">
        <v>101.75</v>
      </c>
      <c r="J3754" s="50">
        <v>915.75</v>
      </c>
      <c r="K3754" t="s">
        <v>1618</v>
      </c>
      <c r="M3754" t="s">
        <v>1627</v>
      </c>
      <c r="N3754">
        <v>53.7</v>
      </c>
      <c r="O3754" s="49">
        <v>44447</v>
      </c>
      <c r="P3754" s="50">
        <v>412.08750000000003</v>
      </c>
    </row>
    <row r="3755" spans="4:16" x14ac:dyDescent="0.2">
      <c r="D3755">
        <v>100002243</v>
      </c>
      <c r="E3755" s="49">
        <v>44855</v>
      </c>
      <c r="F3755" t="s">
        <v>3958</v>
      </c>
      <c r="G3755" t="s">
        <v>1777</v>
      </c>
      <c r="H3755">
        <v>3</v>
      </c>
      <c r="I3755">
        <v>96.65</v>
      </c>
      <c r="J3755" s="50">
        <v>289.95</v>
      </c>
      <c r="K3755" t="s">
        <v>1618</v>
      </c>
      <c r="M3755" t="s">
        <v>1629</v>
      </c>
      <c r="N3755">
        <v>51.01</v>
      </c>
      <c r="O3755" s="49">
        <v>44859</v>
      </c>
      <c r="P3755" s="50">
        <v>130.47749999999999</v>
      </c>
    </row>
    <row r="3756" spans="4:16" x14ac:dyDescent="0.2">
      <c r="D3756">
        <v>100002243</v>
      </c>
      <c r="E3756" s="49">
        <v>45241</v>
      </c>
      <c r="F3756" t="s">
        <v>3958</v>
      </c>
      <c r="G3756" t="s">
        <v>1890</v>
      </c>
      <c r="H3756">
        <v>2</v>
      </c>
      <c r="I3756">
        <v>98.66</v>
      </c>
      <c r="J3756" s="50">
        <v>197.32</v>
      </c>
      <c r="K3756" t="s">
        <v>1618</v>
      </c>
      <c r="M3756" t="s">
        <v>1619</v>
      </c>
      <c r="N3756">
        <v>52.07</v>
      </c>
      <c r="O3756" s="49">
        <v>45243</v>
      </c>
      <c r="P3756" s="50">
        <v>88.793999999999997</v>
      </c>
    </row>
    <row r="3757" spans="4:16" x14ac:dyDescent="0.2">
      <c r="D3757">
        <v>100002244</v>
      </c>
      <c r="E3757" s="49">
        <v>44234</v>
      </c>
      <c r="F3757" t="s">
        <v>3959</v>
      </c>
      <c r="G3757" t="s">
        <v>2024</v>
      </c>
      <c r="H3757">
        <v>7</v>
      </c>
      <c r="I3757">
        <v>84.66</v>
      </c>
      <c r="J3757" s="50">
        <v>592.62</v>
      </c>
      <c r="K3757" t="s">
        <v>1618</v>
      </c>
      <c r="M3757" t="s">
        <v>1624</v>
      </c>
      <c r="N3757">
        <v>44.68</v>
      </c>
      <c r="O3757" s="49">
        <v>44235</v>
      </c>
      <c r="P3757" s="50">
        <v>266.67900000000003</v>
      </c>
    </row>
    <row r="3758" spans="4:16" x14ac:dyDescent="0.2">
      <c r="D3758">
        <v>100002244</v>
      </c>
      <c r="E3758" s="49">
        <v>44270</v>
      </c>
      <c r="F3758" t="s">
        <v>3959</v>
      </c>
      <c r="G3758" t="s">
        <v>1882</v>
      </c>
      <c r="H3758">
        <v>7</v>
      </c>
      <c r="I3758">
        <v>41.31</v>
      </c>
      <c r="J3758" s="50">
        <v>289.17</v>
      </c>
      <c r="K3758" t="s">
        <v>1618</v>
      </c>
      <c r="M3758" t="s">
        <v>1621</v>
      </c>
      <c r="N3758">
        <v>21.8</v>
      </c>
      <c r="O3758" s="49">
        <v>44274</v>
      </c>
      <c r="P3758" s="50">
        <v>130.12650000000002</v>
      </c>
    </row>
    <row r="3759" spans="4:16" x14ac:dyDescent="0.2">
      <c r="D3759">
        <v>100002245</v>
      </c>
      <c r="E3759" s="49">
        <v>44915</v>
      </c>
      <c r="F3759" t="s">
        <v>3960</v>
      </c>
      <c r="G3759" t="s">
        <v>1695</v>
      </c>
      <c r="H3759">
        <v>9</v>
      </c>
      <c r="I3759">
        <v>44.94</v>
      </c>
      <c r="J3759" s="50">
        <v>404.46</v>
      </c>
      <c r="K3759" t="s">
        <v>1618</v>
      </c>
      <c r="M3759" t="s">
        <v>1627</v>
      </c>
      <c r="N3759">
        <v>23.72</v>
      </c>
      <c r="O3759" s="49">
        <v>44920</v>
      </c>
      <c r="P3759" s="50">
        <v>182.00700000000001</v>
      </c>
    </row>
    <row r="3760" spans="4:16" x14ac:dyDescent="0.2">
      <c r="D3760">
        <v>100002246</v>
      </c>
      <c r="E3760" s="49">
        <v>45555</v>
      </c>
      <c r="F3760" t="s">
        <v>3961</v>
      </c>
      <c r="G3760" t="s">
        <v>2745</v>
      </c>
      <c r="H3760">
        <v>5</v>
      </c>
      <c r="I3760">
        <v>112.59</v>
      </c>
      <c r="J3760" s="50">
        <v>562.95000000000005</v>
      </c>
      <c r="K3760" t="s">
        <v>1618</v>
      </c>
      <c r="M3760" t="s">
        <v>1619</v>
      </c>
      <c r="N3760">
        <v>59.42</v>
      </c>
      <c r="O3760" s="49">
        <v>45559</v>
      </c>
      <c r="P3760" s="50">
        <v>253.32750000000001</v>
      </c>
    </row>
    <row r="3761" spans="4:16" x14ac:dyDescent="0.2">
      <c r="D3761">
        <v>100002247</v>
      </c>
      <c r="E3761" s="49">
        <v>44740</v>
      </c>
      <c r="F3761" t="s">
        <v>3962</v>
      </c>
      <c r="G3761" t="s">
        <v>2263</v>
      </c>
      <c r="H3761">
        <v>4</v>
      </c>
      <c r="I3761">
        <v>14.81</v>
      </c>
      <c r="J3761" s="50">
        <v>59.24</v>
      </c>
      <c r="K3761" t="s">
        <v>1618</v>
      </c>
      <c r="M3761" t="s">
        <v>1624</v>
      </c>
      <c r="N3761">
        <v>7.82</v>
      </c>
      <c r="O3761" s="49">
        <v>44741</v>
      </c>
      <c r="P3761" s="50">
        <v>26.658000000000001</v>
      </c>
    </row>
    <row r="3762" spans="4:16" x14ac:dyDescent="0.2">
      <c r="D3762">
        <v>100002250</v>
      </c>
      <c r="E3762" s="49">
        <v>44689</v>
      </c>
      <c r="F3762" t="s">
        <v>3963</v>
      </c>
      <c r="G3762" t="s">
        <v>2004</v>
      </c>
      <c r="H3762">
        <v>8</v>
      </c>
      <c r="I3762">
        <v>93.39</v>
      </c>
      <c r="J3762" s="50">
        <v>747.12</v>
      </c>
      <c r="K3762" t="s">
        <v>1618</v>
      </c>
      <c r="M3762" t="s">
        <v>1619</v>
      </c>
      <c r="N3762">
        <v>49.29</v>
      </c>
      <c r="O3762" s="49">
        <v>44690</v>
      </c>
      <c r="P3762" s="50">
        <v>336.20400000000001</v>
      </c>
    </row>
    <row r="3763" spans="4:16" x14ac:dyDescent="0.2">
      <c r="D3763">
        <v>100002250</v>
      </c>
      <c r="E3763" s="49">
        <v>44657</v>
      </c>
      <c r="F3763" t="s">
        <v>3963</v>
      </c>
      <c r="G3763" t="s">
        <v>2198</v>
      </c>
      <c r="H3763">
        <v>7</v>
      </c>
      <c r="I3763">
        <v>29.23</v>
      </c>
      <c r="J3763" s="50">
        <v>204.61</v>
      </c>
      <c r="K3763" t="s">
        <v>1618</v>
      </c>
      <c r="M3763" t="s">
        <v>1621</v>
      </c>
      <c r="N3763">
        <v>15.43</v>
      </c>
      <c r="O3763" s="49">
        <v>44662</v>
      </c>
      <c r="P3763" s="50">
        <v>92.074500000000015</v>
      </c>
    </row>
    <row r="3764" spans="4:16" x14ac:dyDescent="0.2">
      <c r="D3764">
        <v>100002250</v>
      </c>
      <c r="E3764" s="49">
        <v>45494</v>
      </c>
      <c r="F3764" t="s">
        <v>3963</v>
      </c>
      <c r="G3764" t="s">
        <v>2242</v>
      </c>
      <c r="H3764">
        <v>10</v>
      </c>
      <c r="I3764">
        <v>34.67</v>
      </c>
      <c r="J3764" s="50">
        <v>346.7</v>
      </c>
      <c r="K3764" t="s">
        <v>1618</v>
      </c>
      <c r="M3764" t="s">
        <v>1624</v>
      </c>
      <c r="N3764">
        <v>18.3</v>
      </c>
      <c r="O3764" s="49">
        <v>45496</v>
      </c>
      <c r="P3764" s="50">
        <v>156.01499999999999</v>
      </c>
    </row>
    <row r="3765" spans="4:16" x14ac:dyDescent="0.2">
      <c r="D3765">
        <v>100002250</v>
      </c>
      <c r="E3765" s="49">
        <v>44904</v>
      </c>
      <c r="F3765" t="s">
        <v>3963</v>
      </c>
      <c r="G3765" t="s">
        <v>2057</v>
      </c>
      <c r="H3765">
        <v>2</v>
      </c>
      <c r="I3765">
        <v>58.05</v>
      </c>
      <c r="J3765" s="50">
        <v>116.1</v>
      </c>
      <c r="K3765" t="s">
        <v>1618</v>
      </c>
      <c r="M3765" t="s">
        <v>1624</v>
      </c>
      <c r="N3765">
        <v>30.64</v>
      </c>
      <c r="O3765" s="49">
        <v>44905</v>
      </c>
      <c r="P3765" s="50">
        <v>52.244999999999997</v>
      </c>
    </row>
    <row r="3766" spans="4:16" x14ac:dyDescent="0.2">
      <c r="D3766">
        <v>100002251</v>
      </c>
      <c r="E3766" s="49">
        <v>45563</v>
      </c>
      <c r="F3766" t="s">
        <v>3964</v>
      </c>
      <c r="G3766" t="s">
        <v>1767</v>
      </c>
      <c r="H3766">
        <v>4</v>
      </c>
      <c r="I3766">
        <v>52.01</v>
      </c>
      <c r="J3766" s="50">
        <v>208.04</v>
      </c>
      <c r="K3766" t="s">
        <v>1618</v>
      </c>
      <c r="M3766" t="s">
        <v>1627</v>
      </c>
      <c r="N3766">
        <v>27.45</v>
      </c>
      <c r="O3766" s="49">
        <v>45566</v>
      </c>
      <c r="P3766" s="50">
        <v>93.617999999999995</v>
      </c>
    </row>
    <row r="3767" spans="4:16" x14ac:dyDescent="0.2">
      <c r="D3767">
        <v>100002251</v>
      </c>
      <c r="E3767" s="49">
        <v>44925</v>
      </c>
      <c r="F3767" t="s">
        <v>3964</v>
      </c>
      <c r="G3767" t="s">
        <v>1815</v>
      </c>
      <c r="H3767">
        <v>1</v>
      </c>
      <c r="I3767">
        <v>97.06</v>
      </c>
      <c r="J3767" s="50">
        <v>97.06</v>
      </c>
      <c r="K3767" t="s">
        <v>1618</v>
      </c>
      <c r="M3767" t="s">
        <v>1621</v>
      </c>
      <c r="N3767">
        <v>51.23</v>
      </c>
      <c r="O3767" s="49">
        <v>44929</v>
      </c>
      <c r="P3767" s="50">
        <v>43.677</v>
      </c>
    </row>
    <row r="3768" spans="4:16" x14ac:dyDescent="0.2">
      <c r="D3768">
        <v>100002251</v>
      </c>
      <c r="E3768" s="49">
        <v>44663</v>
      </c>
      <c r="F3768" t="s">
        <v>3964</v>
      </c>
      <c r="G3768" t="s">
        <v>1841</v>
      </c>
      <c r="H3768">
        <v>8</v>
      </c>
      <c r="I3768">
        <v>36.54</v>
      </c>
      <c r="J3768" s="50">
        <v>292.32</v>
      </c>
      <c r="K3768" t="s">
        <v>1618</v>
      </c>
      <c r="M3768" t="s">
        <v>1629</v>
      </c>
      <c r="N3768">
        <v>19.28</v>
      </c>
      <c r="O3768" s="49">
        <v>44665</v>
      </c>
      <c r="P3768" s="50">
        <v>131.54400000000001</v>
      </c>
    </row>
    <row r="3769" spans="4:16" x14ac:dyDescent="0.2">
      <c r="D3769">
        <v>100002251</v>
      </c>
      <c r="E3769" s="49">
        <v>45621</v>
      </c>
      <c r="F3769" t="s">
        <v>3964</v>
      </c>
      <c r="G3769" t="s">
        <v>3135</v>
      </c>
      <c r="H3769">
        <v>9</v>
      </c>
      <c r="I3769">
        <v>108.24</v>
      </c>
      <c r="J3769" s="50">
        <v>974.16</v>
      </c>
      <c r="K3769" t="s">
        <v>1618</v>
      </c>
      <c r="M3769" t="s">
        <v>1624</v>
      </c>
      <c r="N3769">
        <v>57.13</v>
      </c>
      <c r="O3769" s="49">
        <v>45623</v>
      </c>
      <c r="P3769" s="50">
        <v>438.37200000000001</v>
      </c>
    </row>
    <row r="3770" spans="4:16" x14ac:dyDescent="0.2">
      <c r="D3770">
        <v>100002252</v>
      </c>
      <c r="E3770" s="49">
        <v>44290</v>
      </c>
      <c r="F3770" t="s">
        <v>3965</v>
      </c>
      <c r="G3770" t="s">
        <v>2062</v>
      </c>
      <c r="H3770">
        <v>3</v>
      </c>
      <c r="I3770">
        <v>89.49</v>
      </c>
      <c r="J3770" s="50">
        <v>268.47000000000003</v>
      </c>
      <c r="K3770" t="s">
        <v>1618</v>
      </c>
      <c r="M3770" t="s">
        <v>1621</v>
      </c>
      <c r="N3770">
        <v>47.23</v>
      </c>
      <c r="O3770" s="49">
        <v>44292</v>
      </c>
      <c r="P3770" s="50">
        <v>120.81150000000001</v>
      </c>
    </row>
    <row r="3771" spans="4:16" x14ac:dyDescent="0.2">
      <c r="D3771">
        <v>100002252</v>
      </c>
      <c r="E3771" s="49">
        <v>44362</v>
      </c>
      <c r="F3771" t="s">
        <v>3965</v>
      </c>
      <c r="G3771" t="s">
        <v>2378</v>
      </c>
      <c r="H3771">
        <v>6</v>
      </c>
      <c r="I3771">
        <v>64.16</v>
      </c>
      <c r="J3771" s="50">
        <v>384.96</v>
      </c>
      <c r="K3771" t="s">
        <v>1618</v>
      </c>
      <c r="M3771" t="s">
        <v>1621</v>
      </c>
      <c r="N3771">
        <v>33.86</v>
      </c>
      <c r="O3771" s="49">
        <v>44363</v>
      </c>
      <c r="P3771" s="50">
        <v>173.232</v>
      </c>
    </row>
    <row r="3772" spans="4:16" x14ac:dyDescent="0.2">
      <c r="D3772">
        <v>100002253</v>
      </c>
      <c r="E3772" s="49">
        <v>45601</v>
      </c>
      <c r="F3772" t="s">
        <v>3966</v>
      </c>
      <c r="G3772" t="s">
        <v>1674</v>
      </c>
      <c r="H3772">
        <v>6</v>
      </c>
      <c r="I3772">
        <v>114.35</v>
      </c>
      <c r="J3772" s="50">
        <v>686.09999999999991</v>
      </c>
      <c r="K3772" t="s">
        <v>1618</v>
      </c>
      <c r="M3772" t="s">
        <v>1621</v>
      </c>
      <c r="N3772">
        <v>60.35</v>
      </c>
      <c r="O3772" s="49">
        <v>45603</v>
      </c>
      <c r="P3772" s="50">
        <v>308.74499999999995</v>
      </c>
    </row>
    <row r="3773" spans="4:16" x14ac:dyDescent="0.2">
      <c r="D3773">
        <v>100002254</v>
      </c>
      <c r="E3773" s="49">
        <v>44776</v>
      </c>
      <c r="F3773" t="s">
        <v>3967</v>
      </c>
      <c r="G3773" t="s">
        <v>1848</v>
      </c>
      <c r="H3773">
        <v>1</v>
      </c>
      <c r="I3773">
        <v>90.55</v>
      </c>
      <c r="J3773" s="50">
        <v>90.55</v>
      </c>
      <c r="K3773" t="s">
        <v>1618</v>
      </c>
      <c r="L3773" t="s">
        <v>3890</v>
      </c>
      <c r="M3773" t="s">
        <v>1627</v>
      </c>
      <c r="N3773">
        <v>47.79</v>
      </c>
      <c r="O3773" s="49">
        <v>44778</v>
      </c>
      <c r="P3773" s="50">
        <v>40.747500000000002</v>
      </c>
    </row>
    <row r="3774" spans="4:16" x14ac:dyDescent="0.2">
      <c r="D3774">
        <v>100002254</v>
      </c>
      <c r="E3774" s="49">
        <v>45184</v>
      </c>
      <c r="F3774" t="s">
        <v>3967</v>
      </c>
      <c r="G3774" t="s">
        <v>2004</v>
      </c>
      <c r="H3774">
        <v>1</v>
      </c>
      <c r="I3774">
        <v>13.95</v>
      </c>
      <c r="J3774" s="50">
        <v>13.95</v>
      </c>
      <c r="K3774" t="s">
        <v>1618</v>
      </c>
      <c r="L3774" t="s">
        <v>3890</v>
      </c>
      <c r="M3774" t="s">
        <v>1629</v>
      </c>
      <c r="N3774">
        <v>7.36</v>
      </c>
      <c r="O3774" s="49">
        <v>45187</v>
      </c>
      <c r="P3774" s="50">
        <v>6.2774999999999999</v>
      </c>
    </row>
    <row r="3775" spans="4:16" x14ac:dyDescent="0.2">
      <c r="D3775">
        <v>100002255</v>
      </c>
      <c r="E3775" s="49">
        <v>45172</v>
      </c>
      <c r="F3775" t="s">
        <v>3968</v>
      </c>
      <c r="G3775" t="s">
        <v>1674</v>
      </c>
      <c r="H3775">
        <v>10</v>
      </c>
      <c r="I3775">
        <v>34.299999999999997</v>
      </c>
      <c r="J3775" s="50">
        <v>343</v>
      </c>
      <c r="K3775" t="s">
        <v>1632</v>
      </c>
      <c r="M3775" t="s">
        <v>1627</v>
      </c>
      <c r="N3775">
        <v>18.100000000000001</v>
      </c>
      <c r="O3775" s="49">
        <v>45175</v>
      </c>
      <c r="P3775" s="50">
        <v>154.35</v>
      </c>
    </row>
    <row r="3776" spans="4:16" x14ac:dyDescent="0.2">
      <c r="D3776">
        <v>100002256</v>
      </c>
      <c r="E3776" s="49">
        <v>44271</v>
      </c>
      <c r="F3776" t="s">
        <v>3969</v>
      </c>
      <c r="G3776" t="s">
        <v>1958</v>
      </c>
      <c r="H3776">
        <v>2</v>
      </c>
      <c r="I3776">
        <v>80.84</v>
      </c>
      <c r="J3776" s="50">
        <v>161.68</v>
      </c>
      <c r="K3776" t="s">
        <v>1618</v>
      </c>
      <c r="M3776" t="s">
        <v>1629</v>
      </c>
      <c r="N3776">
        <v>42.67</v>
      </c>
      <c r="O3776" s="49">
        <v>44274</v>
      </c>
      <c r="P3776" s="50">
        <v>72.756</v>
      </c>
    </row>
    <row r="3777" spans="4:16" x14ac:dyDescent="0.2">
      <c r="D3777">
        <v>100002257</v>
      </c>
      <c r="E3777" s="49">
        <v>45119</v>
      </c>
      <c r="F3777" t="s">
        <v>3970</v>
      </c>
      <c r="G3777" t="s">
        <v>1705</v>
      </c>
      <c r="H3777">
        <v>3</v>
      </c>
      <c r="I3777">
        <v>20.350000000000001</v>
      </c>
      <c r="J3777" s="50">
        <v>61.05</v>
      </c>
      <c r="K3777" t="s">
        <v>1618</v>
      </c>
      <c r="M3777" t="s">
        <v>1619</v>
      </c>
      <c r="N3777">
        <v>10.74</v>
      </c>
      <c r="O3777" s="49">
        <v>45123</v>
      </c>
      <c r="P3777" s="50">
        <v>27.4725</v>
      </c>
    </row>
    <row r="3778" spans="4:16" x14ac:dyDescent="0.2">
      <c r="D3778">
        <v>100002257</v>
      </c>
      <c r="E3778" s="49">
        <v>44887</v>
      </c>
      <c r="F3778" t="s">
        <v>3970</v>
      </c>
      <c r="G3778" t="s">
        <v>1807</v>
      </c>
      <c r="H3778">
        <v>3</v>
      </c>
      <c r="I3778">
        <v>50.09</v>
      </c>
      <c r="J3778" s="50">
        <v>150.27000000000001</v>
      </c>
      <c r="K3778" t="s">
        <v>1618</v>
      </c>
      <c r="M3778" t="s">
        <v>1621</v>
      </c>
      <c r="N3778">
        <v>26.44</v>
      </c>
      <c r="O3778" s="49">
        <v>44892</v>
      </c>
      <c r="P3778" s="50">
        <v>67.621500000000012</v>
      </c>
    </row>
    <row r="3779" spans="4:16" x14ac:dyDescent="0.2">
      <c r="D3779">
        <v>100002258</v>
      </c>
      <c r="E3779" s="49">
        <v>44311</v>
      </c>
      <c r="F3779" t="s">
        <v>3971</v>
      </c>
      <c r="G3779" t="s">
        <v>1820</v>
      </c>
      <c r="H3779">
        <v>9</v>
      </c>
      <c r="I3779">
        <v>31.35</v>
      </c>
      <c r="J3779" s="50">
        <v>282.14999999999998</v>
      </c>
      <c r="K3779" t="s">
        <v>1618</v>
      </c>
      <c r="L3779" t="s">
        <v>3972</v>
      </c>
      <c r="M3779" t="s">
        <v>1621</v>
      </c>
      <c r="N3779">
        <v>16.55</v>
      </c>
      <c r="O3779" s="49">
        <v>44312</v>
      </c>
      <c r="P3779" s="50">
        <v>126.96749999999999</v>
      </c>
    </row>
    <row r="3780" spans="4:16" x14ac:dyDescent="0.2">
      <c r="D3780">
        <v>100002258</v>
      </c>
      <c r="E3780" s="49">
        <v>45364</v>
      </c>
      <c r="F3780" t="s">
        <v>3971</v>
      </c>
      <c r="G3780" t="s">
        <v>1885</v>
      </c>
      <c r="H3780">
        <v>4</v>
      </c>
      <c r="I3780">
        <v>44.46</v>
      </c>
      <c r="J3780" s="50">
        <v>177.84</v>
      </c>
      <c r="K3780" t="s">
        <v>1618</v>
      </c>
      <c r="L3780" t="s">
        <v>3972</v>
      </c>
      <c r="M3780" t="s">
        <v>1629</v>
      </c>
      <c r="N3780">
        <v>23.46</v>
      </c>
      <c r="O3780" s="49">
        <v>45369</v>
      </c>
      <c r="P3780" s="50">
        <v>80.028000000000006</v>
      </c>
    </row>
    <row r="3781" spans="4:16" x14ac:dyDescent="0.2">
      <c r="D3781">
        <v>100002258</v>
      </c>
      <c r="E3781" s="49">
        <v>45504</v>
      </c>
      <c r="F3781" t="s">
        <v>3971</v>
      </c>
      <c r="G3781" t="s">
        <v>2078</v>
      </c>
      <c r="H3781">
        <v>3</v>
      </c>
      <c r="I3781">
        <v>88.44</v>
      </c>
      <c r="J3781" s="50">
        <v>265.32</v>
      </c>
      <c r="K3781" t="s">
        <v>1618</v>
      </c>
      <c r="L3781" t="s">
        <v>3972</v>
      </c>
      <c r="M3781" t="s">
        <v>1624</v>
      </c>
      <c r="N3781">
        <v>46.68</v>
      </c>
      <c r="O3781" s="49">
        <v>45507</v>
      </c>
      <c r="P3781" s="50">
        <v>119.39400000000001</v>
      </c>
    </row>
    <row r="3782" spans="4:16" x14ac:dyDescent="0.2">
      <c r="D3782">
        <v>100002259</v>
      </c>
      <c r="E3782" s="49">
        <v>44553</v>
      </c>
      <c r="F3782" t="s">
        <v>3973</v>
      </c>
      <c r="G3782" t="s">
        <v>1913</v>
      </c>
      <c r="H3782">
        <v>7</v>
      </c>
      <c r="I3782">
        <v>37.97</v>
      </c>
      <c r="J3782" s="50">
        <v>265.79000000000002</v>
      </c>
      <c r="K3782" t="s">
        <v>1618</v>
      </c>
      <c r="L3782" t="s">
        <v>3974</v>
      </c>
      <c r="M3782" t="s">
        <v>1621</v>
      </c>
      <c r="N3782">
        <v>20.04</v>
      </c>
      <c r="O3782" s="49">
        <v>44558</v>
      </c>
      <c r="P3782" s="50">
        <v>119.60550000000001</v>
      </c>
    </row>
    <row r="3783" spans="4:16" x14ac:dyDescent="0.2">
      <c r="D3783">
        <v>100002261</v>
      </c>
      <c r="E3783" s="49">
        <v>44425</v>
      </c>
      <c r="F3783" t="s">
        <v>3975</v>
      </c>
      <c r="G3783" t="s">
        <v>1868</v>
      </c>
      <c r="H3783">
        <v>6</v>
      </c>
      <c r="I3783">
        <v>49.48</v>
      </c>
      <c r="J3783" s="50">
        <v>296.88</v>
      </c>
      <c r="K3783" t="s">
        <v>1632</v>
      </c>
      <c r="M3783" t="s">
        <v>1621</v>
      </c>
      <c r="N3783">
        <v>26.11</v>
      </c>
      <c r="O3783" s="49">
        <v>44430</v>
      </c>
      <c r="P3783" s="50">
        <v>133.596</v>
      </c>
    </row>
    <row r="3784" spans="4:16" x14ac:dyDescent="0.2">
      <c r="D3784">
        <v>100002262</v>
      </c>
      <c r="E3784" s="49">
        <v>44322</v>
      </c>
      <c r="F3784" t="s">
        <v>3976</v>
      </c>
      <c r="G3784" t="s">
        <v>2357</v>
      </c>
      <c r="H3784">
        <v>1</v>
      </c>
      <c r="I3784">
        <v>117.9</v>
      </c>
      <c r="J3784" s="50">
        <v>117.9</v>
      </c>
      <c r="K3784" t="s">
        <v>1632</v>
      </c>
      <c r="L3784" t="s">
        <v>3977</v>
      </c>
      <c r="M3784" t="s">
        <v>1621</v>
      </c>
      <c r="N3784">
        <v>62.22</v>
      </c>
      <c r="O3784" s="49">
        <v>44326</v>
      </c>
      <c r="P3784" s="50">
        <v>53.055000000000007</v>
      </c>
    </row>
    <row r="3785" spans="4:16" x14ac:dyDescent="0.2">
      <c r="D3785">
        <v>100002262</v>
      </c>
      <c r="E3785" s="49">
        <v>44920</v>
      </c>
      <c r="F3785" t="s">
        <v>3976</v>
      </c>
      <c r="G3785" t="s">
        <v>1768</v>
      </c>
      <c r="H3785">
        <v>5</v>
      </c>
      <c r="I3785">
        <v>67.84</v>
      </c>
      <c r="J3785" s="50">
        <v>339.2</v>
      </c>
      <c r="K3785" t="s">
        <v>1632</v>
      </c>
      <c r="L3785" t="s">
        <v>3977</v>
      </c>
      <c r="M3785" t="s">
        <v>1624</v>
      </c>
      <c r="N3785">
        <v>35.799999999999997</v>
      </c>
      <c r="O3785" s="49">
        <v>44924</v>
      </c>
      <c r="P3785" s="50">
        <v>152.63999999999999</v>
      </c>
    </row>
    <row r="3786" spans="4:16" x14ac:dyDescent="0.2">
      <c r="D3786">
        <v>100002262</v>
      </c>
      <c r="E3786" s="49">
        <v>44443</v>
      </c>
      <c r="F3786" t="s">
        <v>3976</v>
      </c>
      <c r="G3786" t="s">
        <v>2042</v>
      </c>
      <c r="H3786">
        <v>6</v>
      </c>
      <c r="I3786">
        <v>81.31</v>
      </c>
      <c r="J3786" s="50">
        <v>487.86</v>
      </c>
      <c r="K3786" t="s">
        <v>1632</v>
      </c>
      <c r="L3786" t="s">
        <v>3977</v>
      </c>
      <c r="M3786" t="s">
        <v>1629</v>
      </c>
      <c r="N3786">
        <v>42.91</v>
      </c>
      <c r="O3786" s="49">
        <v>44445</v>
      </c>
      <c r="P3786" s="50">
        <v>219.53700000000001</v>
      </c>
    </row>
    <row r="3787" spans="4:16" x14ac:dyDescent="0.2">
      <c r="D3787">
        <v>100002263</v>
      </c>
      <c r="E3787" s="49">
        <v>45429</v>
      </c>
      <c r="F3787" t="s">
        <v>3978</v>
      </c>
      <c r="G3787" t="s">
        <v>1932</v>
      </c>
      <c r="H3787">
        <v>9</v>
      </c>
      <c r="I3787">
        <v>70.900000000000006</v>
      </c>
      <c r="J3787" s="50">
        <v>638.1</v>
      </c>
      <c r="K3787" t="s">
        <v>1618</v>
      </c>
      <c r="M3787" t="s">
        <v>1627</v>
      </c>
      <c r="N3787">
        <v>37.42</v>
      </c>
      <c r="O3787" s="49">
        <v>45433</v>
      </c>
      <c r="P3787" s="50">
        <v>287.14500000000004</v>
      </c>
    </row>
    <row r="3788" spans="4:16" x14ac:dyDescent="0.2">
      <c r="D3788">
        <v>100002264</v>
      </c>
      <c r="E3788" s="49">
        <v>45532</v>
      </c>
      <c r="F3788" t="s">
        <v>3979</v>
      </c>
      <c r="G3788" t="s">
        <v>2343</v>
      </c>
      <c r="H3788">
        <v>4</v>
      </c>
      <c r="I3788">
        <v>101.58</v>
      </c>
      <c r="J3788" s="50">
        <v>406.32</v>
      </c>
      <c r="K3788" t="s">
        <v>1632</v>
      </c>
      <c r="M3788" t="s">
        <v>1621</v>
      </c>
      <c r="N3788">
        <v>53.61</v>
      </c>
      <c r="O3788" s="49">
        <v>45537</v>
      </c>
      <c r="P3788" s="50">
        <v>182.84399999999999</v>
      </c>
    </row>
    <row r="3789" spans="4:16" x14ac:dyDescent="0.2">
      <c r="D3789">
        <v>100002264</v>
      </c>
      <c r="E3789" s="49">
        <v>45429</v>
      </c>
      <c r="F3789" t="s">
        <v>3979</v>
      </c>
      <c r="G3789" t="s">
        <v>2101</v>
      </c>
      <c r="H3789">
        <v>4</v>
      </c>
      <c r="I3789">
        <v>110.51</v>
      </c>
      <c r="J3789" s="50">
        <v>442.04</v>
      </c>
      <c r="K3789" t="s">
        <v>1632</v>
      </c>
      <c r="M3789" t="s">
        <v>1619</v>
      </c>
      <c r="N3789">
        <v>58.32</v>
      </c>
      <c r="O3789" s="49">
        <v>45434</v>
      </c>
      <c r="P3789" s="50">
        <v>198.91800000000001</v>
      </c>
    </row>
    <row r="3790" spans="4:16" x14ac:dyDescent="0.2">
      <c r="D3790">
        <v>100002266</v>
      </c>
      <c r="E3790" s="49">
        <v>44804</v>
      </c>
      <c r="F3790" t="s">
        <v>3980</v>
      </c>
      <c r="G3790" t="s">
        <v>1643</v>
      </c>
      <c r="H3790">
        <v>6</v>
      </c>
      <c r="I3790">
        <v>21.34</v>
      </c>
      <c r="J3790" s="50">
        <v>128.04</v>
      </c>
      <c r="K3790" t="s">
        <v>1618</v>
      </c>
      <c r="M3790" t="s">
        <v>1621</v>
      </c>
      <c r="N3790">
        <v>11.26</v>
      </c>
      <c r="O3790" s="49">
        <v>44807</v>
      </c>
      <c r="P3790" s="50">
        <v>57.617999999999995</v>
      </c>
    </row>
    <row r="3791" spans="4:16" x14ac:dyDescent="0.2">
      <c r="D3791">
        <v>100002266</v>
      </c>
      <c r="E3791" s="49">
        <v>45015</v>
      </c>
      <c r="F3791" t="s">
        <v>3980</v>
      </c>
      <c r="G3791" t="s">
        <v>2158</v>
      </c>
      <c r="H3791">
        <v>2</v>
      </c>
      <c r="I3791">
        <v>90.38</v>
      </c>
      <c r="J3791" s="50">
        <v>180.76</v>
      </c>
      <c r="K3791" t="s">
        <v>1618</v>
      </c>
      <c r="M3791" t="s">
        <v>1619</v>
      </c>
      <c r="N3791">
        <v>47.7</v>
      </c>
      <c r="O3791" s="49">
        <v>45017</v>
      </c>
      <c r="P3791" s="50">
        <v>81.341999999999999</v>
      </c>
    </row>
    <row r="3792" spans="4:16" x14ac:dyDescent="0.2">
      <c r="D3792">
        <v>100002268</v>
      </c>
      <c r="E3792" s="49">
        <v>45606</v>
      </c>
      <c r="F3792" t="s">
        <v>3981</v>
      </c>
      <c r="G3792" t="s">
        <v>1799</v>
      </c>
      <c r="H3792">
        <v>5</v>
      </c>
      <c r="I3792">
        <v>21.3</v>
      </c>
      <c r="J3792" s="50">
        <v>106.5</v>
      </c>
      <c r="K3792" t="s">
        <v>1618</v>
      </c>
      <c r="M3792" t="s">
        <v>1627</v>
      </c>
      <c r="N3792">
        <v>11.24</v>
      </c>
      <c r="O3792" s="49">
        <v>45607</v>
      </c>
      <c r="P3792" s="50">
        <v>47.925000000000004</v>
      </c>
    </row>
    <row r="3793" spans="4:16" x14ac:dyDescent="0.2">
      <c r="D3793">
        <v>100002268</v>
      </c>
      <c r="E3793" s="49">
        <v>44523</v>
      </c>
      <c r="F3793" t="s">
        <v>3981</v>
      </c>
      <c r="G3793" t="s">
        <v>2151</v>
      </c>
      <c r="H3793">
        <v>8</v>
      </c>
      <c r="I3793">
        <v>77.400000000000006</v>
      </c>
      <c r="J3793" s="50">
        <v>619.20000000000005</v>
      </c>
      <c r="K3793" t="s">
        <v>1618</v>
      </c>
      <c r="M3793" t="s">
        <v>1624</v>
      </c>
      <c r="N3793">
        <v>40.85</v>
      </c>
      <c r="O3793" s="49">
        <v>44524</v>
      </c>
      <c r="P3793" s="50">
        <v>278.64000000000004</v>
      </c>
    </row>
    <row r="3794" spans="4:16" x14ac:dyDescent="0.2">
      <c r="D3794">
        <v>100002268</v>
      </c>
      <c r="E3794" s="49">
        <v>45432</v>
      </c>
      <c r="F3794" t="s">
        <v>3981</v>
      </c>
      <c r="G3794" t="s">
        <v>1676</v>
      </c>
      <c r="H3794">
        <v>5</v>
      </c>
      <c r="I3794">
        <v>90.87</v>
      </c>
      <c r="J3794" s="50">
        <v>454.35</v>
      </c>
      <c r="K3794" t="s">
        <v>1618</v>
      </c>
      <c r="M3794" t="s">
        <v>1629</v>
      </c>
      <c r="N3794">
        <v>47.96</v>
      </c>
      <c r="O3794" s="49">
        <v>45433</v>
      </c>
      <c r="P3794" s="50">
        <v>204.45750000000001</v>
      </c>
    </row>
    <row r="3795" spans="4:16" x14ac:dyDescent="0.2">
      <c r="D3795">
        <v>100002268</v>
      </c>
      <c r="E3795" s="49">
        <v>44788</v>
      </c>
      <c r="F3795" t="s">
        <v>3981</v>
      </c>
      <c r="G3795" t="s">
        <v>1722</v>
      </c>
      <c r="H3795">
        <v>3</v>
      </c>
      <c r="I3795">
        <v>97.86</v>
      </c>
      <c r="J3795" s="50">
        <v>293.58</v>
      </c>
      <c r="K3795" t="s">
        <v>1618</v>
      </c>
      <c r="M3795" t="s">
        <v>1621</v>
      </c>
      <c r="N3795">
        <v>51.65</v>
      </c>
      <c r="O3795" s="49">
        <v>44791</v>
      </c>
      <c r="P3795" s="50">
        <v>132.11099999999999</v>
      </c>
    </row>
    <row r="3796" spans="4:16" x14ac:dyDescent="0.2">
      <c r="D3796">
        <v>100002268</v>
      </c>
      <c r="E3796" s="49">
        <v>45494</v>
      </c>
      <c r="F3796" t="s">
        <v>3981</v>
      </c>
      <c r="G3796" t="s">
        <v>1958</v>
      </c>
      <c r="H3796">
        <v>9</v>
      </c>
      <c r="I3796">
        <v>63.88</v>
      </c>
      <c r="J3796" s="50">
        <v>574.92000000000007</v>
      </c>
      <c r="K3796" t="s">
        <v>1618</v>
      </c>
      <c r="M3796" t="s">
        <v>1627</v>
      </c>
      <c r="N3796">
        <v>33.71</v>
      </c>
      <c r="O3796" s="49">
        <v>45498</v>
      </c>
      <c r="P3796" s="50">
        <v>258.71400000000006</v>
      </c>
    </row>
    <row r="3797" spans="4:16" x14ac:dyDescent="0.2">
      <c r="D3797">
        <v>100002269</v>
      </c>
      <c r="E3797" s="49">
        <v>44917</v>
      </c>
      <c r="F3797" t="s">
        <v>3982</v>
      </c>
      <c r="G3797" t="s">
        <v>1768</v>
      </c>
      <c r="H3797">
        <v>9</v>
      </c>
      <c r="I3797">
        <v>59.79</v>
      </c>
      <c r="J3797" s="50">
        <v>538.11</v>
      </c>
      <c r="K3797" t="s">
        <v>1632</v>
      </c>
      <c r="M3797" t="s">
        <v>1621</v>
      </c>
      <c r="N3797">
        <v>31.56</v>
      </c>
      <c r="O3797" s="49">
        <v>44918</v>
      </c>
      <c r="P3797" s="50">
        <v>242.14950000000002</v>
      </c>
    </row>
    <row r="3798" spans="4:16" x14ac:dyDescent="0.2">
      <c r="D3798">
        <v>100002270</v>
      </c>
      <c r="E3798" s="49">
        <v>44502</v>
      </c>
      <c r="F3798" t="s">
        <v>3983</v>
      </c>
      <c r="G3798" t="s">
        <v>1828</v>
      </c>
      <c r="H3798">
        <v>4</v>
      </c>
      <c r="I3798">
        <v>30.28</v>
      </c>
      <c r="J3798" s="50">
        <v>121.12</v>
      </c>
      <c r="K3798" t="s">
        <v>1632</v>
      </c>
      <c r="L3798" t="s">
        <v>3984</v>
      </c>
      <c r="M3798" t="s">
        <v>1624</v>
      </c>
      <c r="N3798">
        <v>15.98</v>
      </c>
      <c r="O3798" s="49">
        <v>44506</v>
      </c>
      <c r="P3798" s="50">
        <v>54.504000000000005</v>
      </c>
    </row>
    <row r="3799" spans="4:16" x14ac:dyDescent="0.2">
      <c r="D3799">
        <v>100002270</v>
      </c>
      <c r="E3799" s="49">
        <v>45547</v>
      </c>
      <c r="F3799" t="s">
        <v>3983</v>
      </c>
      <c r="G3799" t="s">
        <v>2213</v>
      </c>
      <c r="H3799">
        <v>8</v>
      </c>
      <c r="I3799">
        <v>119.72</v>
      </c>
      <c r="J3799" s="50">
        <v>957.76</v>
      </c>
      <c r="K3799" t="s">
        <v>1632</v>
      </c>
      <c r="L3799" t="s">
        <v>3984</v>
      </c>
      <c r="M3799" t="s">
        <v>1627</v>
      </c>
      <c r="N3799">
        <v>63.19</v>
      </c>
      <c r="O3799" s="49">
        <v>45550</v>
      </c>
      <c r="P3799" s="50">
        <v>430.99200000000002</v>
      </c>
    </row>
    <row r="3800" spans="4:16" x14ac:dyDescent="0.2">
      <c r="D3800">
        <v>100002271</v>
      </c>
      <c r="E3800" s="49">
        <v>45182</v>
      </c>
      <c r="F3800" t="s">
        <v>3985</v>
      </c>
      <c r="G3800" t="s">
        <v>1647</v>
      </c>
      <c r="H3800">
        <v>5</v>
      </c>
      <c r="I3800">
        <v>29.54</v>
      </c>
      <c r="J3800" s="50">
        <v>147.69999999999999</v>
      </c>
      <c r="K3800" t="s">
        <v>1618</v>
      </c>
      <c r="L3800" t="s">
        <v>3986</v>
      </c>
      <c r="M3800" t="s">
        <v>1621</v>
      </c>
      <c r="N3800">
        <v>15.59</v>
      </c>
      <c r="O3800" s="49">
        <v>45183</v>
      </c>
      <c r="P3800" s="50">
        <v>66.465000000000003</v>
      </c>
    </row>
    <row r="3801" spans="4:16" x14ac:dyDescent="0.2">
      <c r="D3801">
        <v>100002272</v>
      </c>
      <c r="E3801" s="49">
        <v>45166</v>
      </c>
      <c r="F3801" t="s">
        <v>3987</v>
      </c>
      <c r="G3801" t="s">
        <v>1767</v>
      </c>
      <c r="H3801">
        <v>6</v>
      </c>
      <c r="I3801">
        <v>15.21</v>
      </c>
      <c r="J3801" s="50">
        <v>91.26</v>
      </c>
      <c r="K3801" t="s">
        <v>1618</v>
      </c>
      <c r="L3801" t="s">
        <v>3988</v>
      </c>
      <c r="M3801" t="s">
        <v>1624</v>
      </c>
      <c r="N3801">
        <v>8.0299999999999994</v>
      </c>
      <c r="O3801" s="49">
        <v>45171</v>
      </c>
      <c r="P3801" s="50">
        <v>41.067</v>
      </c>
    </row>
    <row r="3802" spans="4:16" x14ac:dyDescent="0.2">
      <c r="D3802">
        <v>100002275</v>
      </c>
      <c r="E3802" s="49">
        <v>45036</v>
      </c>
      <c r="F3802" t="s">
        <v>3989</v>
      </c>
      <c r="G3802" t="s">
        <v>2003</v>
      </c>
      <c r="H3802">
        <v>3</v>
      </c>
      <c r="I3802">
        <v>66.33</v>
      </c>
      <c r="J3802" s="50">
        <v>198.99</v>
      </c>
      <c r="K3802" t="s">
        <v>1632</v>
      </c>
      <c r="L3802" t="s">
        <v>3990</v>
      </c>
      <c r="M3802" t="s">
        <v>1621</v>
      </c>
      <c r="N3802">
        <v>35.01</v>
      </c>
      <c r="O3802" s="49">
        <v>45040</v>
      </c>
      <c r="P3802" s="50">
        <v>89.545500000000004</v>
      </c>
    </row>
    <row r="3803" spans="4:16" x14ac:dyDescent="0.2">
      <c r="D3803">
        <v>100002275</v>
      </c>
      <c r="E3803" s="49">
        <v>45482</v>
      </c>
      <c r="F3803" t="s">
        <v>3989</v>
      </c>
      <c r="G3803" t="s">
        <v>1712</v>
      </c>
      <c r="H3803">
        <v>4</v>
      </c>
      <c r="I3803">
        <v>102.94</v>
      </c>
      <c r="J3803" s="50">
        <v>411.76</v>
      </c>
      <c r="K3803" t="s">
        <v>1632</v>
      </c>
      <c r="L3803" t="s">
        <v>3990</v>
      </c>
      <c r="M3803" t="s">
        <v>1629</v>
      </c>
      <c r="N3803">
        <v>54.33</v>
      </c>
      <c r="O3803" s="49">
        <v>45484</v>
      </c>
      <c r="P3803" s="50">
        <v>185.292</v>
      </c>
    </row>
    <row r="3804" spans="4:16" x14ac:dyDescent="0.2">
      <c r="D3804">
        <v>100002276</v>
      </c>
      <c r="E3804" s="49">
        <v>44936</v>
      </c>
      <c r="F3804" t="s">
        <v>3991</v>
      </c>
      <c r="G3804" t="s">
        <v>2019</v>
      </c>
      <c r="H3804">
        <v>5</v>
      </c>
      <c r="I3804">
        <v>86.93</v>
      </c>
      <c r="J3804" s="50">
        <v>434.65</v>
      </c>
      <c r="K3804" t="s">
        <v>1632</v>
      </c>
      <c r="M3804" t="s">
        <v>1621</v>
      </c>
      <c r="N3804">
        <v>45.88</v>
      </c>
      <c r="O3804" s="49">
        <v>44938</v>
      </c>
      <c r="P3804" s="50">
        <v>195.5925</v>
      </c>
    </row>
    <row r="3805" spans="4:16" x14ac:dyDescent="0.2">
      <c r="D3805">
        <v>100002276</v>
      </c>
      <c r="E3805" s="49">
        <v>44761</v>
      </c>
      <c r="F3805" t="s">
        <v>3991</v>
      </c>
      <c r="G3805" t="s">
        <v>1770</v>
      </c>
      <c r="H3805">
        <v>7</v>
      </c>
      <c r="I3805">
        <v>19.690000000000001</v>
      </c>
      <c r="J3805" s="50">
        <v>137.83000000000001</v>
      </c>
      <c r="K3805" t="s">
        <v>1632</v>
      </c>
      <c r="M3805" t="s">
        <v>1627</v>
      </c>
      <c r="N3805">
        <v>10.39</v>
      </c>
      <c r="O3805" s="49">
        <v>44765</v>
      </c>
      <c r="P3805" s="50">
        <v>62.023500000000006</v>
      </c>
    </row>
    <row r="3806" spans="4:16" x14ac:dyDescent="0.2">
      <c r="D3806">
        <v>100002276</v>
      </c>
      <c r="E3806" s="49">
        <v>45135</v>
      </c>
      <c r="F3806" t="s">
        <v>3991</v>
      </c>
      <c r="G3806" t="s">
        <v>1937</v>
      </c>
      <c r="H3806">
        <v>1</v>
      </c>
      <c r="I3806">
        <v>12.2</v>
      </c>
      <c r="J3806" s="50">
        <v>12.2</v>
      </c>
      <c r="K3806" t="s">
        <v>1632</v>
      </c>
      <c r="M3806" t="s">
        <v>1627</v>
      </c>
      <c r="N3806">
        <v>6.44</v>
      </c>
      <c r="O3806" s="49">
        <v>45140</v>
      </c>
      <c r="P3806" s="50">
        <v>5.49</v>
      </c>
    </row>
    <row r="3807" spans="4:16" x14ac:dyDescent="0.2">
      <c r="D3807">
        <v>100002277</v>
      </c>
      <c r="E3807" s="49">
        <v>45334</v>
      </c>
      <c r="F3807" t="s">
        <v>3992</v>
      </c>
      <c r="G3807" t="s">
        <v>1717</v>
      </c>
      <c r="H3807">
        <v>9</v>
      </c>
      <c r="I3807">
        <v>118.38</v>
      </c>
      <c r="J3807" s="50">
        <v>1065.42</v>
      </c>
      <c r="K3807" t="s">
        <v>1618</v>
      </c>
      <c r="M3807" t="s">
        <v>1621</v>
      </c>
      <c r="N3807">
        <v>62.48</v>
      </c>
      <c r="O3807" s="49">
        <v>45339</v>
      </c>
      <c r="P3807" s="50">
        <v>479.43900000000002</v>
      </c>
    </row>
    <row r="3808" spans="4:16" x14ac:dyDescent="0.2">
      <c r="D3808">
        <v>100002278</v>
      </c>
      <c r="E3808" s="49">
        <v>44889</v>
      </c>
      <c r="F3808" t="s">
        <v>3993</v>
      </c>
      <c r="G3808" t="s">
        <v>1749</v>
      </c>
      <c r="H3808">
        <v>5</v>
      </c>
      <c r="I3808">
        <v>119.93</v>
      </c>
      <c r="J3808" s="50">
        <v>599.65000000000009</v>
      </c>
      <c r="K3808" t="s">
        <v>1618</v>
      </c>
      <c r="M3808" t="s">
        <v>1621</v>
      </c>
      <c r="N3808">
        <v>63.3</v>
      </c>
      <c r="O3808" s="49">
        <v>44893</v>
      </c>
      <c r="P3808" s="50">
        <v>269.84250000000003</v>
      </c>
    </row>
    <row r="3809" spans="4:16" x14ac:dyDescent="0.2">
      <c r="D3809">
        <v>100002278</v>
      </c>
      <c r="E3809" s="49">
        <v>44571</v>
      </c>
      <c r="F3809" t="s">
        <v>3993</v>
      </c>
      <c r="G3809" t="s">
        <v>2019</v>
      </c>
      <c r="H3809">
        <v>4</v>
      </c>
      <c r="I3809">
        <v>38.92</v>
      </c>
      <c r="J3809" s="50">
        <v>155.68</v>
      </c>
      <c r="K3809" t="s">
        <v>1618</v>
      </c>
      <c r="M3809" t="s">
        <v>1629</v>
      </c>
      <c r="N3809">
        <v>20.54</v>
      </c>
      <c r="O3809" s="49">
        <v>44574</v>
      </c>
      <c r="P3809" s="50">
        <v>70.056000000000012</v>
      </c>
    </row>
    <row r="3810" spans="4:16" x14ac:dyDescent="0.2">
      <c r="D3810">
        <v>100002278</v>
      </c>
      <c r="E3810" s="49">
        <v>45624</v>
      </c>
      <c r="F3810" t="s">
        <v>3993</v>
      </c>
      <c r="G3810" t="s">
        <v>2038</v>
      </c>
      <c r="H3810">
        <v>10</v>
      </c>
      <c r="I3810">
        <v>79.73</v>
      </c>
      <c r="J3810" s="50">
        <v>797.30000000000007</v>
      </c>
      <c r="K3810" t="s">
        <v>1618</v>
      </c>
      <c r="M3810" t="s">
        <v>1624</v>
      </c>
      <c r="N3810">
        <v>42.08</v>
      </c>
      <c r="O3810" s="49">
        <v>45626</v>
      </c>
      <c r="P3810" s="50">
        <v>358.78500000000003</v>
      </c>
    </row>
    <row r="3811" spans="4:16" x14ac:dyDescent="0.2">
      <c r="D3811">
        <v>100002278</v>
      </c>
      <c r="E3811" s="49">
        <v>44972</v>
      </c>
      <c r="F3811" t="s">
        <v>3993</v>
      </c>
      <c r="G3811" t="s">
        <v>1724</v>
      </c>
      <c r="H3811">
        <v>1</v>
      </c>
      <c r="I3811">
        <v>29.73</v>
      </c>
      <c r="J3811" s="50">
        <v>29.73</v>
      </c>
      <c r="K3811" t="s">
        <v>1618</v>
      </c>
      <c r="M3811" t="s">
        <v>1627</v>
      </c>
      <c r="N3811">
        <v>15.69</v>
      </c>
      <c r="O3811" s="49">
        <v>44977</v>
      </c>
      <c r="P3811" s="50">
        <v>13.378500000000001</v>
      </c>
    </row>
    <row r="3812" spans="4:16" x14ac:dyDescent="0.2">
      <c r="D3812">
        <v>100002278</v>
      </c>
      <c r="E3812" s="49">
        <v>44864</v>
      </c>
      <c r="F3812" t="s">
        <v>3993</v>
      </c>
      <c r="G3812" t="s">
        <v>1661</v>
      </c>
      <c r="H3812">
        <v>9</v>
      </c>
      <c r="I3812">
        <v>49.09</v>
      </c>
      <c r="J3812" s="50">
        <v>441.81000000000012</v>
      </c>
      <c r="K3812" t="s">
        <v>1618</v>
      </c>
      <c r="M3812" t="s">
        <v>1629</v>
      </c>
      <c r="N3812">
        <v>25.91</v>
      </c>
      <c r="O3812" s="49">
        <v>44868</v>
      </c>
      <c r="P3812" s="50">
        <v>198.81450000000007</v>
      </c>
    </row>
    <row r="3813" spans="4:16" x14ac:dyDescent="0.2">
      <c r="D3813">
        <v>100002278</v>
      </c>
      <c r="E3813" s="49">
        <v>45531</v>
      </c>
      <c r="F3813" t="s">
        <v>3993</v>
      </c>
      <c r="G3813" t="s">
        <v>2733</v>
      </c>
      <c r="H3813">
        <v>1</v>
      </c>
      <c r="I3813">
        <v>47.22</v>
      </c>
      <c r="J3813" s="50">
        <v>47.22</v>
      </c>
      <c r="K3813" t="s">
        <v>1618</v>
      </c>
      <c r="M3813" t="s">
        <v>1624</v>
      </c>
      <c r="N3813">
        <v>24.92</v>
      </c>
      <c r="O3813" s="49">
        <v>45536</v>
      </c>
      <c r="P3813" s="50">
        <v>21.248999999999999</v>
      </c>
    </row>
    <row r="3814" spans="4:16" x14ac:dyDescent="0.2">
      <c r="D3814">
        <v>100002278</v>
      </c>
      <c r="E3814" s="49">
        <v>45111</v>
      </c>
      <c r="F3814" t="s">
        <v>3993</v>
      </c>
      <c r="G3814" t="s">
        <v>1856</v>
      </c>
      <c r="H3814">
        <v>8</v>
      </c>
      <c r="I3814">
        <v>26.26</v>
      </c>
      <c r="J3814" s="50">
        <v>210.08</v>
      </c>
      <c r="K3814" t="s">
        <v>1618</v>
      </c>
      <c r="M3814" t="s">
        <v>1627</v>
      </c>
      <c r="N3814">
        <v>13.86</v>
      </c>
      <c r="O3814" s="49">
        <v>45112</v>
      </c>
      <c r="P3814" s="50">
        <v>94.536000000000001</v>
      </c>
    </row>
    <row r="3815" spans="4:16" x14ac:dyDescent="0.2">
      <c r="D3815">
        <v>100002278</v>
      </c>
      <c r="E3815" s="49">
        <v>44503</v>
      </c>
      <c r="F3815" t="s">
        <v>3993</v>
      </c>
      <c r="G3815" t="s">
        <v>1830</v>
      </c>
      <c r="H3815">
        <v>5</v>
      </c>
      <c r="I3815">
        <v>65.88</v>
      </c>
      <c r="J3815" s="50">
        <v>329.4</v>
      </c>
      <c r="K3815" t="s">
        <v>1618</v>
      </c>
      <c r="M3815" t="s">
        <v>1629</v>
      </c>
      <c r="N3815">
        <v>34.770000000000003</v>
      </c>
      <c r="O3815" s="49">
        <v>44507</v>
      </c>
      <c r="P3815" s="50">
        <v>148.22999999999999</v>
      </c>
    </row>
    <row r="3816" spans="4:16" x14ac:dyDescent="0.2">
      <c r="D3816">
        <v>100002278</v>
      </c>
      <c r="E3816" s="49">
        <v>45001</v>
      </c>
      <c r="F3816" t="s">
        <v>3993</v>
      </c>
      <c r="G3816" t="s">
        <v>1744</v>
      </c>
      <c r="H3816">
        <v>5</v>
      </c>
      <c r="I3816">
        <v>65.94</v>
      </c>
      <c r="J3816" s="50">
        <v>329.7</v>
      </c>
      <c r="K3816" t="s">
        <v>1618</v>
      </c>
      <c r="M3816" t="s">
        <v>1627</v>
      </c>
      <c r="N3816">
        <v>34.799999999999997</v>
      </c>
      <c r="O3816" s="49">
        <v>45003</v>
      </c>
      <c r="P3816" s="50">
        <v>148.36500000000001</v>
      </c>
    </row>
    <row r="3817" spans="4:16" x14ac:dyDescent="0.2">
      <c r="D3817">
        <v>100002278</v>
      </c>
      <c r="E3817" s="49">
        <v>45283</v>
      </c>
      <c r="F3817" t="s">
        <v>3993</v>
      </c>
      <c r="G3817" t="s">
        <v>2553</v>
      </c>
      <c r="H3817">
        <v>10</v>
      </c>
      <c r="I3817">
        <v>39.450000000000003</v>
      </c>
      <c r="J3817" s="50">
        <v>394.5</v>
      </c>
      <c r="K3817" t="s">
        <v>1618</v>
      </c>
      <c r="M3817" t="s">
        <v>1629</v>
      </c>
      <c r="N3817">
        <v>20.82</v>
      </c>
      <c r="O3817" s="49">
        <v>45287</v>
      </c>
      <c r="P3817" s="50">
        <v>177.52500000000001</v>
      </c>
    </row>
    <row r="3818" spans="4:16" x14ac:dyDescent="0.2">
      <c r="D3818">
        <v>100002278</v>
      </c>
      <c r="E3818" s="49">
        <v>44902</v>
      </c>
      <c r="F3818" t="s">
        <v>3993</v>
      </c>
      <c r="G3818" t="s">
        <v>1820</v>
      </c>
      <c r="H3818">
        <v>6</v>
      </c>
      <c r="I3818">
        <v>24.63</v>
      </c>
      <c r="J3818" s="50">
        <v>147.78</v>
      </c>
      <c r="K3818" t="s">
        <v>1618</v>
      </c>
      <c r="M3818" t="s">
        <v>1629</v>
      </c>
      <c r="N3818">
        <v>13</v>
      </c>
      <c r="O3818" s="49">
        <v>44906</v>
      </c>
      <c r="P3818" s="50">
        <v>66.501000000000005</v>
      </c>
    </row>
    <row r="3819" spans="4:16" x14ac:dyDescent="0.2">
      <c r="D3819">
        <v>100002280</v>
      </c>
      <c r="E3819" s="49">
        <v>45547</v>
      </c>
      <c r="F3819" t="s">
        <v>3994</v>
      </c>
      <c r="G3819" t="s">
        <v>1705</v>
      </c>
      <c r="H3819">
        <v>2</v>
      </c>
      <c r="I3819">
        <v>13.73</v>
      </c>
      <c r="J3819" s="50">
        <v>27.46</v>
      </c>
      <c r="K3819" t="s">
        <v>1618</v>
      </c>
      <c r="M3819" t="s">
        <v>1624</v>
      </c>
      <c r="N3819">
        <v>7.25</v>
      </c>
      <c r="O3819" s="49">
        <v>45551</v>
      </c>
      <c r="P3819" s="50">
        <v>12.357000000000001</v>
      </c>
    </row>
    <row r="3820" spans="4:16" x14ac:dyDescent="0.2">
      <c r="D3820">
        <v>100002280</v>
      </c>
      <c r="E3820" s="49">
        <v>45234</v>
      </c>
      <c r="F3820" t="s">
        <v>3994</v>
      </c>
      <c r="G3820" t="s">
        <v>2633</v>
      </c>
      <c r="H3820">
        <v>9</v>
      </c>
      <c r="I3820">
        <v>30.18</v>
      </c>
      <c r="J3820" s="50">
        <v>271.62</v>
      </c>
      <c r="K3820" t="s">
        <v>1618</v>
      </c>
      <c r="M3820" t="s">
        <v>1621</v>
      </c>
      <c r="N3820">
        <v>15.93</v>
      </c>
      <c r="O3820" s="49">
        <v>45236</v>
      </c>
      <c r="P3820" s="50">
        <v>122.229</v>
      </c>
    </row>
    <row r="3821" spans="4:16" x14ac:dyDescent="0.2">
      <c r="D3821">
        <v>100002280</v>
      </c>
      <c r="E3821" s="49">
        <v>45086</v>
      </c>
      <c r="F3821" t="s">
        <v>3994</v>
      </c>
      <c r="G3821" t="s">
        <v>2745</v>
      </c>
      <c r="H3821">
        <v>2</v>
      </c>
      <c r="I3821">
        <v>33.43</v>
      </c>
      <c r="J3821" s="50">
        <v>66.86</v>
      </c>
      <c r="K3821" t="s">
        <v>1618</v>
      </c>
      <c r="M3821" t="s">
        <v>1624</v>
      </c>
      <c r="N3821">
        <v>17.64</v>
      </c>
      <c r="O3821" s="49">
        <v>45087</v>
      </c>
      <c r="P3821" s="50">
        <v>30.087</v>
      </c>
    </row>
    <row r="3822" spans="4:16" x14ac:dyDescent="0.2">
      <c r="D3822">
        <v>100002280</v>
      </c>
      <c r="E3822" s="49">
        <v>44931</v>
      </c>
      <c r="F3822" t="s">
        <v>3994</v>
      </c>
      <c r="G3822" t="s">
        <v>1749</v>
      </c>
      <c r="H3822">
        <v>6</v>
      </c>
      <c r="I3822">
        <v>109.69</v>
      </c>
      <c r="J3822" s="50">
        <v>658.14</v>
      </c>
      <c r="K3822" t="s">
        <v>1618</v>
      </c>
      <c r="M3822" t="s">
        <v>1627</v>
      </c>
      <c r="N3822">
        <v>57.89</v>
      </c>
      <c r="O3822" s="49">
        <v>44932</v>
      </c>
      <c r="P3822" s="50">
        <v>296.16300000000001</v>
      </c>
    </row>
    <row r="3823" spans="4:16" x14ac:dyDescent="0.2">
      <c r="D3823">
        <v>100002281</v>
      </c>
      <c r="E3823" s="49">
        <v>44215</v>
      </c>
      <c r="F3823" t="s">
        <v>3995</v>
      </c>
      <c r="G3823" t="s">
        <v>3135</v>
      </c>
      <c r="H3823">
        <v>3</v>
      </c>
      <c r="I3823">
        <v>56.8</v>
      </c>
      <c r="J3823" s="50">
        <v>170.4</v>
      </c>
      <c r="K3823" t="s">
        <v>1632</v>
      </c>
      <c r="M3823" t="s">
        <v>1629</v>
      </c>
      <c r="N3823">
        <v>29.98</v>
      </c>
      <c r="O3823" s="49">
        <v>44218</v>
      </c>
      <c r="P3823" s="50">
        <v>76.680000000000007</v>
      </c>
    </row>
    <row r="3824" spans="4:16" x14ac:dyDescent="0.2">
      <c r="D3824">
        <v>100002281</v>
      </c>
      <c r="E3824" s="49">
        <v>45128</v>
      </c>
      <c r="F3824" t="s">
        <v>3995</v>
      </c>
      <c r="G3824" t="s">
        <v>2692</v>
      </c>
      <c r="H3824">
        <v>7</v>
      </c>
      <c r="I3824">
        <v>28.85</v>
      </c>
      <c r="J3824" s="50">
        <v>201.95</v>
      </c>
      <c r="K3824" t="s">
        <v>1632</v>
      </c>
      <c r="M3824" t="s">
        <v>1629</v>
      </c>
      <c r="N3824">
        <v>15.23</v>
      </c>
      <c r="O3824" s="49">
        <v>45132</v>
      </c>
      <c r="P3824" s="50">
        <v>90.877499999999998</v>
      </c>
    </row>
    <row r="3825" spans="4:16" x14ac:dyDescent="0.2">
      <c r="D3825">
        <v>100002282</v>
      </c>
      <c r="E3825" s="49">
        <v>45071</v>
      </c>
      <c r="F3825" t="s">
        <v>3996</v>
      </c>
      <c r="G3825" t="s">
        <v>2191</v>
      </c>
      <c r="H3825">
        <v>10</v>
      </c>
      <c r="I3825">
        <v>118.31</v>
      </c>
      <c r="J3825" s="50">
        <v>1183.0999999999999</v>
      </c>
      <c r="K3825" t="s">
        <v>1632</v>
      </c>
      <c r="M3825" t="s">
        <v>1627</v>
      </c>
      <c r="N3825">
        <v>62.44</v>
      </c>
      <c r="O3825" s="49">
        <v>45073</v>
      </c>
      <c r="P3825" s="50">
        <v>532.39499999999998</v>
      </c>
    </row>
    <row r="3826" spans="4:16" x14ac:dyDescent="0.2">
      <c r="D3826">
        <v>100002282</v>
      </c>
      <c r="E3826" s="49">
        <v>44281</v>
      </c>
      <c r="F3826" t="s">
        <v>3996</v>
      </c>
      <c r="G3826" t="s">
        <v>2436</v>
      </c>
      <c r="H3826">
        <v>6</v>
      </c>
      <c r="I3826">
        <v>28.48</v>
      </c>
      <c r="J3826" s="50">
        <v>170.88</v>
      </c>
      <c r="K3826" t="s">
        <v>1632</v>
      </c>
      <c r="M3826" t="s">
        <v>1627</v>
      </c>
      <c r="N3826">
        <v>15.03</v>
      </c>
      <c r="O3826" s="49">
        <v>44286</v>
      </c>
      <c r="P3826" s="50">
        <v>76.896000000000001</v>
      </c>
    </row>
    <row r="3827" spans="4:16" x14ac:dyDescent="0.2">
      <c r="D3827">
        <v>100002282</v>
      </c>
      <c r="E3827" s="49">
        <v>45223</v>
      </c>
      <c r="F3827" t="s">
        <v>3996</v>
      </c>
      <c r="G3827" t="s">
        <v>1697</v>
      </c>
      <c r="H3827">
        <v>9</v>
      </c>
      <c r="I3827">
        <v>59.96</v>
      </c>
      <c r="J3827" s="50">
        <v>539.64</v>
      </c>
      <c r="K3827" t="s">
        <v>1632</v>
      </c>
      <c r="M3827" t="s">
        <v>1619</v>
      </c>
      <c r="N3827">
        <v>31.65</v>
      </c>
      <c r="O3827" s="49">
        <v>45227</v>
      </c>
      <c r="P3827" s="50">
        <v>242.83799999999999</v>
      </c>
    </row>
    <row r="3828" spans="4:16" x14ac:dyDescent="0.2">
      <c r="D3828">
        <v>100002282</v>
      </c>
      <c r="E3828" s="49">
        <v>45107</v>
      </c>
      <c r="F3828" t="s">
        <v>3996</v>
      </c>
      <c r="G3828" t="s">
        <v>1641</v>
      </c>
      <c r="H3828">
        <v>5</v>
      </c>
      <c r="I3828">
        <v>28.33</v>
      </c>
      <c r="J3828" s="50">
        <v>141.65</v>
      </c>
      <c r="K3828" t="s">
        <v>1632</v>
      </c>
      <c r="M3828" t="s">
        <v>1621</v>
      </c>
      <c r="N3828">
        <v>14.95</v>
      </c>
      <c r="O3828" s="49">
        <v>45108</v>
      </c>
      <c r="P3828" s="50">
        <v>63.742500000000007</v>
      </c>
    </row>
    <row r="3829" spans="4:16" x14ac:dyDescent="0.2">
      <c r="D3829">
        <v>100002283</v>
      </c>
      <c r="E3829" s="49">
        <v>44959</v>
      </c>
      <c r="F3829" t="s">
        <v>3997</v>
      </c>
      <c r="G3829" t="s">
        <v>1636</v>
      </c>
      <c r="H3829">
        <v>5</v>
      </c>
      <c r="I3829">
        <v>33.770000000000003</v>
      </c>
      <c r="J3829" s="50">
        <v>168.85</v>
      </c>
      <c r="K3829" t="s">
        <v>1632</v>
      </c>
      <c r="M3829" t="s">
        <v>1619</v>
      </c>
      <c r="N3829">
        <v>17.82</v>
      </c>
      <c r="O3829" s="49">
        <v>44963</v>
      </c>
      <c r="P3829" s="50">
        <v>75.982500000000002</v>
      </c>
    </row>
    <row r="3830" spans="4:16" x14ac:dyDescent="0.2">
      <c r="D3830">
        <v>100002283</v>
      </c>
      <c r="E3830" s="49">
        <v>45259</v>
      </c>
      <c r="F3830" t="s">
        <v>3997</v>
      </c>
      <c r="G3830" t="s">
        <v>2038</v>
      </c>
      <c r="H3830">
        <v>6</v>
      </c>
      <c r="I3830">
        <v>98.76</v>
      </c>
      <c r="J3830" s="50">
        <v>592.56000000000006</v>
      </c>
      <c r="K3830" t="s">
        <v>1632</v>
      </c>
      <c r="M3830" t="s">
        <v>1619</v>
      </c>
      <c r="N3830">
        <v>52.12</v>
      </c>
      <c r="O3830" s="49">
        <v>45264</v>
      </c>
      <c r="P3830" s="50">
        <v>266.65200000000004</v>
      </c>
    </row>
    <row r="3831" spans="4:16" x14ac:dyDescent="0.2">
      <c r="D3831">
        <v>100002283</v>
      </c>
      <c r="E3831" s="49">
        <v>45283</v>
      </c>
      <c r="F3831" t="s">
        <v>3997</v>
      </c>
      <c r="G3831" t="s">
        <v>1743</v>
      </c>
      <c r="H3831">
        <v>3</v>
      </c>
      <c r="I3831">
        <v>67.88</v>
      </c>
      <c r="J3831" s="50">
        <v>203.64</v>
      </c>
      <c r="K3831" t="s">
        <v>1632</v>
      </c>
      <c r="M3831" t="s">
        <v>1629</v>
      </c>
      <c r="N3831">
        <v>35.83</v>
      </c>
      <c r="O3831" s="49">
        <v>45287</v>
      </c>
      <c r="P3831" s="50">
        <v>91.637999999999991</v>
      </c>
    </row>
    <row r="3832" spans="4:16" x14ac:dyDescent="0.2">
      <c r="D3832">
        <v>100002284</v>
      </c>
      <c r="E3832" s="49">
        <v>45305</v>
      </c>
      <c r="F3832" t="s">
        <v>3998</v>
      </c>
      <c r="G3832" t="s">
        <v>1687</v>
      </c>
      <c r="H3832">
        <v>7</v>
      </c>
      <c r="I3832">
        <v>89.52</v>
      </c>
      <c r="J3832" s="50">
        <v>626.64</v>
      </c>
      <c r="K3832" t="s">
        <v>1632</v>
      </c>
      <c r="M3832" t="s">
        <v>1627</v>
      </c>
      <c r="N3832">
        <v>47.25</v>
      </c>
      <c r="O3832" s="49">
        <v>45307</v>
      </c>
      <c r="P3832" s="50">
        <v>281.988</v>
      </c>
    </row>
    <row r="3833" spans="4:16" x14ac:dyDescent="0.2">
      <c r="D3833">
        <v>100002284</v>
      </c>
      <c r="E3833" s="49">
        <v>44668</v>
      </c>
      <c r="F3833" t="s">
        <v>3998</v>
      </c>
      <c r="G3833" t="s">
        <v>2151</v>
      </c>
      <c r="H3833">
        <v>1</v>
      </c>
      <c r="I3833">
        <v>103.52</v>
      </c>
      <c r="J3833" s="50">
        <v>103.52</v>
      </c>
      <c r="K3833" t="s">
        <v>1632</v>
      </c>
      <c r="M3833" t="s">
        <v>1619</v>
      </c>
      <c r="N3833">
        <v>54.64</v>
      </c>
      <c r="O3833" s="49">
        <v>44671</v>
      </c>
      <c r="P3833" s="50">
        <v>46.583999999999996</v>
      </c>
    </row>
    <row r="3834" spans="4:16" x14ac:dyDescent="0.2">
      <c r="D3834">
        <v>100002285</v>
      </c>
      <c r="E3834" s="49">
        <v>45227</v>
      </c>
      <c r="F3834" t="s">
        <v>3999</v>
      </c>
      <c r="G3834" t="s">
        <v>1664</v>
      </c>
      <c r="H3834">
        <v>1</v>
      </c>
      <c r="I3834">
        <v>53.83</v>
      </c>
      <c r="J3834" s="50">
        <v>53.83</v>
      </c>
      <c r="K3834" t="s">
        <v>1618</v>
      </c>
      <c r="M3834" t="s">
        <v>1629</v>
      </c>
      <c r="N3834">
        <v>28.41</v>
      </c>
      <c r="O3834" s="49">
        <v>45228</v>
      </c>
      <c r="P3834" s="50">
        <v>24.223500000000001</v>
      </c>
    </row>
    <row r="3835" spans="4:16" x14ac:dyDescent="0.2">
      <c r="D3835">
        <v>100002286</v>
      </c>
      <c r="E3835" s="49">
        <v>45135</v>
      </c>
      <c r="F3835" t="s">
        <v>4000</v>
      </c>
      <c r="G3835" t="s">
        <v>1667</v>
      </c>
      <c r="H3835">
        <v>2</v>
      </c>
      <c r="I3835">
        <v>33.86</v>
      </c>
      <c r="J3835" s="50">
        <v>67.72</v>
      </c>
      <c r="K3835" t="s">
        <v>1618</v>
      </c>
      <c r="M3835" t="s">
        <v>1627</v>
      </c>
      <c r="N3835">
        <v>17.87</v>
      </c>
      <c r="O3835" s="49">
        <v>45140</v>
      </c>
      <c r="P3835" s="50">
        <v>30.474</v>
      </c>
    </row>
    <row r="3836" spans="4:16" x14ac:dyDescent="0.2">
      <c r="D3836">
        <v>100002287</v>
      </c>
      <c r="E3836" s="49">
        <v>45242</v>
      </c>
      <c r="F3836" t="s">
        <v>4001</v>
      </c>
      <c r="G3836" t="s">
        <v>1637</v>
      </c>
      <c r="H3836">
        <v>5</v>
      </c>
      <c r="I3836">
        <v>61.8</v>
      </c>
      <c r="J3836" s="50">
        <v>309</v>
      </c>
      <c r="K3836" t="s">
        <v>1632</v>
      </c>
      <c r="L3836" t="s">
        <v>4002</v>
      </c>
      <c r="M3836" t="s">
        <v>1629</v>
      </c>
      <c r="N3836">
        <v>32.619999999999997</v>
      </c>
      <c r="O3836" s="49">
        <v>45246</v>
      </c>
      <c r="P3836" s="50">
        <v>139.05000000000001</v>
      </c>
    </row>
    <row r="3837" spans="4:16" x14ac:dyDescent="0.2">
      <c r="D3837">
        <v>100002288</v>
      </c>
      <c r="E3837" s="49">
        <v>45357</v>
      </c>
      <c r="F3837" t="s">
        <v>4003</v>
      </c>
      <c r="G3837" t="s">
        <v>2261</v>
      </c>
      <c r="H3837">
        <v>6</v>
      </c>
      <c r="I3837">
        <v>10.95</v>
      </c>
      <c r="J3837" s="50">
        <v>65.699999999999989</v>
      </c>
      <c r="K3837" t="s">
        <v>1618</v>
      </c>
      <c r="M3837" t="s">
        <v>1619</v>
      </c>
      <c r="N3837">
        <v>5.78</v>
      </c>
      <c r="O3837" s="49">
        <v>45360</v>
      </c>
      <c r="P3837" s="50">
        <v>29.564999999999994</v>
      </c>
    </row>
    <row r="3838" spans="4:16" x14ac:dyDescent="0.2">
      <c r="D3838">
        <v>100002289</v>
      </c>
      <c r="E3838" s="49">
        <v>44724</v>
      </c>
      <c r="F3838" t="s">
        <v>4004</v>
      </c>
      <c r="G3838" t="s">
        <v>1687</v>
      </c>
      <c r="H3838">
        <v>1</v>
      </c>
      <c r="I3838">
        <v>80.010000000000005</v>
      </c>
      <c r="J3838" s="50">
        <v>80.010000000000005</v>
      </c>
      <c r="K3838" t="s">
        <v>1632</v>
      </c>
      <c r="M3838" t="s">
        <v>1627</v>
      </c>
      <c r="N3838">
        <v>42.23</v>
      </c>
      <c r="O3838" s="49">
        <v>44728</v>
      </c>
      <c r="P3838" s="50">
        <v>36.0045</v>
      </c>
    </row>
    <row r="3839" spans="4:16" x14ac:dyDescent="0.2">
      <c r="D3839">
        <v>100002290</v>
      </c>
      <c r="E3839" s="49">
        <v>44591</v>
      </c>
      <c r="F3839" t="s">
        <v>4005</v>
      </c>
      <c r="G3839" t="s">
        <v>2168</v>
      </c>
      <c r="H3839">
        <v>9</v>
      </c>
      <c r="I3839">
        <v>32.39</v>
      </c>
      <c r="J3839" s="50">
        <v>291.51</v>
      </c>
      <c r="K3839" t="s">
        <v>1618</v>
      </c>
      <c r="M3839" t="s">
        <v>1629</v>
      </c>
      <c r="N3839">
        <v>17.09</v>
      </c>
      <c r="O3839" s="49">
        <v>44594</v>
      </c>
      <c r="P3839" s="50">
        <v>131.17949999999999</v>
      </c>
    </row>
    <row r="3840" spans="4:16" x14ac:dyDescent="0.2">
      <c r="D3840">
        <v>100002291</v>
      </c>
      <c r="E3840" s="49">
        <v>45357</v>
      </c>
      <c r="F3840" t="s">
        <v>4006</v>
      </c>
      <c r="G3840" t="s">
        <v>2418</v>
      </c>
      <c r="H3840">
        <v>8</v>
      </c>
      <c r="I3840">
        <v>105.65</v>
      </c>
      <c r="J3840" s="50">
        <v>845.2</v>
      </c>
      <c r="K3840" t="s">
        <v>1632</v>
      </c>
      <c r="M3840" t="s">
        <v>1624</v>
      </c>
      <c r="N3840">
        <v>55.76</v>
      </c>
      <c r="O3840" s="49">
        <v>45361</v>
      </c>
      <c r="P3840" s="50">
        <v>380.34000000000003</v>
      </c>
    </row>
    <row r="3841" spans="4:16" x14ac:dyDescent="0.2">
      <c r="D3841">
        <v>100002292</v>
      </c>
      <c r="E3841" s="49">
        <v>44796</v>
      </c>
      <c r="F3841" t="s">
        <v>4007</v>
      </c>
      <c r="G3841" t="s">
        <v>1749</v>
      </c>
      <c r="H3841">
        <v>9</v>
      </c>
      <c r="I3841">
        <v>24.24</v>
      </c>
      <c r="J3841" s="50">
        <v>218.16</v>
      </c>
      <c r="K3841" t="s">
        <v>1632</v>
      </c>
      <c r="L3841" t="s">
        <v>4008</v>
      </c>
      <c r="M3841" t="s">
        <v>1621</v>
      </c>
      <c r="N3841">
        <v>12.79</v>
      </c>
      <c r="O3841" s="49">
        <v>44797</v>
      </c>
      <c r="P3841" s="50">
        <v>98.171999999999997</v>
      </c>
    </row>
    <row r="3842" spans="4:16" x14ac:dyDescent="0.2">
      <c r="D3842">
        <v>100002293</v>
      </c>
      <c r="E3842" s="49">
        <v>45517</v>
      </c>
      <c r="F3842" t="s">
        <v>4009</v>
      </c>
      <c r="G3842" t="s">
        <v>2088</v>
      </c>
      <c r="H3842">
        <v>6</v>
      </c>
      <c r="I3842">
        <v>58.66</v>
      </c>
      <c r="J3842" s="50">
        <v>351.96</v>
      </c>
      <c r="K3842" t="s">
        <v>1618</v>
      </c>
      <c r="M3842" t="s">
        <v>1624</v>
      </c>
      <c r="N3842">
        <v>30.96</v>
      </c>
      <c r="O3842" s="49">
        <v>45522</v>
      </c>
      <c r="P3842" s="50">
        <v>158.38200000000001</v>
      </c>
    </row>
    <row r="3843" spans="4:16" x14ac:dyDescent="0.2">
      <c r="D3843">
        <v>100002293</v>
      </c>
      <c r="E3843" s="49">
        <v>44601</v>
      </c>
      <c r="F3843" t="s">
        <v>4009</v>
      </c>
      <c r="G3843" t="s">
        <v>2048</v>
      </c>
      <c r="H3843">
        <v>1</v>
      </c>
      <c r="I3843">
        <v>26.29</v>
      </c>
      <c r="J3843" s="50">
        <v>26.29</v>
      </c>
      <c r="K3843" t="s">
        <v>1618</v>
      </c>
      <c r="M3843" t="s">
        <v>1624</v>
      </c>
      <c r="N3843">
        <v>13.88</v>
      </c>
      <c r="O3843" s="49">
        <v>44605</v>
      </c>
      <c r="P3843" s="50">
        <v>11.830500000000001</v>
      </c>
    </row>
    <row r="3844" spans="4:16" x14ac:dyDescent="0.2">
      <c r="D3844">
        <v>100002293</v>
      </c>
      <c r="E3844" s="49">
        <v>44203</v>
      </c>
      <c r="F3844" t="s">
        <v>4009</v>
      </c>
      <c r="G3844" t="s">
        <v>2159</v>
      </c>
      <c r="H3844">
        <v>3</v>
      </c>
      <c r="I3844">
        <v>89.32</v>
      </c>
      <c r="J3844" s="50">
        <v>267.95999999999998</v>
      </c>
      <c r="K3844" t="s">
        <v>1618</v>
      </c>
      <c r="M3844" t="s">
        <v>1629</v>
      </c>
      <c r="N3844">
        <v>47.14</v>
      </c>
      <c r="O3844" s="49">
        <v>44204</v>
      </c>
      <c r="P3844" s="50">
        <v>120.58199999999999</v>
      </c>
    </row>
    <row r="3845" spans="4:16" x14ac:dyDescent="0.2">
      <c r="D3845">
        <v>100002294</v>
      </c>
      <c r="E3845" s="49">
        <v>45317</v>
      </c>
      <c r="F3845" t="s">
        <v>4010</v>
      </c>
      <c r="G3845" t="s">
        <v>1661</v>
      </c>
      <c r="H3845">
        <v>10</v>
      </c>
      <c r="I3845">
        <v>20.85</v>
      </c>
      <c r="J3845" s="50">
        <v>208.5</v>
      </c>
      <c r="K3845" t="s">
        <v>1618</v>
      </c>
      <c r="M3845" t="s">
        <v>1621</v>
      </c>
      <c r="N3845">
        <v>11</v>
      </c>
      <c r="O3845" s="49">
        <v>45319</v>
      </c>
      <c r="P3845" s="50">
        <v>93.825000000000003</v>
      </c>
    </row>
    <row r="3846" spans="4:16" x14ac:dyDescent="0.2">
      <c r="D3846">
        <v>100002294</v>
      </c>
      <c r="E3846" s="49">
        <v>45130</v>
      </c>
      <c r="F3846" t="s">
        <v>4010</v>
      </c>
      <c r="G3846" t="s">
        <v>1628</v>
      </c>
      <c r="H3846">
        <v>3</v>
      </c>
      <c r="I3846">
        <v>96.86</v>
      </c>
      <c r="J3846" s="50">
        <v>290.58</v>
      </c>
      <c r="K3846" t="s">
        <v>1618</v>
      </c>
      <c r="M3846" t="s">
        <v>1619</v>
      </c>
      <c r="N3846">
        <v>51.12</v>
      </c>
      <c r="O3846" s="49">
        <v>45132</v>
      </c>
      <c r="P3846" s="50">
        <v>130.761</v>
      </c>
    </row>
    <row r="3847" spans="4:16" x14ac:dyDescent="0.2">
      <c r="D3847">
        <v>100002295</v>
      </c>
      <c r="E3847" s="49">
        <v>44220</v>
      </c>
      <c r="F3847" t="s">
        <v>4011</v>
      </c>
      <c r="G3847" t="s">
        <v>2103</v>
      </c>
      <c r="H3847">
        <v>1</v>
      </c>
      <c r="I3847">
        <v>85.45</v>
      </c>
      <c r="J3847" s="50">
        <v>85.45</v>
      </c>
      <c r="K3847" t="s">
        <v>1632</v>
      </c>
      <c r="M3847" t="s">
        <v>1629</v>
      </c>
      <c r="N3847">
        <v>45.1</v>
      </c>
      <c r="O3847" s="49">
        <v>44221</v>
      </c>
      <c r="P3847" s="50">
        <v>38.452500000000001</v>
      </c>
    </row>
    <row r="3848" spans="4:16" x14ac:dyDescent="0.2">
      <c r="D3848">
        <v>100002295</v>
      </c>
      <c r="E3848" s="49">
        <v>44614</v>
      </c>
      <c r="F3848" t="s">
        <v>4011</v>
      </c>
      <c r="G3848" t="s">
        <v>2074</v>
      </c>
      <c r="H3848">
        <v>3</v>
      </c>
      <c r="I3848">
        <v>69.459999999999994</v>
      </c>
      <c r="J3848" s="50">
        <v>208.38</v>
      </c>
      <c r="K3848" t="s">
        <v>1632</v>
      </c>
      <c r="M3848" t="s">
        <v>1621</v>
      </c>
      <c r="N3848">
        <v>36.659999999999997</v>
      </c>
      <c r="O3848" s="49">
        <v>44619</v>
      </c>
      <c r="P3848" s="50">
        <v>93.771000000000001</v>
      </c>
    </row>
    <row r="3849" spans="4:16" x14ac:dyDescent="0.2">
      <c r="D3849">
        <v>100002295</v>
      </c>
      <c r="E3849" s="49">
        <v>45044</v>
      </c>
      <c r="F3849" t="s">
        <v>4011</v>
      </c>
      <c r="G3849" t="s">
        <v>2305</v>
      </c>
      <c r="H3849">
        <v>2</v>
      </c>
      <c r="I3849">
        <v>105.46</v>
      </c>
      <c r="J3849" s="50">
        <v>210.92</v>
      </c>
      <c r="K3849" t="s">
        <v>1632</v>
      </c>
      <c r="M3849" t="s">
        <v>1619</v>
      </c>
      <c r="N3849">
        <v>55.66</v>
      </c>
      <c r="O3849" s="49">
        <v>45046</v>
      </c>
      <c r="P3849" s="50">
        <v>94.914000000000001</v>
      </c>
    </row>
    <row r="3850" spans="4:16" x14ac:dyDescent="0.2">
      <c r="D3850">
        <v>100002295</v>
      </c>
      <c r="E3850" s="49">
        <v>45516</v>
      </c>
      <c r="F3850" t="s">
        <v>4011</v>
      </c>
      <c r="G3850" t="s">
        <v>1945</v>
      </c>
      <c r="H3850">
        <v>9</v>
      </c>
      <c r="I3850">
        <v>45.53</v>
      </c>
      <c r="J3850" s="50">
        <v>409.77</v>
      </c>
      <c r="K3850" t="s">
        <v>1632</v>
      </c>
      <c r="M3850" t="s">
        <v>1619</v>
      </c>
      <c r="N3850">
        <v>24.03</v>
      </c>
      <c r="O3850" s="49">
        <v>45520</v>
      </c>
      <c r="P3850" s="50">
        <v>184.3965</v>
      </c>
    </row>
    <row r="3851" spans="4:16" x14ac:dyDescent="0.2">
      <c r="D3851">
        <v>100002295</v>
      </c>
      <c r="E3851" s="49">
        <v>44201</v>
      </c>
      <c r="F3851" t="s">
        <v>4011</v>
      </c>
      <c r="G3851" t="s">
        <v>2145</v>
      </c>
      <c r="H3851">
        <v>4</v>
      </c>
      <c r="I3851">
        <v>11.82</v>
      </c>
      <c r="J3851" s="50">
        <v>47.28</v>
      </c>
      <c r="K3851" t="s">
        <v>1632</v>
      </c>
      <c r="M3851" t="s">
        <v>1619</v>
      </c>
      <c r="N3851">
        <v>6.24</v>
      </c>
      <c r="O3851" s="49">
        <v>44205</v>
      </c>
      <c r="P3851" s="50">
        <v>21.276</v>
      </c>
    </row>
    <row r="3852" spans="4:16" x14ac:dyDescent="0.2">
      <c r="D3852">
        <v>100002298</v>
      </c>
      <c r="E3852" s="49">
        <v>45440</v>
      </c>
      <c r="F3852" t="s">
        <v>4012</v>
      </c>
      <c r="G3852" t="s">
        <v>3135</v>
      </c>
      <c r="H3852">
        <v>4</v>
      </c>
      <c r="I3852">
        <v>39.36</v>
      </c>
      <c r="J3852" s="50">
        <v>157.44</v>
      </c>
      <c r="K3852" t="s">
        <v>1618</v>
      </c>
      <c r="M3852" t="s">
        <v>1624</v>
      </c>
      <c r="N3852">
        <v>20.77</v>
      </c>
      <c r="O3852" s="49">
        <v>45441</v>
      </c>
      <c r="P3852" s="50">
        <v>70.847999999999999</v>
      </c>
    </row>
    <row r="3853" spans="4:16" x14ac:dyDescent="0.2">
      <c r="D3853">
        <v>100002300</v>
      </c>
      <c r="E3853" s="49">
        <v>44455</v>
      </c>
      <c r="F3853" t="s">
        <v>4013</v>
      </c>
      <c r="G3853" t="s">
        <v>2204</v>
      </c>
      <c r="H3853">
        <v>1</v>
      </c>
      <c r="I3853">
        <v>85.71</v>
      </c>
      <c r="J3853" s="50">
        <v>85.71</v>
      </c>
      <c r="K3853" t="s">
        <v>1618</v>
      </c>
      <c r="M3853" t="s">
        <v>1624</v>
      </c>
      <c r="N3853">
        <v>45.24</v>
      </c>
      <c r="O3853" s="49">
        <v>44457</v>
      </c>
      <c r="P3853" s="50">
        <v>38.569499999999998</v>
      </c>
    </row>
    <row r="3854" spans="4:16" x14ac:dyDescent="0.2">
      <c r="D3854">
        <v>100002301</v>
      </c>
      <c r="E3854" s="49">
        <v>45111</v>
      </c>
      <c r="F3854" t="s">
        <v>4014</v>
      </c>
      <c r="G3854" t="s">
        <v>1718</v>
      </c>
      <c r="H3854">
        <v>7</v>
      </c>
      <c r="I3854">
        <v>35.729999999999997</v>
      </c>
      <c r="J3854" s="50">
        <v>250.11</v>
      </c>
      <c r="K3854" t="s">
        <v>1618</v>
      </c>
      <c r="L3854" t="s">
        <v>4015</v>
      </c>
      <c r="M3854" t="s">
        <v>1621</v>
      </c>
      <c r="N3854">
        <v>18.86</v>
      </c>
      <c r="O3854" s="49">
        <v>45115</v>
      </c>
      <c r="P3854" s="50">
        <v>112.54950000000001</v>
      </c>
    </row>
    <row r="3855" spans="4:16" x14ac:dyDescent="0.2">
      <c r="D3855">
        <v>100002303</v>
      </c>
      <c r="E3855" s="49">
        <v>45260</v>
      </c>
      <c r="F3855" t="s">
        <v>4016</v>
      </c>
      <c r="G3855" t="s">
        <v>1895</v>
      </c>
      <c r="H3855">
        <v>3</v>
      </c>
      <c r="I3855">
        <v>10.130000000000001</v>
      </c>
      <c r="J3855" s="50">
        <v>30.39</v>
      </c>
      <c r="K3855" t="s">
        <v>1632</v>
      </c>
      <c r="M3855" t="s">
        <v>1627</v>
      </c>
      <c r="N3855">
        <v>5.35</v>
      </c>
      <c r="O3855" s="49">
        <v>45264</v>
      </c>
      <c r="P3855" s="50">
        <v>13.675500000000001</v>
      </c>
    </row>
    <row r="3856" spans="4:16" x14ac:dyDescent="0.2">
      <c r="D3856">
        <v>100002304</v>
      </c>
      <c r="E3856" s="49">
        <v>44411</v>
      </c>
      <c r="F3856" t="s">
        <v>4017</v>
      </c>
      <c r="G3856" t="s">
        <v>2337</v>
      </c>
      <c r="H3856">
        <v>9</v>
      </c>
      <c r="I3856">
        <v>24.69</v>
      </c>
      <c r="J3856" s="50">
        <v>222.21</v>
      </c>
      <c r="K3856" t="s">
        <v>1618</v>
      </c>
      <c r="M3856" t="s">
        <v>1619</v>
      </c>
      <c r="N3856">
        <v>13.03</v>
      </c>
      <c r="O3856" s="49">
        <v>44414</v>
      </c>
      <c r="P3856" s="50">
        <v>99.994500000000002</v>
      </c>
    </row>
    <row r="3857" spans="4:16" x14ac:dyDescent="0.2">
      <c r="D3857">
        <v>100002304</v>
      </c>
      <c r="E3857" s="49">
        <v>45266</v>
      </c>
      <c r="F3857" t="s">
        <v>4017</v>
      </c>
      <c r="G3857" t="s">
        <v>1890</v>
      </c>
      <c r="H3857">
        <v>2</v>
      </c>
      <c r="I3857">
        <v>93.91</v>
      </c>
      <c r="J3857" s="50">
        <v>187.82</v>
      </c>
      <c r="K3857" t="s">
        <v>1618</v>
      </c>
      <c r="M3857" t="s">
        <v>1621</v>
      </c>
      <c r="N3857">
        <v>49.56</v>
      </c>
      <c r="O3857" s="49">
        <v>45268</v>
      </c>
      <c r="P3857" s="50">
        <v>84.519000000000005</v>
      </c>
    </row>
    <row r="3858" spans="4:16" x14ac:dyDescent="0.2">
      <c r="D3858">
        <v>100002305</v>
      </c>
      <c r="E3858" s="49">
        <v>45052</v>
      </c>
      <c r="F3858" t="s">
        <v>4018</v>
      </c>
      <c r="G3858" t="s">
        <v>2096</v>
      </c>
      <c r="H3858">
        <v>1</v>
      </c>
      <c r="I3858">
        <v>24.86</v>
      </c>
      <c r="J3858" s="50">
        <v>24.86</v>
      </c>
      <c r="K3858" t="s">
        <v>1618</v>
      </c>
      <c r="M3858" t="s">
        <v>1621</v>
      </c>
      <c r="N3858">
        <v>13.12</v>
      </c>
      <c r="O3858" s="49">
        <v>45056</v>
      </c>
      <c r="P3858" s="50">
        <v>11.186999999999999</v>
      </c>
    </row>
    <row r="3859" spans="4:16" x14ac:dyDescent="0.2">
      <c r="D3859">
        <v>100002305</v>
      </c>
      <c r="E3859" s="49">
        <v>44199</v>
      </c>
      <c r="F3859" t="s">
        <v>4018</v>
      </c>
      <c r="G3859" t="s">
        <v>1767</v>
      </c>
      <c r="H3859">
        <v>5</v>
      </c>
      <c r="I3859">
        <v>51.09</v>
      </c>
      <c r="J3859" s="50">
        <v>255.45</v>
      </c>
      <c r="K3859" t="s">
        <v>1618</v>
      </c>
      <c r="M3859" t="s">
        <v>1624</v>
      </c>
      <c r="N3859">
        <v>26.96</v>
      </c>
      <c r="O3859" s="49">
        <v>44203</v>
      </c>
      <c r="P3859" s="50">
        <v>114.9525</v>
      </c>
    </row>
    <row r="3860" spans="4:16" x14ac:dyDescent="0.2">
      <c r="D3860">
        <v>100002307</v>
      </c>
      <c r="E3860" s="49">
        <v>45059</v>
      </c>
      <c r="F3860" t="s">
        <v>4019</v>
      </c>
      <c r="G3860" t="s">
        <v>1973</v>
      </c>
      <c r="H3860">
        <v>2</v>
      </c>
      <c r="I3860">
        <v>100.26</v>
      </c>
      <c r="J3860" s="50">
        <v>200.52</v>
      </c>
      <c r="K3860" t="s">
        <v>1632</v>
      </c>
      <c r="L3860" t="s">
        <v>4020</v>
      </c>
      <c r="M3860" t="s">
        <v>1627</v>
      </c>
      <c r="N3860">
        <v>52.91</v>
      </c>
      <c r="O3860" s="49">
        <v>45062</v>
      </c>
      <c r="P3860" s="50">
        <v>90.234000000000009</v>
      </c>
    </row>
    <row r="3861" spans="4:16" x14ac:dyDescent="0.2">
      <c r="D3861">
        <v>100002307</v>
      </c>
      <c r="E3861" s="49">
        <v>45173</v>
      </c>
      <c r="F3861" t="s">
        <v>4019</v>
      </c>
      <c r="G3861" t="s">
        <v>1674</v>
      </c>
      <c r="H3861">
        <v>7</v>
      </c>
      <c r="I3861">
        <v>63.44</v>
      </c>
      <c r="J3861" s="50">
        <v>444.08</v>
      </c>
      <c r="K3861" t="s">
        <v>1632</v>
      </c>
      <c r="L3861" t="s">
        <v>4020</v>
      </c>
      <c r="M3861" t="s">
        <v>1629</v>
      </c>
      <c r="N3861">
        <v>33.479999999999997</v>
      </c>
      <c r="O3861" s="49">
        <v>45176</v>
      </c>
      <c r="P3861" s="50">
        <v>199.83599999999998</v>
      </c>
    </row>
    <row r="3862" spans="4:16" x14ac:dyDescent="0.2">
      <c r="D3862">
        <v>100002307</v>
      </c>
      <c r="E3862" s="49">
        <v>44480</v>
      </c>
      <c r="F3862" t="s">
        <v>4019</v>
      </c>
      <c r="G3862" t="s">
        <v>1976</v>
      </c>
      <c r="H3862">
        <v>9</v>
      </c>
      <c r="I3862">
        <v>35.51</v>
      </c>
      <c r="J3862" s="50">
        <v>319.58999999999997</v>
      </c>
      <c r="K3862" t="s">
        <v>1632</v>
      </c>
      <c r="L3862" t="s">
        <v>4020</v>
      </c>
      <c r="M3862" t="s">
        <v>1627</v>
      </c>
      <c r="N3862">
        <v>18.739999999999998</v>
      </c>
      <c r="O3862" s="49">
        <v>44483</v>
      </c>
      <c r="P3862" s="50">
        <v>143.81549999999999</v>
      </c>
    </row>
    <row r="3863" spans="4:16" x14ac:dyDescent="0.2">
      <c r="D3863">
        <v>100002308</v>
      </c>
      <c r="E3863" s="49">
        <v>45287</v>
      </c>
      <c r="F3863" t="s">
        <v>4021</v>
      </c>
      <c r="G3863" t="s">
        <v>1626</v>
      </c>
      <c r="H3863">
        <v>9</v>
      </c>
      <c r="I3863">
        <v>106.12</v>
      </c>
      <c r="J3863" s="50">
        <v>955.08</v>
      </c>
      <c r="K3863" t="s">
        <v>1618</v>
      </c>
      <c r="M3863" t="s">
        <v>1627</v>
      </c>
      <c r="N3863">
        <v>56.01</v>
      </c>
      <c r="O3863" s="49">
        <v>45289</v>
      </c>
      <c r="P3863" s="50">
        <v>429.786</v>
      </c>
    </row>
    <row r="3864" spans="4:16" x14ac:dyDescent="0.2">
      <c r="D3864">
        <v>100002308</v>
      </c>
      <c r="E3864" s="49">
        <v>44722</v>
      </c>
      <c r="F3864" t="s">
        <v>4021</v>
      </c>
      <c r="G3864" t="s">
        <v>1704</v>
      </c>
      <c r="H3864">
        <v>8</v>
      </c>
      <c r="I3864">
        <v>77.5</v>
      </c>
      <c r="J3864" s="50">
        <v>620</v>
      </c>
      <c r="K3864" t="s">
        <v>1618</v>
      </c>
      <c r="M3864" t="s">
        <v>1619</v>
      </c>
      <c r="N3864">
        <v>40.9</v>
      </c>
      <c r="O3864" s="49">
        <v>44724</v>
      </c>
      <c r="P3864" s="50">
        <v>279</v>
      </c>
    </row>
    <row r="3865" spans="4:16" x14ac:dyDescent="0.2">
      <c r="D3865">
        <v>100002311</v>
      </c>
      <c r="E3865" s="49">
        <v>44997</v>
      </c>
      <c r="F3865" t="s">
        <v>4022</v>
      </c>
      <c r="G3865" t="s">
        <v>2192</v>
      </c>
      <c r="H3865">
        <v>5</v>
      </c>
      <c r="I3865">
        <v>58.35</v>
      </c>
      <c r="J3865" s="50">
        <v>291.75</v>
      </c>
      <c r="K3865" t="s">
        <v>1632</v>
      </c>
      <c r="M3865" t="s">
        <v>1627</v>
      </c>
      <c r="N3865">
        <v>30.8</v>
      </c>
      <c r="O3865" s="49">
        <v>45000</v>
      </c>
      <c r="P3865" s="50">
        <v>131.28749999999999</v>
      </c>
    </row>
    <row r="3866" spans="4:16" x14ac:dyDescent="0.2">
      <c r="D3866">
        <v>100002311</v>
      </c>
      <c r="E3866" s="49">
        <v>45526</v>
      </c>
      <c r="F3866" t="s">
        <v>4022</v>
      </c>
      <c r="G3866" t="s">
        <v>1971</v>
      </c>
      <c r="H3866">
        <v>6</v>
      </c>
      <c r="I3866">
        <v>94.97</v>
      </c>
      <c r="J3866" s="50">
        <v>569.81999999999994</v>
      </c>
      <c r="K3866" t="s">
        <v>1632</v>
      </c>
      <c r="M3866" t="s">
        <v>1627</v>
      </c>
      <c r="N3866">
        <v>50.12</v>
      </c>
      <c r="O3866" s="49">
        <v>45530</v>
      </c>
      <c r="P3866" s="50">
        <v>256.41899999999998</v>
      </c>
    </row>
    <row r="3867" spans="4:16" x14ac:dyDescent="0.2">
      <c r="D3867">
        <v>100002311</v>
      </c>
      <c r="E3867" s="49">
        <v>45276</v>
      </c>
      <c r="F3867" t="s">
        <v>4022</v>
      </c>
      <c r="G3867" t="s">
        <v>2330</v>
      </c>
      <c r="H3867">
        <v>5</v>
      </c>
      <c r="I3867">
        <v>94.44</v>
      </c>
      <c r="J3867" s="50">
        <v>472.2</v>
      </c>
      <c r="K3867" t="s">
        <v>1632</v>
      </c>
      <c r="M3867" t="s">
        <v>1624</v>
      </c>
      <c r="N3867">
        <v>49.84</v>
      </c>
      <c r="O3867" s="49">
        <v>45279</v>
      </c>
      <c r="P3867" s="50">
        <v>212.49</v>
      </c>
    </row>
    <row r="3868" spans="4:16" x14ac:dyDescent="0.2">
      <c r="D3868">
        <v>100002311</v>
      </c>
      <c r="E3868" s="49">
        <v>44877</v>
      </c>
      <c r="F3868" t="s">
        <v>4022</v>
      </c>
      <c r="G3868" t="s">
        <v>2033</v>
      </c>
      <c r="H3868">
        <v>10</v>
      </c>
      <c r="I3868">
        <v>92.66</v>
      </c>
      <c r="J3868" s="50">
        <v>926.59999999999991</v>
      </c>
      <c r="K3868" t="s">
        <v>1632</v>
      </c>
      <c r="M3868" t="s">
        <v>1619</v>
      </c>
      <c r="N3868">
        <v>48.9</v>
      </c>
      <c r="O3868" s="49">
        <v>44882</v>
      </c>
      <c r="P3868" s="50">
        <v>416.96999999999997</v>
      </c>
    </row>
    <row r="3869" spans="4:16" x14ac:dyDescent="0.2">
      <c r="D3869">
        <v>100002311</v>
      </c>
      <c r="E3869" s="49">
        <v>45509</v>
      </c>
      <c r="F3869" t="s">
        <v>4022</v>
      </c>
      <c r="G3869" t="s">
        <v>1702</v>
      </c>
      <c r="H3869">
        <v>9</v>
      </c>
      <c r="I3869">
        <v>34.020000000000003</v>
      </c>
      <c r="J3869" s="50">
        <v>306.18</v>
      </c>
      <c r="K3869" t="s">
        <v>1632</v>
      </c>
      <c r="M3869" t="s">
        <v>1624</v>
      </c>
      <c r="N3869">
        <v>17.95</v>
      </c>
      <c r="O3869" s="49">
        <v>45511</v>
      </c>
      <c r="P3869" s="50">
        <v>137.78100000000001</v>
      </c>
    </row>
    <row r="3870" spans="4:16" x14ac:dyDescent="0.2">
      <c r="D3870">
        <v>100002312</v>
      </c>
      <c r="E3870" s="49">
        <v>45020</v>
      </c>
      <c r="F3870" t="s">
        <v>4023</v>
      </c>
      <c r="G3870" t="s">
        <v>1736</v>
      </c>
      <c r="H3870">
        <v>4</v>
      </c>
      <c r="I3870">
        <v>114.96</v>
      </c>
      <c r="J3870" s="50">
        <v>459.84</v>
      </c>
      <c r="K3870" t="s">
        <v>1632</v>
      </c>
      <c r="L3870" t="s">
        <v>4024</v>
      </c>
      <c r="M3870" t="s">
        <v>1624</v>
      </c>
      <c r="N3870">
        <v>60.67</v>
      </c>
      <c r="O3870" s="49">
        <v>45022</v>
      </c>
      <c r="P3870" s="50">
        <v>206.928</v>
      </c>
    </row>
    <row r="3871" spans="4:16" x14ac:dyDescent="0.2">
      <c r="D3871">
        <v>100002312</v>
      </c>
      <c r="E3871" s="49">
        <v>44813</v>
      </c>
      <c r="F3871" t="s">
        <v>4023</v>
      </c>
      <c r="G3871" t="s">
        <v>2480</v>
      </c>
      <c r="H3871">
        <v>5</v>
      </c>
      <c r="I3871">
        <v>54.38</v>
      </c>
      <c r="J3871" s="50">
        <v>271.89999999999998</v>
      </c>
      <c r="K3871" t="s">
        <v>1632</v>
      </c>
      <c r="L3871" t="s">
        <v>4024</v>
      </c>
      <c r="M3871" t="s">
        <v>1627</v>
      </c>
      <c r="N3871">
        <v>28.7</v>
      </c>
      <c r="O3871" s="49">
        <v>44817</v>
      </c>
      <c r="P3871" s="50">
        <v>122.35499999999999</v>
      </c>
    </row>
    <row r="3872" spans="4:16" x14ac:dyDescent="0.2">
      <c r="D3872">
        <v>100002312</v>
      </c>
      <c r="E3872" s="49">
        <v>44407</v>
      </c>
      <c r="F3872" t="s">
        <v>4023</v>
      </c>
      <c r="G3872" t="s">
        <v>1729</v>
      </c>
      <c r="H3872">
        <v>4</v>
      </c>
      <c r="I3872">
        <v>115.88</v>
      </c>
      <c r="J3872" s="50">
        <v>463.52</v>
      </c>
      <c r="K3872" t="s">
        <v>1632</v>
      </c>
      <c r="L3872" t="s">
        <v>4024</v>
      </c>
      <c r="M3872" t="s">
        <v>1621</v>
      </c>
      <c r="N3872">
        <v>61.16</v>
      </c>
      <c r="O3872" s="49">
        <v>44409</v>
      </c>
      <c r="P3872" s="50">
        <v>208.584</v>
      </c>
    </row>
    <row r="3873" spans="4:16" x14ac:dyDescent="0.2">
      <c r="D3873">
        <v>100002313</v>
      </c>
      <c r="E3873" s="49">
        <v>44709</v>
      </c>
      <c r="F3873" t="s">
        <v>4025</v>
      </c>
      <c r="G3873" t="s">
        <v>1663</v>
      </c>
      <c r="H3873">
        <v>10</v>
      </c>
      <c r="I3873">
        <v>16.04</v>
      </c>
      <c r="J3873" s="50">
        <v>160.4</v>
      </c>
      <c r="K3873" t="s">
        <v>1618</v>
      </c>
      <c r="M3873" t="s">
        <v>1624</v>
      </c>
      <c r="N3873">
        <v>8.4700000000000006</v>
      </c>
      <c r="O3873" s="49">
        <v>44711</v>
      </c>
      <c r="P3873" s="50">
        <v>72.180000000000007</v>
      </c>
    </row>
    <row r="3874" spans="4:16" x14ac:dyDescent="0.2">
      <c r="D3874">
        <v>100002313</v>
      </c>
      <c r="E3874" s="49">
        <v>45050</v>
      </c>
      <c r="F3874" t="s">
        <v>4025</v>
      </c>
      <c r="G3874" t="s">
        <v>1740</v>
      </c>
      <c r="H3874">
        <v>8</v>
      </c>
      <c r="I3874">
        <v>97.62</v>
      </c>
      <c r="J3874" s="50">
        <v>780.96</v>
      </c>
      <c r="K3874" t="s">
        <v>1618</v>
      </c>
      <c r="M3874" t="s">
        <v>1629</v>
      </c>
      <c r="N3874">
        <v>51.52</v>
      </c>
      <c r="O3874" s="49">
        <v>45053</v>
      </c>
      <c r="P3874" s="50">
        <v>351.43200000000002</v>
      </c>
    </row>
    <row r="3875" spans="4:16" x14ac:dyDescent="0.2">
      <c r="D3875">
        <v>100002316</v>
      </c>
      <c r="E3875" s="49">
        <v>44726</v>
      </c>
      <c r="F3875" t="s">
        <v>4026</v>
      </c>
      <c r="G3875" t="s">
        <v>1768</v>
      </c>
      <c r="H3875">
        <v>4</v>
      </c>
      <c r="I3875">
        <v>69.180000000000007</v>
      </c>
      <c r="J3875" s="50">
        <v>276.72000000000003</v>
      </c>
      <c r="K3875" t="s">
        <v>1632</v>
      </c>
      <c r="M3875" t="s">
        <v>1619</v>
      </c>
      <c r="N3875">
        <v>36.51</v>
      </c>
      <c r="O3875" s="49">
        <v>44731</v>
      </c>
      <c r="P3875" s="50">
        <v>124.52400000000002</v>
      </c>
    </row>
    <row r="3876" spans="4:16" x14ac:dyDescent="0.2">
      <c r="D3876">
        <v>100002316</v>
      </c>
      <c r="E3876" s="49">
        <v>44948</v>
      </c>
      <c r="F3876" t="s">
        <v>4026</v>
      </c>
      <c r="G3876" t="s">
        <v>2192</v>
      </c>
      <c r="H3876">
        <v>1</v>
      </c>
      <c r="I3876">
        <v>39.44</v>
      </c>
      <c r="J3876" s="50">
        <v>39.44</v>
      </c>
      <c r="K3876" t="s">
        <v>1632</v>
      </c>
      <c r="M3876" t="s">
        <v>1619</v>
      </c>
      <c r="N3876">
        <v>20.82</v>
      </c>
      <c r="O3876" s="49">
        <v>44953</v>
      </c>
      <c r="P3876" s="50">
        <v>17.748000000000001</v>
      </c>
    </row>
    <row r="3877" spans="4:16" x14ac:dyDescent="0.2">
      <c r="D3877">
        <v>100002316</v>
      </c>
      <c r="E3877" s="49">
        <v>44771</v>
      </c>
      <c r="F3877" t="s">
        <v>4026</v>
      </c>
      <c r="G3877" t="s">
        <v>2191</v>
      </c>
      <c r="H3877">
        <v>1</v>
      </c>
      <c r="I3877">
        <v>52.01</v>
      </c>
      <c r="J3877" s="50">
        <v>52.01</v>
      </c>
      <c r="K3877" t="s">
        <v>1632</v>
      </c>
      <c r="M3877" t="s">
        <v>1629</v>
      </c>
      <c r="N3877">
        <v>27.45</v>
      </c>
      <c r="O3877" s="49">
        <v>44774</v>
      </c>
      <c r="P3877" s="50">
        <v>23.404499999999999</v>
      </c>
    </row>
    <row r="3878" spans="4:16" x14ac:dyDescent="0.2">
      <c r="D3878">
        <v>100002316</v>
      </c>
      <c r="E3878" s="49">
        <v>44665</v>
      </c>
      <c r="F3878" t="s">
        <v>4026</v>
      </c>
      <c r="G3878" t="s">
        <v>1749</v>
      </c>
      <c r="H3878">
        <v>6</v>
      </c>
      <c r="I3878">
        <v>80.069999999999993</v>
      </c>
      <c r="J3878" s="50">
        <v>480.42</v>
      </c>
      <c r="K3878" t="s">
        <v>1632</v>
      </c>
      <c r="M3878" t="s">
        <v>1624</v>
      </c>
      <c r="N3878">
        <v>42.26</v>
      </c>
      <c r="O3878" s="49">
        <v>44667</v>
      </c>
      <c r="P3878" s="50">
        <v>216.18900000000002</v>
      </c>
    </row>
    <row r="3879" spans="4:16" x14ac:dyDescent="0.2">
      <c r="D3879">
        <v>100002316</v>
      </c>
      <c r="E3879" s="49">
        <v>44226</v>
      </c>
      <c r="F3879" t="s">
        <v>4026</v>
      </c>
      <c r="G3879" t="s">
        <v>1727</v>
      </c>
      <c r="H3879">
        <v>5</v>
      </c>
      <c r="I3879">
        <v>119.42</v>
      </c>
      <c r="J3879" s="50">
        <v>597.1</v>
      </c>
      <c r="K3879" t="s">
        <v>1632</v>
      </c>
      <c r="M3879" t="s">
        <v>1624</v>
      </c>
      <c r="N3879">
        <v>63.03</v>
      </c>
      <c r="O3879" s="49">
        <v>44228</v>
      </c>
      <c r="P3879" s="50">
        <v>268.69499999999999</v>
      </c>
    </row>
    <row r="3880" spans="4:16" x14ac:dyDescent="0.2">
      <c r="D3880">
        <v>100002316</v>
      </c>
      <c r="E3880" s="49">
        <v>44345</v>
      </c>
      <c r="F3880" t="s">
        <v>4026</v>
      </c>
      <c r="G3880" t="s">
        <v>1789</v>
      </c>
      <c r="H3880">
        <v>3</v>
      </c>
      <c r="I3880">
        <v>70.61</v>
      </c>
      <c r="J3880" s="50">
        <v>211.83</v>
      </c>
      <c r="K3880" t="s">
        <v>1632</v>
      </c>
      <c r="M3880" t="s">
        <v>1619</v>
      </c>
      <c r="N3880">
        <v>37.270000000000003</v>
      </c>
      <c r="O3880" s="49">
        <v>44348</v>
      </c>
      <c r="P3880" s="50">
        <v>95.32350000000001</v>
      </c>
    </row>
    <row r="3881" spans="4:16" x14ac:dyDescent="0.2">
      <c r="D3881">
        <v>100002317</v>
      </c>
      <c r="E3881" s="49">
        <v>45034</v>
      </c>
      <c r="F3881" t="s">
        <v>4027</v>
      </c>
      <c r="G3881" t="s">
        <v>1982</v>
      </c>
      <c r="H3881">
        <v>6</v>
      </c>
      <c r="I3881">
        <v>95.49</v>
      </c>
      <c r="J3881" s="50">
        <v>572.93999999999994</v>
      </c>
      <c r="K3881" t="s">
        <v>1618</v>
      </c>
      <c r="L3881" t="s">
        <v>3506</v>
      </c>
      <c r="M3881" t="s">
        <v>1627</v>
      </c>
      <c r="N3881">
        <v>50.4</v>
      </c>
      <c r="O3881" s="49">
        <v>45039</v>
      </c>
      <c r="P3881" s="50">
        <v>257.82299999999998</v>
      </c>
    </row>
    <row r="3882" spans="4:16" x14ac:dyDescent="0.2">
      <c r="D3882">
        <v>100002318</v>
      </c>
      <c r="E3882" s="49">
        <v>44208</v>
      </c>
      <c r="F3882" t="s">
        <v>4028</v>
      </c>
      <c r="G3882" t="s">
        <v>1895</v>
      </c>
      <c r="H3882">
        <v>9</v>
      </c>
      <c r="I3882">
        <v>116.29</v>
      </c>
      <c r="J3882" s="50">
        <v>1046.6099999999999</v>
      </c>
      <c r="K3882" t="s">
        <v>1618</v>
      </c>
      <c r="M3882" t="s">
        <v>1629</v>
      </c>
      <c r="N3882">
        <v>61.37</v>
      </c>
      <c r="O3882" s="49">
        <v>44212</v>
      </c>
      <c r="P3882" s="50">
        <v>470.97449999999998</v>
      </c>
    </row>
    <row r="3883" spans="4:16" x14ac:dyDescent="0.2">
      <c r="D3883">
        <v>100002318</v>
      </c>
      <c r="E3883" s="49">
        <v>44783</v>
      </c>
      <c r="F3883" t="s">
        <v>4028</v>
      </c>
      <c r="G3883" t="s">
        <v>1859</v>
      </c>
      <c r="H3883">
        <v>3</v>
      </c>
      <c r="I3883">
        <v>40.32</v>
      </c>
      <c r="J3883" s="50">
        <v>120.96</v>
      </c>
      <c r="K3883" t="s">
        <v>1618</v>
      </c>
      <c r="M3883" t="s">
        <v>1624</v>
      </c>
      <c r="N3883">
        <v>21.28</v>
      </c>
      <c r="O3883" s="49">
        <v>44787</v>
      </c>
      <c r="P3883" s="50">
        <v>54.431999999999995</v>
      </c>
    </row>
    <row r="3884" spans="4:16" x14ac:dyDescent="0.2">
      <c r="D3884">
        <v>100002318</v>
      </c>
      <c r="E3884" s="49">
        <v>45077</v>
      </c>
      <c r="F3884" t="s">
        <v>4028</v>
      </c>
      <c r="G3884" t="s">
        <v>3135</v>
      </c>
      <c r="H3884">
        <v>8</v>
      </c>
      <c r="I3884">
        <v>70.75</v>
      </c>
      <c r="J3884" s="50">
        <v>566</v>
      </c>
      <c r="K3884" t="s">
        <v>1618</v>
      </c>
      <c r="M3884" t="s">
        <v>1624</v>
      </c>
      <c r="N3884">
        <v>37.340000000000003</v>
      </c>
      <c r="O3884" s="49">
        <v>45079</v>
      </c>
      <c r="P3884" s="50">
        <v>254.70000000000002</v>
      </c>
    </row>
    <row r="3885" spans="4:16" x14ac:dyDescent="0.2">
      <c r="D3885">
        <v>100002319</v>
      </c>
      <c r="E3885" s="49">
        <v>45295</v>
      </c>
      <c r="F3885" t="s">
        <v>4029</v>
      </c>
      <c r="G3885" t="s">
        <v>1901</v>
      </c>
      <c r="H3885">
        <v>9</v>
      </c>
      <c r="I3885">
        <v>50.39</v>
      </c>
      <c r="J3885" s="50">
        <v>453.51</v>
      </c>
      <c r="K3885" t="s">
        <v>1618</v>
      </c>
      <c r="M3885" t="s">
        <v>1627</v>
      </c>
      <c r="N3885">
        <v>26.59</v>
      </c>
      <c r="O3885" s="49">
        <v>45299</v>
      </c>
      <c r="P3885" s="50">
        <v>204.0795</v>
      </c>
    </row>
    <row r="3886" spans="4:16" x14ac:dyDescent="0.2">
      <c r="D3886">
        <v>100002320</v>
      </c>
      <c r="E3886" s="49">
        <v>44820</v>
      </c>
      <c r="F3886" t="s">
        <v>4030</v>
      </c>
      <c r="G3886" t="s">
        <v>2086</v>
      </c>
      <c r="H3886">
        <v>1</v>
      </c>
      <c r="I3886">
        <v>63.29</v>
      </c>
      <c r="J3886" s="50">
        <v>63.29</v>
      </c>
      <c r="K3886" t="s">
        <v>1618</v>
      </c>
      <c r="M3886" t="s">
        <v>1621</v>
      </c>
      <c r="N3886">
        <v>33.4</v>
      </c>
      <c r="O3886" s="49">
        <v>44825</v>
      </c>
      <c r="P3886" s="50">
        <v>28.480499999999999</v>
      </c>
    </row>
    <row r="3887" spans="4:16" x14ac:dyDescent="0.2">
      <c r="D3887">
        <v>100002321</v>
      </c>
      <c r="E3887" s="49">
        <v>44346</v>
      </c>
      <c r="F3887" t="s">
        <v>4031</v>
      </c>
      <c r="G3887" t="s">
        <v>1808</v>
      </c>
      <c r="H3887">
        <v>10</v>
      </c>
      <c r="I3887">
        <v>45.44</v>
      </c>
      <c r="J3887" s="50">
        <v>454.4</v>
      </c>
      <c r="K3887" t="s">
        <v>1618</v>
      </c>
      <c r="M3887" t="s">
        <v>1619</v>
      </c>
      <c r="N3887">
        <v>23.98</v>
      </c>
      <c r="O3887" s="49">
        <v>44349</v>
      </c>
      <c r="P3887" s="50">
        <v>204.48</v>
      </c>
    </row>
    <row r="3888" spans="4:16" x14ac:dyDescent="0.2">
      <c r="D3888">
        <v>100002321</v>
      </c>
      <c r="E3888" s="49">
        <v>44556</v>
      </c>
      <c r="F3888" t="s">
        <v>4031</v>
      </c>
      <c r="G3888" t="s">
        <v>2168</v>
      </c>
      <c r="H3888">
        <v>6</v>
      </c>
      <c r="I3888">
        <v>70.569999999999993</v>
      </c>
      <c r="J3888" s="50">
        <v>423.42</v>
      </c>
      <c r="K3888" t="s">
        <v>1618</v>
      </c>
      <c r="M3888" t="s">
        <v>1624</v>
      </c>
      <c r="N3888">
        <v>37.25</v>
      </c>
      <c r="O3888" s="49">
        <v>44561</v>
      </c>
      <c r="P3888" s="50">
        <v>190.53900000000002</v>
      </c>
    </row>
    <row r="3889" spans="4:16" x14ac:dyDescent="0.2">
      <c r="D3889">
        <v>100002321</v>
      </c>
      <c r="E3889" s="49">
        <v>45102</v>
      </c>
      <c r="F3889" t="s">
        <v>4031</v>
      </c>
      <c r="G3889" t="s">
        <v>1770</v>
      </c>
      <c r="H3889">
        <v>7</v>
      </c>
      <c r="I3889">
        <v>40.03</v>
      </c>
      <c r="J3889" s="50">
        <v>280.20999999999998</v>
      </c>
      <c r="K3889" t="s">
        <v>1618</v>
      </c>
      <c r="M3889" t="s">
        <v>1629</v>
      </c>
      <c r="N3889">
        <v>21.13</v>
      </c>
      <c r="O3889" s="49">
        <v>45107</v>
      </c>
      <c r="P3889" s="50">
        <v>126.0945</v>
      </c>
    </row>
    <row r="3890" spans="4:16" x14ac:dyDescent="0.2">
      <c r="D3890">
        <v>100002322</v>
      </c>
      <c r="E3890" s="49">
        <v>44619</v>
      </c>
      <c r="F3890" t="s">
        <v>4032</v>
      </c>
      <c r="G3890" t="s">
        <v>2447</v>
      </c>
      <c r="H3890">
        <v>3</v>
      </c>
      <c r="I3890">
        <v>39.11</v>
      </c>
      <c r="J3890" s="50">
        <v>117.33</v>
      </c>
      <c r="K3890" t="s">
        <v>1632</v>
      </c>
      <c r="M3890" t="s">
        <v>1629</v>
      </c>
      <c r="N3890">
        <v>20.64</v>
      </c>
      <c r="O3890" s="49">
        <v>44620</v>
      </c>
      <c r="P3890" s="50">
        <v>52.798499999999997</v>
      </c>
    </row>
    <row r="3891" spans="4:16" x14ac:dyDescent="0.2">
      <c r="D3891">
        <v>100002324</v>
      </c>
      <c r="E3891" s="49">
        <v>45641</v>
      </c>
      <c r="F3891" t="s">
        <v>4033</v>
      </c>
      <c r="G3891" t="s">
        <v>1653</v>
      </c>
      <c r="H3891">
        <v>5</v>
      </c>
      <c r="I3891">
        <v>31.32</v>
      </c>
      <c r="J3891" s="50">
        <v>156.6</v>
      </c>
      <c r="K3891" t="s">
        <v>1632</v>
      </c>
      <c r="M3891" t="s">
        <v>1619</v>
      </c>
      <c r="N3891">
        <v>16.53</v>
      </c>
      <c r="O3891" s="49">
        <v>45646</v>
      </c>
      <c r="P3891" s="50">
        <v>70.47</v>
      </c>
    </row>
    <row r="3892" spans="4:16" x14ac:dyDescent="0.2">
      <c r="D3892">
        <v>100002324</v>
      </c>
      <c r="E3892" s="49">
        <v>44401</v>
      </c>
      <c r="F3892" t="s">
        <v>4033</v>
      </c>
      <c r="G3892" t="s">
        <v>1651</v>
      </c>
      <c r="H3892">
        <v>5</v>
      </c>
      <c r="I3892">
        <v>57.42</v>
      </c>
      <c r="J3892" s="50">
        <v>287.10000000000002</v>
      </c>
      <c r="K3892" t="s">
        <v>1632</v>
      </c>
      <c r="M3892" t="s">
        <v>1619</v>
      </c>
      <c r="N3892">
        <v>30.3</v>
      </c>
      <c r="O3892" s="49">
        <v>44404</v>
      </c>
      <c r="P3892" s="50">
        <v>129.19500000000002</v>
      </c>
    </row>
    <row r="3893" spans="4:16" x14ac:dyDescent="0.2">
      <c r="D3893">
        <v>100002327</v>
      </c>
      <c r="E3893" s="49">
        <v>44515</v>
      </c>
      <c r="F3893" t="s">
        <v>4034</v>
      </c>
      <c r="G3893" t="s">
        <v>1948</v>
      </c>
      <c r="H3893">
        <v>10</v>
      </c>
      <c r="I3893">
        <v>69.180000000000007</v>
      </c>
      <c r="J3893" s="50">
        <v>691.80000000000007</v>
      </c>
      <c r="K3893" t="s">
        <v>1618</v>
      </c>
      <c r="M3893" t="s">
        <v>1624</v>
      </c>
      <c r="N3893">
        <v>36.51</v>
      </c>
      <c r="O3893" s="49">
        <v>44518</v>
      </c>
      <c r="P3893" s="50">
        <v>311.31000000000006</v>
      </c>
    </row>
    <row r="3894" spans="4:16" x14ac:dyDescent="0.2">
      <c r="D3894">
        <v>100002330</v>
      </c>
      <c r="E3894" s="49">
        <v>44960</v>
      </c>
      <c r="F3894" t="s">
        <v>4035</v>
      </c>
      <c r="G3894" t="s">
        <v>1801</v>
      </c>
      <c r="H3894">
        <v>5</v>
      </c>
      <c r="I3894">
        <v>94.07</v>
      </c>
      <c r="J3894" s="50">
        <v>470.35</v>
      </c>
      <c r="K3894" t="s">
        <v>1618</v>
      </c>
      <c r="L3894" t="s">
        <v>4036</v>
      </c>
      <c r="M3894" t="s">
        <v>1619</v>
      </c>
      <c r="N3894">
        <v>49.65</v>
      </c>
      <c r="O3894" s="49">
        <v>44961</v>
      </c>
      <c r="P3894" s="50">
        <v>211.65750000000003</v>
      </c>
    </row>
    <row r="3895" spans="4:16" x14ac:dyDescent="0.2">
      <c r="D3895">
        <v>100002331</v>
      </c>
      <c r="E3895" s="49">
        <v>45310</v>
      </c>
      <c r="F3895" t="s">
        <v>4037</v>
      </c>
      <c r="G3895" t="s">
        <v>2060</v>
      </c>
      <c r="H3895">
        <v>2</v>
      </c>
      <c r="I3895">
        <v>47.99</v>
      </c>
      <c r="J3895" s="50">
        <v>95.98</v>
      </c>
      <c r="K3895" t="s">
        <v>1618</v>
      </c>
      <c r="M3895" t="s">
        <v>1624</v>
      </c>
      <c r="N3895">
        <v>25.33</v>
      </c>
      <c r="O3895" s="49">
        <v>45315</v>
      </c>
      <c r="P3895" s="50">
        <v>43.191000000000003</v>
      </c>
    </row>
    <row r="3896" spans="4:16" x14ac:dyDescent="0.2">
      <c r="D3896">
        <v>100002331</v>
      </c>
      <c r="E3896" s="49">
        <v>45242</v>
      </c>
      <c r="F3896" t="s">
        <v>4037</v>
      </c>
      <c r="G3896" t="s">
        <v>1781</v>
      </c>
      <c r="H3896">
        <v>6</v>
      </c>
      <c r="I3896">
        <v>23.3</v>
      </c>
      <c r="J3896" s="50">
        <v>139.80000000000001</v>
      </c>
      <c r="K3896" t="s">
        <v>1618</v>
      </c>
      <c r="M3896" t="s">
        <v>1621</v>
      </c>
      <c r="N3896">
        <v>12.3</v>
      </c>
      <c r="O3896" s="49">
        <v>45243</v>
      </c>
      <c r="P3896" s="50">
        <v>62.910000000000004</v>
      </c>
    </row>
    <row r="3897" spans="4:16" x14ac:dyDescent="0.2">
      <c r="D3897">
        <v>100002332</v>
      </c>
      <c r="E3897" s="49">
        <v>45231</v>
      </c>
      <c r="F3897" t="s">
        <v>4038</v>
      </c>
      <c r="G3897" t="s">
        <v>2142</v>
      </c>
      <c r="H3897">
        <v>9</v>
      </c>
      <c r="I3897">
        <v>84.39</v>
      </c>
      <c r="J3897" s="50">
        <v>759.51</v>
      </c>
      <c r="K3897" t="s">
        <v>1618</v>
      </c>
      <c r="L3897" t="s">
        <v>4039</v>
      </c>
      <c r="M3897" t="s">
        <v>1627</v>
      </c>
      <c r="N3897">
        <v>44.54</v>
      </c>
      <c r="O3897" s="49">
        <v>45236</v>
      </c>
      <c r="P3897" s="50">
        <v>341.77949999999998</v>
      </c>
    </row>
    <row r="3898" spans="4:16" x14ac:dyDescent="0.2">
      <c r="D3898">
        <v>100002333</v>
      </c>
      <c r="E3898" s="49">
        <v>45516</v>
      </c>
      <c r="F3898" t="s">
        <v>4040</v>
      </c>
      <c r="G3898" t="s">
        <v>1857</v>
      </c>
      <c r="H3898">
        <v>9</v>
      </c>
      <c r="I3898">
        <v>67.59</v>
      </c>
      <c r="J3898" s="50">
        <v>608.31000000000006</v>
      </c>
      <c r="K3898" t="s">
        <v>1632</v>
      </c>
      <c r="M3898" t="s">
        <v>1629</v>
      </c>
      <c r="N3898">
        <v>35.67</v>
      </c>
      <c r="O3898" s="49">
        <v>45519</v>
      </c>
      <c r="P3898" s="50">
        <v>273.73950000000002</v>
      </c>
    </row>
    <row r="3899" spans="4:16" x14ac:dyDescent="0.2">
      <c r="D3899">
        <v>100002334</v>
      </c>
      <c r="E3899" s="49">
        <v>45237</v>
      </c>
      <c r="F3899" t="s">
        <v>4041</v>
      </c>
      <c r="G3899" t="s">
        <v>1882</v>
      </c>
      <c r="H3899">
        <v>1</v>
      </c>
      <c r="I3899">
        <v>74.94</v>
      </c>
      <c r="J3899" s="50">
        <v>74.94</v>
      </c>
      <c r="K3899" t="s">
        <v>1618</v>
      </c>
      <c r="L3899" t="s">
        <v>3798</v>
      </c>
      <c r="M3899" t="s">
        <v>1627</v>
      </c>
      <c r="N3899">
        <v>39.549999999999997</v>
      </c>
      <c r="O3899" s="49">
        <v>45241</v>
      </c>
      <c r="P3899" s="50">
        <v>33.722999999999999</v>
      </c>
    </row>
    <row r="3900" spans="4:16" x14ac:dyDescent="0.2">
      <c r="D3900">
        <v>100002337</v>
      </c>
      <c r="E3900" s="49">
        <v>45209</v>
      </c>
      <c r="F3900" t="s">
        <v>4042</v>
      </c>
      <c r="G3900" t="s">
        <v>2039</v>
      </c>
      <c r="H3900">
        <v>6</v>
      </c>
      <c r="I3900">
        <v>93.2</v>
      </c>
      <c r="J3900" s="50">
        <v>559.20000000000005</v>
      </c>
      <c r="K3900" t="s">
        <v>1618</v>
      </c>
      <c r="L3900" t="s">
        <v>4043</v>
      </c>
      <c r="M3900" t="s">
        <v>1629</v>
      </c>
      <c r="N3900">
        <v>49.19</v>
      </c>
      <c r="O3900" s="49">
        <v>45210</v>
      </c>
      <c r="P3900" s="50">
        <v>251.64000000000001</v>
      </c>
    </row>
    <row r="3901" spans="4:16" x14ac:dyDescent="0.2">
      <c r="D3901">
        <v>100002337</v>
      </c>
      <c r="E3901" s="49">
        <v>44357</v>
      </c>
      <c r="F3901" t="s">
        <v>4042</v>
      </c>
      <c r="G3901" t="s">
        <v>1971</v>
      </c>
      <c r="H3901">
        <v>2</v>
      </c>
      <c r="I3901">
        <v>63.28</v>
      </c>
      <c r="J3901" s="50">
        <v>126.56</v>
      </c>
      <c r="K3901" t="s">
        <v>1618</v>
      </c>
      <c r="L3901" t="s">
        <v>4043</v>
      </c>
      <c r="M3901" t="s">
        <v>1619</v>
      </c>
      <c r="N3901">
        <v>33.4</v>
      </c>
      <c r="O3901" s="49">
        <v>44358</v>
      </c>
      <c r="P3901" s="50">
        <v>56.952000000000005</v>
      </c>
    </row>
    <row r="3902" spans="4:16" x14ac:dyDescent="0.2">
      <c r="D3902">
        <v>100002338</v>
      </c>
      <c r="E3902" s="49">
        <v>45059</v>
      </c>
      <c r="F3902" t="s">
        <v>4044</v>
      </c>
      <c r="G3902" t="s">
        <v>1743</v>
      </c>
      <c r="H3902">
        <v>8</v>
      </c>
      <c r="I3902">
        <v>73.64</v>
      </c>
      <c r="J3902" s="50">
        <v>589.12</v>
      </c>
      <c r="K3902" t="s">
        <v>1632</v>
      </c>
      <c r="M3902" t="s">
        <v>1619</v>
      </c>
      <c r="N3902">
        <v>38.869999999999997</v>
      </c>
      <c r="O3902" s="49">
        <v>45061</v>
      </c>
      <c r="P3902" s="50">
        <v>265.10399999999998</v>
      </c>
    </row>
    <row r="3903" spans="4:16" x14ac:dyDescent="0.2">
      <c r="D3903">
        <v>100002339</v>
      </c>
      <c r="E3903" s="49">
        <v>44780</v>
      </c>
      <c r="F3903" t="s">
        <v>4045</v>
      </c>
      <c r="G3903" t="s">
        <v>2084</v>
      </c>
      <c r="H3903">
        <v>1</v>
      </c>
      <c r="I3903">
        <v>95.98</v>
      </c>
      <c r="J3903" s="50">
        <v>95.98</v>
      </c>
      <c r="K3903" t="s">
        <v>1618</v>
      </c>
      <c r="M3903" t="s">
        <v>1627</v>
      </c>
      <c r="N3903">
        <v>50.66</v>
      </c>
      <c r="O3903" s="49">
        <v>44783</v>
      </c>
      <c r="P3903" s="50">
        <v>43.191000000000003</v>
      </c>
    </row>
    <row r="3904" spans="4:16" x14ac:dyDescent="0.2">
      <c r="D3904">
        <v>100002339</v>
      </c>
      <c r="E3904" s="49">
        <v>44863</v>
      </c>
      <c r="F3904" t="s">
        <v>4045</v>
      </c>
      <c r="G3904" t="s">
        <v>1842</v>
      </c>
      <c r="H3904">
        <v>1</v>
      </c>
      <c r="I3904">
        <v>78.02</v>
      </c>
      <c r="J3904" s="50">
        <v>78.02</v>
      </c>
      <c r="K3904" t="s">
        <v>1618</v>
      </c>
      <c r="M3904" t="s">
        <v>1629</v>
      </c>
      <c r="N3904">
        <v>41.18</v>
      </c>
      <c r="O3904" s="49">
        <v>44865</v>
      </c>
      <c r="P3904" s="50">
        <v>35.109000000000002</v>
      </c>
    </row>
    <row r="3905" spans="4:16" x14ac:dyDescent="0.2">
      <c r="D3905">
        <v>100002340</v>
      </c>
      <c r="E3905" s="49">
        <v>44624</v>
      </c>
      <c r="F3905" t="s">
        <v>4046</v>
      </c>
      <c r="G3905" t="s">
        <v>2050</v>
      </c>
      <c r="H3905">
        <v>3</v>
      </c>
      <c r="I3905">
        <v>84.68</v>
      </c>
      <c r="J3905" s="50">
        <v>254.04</v>
      </c>
      <c r="K3905" t="s">
        <v>1618</v>
      </c>
      <c r="L3905" t="s">
        <v>3693</v>
      </c>
      <c r="M3905" t="s">
        <v>1627</v>
      </c>
      <c r="N3905">
        <v>44.69</v>
      </c>
      <c r="O3905" s="49">
        <v>44628</v>
      </c>
      <c r="P3905" s="50">
        <v>114.318</v>
      </c>
    </row>
    <row r="3906" spans="4:16" x14ac:dyDescent="0.2">
      <c r="D3906">
        <v>100002340</v>
      </c>
      <c r="E3906" s="49">
        <v>45206</v>
      </c>
      <c r="F3906" t="s">
        <v>4046</v>
      </c>
      <c r="G3906" t="s">
        <v>2158</v>
      </c>
      <c r="H3906">
        <v>8</v>
      </c>
      <c r="I3906">
        <v>49.31</v>
      </c>
      <c r="J3906" s="50">
        <v>394.48</v>
      </c>
      <c r="K3906" t="s">
        <v>1618</v>
      </c>
      <c r="L3906" t="s">
        <v>3693</v>
      </c>
      <c r="M3906" t="s">
        <v>1629</v>
      </c>
      <c r="N3906">
        <v>26.02</v>
      </c>
      <c r="O3906" s="49">
        <v>45211</v>
      </c>
      <c r="P3906" s="50">
        <v>177.51600000000002</v>
      </c>
    </row>
    <row r="3907" spans="4:16" x14ac:dyDescent="0.2">
      <c r="D3907">
        <v>100002342</v>
      </c>
      <c r="E3907" s="49">
        <v>44765</v>
      </c>
      <c r="F3907" t="s">
        <v>4047</v>
      </c>
      <c r="G3907" t="s">
        <v>2373</v>
      </c>
      <c r="H3907">
        <v>7</v>
      </c>
      <c r="I3907">
        <v>15.78</v>
      </c>
      <c r="J3907" s="50">
        <v>110.46</v>
      </c>
      <c r="K3907" t="s">
        <v>1632</v>
      </c>
      <c r="M3907" t="s">
        <v>1621</v>
      </c>
      <c r="N3907">
        <v>8.33</v>
      </c>
      <c r="O3907" s="49">
        <v>44770</v>
      </c>
      <c r="P3907" s="50">
        <v>49.707000000000001</v>
      </c>
    </row>
    <row r="3908" spans="4:16" x14ac:dyDescent="0.2">
      <c r="D3908">
        <v>100002342</v>
      </c>
      <c r="E3908" s="49">
        <v>44278</v>
      </c>
      <c r="F3908" t="s">
        <v>4047</v>
      </c>
      <c r="G3908" t="s">
        <v>2041</v>
      </c>
      <c r="H3908">
        <v>8</v>
      </c>
      <c r="I3908">
        <v>32.979999999999997</v>
      </c>
      <c r="J3908" s="50">
        <v>263.83999999999997</v>
      </c>
      <c r="K3908" t="s">
        <v>1632</v>
      </c>
      <c r="M3908" t="s">
        <v>1619</v>
      </c>
      <c r="N3908">
        <v>17.41</v>
      </c>
      <c r="O3908" s="49">
        <v>44280</v>
      </c>
      <c r="P3908" s="50">
        <v>118.72799999999999</v>
      </c>
    </row>
    <row r="3909" spans="4:16" x14ac:dyDescent="0.2">
      <c r="D3909">
        <v>100002343</v>
      </c>
      <c r="E3909" s="49">
        <v>44607</v>
      </c>
      <c r="F3909" t="s">
        <v>4048</v>
      </c>
      <c r="G3909" t="s">
        <v>1671</v>
      </c>
      <c r="H3909">
        <v>4</v>
      </c>
      <c r="I3909">
        <v>89.04</v>
      </c>
      <c r="J3909" s="50">
        <v>356.16</v>
      </c>
      <c r="K3909" t="s">
        <v>1618</v>
      </c>
      <c r="M3909" t="s">
        <v>1627</v>
      </c>
      <c r="N3909">
        <v>46.99</v>
      </c>
      <c r="O3909" s="49">
        <v>44609</v>
      </c>
      <c r="P3909" s="50">
        <v>160.27200000000002</v>
      </c>
    </row>
    <row r="3910" spans="4:16" x14ac:dyDescent="0.2">
      <c r="D3910">
        <v>100002343</v>
      </c>
      <c r="E3910" s="49">
        <v>44704</v>
      </c>
      <c r="F3910" t="s">
        <v>4048</v>
      </c>
      <c r="G3910" t="s">
        <v>1866</v>
      </c>
      <c r="H3910">
        <v>6</v>
      </c>
      <c r="I3910">
        <v>33.57</v>
      </c>
      <c r="J3910" s="50">
        <v>201.42</v>
      </c>
      <c r="K3910" t="s">
        <v>1618</v>
      </c>
      <c r="M3910" t="s">
        <v>1629</v>
      </c>
      <c r="N3910">
        <v>17.72</v>
      </c>
      <c r="O3910" s="49">
        <v>44709</v>
      </c>
      <c r="P3910" s="50">
        <v>90.638999999999996</v>
      </c>
    </row>
    <row r="3911" spans="4:16" x14ac:dyDescent="0.2">
      <c r="D3911">
        <v>100002343</v>
      </c>
      <c r="E3911" s="49">
        <v>45104</v>
      </c>
      <c r="F3911" t="s">
        <v>4048</v>
      </c>
      <c r="G3911" t="s">
        <v>2098</v>
      </c>
      <c r="H3911">
        <v>4</v>
      </c>
      <c r="I3911">
        <v>106.17</v>
      </c>
      <c r="J3911" s="50">
        <v>424.68</v>
      </c>
      <c r="K3911" t="s">
        <v>1618</v>
      </c>
      <c r="M3911" t="s">
        <v>1621</v>
      </c>
      <c r="N3911">
        <v>56.03</v>
      </c>
      <c r="O3911" s="49">
        <v>45107</v>
      </c>
      <c r="P3911" s="50">
        <v>191.10599999999999</v>
      </c>
    </row>
    <row r="3912" spans="4:16" x14ac:dyDescent="0.2">
      <c r="D3912">
        <v>100002343</v>
      </c>
      <c r="E3912" s="49">
        <v>45542</v>
      </c>
      <c r="F3912" t="s">
        <v>4048</v>
      </c>
      <c r="G3912" t="s">
        <v>2130</v>
      </c>
      <c r="H3912">
        <v>10</v>
      </c>
      <c r="I3912">
        <v>43.83</v>
      </c>
      <c r="J3912" s="50">
        <v>438.3</v>
      </c>
      <c r="K3912" t="s">
        <v>1618</v>
      </c>
      <c r="M3912" t="s">
        <v>1624</v>
      </c>
      <c r="N3912">
        <v>23.13</v>
      </c>
      <c r="O3912" s="49">
        <v>45546</v>
      </c>
      <c r="P3912" s="50">
        <v>197.23500000000001</v>
      </c>
    </row>
    <row r="3913" spans="4:16" x14ac:dyDescent="0.2">
      <c r="D3913">
        <v>100002343</v>
      </c>
      <c r="E3913" s="49">
        <v>45254</v>
      </c>
      <c r="F3913" t="s">
        <v>4048</v>
      </c>
      <c r="G3913" t="s">
        <v>1731</v>
      </c>
      <c r="H3913">
        <v>10</v>
      </c>
      <c r="I3913">
        <v>54.68</v>
      </c>
      <c r="J3913" s="50">
        <v>546.79999999999995</v>
      </c>
      <c r="K3913" t="s">
        <v>1618</v>
      </c>
      <c r="M3913" t="s">
        <v>1629</v>
      </c>
      <c r="N3913">
        <v>28.86</v>
      </c>
      <c r="O3913" s="49">
        <v>45256</v>
      </c>
      <c r="P3913" s="50">
        <v>246.05999999999997</v>
      </c>
    </row>
    <row r="3914" spans="4:16" x14ac:dyDescent="0.2">
      <c r="D3914">
        <v>100002343</v>
      </c>
      <c r="E3914" s="49">
        <v>45430</v>
      </c>
      <c r="F3914" t="s">
        <v>4048</v>
      </c>
      <c r="G3914" t="s">
        <v>1801</v>
      </c>
      <c r="H3914">
        <v>7</v>
      </c>
      <c r="I3914">
        <v>77.14</v>
      </c>
      <c r="J3914" s="50">
        <v>539.98</v>
      </c>
      <c r="K3914" t="s">
        <v>1618</v>
      </c>
      <c r="M3914" t="s">
        <v>1619</v>
      </c>
      <c r="N3914">
        <v>40.71</v>
      </c>
      <c r="O3914" s="49">
        <v>45432</v>
      </c>
      <c r="P3914" s="50">
        <v>242.99100000000001</v>
      </c>
    </row>
    <row r="3915" spans="4:16" x14ac:dyDescent="0.2">
      <c r="D3915">
        <v>100002343</v>
      </c>
      <c r="E3915" s="49">
        <v>45038</v>
      </c>
      <c r="F3915" t="s">
        <v>4048</v>
      </c>
      <c r="G3915" t="s">
        <v>1626</v>
      </c>
      <c r="H3915">
        <v>8</v>
      </c>
      <c r="I3915">
        <v>65.430000000000007</v>
      </c>
      <c r="J3915" s="50">
        <v>523.44000000000005</v>
      </c>
      <c r="K3915" t="s">
        <v>1618</v>
      </c>
      <c r="M3915" t="s">
        <v>1624</v>
      </c>
      <c r="N3915">
        <v>34.53</v>
      </c>
      <c r="O3915" s="49">
        <v>45042</v>
      </c>
      <c r="P3915" s="50">
        <v>235.54800000000003</v>
      </c>
    </row>
    <row r="3916" spans="4:16" x14ac:dyDescent="0.2">
      <c r="D3916">
        <v>100002343</v>
      </c>
      <c r="E3916" s="49">
        <v>45178</v>
      </c>
      <c r="F3916" t="s">
        <v>4048</v>
      </c>
      <c r="G3916" t="s">
        <v>1643</v>
      </c>
      <c r="H3916">
        <v>5</v>
      </c>
      <c r="I3916">
        <v>62.57</v>
      </c>
      <c r="J3916" s="50">
        <v>312.85000000000002</v>
      </c>
      <c r="K3916" t="s">
        <v>1618</v>
      </c>
      <c r="M3916" t="s">
        <v>1624</v>
      </c>
      <c r="N3916">
        <v>33.020000000000003</v>
      </c>
      <c r="O3916" s="49">
        <v>45180</v>
      </c>
      <c r="P3916" s="50">
        <v>140.78250000000003</v>
      </c>
    </row>
    <row r="3917" spans="4:16" x14ac:dyDescent="0.2">
      <c r="D3917">
        <v>100002344</v>
      </c>
      <c r="E3917" s="49">
        <v>44264</v>
      </c>
      <c r="F3917" t="s">
        <v>4049</v>
      </c>
      <c r="G3917" t="s">
        <v>1665</v>
      </c>
      <c r="H3917">
        <v>7</v>
      </c>
      <c r="I3917">
        <v>33.44</v>
      </c>
      <c r="J3917" s="50">
        <v>234.08</v>
      </c>
      <c r="K3917" t="s">
        <v>1632</v>
      </c>
      <c r="M3917" t="s">
        <v>1624</v>
      </c>
      <c r="N3917">
        <v>17.649999999999999</v>
      </c>
      <c r="O3917" s="49">
        <v>44265</v>
      </c>
      <c r="P3917" s="50">
        <v>105.33600000000001</v>
      </c>
    </row>
    <row r="3918" spans="4:16" x14ac:dyDescent="0.2">
      <c r="D3918">
        <v>100002345</v>
      </c>
      <c r="E3918" s="49">
        <v>45262</v>
      </c>
      <c r="F3918" t="s">
        <v>4050</v>
      </c>
      <c r="G3918" t="s">
        <v>1928</v>
      </c>
      <c r="H3918">
        <v>4</v>
      </c>
      <c r="I3918">
        <v>11.97</v>
      </c>
      <c r="J3918" s="50">
        <v>47.88</v>
      </c>
      <c r="K3918" t="s">
        <v>1632</v>
      </c>
      <c r="L3918" t="s">
        <v>4051</v>
      </c>
      <c r="M3918" t="s">
        <v>1621</v>
      </c>
      <c r="N3918">
        <v>6.32</v>
      </c>
      <c r="O3918" s="49">
        <v>45266</v>
      </c>
      <c r="P3918" s="50">
        <v>21.546000000000003</v>
      </c>
    </row>
    <row r="3919" spans="4:16" x14ac:dyDescent="0.2">
      <c r="D3919">
        <v>100002346</v>
      </c>
      <c r="E3919" s="49">
        <v>44392</v>
      </c>
      <c r="F3919" t="s">
        <v>4052</v>
      </c>
      <c r="G3919" t="s">
        <v>1652</v>
      </c>
      <c r="H3919">
        <v>9</v>
      </c>
      <c r="I3919">
        <v>114.59</v>
      </c>
      <c r="J3919" s="50">
        <v>1031.31</v>
      </c>
      <c r="K3919" t="s">
        <v>1618</v>
      </c>
      <c r="M3919" t="s">
        <v>1621</v>
      </c>
      <c r="N3919">
        <v>60.48</v>
      </c>
      <c r="O3919" s="49">
        <v>44395</v>
      </c>
      <c r="P3919" s="50">
        <v>464.08949999999999</v>
      </c>
    </row>
    <row r="3920" spans="4:16" x14ac:dyDescent="0.2">
      <c r="D3920">
        <v>100002346</v>
      </c>
      <c r="E3920" s="49">
        <v>44584</v>
      </c>
      <c r="F3920" t="s">
        <v>4052</v>
      </c>
      <c r="G3920" t="s">
        <v>1652</v>
      </c>
      <c r="H3920">
        <v>2</v>
      </c>
      <c r="I3920">
        <v>26.5</v>
      </c>
      <c r="J3920" s="50">
        <v>53</v>
      </c>
      <c r="K3920" t="s">
        <v>1618</v>
      </c>
      <c r="M3920" t="s">
        <v>1624</v>
      </c>
      <c r="N3920">
        <v>13.99</v>
      </c>
      <c r="O3920" s="49">
        <v>44589</v>
      </c>
      <c r="P3920" s="50">
        <v>23.85</v>
      </c>
    </row>
    <row r="3921" spans="4:16" x14ac:dyDescent="0.2">
      <c r="D3921">
        <v>100002346</v>
      </c>
      <c r="E3921" s="49">
        <v>45042</v>
      </c>
      <c r="F3921" t="s">
        <v>4052</v>
      </c>
      <c r="G3921" t="s">
        <v>1717</v>
      </c>
      <c r="H3921">
        <v>2</v>
      </c>
      <c r="I3921">
        <v>15.38</v>
      </c>
      <c r="J3921" s="50">
        <v>30.76</v>
      </c>
      <c r="K3921" t="s">
        <v>1618</v>
      </c>
      <c r="M3921" t="s">
        <v>1627</v>
      </c>
      <c r="N3921">
        <v>8.1199999999999992</v>
      </c>
      <c r="O3921" s="49">
        <v>45045</v>
      </c>
      <c r="P3921" s="50">
        <v>13.842000000000001</v>
      </c>
    </row>
    <row r="3922" spans="4:16" x14ac:dyDescent="0.2">
      <c r="D3922">
        <v>100002346</v>
      </c>
      <c r="E3922" s="49">
        <v>45623</v>
      </c>
      <c r="F3922" t="s">
        <v>4052</v>
      </c>
      <c r="G3922" t="s">
        <v>1726</v>
      </c>
      <c r="H3922">
        <v>5</v>
      </c>
      <c r="I3922">
        <v>91.74</v>
      </c>
      <c r="J3922" s="50">
        <v>458.7</v>
      </c>
      <c r="K3922" t="s">
        <v>1618</v>
      </c>
      <c r="M3922" t="s">
        <v>1627</v>
      </c>
      <c r="N3922">
        <v>48.42</v>
      </c>
      <c r="O3922" s="49">
        <v>45626</v>
      </c>
      <c r="P3922" s="50">
        <v>206.41499999999999</v>
      </c>
    </row>
    <row r="3923" spans="4:16" x14ac:dyDescent="0.2">
      <c r="D3923">
        <v>100002347</v>
      </c>
      <c r="E3923" s="49">
        <v>45435</v>
      </c>
      <c r="F3923" t="s">
        <v>4053</v>
      </c>
      <c r="G3923" t="s">
        <v>1939</v>
      </c>
      <c r="H3923">
        <v>6</v>
      </c>
      <c r="I3923">
        <v>52.73</v>
      </c>
      <c r="J3923" s="50">
        <v>316.38</v>
      </c>
      <c r="K3923" t="s">
        <v>1618</v>
      </c>
      <c r="M3923" t="s">
        <v>1621</v>
      </c>
      <c r="N3923">
        <v>27.83</v>
      </c>
      <c r="O3923" s="49">
        <v>45438</v>
      </c>
      <c r="P3923" s="50">
        <v>142.37100000000001</v>
      </c>
    </row>
    <row r="3924" spans="4:16" x14ac:dyDescent="0.2">
      <c r="D3924">
        <v>100002347</v>
      </c>
      <c r="E3924" s="49">
        <v>45436</v>
      </c>
      <c r="F3924" t="s">
        <v>4053</v>
      </c>
      <c r="G3924" t="s">
        <v>1885</v>
      </c>
      <c r="H3924">
        <v>9</v>
      </c>
      <c r="I3924">
        <v>66.08</v>
      </c>
      <c r="J3924" s="50">
        <v>594.72</v>
      </c>
      <c r="K3924" t="s">
        <v>1618</v>
      </c>
      <c r="M3924" t="s">
        <v>1624</v>
      </c>
      <c r="N3924">
        <v>34.880000000000003</v>
      </c>
      <c r="O3924" s="49">
        <v>45438</v>
      </c>
      <c r="P3924" s="50">
        <v>267.62400000000002</v>
      </c>
    </row>
    <row r="3925" spans="4:16" x14ac:dyDescent="0.2">
      <c r="D3925">
        <v>100002347</v>
      </c>
      <c r="E3925" s="49">
        <v>44252</v>
      </c>
      <c r="F3925" t="s">
        <v>4053</v>
      </c>
      <c r="G3925" t="s">
        <v>1922</v>
      </c>
      <c r="H3925">
        <v>1</v>
      </c>
      <c r="I3925">
        <v>101.06</v>
      </c>
      <c r="J3925" s="50">
        <v>101.06</v>
      </c>
      <c r="K3925" t="s">
        <v>1618</v>
      </c>
      <c r="M3925" t="s">
        <v>1629</v>
      </c>
      <c r="N3925">
        <v>53.34</v>
      </c>
      <c r="O3925" s="49">
        <v>44257</v>
      </c>
      <c r="P3925" s="50">
        <v>45.477000000000004</v>
      </c>
    </row>
    <row r="3926" spans="4:16" x14ac:dyDescent="0.2">
      <c r="D3926">
        <v>100002347</v>
      </c>
      <c r="E3926" s="49">
        <v>44259</v>
      </c>
      <c r="F3926" t="s">
        <v>4053</v>
      </c>
      <c r="G3926" t="s">
        <v>1754</v>
      </c>
      <c r="H3926">
        <v>1</v>
      </c>
      <c r="I3926">
        <v>51.75</v>
      </c>
      <c r="J3926" s="50">
        <v>51.75</v>
      </c>
      <c r="K3926" t="s">
        <v>1618</v>
      </c>
      <c r="M3926" t="s">
        <v>1629</v>
      </c>
      <c r="N3926">
        <v>27.31</v>
      </c>
      <c r="O3926" s="49">
        <v>44260</v>
      </c>
      <c r="P3926" s="50">
        <v>23.287500000000001</v>
      </c>
    </row>
    <row r="3927" spans="4:16" x14ac:dyDescent="0.2">
      <c r="D3927">
        <v>100002347</v>
      </c>
      <c r="E3927" s="49">
        <v>45291</v>
      </c>
      <c r="F3927" t="s">
        <v>4053</v>
      </c>
      <c r="G3927" t="s">
        <v>1766</v>
      </c>
      <c r="H3927">
        <v>8</v>
      </c>
      <c r="I3927">
        <v>52.52</v>
      </c>
      <c r="J3927" s="50">
        <v>420.16</v>
      </c>
      <c r="K3927" t="s">
        <v>1618</v>
      </c>
      <c r="M3927" t="s">
        <v>1624</v>
      </c>
      <c r="N3927">
        <v>27.72</v>
      </c>
      <c r="O3927" s="49">
        <v>45294</v>
      </c>
      <c r="P3927" s="50">
        <v>189.072</v>
      </c>
    </row>
    <row r="3928" spans="4:16" x14ac:dyDescent="0.2">
      <c r="D3928">
        <v>100002347</v>
      </c>
      <c r="E3928" s="49">
        <v>44624</v>
      </c>
      <c r="F3928" t="s">
        <v>4053</v>
      </c>
      <c r="G3928" t="s">
        <v>1699</v>
      </c>
      <c r="H3928">
        <v>9</v>
      </c>
      <c r="I3928">
        <v>21.76</v>
      </c>
      <c r="J3928" s="50">
        <v>195.84</v>
      </c>
      <c r="K3928" t="s">
        <v>1618</v>
      </c>
      <c r="M3928" t="s">
        <v>1629</v>
      </c>
      <c r="N3928">
        <v>11.48</v>
      </c>
      <c r="O3928" s="49">
        <v>44625</v>
      </c>
      <c r="P3928" s="50">
        <v>88.128</v>
      </c>
    </row>
    <row r="3929" spans="4:16" x14ac:dyDescent="0.2">
      <c r="D3929">
        <v>100002347</v>
      </c>
      <c r="E3929" s="49">
        <v>44558</v>
      </c>
      <c r="F3929" t="s">
        <v>4053</v>
      </c>
      <c r="G3929" t="s">
        <v>2028</v>
      </c>
      <c r="H3929">
        <v>10</v>
      </c>
      <c r="I3929">
        <v>94.49</v>
      </c>
      <c r="J3929" s="50">
        <v>944.9</v>
      </c>
      <c r="K3929" t="s">
        <v>1618</v>
      </c>
      <c r="M3929" t="s">
        <v>1619</v>
      </c>
      <c r="N3929">
        <v>49.87</v>
      </c>
      <c r="O3929" s="49">
        <v>44559</v>
      </c>
      <c r="P3929" s="50">
        <v>425.20499999999998</v>
      </c>
    </row>
    <row r="3930" spans="4:16" x14ac:dyDescent="0.2">
      <c r="D3930">
        <v>100002347</v>
      </c>
      <c r="E3930" s="49">
        <v>44394</v>
      </c>
      <c r="F3930" t="s">
        <v>4053</v>
      </c>
      <c r="G3930" t="s">
        <v>1856</v>
      </c>
      <c r="H3930">
        <v>2</v>
      </c>
      <c r="I3930">
        <v>74.959999999999994</v>
      </c>
      <c r="J3930" s="50">
        <v>149.91999999999999</v>
      </c>
      <c r="K3930" t="s">
        <v>1618</v>
      </c>
      <c r="M3930" t="s">
        <v>1619</v>
      </c>
      <c r="N3930">
        <v>39.56</v>
      </c>
      <c r="O3930" s="49">
        <v>44398</v>
      </c>
      <c r="P3930" s="50">
        <v>67.463999999999999</v>
      </c>
    </row>
    <row r="3931" spans="4:16" x14ac:dyDescent="0.2">
      <c r="D3931">
        <v>100002347</v>
      </c>
      <c r="E3931" s="49">
        <v>45007</v>
      </c>
      <c r="F3931" t="s">
        <v>4053</v>
      </c>
      <c r="G3931" t="s">
        <v>2090</v>
      </c>
      <c r="H3931">
        <v>5</v>
      </c>
      <c r="I3931">
        <v>104.08</v>
      </c>
      <c r="J3931" s="50">
        <v>520.4</v>
      </c>
      <c r="K3931" t="s">
        <v>1618</v>
      </c>
      <c r="M3931" t="s">
        <v>1624</v>
      </c>
      <c r="N3931">
        <v>54.93</v>
      </c>
      <c r="O3931" s="49">
        <v>45009</v>
      </c>
      <c r="P3931" s="50">
        <v>234.18</v>
      </c>
    </row>
    <row r="3932" spans="4:16" x14ac:dyDescent="0.2">
      <c r="D3932">
        <v>100002348</v>
      </c>
      <c r="E3932" s="49">
        <v>44441</v>
      </c>
      <c r="F3932" t="s">
        <v>4054</v>
      </c>
      <c r="G3932" t="s">
        <v>1648</v>
      </c>
      <c r="H3932">
        <v>2</v>
      </c>
      <c r="I3932">
        <v>14.18</v>
      </c>
      <c r="J3932" s="50">
        <v>28.36</v>
      </c>
      <c r="K3932" t="s">
        <v>1632</v>
      </c>
      <c r="M3932" t="s">
        <v>1624</v>
      </c>
      <c r="N3932">
        <v>7.48</v>
      </c>
      <c r="O3932" s="49">
        <v>44444</v>
      </c>
      <c r="P3932" s="50">
        <v>12.762</v>
      </c>
    </row>
    <row r="3933" spans="4:16" x14ac:dyDescent="0.2">
      <c r="D3933">
        <v>100002348</v>
      </c>
      <c r="E3933" s="49">
        <v>45349</v>
      </c>
      <c r="F3933" t="s">
        <v>4054</v>
      </c>
      <c r="G3933" t="s">
        <v>2096</v>
      </c>
      <c r="H3933">
        <v>10</v>
      </c>
      <c r="I3933">
        <v>113.63</v>
      </c>
      <c r="J3933" s="50">
        <v>1136.3</v>
      </c>
      <c r="K3933" t="s">
        <v>1632</v>
      </c>
      <c r="M3933" t="s">
        <v>1627</v>
      </c>
      <c r="N3933">
        <v>59.97</v>
      </c>
      <c r="O3933" s="49">
        <v>45351</v>
      </c>
      <c r="P3933" s="50">
        <v>511.33499999999998</v>
      </c>
    </row>
    <row r="3934" spans="4:16" x14ac:dyDescent="0.2">
      <c r="D3934">
        <v>100002350</v>
      </c>
      <c r="E3934" s="49">
        <v>45008</v>
      </c>
      <c r="F3934" t="s">
        <v>4055</v>
      </c>
      <c r="G3934" t="s">
        <v>1715</v>
      </c>
      <c r="H3934">
        <v>7</v>
      </c>
      <c r="I3934">
        <v>90.05</v>
      </c>
      <c r="J3934" s="50">
        <v>630.35</v>
      </c>
      <c r="K3934" t="s">
        <v>1618</v>
      </c>
      <c r="M3934" t="s">
        <v>1621</v>
      </c>
      <c r="N3934">
        <v>47.53</v>
      </c>
      <c r="O3934" s="49">
        <v>45010</v>
      </c>
      <c r="P3934" s="50">
        <v>283.65750000000003</v>
      </c>
    </row>
    <row r="3935" spans="4:16" x14ac:dyDescent="0.2">
      <c r="D3935">
        <v>100002352</v>
      </c>
      <c r="E3935" s="49">
        <v>45216</v>
      </c>
      <c r="F3935" t="s">
        <v>4056</v>
      </c>
      <c r="G3935" t="s">
        <v>1955</v>
      </c>
      <c r="H3935">
        <v>6</v>
      </c>
      <c r="I3935">
        <v>36.08</v>
      </c>
      <c r="J3935" s="50">
        <v>216.48</v>
      </c>
      <c r="K3935" t="s">
        <v>1618</v>
      </c>
      <c r="M3935" t="s">
        <v>1624</v>
      </c>
      <c r="N3935">
        <v>19.04</v>
      </c>
      <c r="O3935" s="49">
        <v>45220</v>
      </c>
      <c r="P3935" s="50">
        <v>97.415999999999997</v>
      </c>
    </row>
    <row r="3936" spans="4:16" x14ac:dyDescent="0.2">
      <c r="D3936">
        <v>100002352</v>
      </c>
      <c r="E3936" s="49">
        <v>45512</v>
      </c>
      <c r="F3936" t="s">
        <v>4056</v>
      </c>
      <c r="G3936" t="s">
        <v>2346</v>
      </c>
      <c r="H3936">
        <v>4</v>
      </c>
      <c r="I3936">
        <v>55.17</v>
      </c>
      <c r="J3936" s="50">
        <v>220.68</v>
      </c>
      <c r="K3936" t="s">
        <v>1618</v>
      </c>
      <c r="M3936" t="s">
        <v>1624</v>
      </c>
      <c r="N3936">
        <v>29.12</v>
      </c>
      <c r="O3936" s="49">
        <v>45513</v>
      </c>
      <c r="P3936" s="50">
        <v>99.306000000000012</v>
      </c>
    </row>
    <row r="3937" spans="4:16" x14ac:dyDescent="0.2">
      <c r="D3937">
        <v>100002352</v>
      </c>
      <c r="E3937" s="49">
        <v>44868</v>
      </c>
      <c r="F3937" t="s">
        <v>4056</v>
      </c>
      <c r="G3937" t="s">
        <v>2306</v>
      </c>
      <c r="H3937">
        <v>6</v>
      </c>
      <c r="I3937">
        <v>83.17</v>
      </c>
      <c r="J3937" s="50">
        <v>499.02</v>
      </c>
      <c r="K3937" t="s">
        <v>1618</v>
      </c>
      <c r="M3937" t="s">
        <v>1621</v>
      </c>
      <c r="N3937">
        <v>43.89</v>
      </c>
      <c r="O3937" s="49">
        <v>44871</v>
      </c>
      <c r="P3937" s="50">
        <v>224.559</v>
      </c>
    </row>
    <row r="3938" spans="4:16" x14ac:dyDescent="0.2">
      <c r="D3938">
        <v>100002352</v>
      </c>
      <c r="E3938" s="49">
        <v>44197</v>
      </c>
      <c r="F3938" t="s">
        <v>4056</v>
      </c>
      <c r="G3938" t="s">
        <v>1712</v>
      </c>
      <c r="H3938">
        <v>1</v>
      </c>
      <c r="I3938">
        <v>25.6</v>
      </c>
      <c r="J3938" s="50">
        <v>25.6</v>
      </c>
      <c r="K3938" t="s">
        <v>1618</v>
      </c>
      <c r="M3938" t="s">
        <v>1627</v>
      </c>
      <c r="N3938">
        <v>13.51</v>
      </c>
      <c r="O3938" s="49">
        <v>44198</v>
      </c>
      <c r="P3938" s="50">
        <v>11.520000000000001</v>
      </c>
    </row>
    <row r="3939" spans="4:16" x14ac:dyDescent="0.2">
      <c r="D3939">
        <v>100002352</v>
      </c>
      <c r="E3939" s="49">
        <v>44644</v>
      </c>
      <c r="F3939" t="s">
        <v>4056</v>
      </c>
      <c r="G3939" t="s">
        <v>1754</v>
      </c>
      <c r="H3939">
        <v>5</v>
      </c>
      <c r="I3939">
        <v>28.22</v>
      </c>
      <c r="J3939" s="50">
        <v>141.1</v>
      </c>
      <c r="K3939" t="s">
        <v>1618</v>
      </c>
      <c r="M3939" t="s">
        <v>1624</v>
      </c>
      <c r="N3939">
        <v>14.89</v>
      </c>
      <c r="O3939" s="49">
        <v>44649</v>
      </c>
      <c r="P3939" s="50">
        <v>63.494999999999997</v>
      </c>
    </row>
    <row r="3940" spans="4:16" x14ac:dyDescent="0.2">
      <c r="D3940">
        <v>100002353</v>
      </c>
      <c r="E3940" s="49">
        <v>45150</v>
      </c>
      <c r="F3940" t="s">
        <v>4057</v>
      </c>
      <c r="G3940" t="s">
        <v>1714</v>
      </c>
      <c r="H3940">
        <v>5</v>
      </c>
      <c r="I3940">
        <v>119.9</v>
      </c>
      <c r="J3940" s="50">
        <v>599.5</v>
      </c>
      <c r="K3940" t="s">
        <v>1618</v>
      </c>
      <c r="M3940" t="s">
        <v>1621</v>
      </c>
      <c r="N3940">
        <v>63.28</v>
      </c>
      <c r="O3940" s="49">
        <v>45151</v>
      </c>
      <c r="P3940" s="50">
        <v>269.77500000000003</v>
      </c>
    </row>
    <row r="3941" spans="4:16" x14ac:dyDescent="0.2">
      <c r="D3941">
        <v>100002353</v>
      </c>
      <c r="E3941" s="49">
        <v>44207</v>
      </c>
      <c r="F3941" t="s">
        <v>4057</v>
      </c>
      <c r="G3941" t="s">
        <v>1739</v>
      </c>
      <c r="H3941">
        <v>9</v>
      </c>
      <c r="I3941">
        <v>67.83</v>
      </c>
      <c r="J3941" s="50">
        <v>610.47</v>
      </c>
      <c r="K3941" t="s">
        <v>1618</v>
      </c>
      <c r="M3941" t="s">
        <v>1624</v>
      </c>
      <c r="N3941">
        <v>35.799999999999997</v>
      </c>
      <c r="O3941" s="49">
        <v>44209</v>
      </c>
      <c r="P3941" s="50">
        <v>274.7115</v>
      </c>
    </row>
    <row r="3942" spans="4:16" x14ac:dyDescent="0.2">
      <c r="D3942">
        <v>100002354</v>
      </c>
      <c r="E3942" s="49">
        <v>45313</v>
      </c>
      <c r="F3942" t="s">
        <v>4058</v>
      </c>
      <c r="G3942" t="s">
        <v>1969</v>
      </c>
      <c r="H3942">
        <v>1</v>
      </c>
      <c r="I3942">
        <v>102.32</v>
      </c>
      <c r="J3942" s="50">
        <v>102.32</v>
      </c>
      <c r="K3942" t="s">
        <v>1618</v>
      </c>
      <c r="M3942" t="s">
        <v>1619</v>
      </c>
      <c r="N3942">
        <v>54</v>
      </c>
      <c r="O3942" s="49">
        <v>45317</v>
      </c>
      <c r="P3942" s="50">
        <v>46.043999999999997</v>
      </c>
    </row>
    <row r="3943" spans="4:16" x14ac:dyDescent="0.2">
      <c r="D3943">
        <v>100002355</v>
      </c>
      <c r="E3943" s="49">
        <v>45089</v>
      </c>
      <c r="F3943" t="s">
        <v>4059</v>
      </c>
      <c r="G3943" t="s">
        <v>1975</v>
      </c>
      <c r="H3943">
        <v>7</v>
      </c>
      <c r="I3943">
        <v>58.65</v>
      </c>
      <c r="J3943" s="50">
        <v>410.55</v>
      </c>
      <c r="K3943" t="s">
        <v>1632</v>
      </c>
      <c r="M3943" t="s">
        <v>1621</v>
      </c>
      <c r="N3943">
        <v>30.95</v>
      </c>
      <c r="O3943" s="49">
        <v>45094</v>
      </c>
      <c r="P3943" s="50">
        <v>184.7475</v>
      </c>
    </row>
    <row r="3944" spans="4:16" x14ac:dyDescent="0.2">
      <c r="D3944">
        <v>100002355</v>
      </c>
      <c r="E3944" s="49">
        <v>44260</v>
      </c>
      <c r="F3944" t="s">
        <v>4059</v>
      </c>
      <c r="G3944" t="s">
        <v>2269</v>
      </c>
      <c r="H3944">
        <v>1</v>
      </c>
      <c r="I3944">
        <v>67.17</v>
      </c>
      <c r="J3944" s="50">
        <v>67.17</v>
      </c>
      <c r="K3944" t="s">
        <v>1632</v>
      </c>
      <c r="M3944" t="s">
        <v>1619</v>
      </c>
      <c r="N3944">
        <v>35.450000000000003</v>
      </c>
      <c r="O3944" s="49">
        <v>44261</v>
      </c>
      <c r="P3944" s="50">
        <v>30.226500000000001</v>
      </c>
    </row>
    <row r="3945" spans="4:16" x14ac:dyDescent="0.2">
      <c r="D3945">
        <v>100002357</v>
      </c>
      <c r="E3945" s="49">
        <v>44535</v>
      </c>
      <c r="F3945" t="s">
        <v>2324</v>
      </c>
      <c r="G3945" t="s">
        <v>1789</v>
      </c>
      <c r="H3945">
        <v>10</v>
      </c>
      <c r="I3945">
        <v>12.12</v>
      </c>
      <c r="J3945" s="50">
        <v>121.2</v>
      </c>
      <c r="K3945" t="s">
        <v>1618</v>
      </c>
      <c r="M3945" t="s">
        <v>1621</v>
      </c>
      <c r="N3945">
        <v>6.4</v>
      </c>
      <c r="O3945" s="49">
        <v>44538</v>
      </c>
      <c r="P3945" s="50">
        <v>54.54</v>
      </c>
    </row>
    <row r="3946" spans="4:16" x14ac:dyDescent="0.2">
      <c r="D3946">
        <v>100002357</v>
      </c>
      <c r="E3946" s="49">
        <v>44670</v>
      </c>
      <c r="F3946" t="s">
        <v>2324</v>
      </c>
      <c r="G3946" t="s">
        <v>2514</v>
      </c>
      <c r="H3946">
        <v>5</v>
      </c>
      <c r="I3946">
        <v>36.86</v>
      </c>
      <c r="J3946" s="50">
        <v>184.3</v>
      </c>
      <c r="K3946" t="s">
        <v>1618</v>
      </c>
      <c r="M3946" t="s">
        <v>1619</v>
      </c>
      <c r="N3946">
        <v>19.45</v>
      </c>
      <c r="O3946" s="49">
        <v>44671</v>
      </c>
      <c r="P3946" s="50">
        <v>82.935000000000002</v>
      </c>
    </row>
    <row r="3947" spans="4:16" x14ac:dyDescent="0.2">
      <c r="D3947">
        <v>100002357</v>
      </c>
      <c r="E3947" s="49">
        <v>44553</v>
      </c>
      <c r="F3947" t="s">
        <v>2324</v>
      </c>
      <c r="G3947" t="s">
        <v>1709</v>
      </c>
      <c r="H3947">
        <v>7</v>
      </c>
      <c r="I3947">
        <v>10.11</v>
      </c>
      <c r="J3947" s="50">
        <v>70.77</v>
      </c>
      <c r="K3947" t="s">
        <v>1618</v>
      </c>
      <c r="M3947" t="s">
        <v>1624</v>
      </c>
      <c r="N3947">
        <v>5.34</v>
      </c>
      <c r="O3947" s="49">
        <v>44555</v>
      </c>
      <c r="P3947" s="50">
        <v>31.846499999999999</v>
      </c>
    </row>
    <row r="3948" spans="4:16" x14ac:dyDescent="0.2">
      <c r="D3948">
        <v>100002357</v>
      </c>
      <c r="E3948" s="49">
        <v>44270</v>
      </c>
      <c r="F3948" t="s">
        <v>2324</v>
      </c>
      <c r="G3948" t="s">
        <v>2004</v>
      </c>
      <c r="H3948">
        <v>3</v>
      </c>
      <c r="I3948">
        <v>31.3</v>
      </c>
      <c r="J3948" s="50">
        <v>93.9</v>
      </c>
      <c r="K3948" t="s">
        <v>1618</v>
      </c>
      <c r="M3948" t="s">
        <v>1619</v>
      </c>
      <c r="N3948">
        <v>16.52</v>
      </c>
      <c r="O3948" s="49">
        <v>44275</v>
      </c>
      <c r="P3948" s="50">
        <v>42.255000000000003</v>
      </c>
    </row>
    <row r="3949" spans="4:16" x14ac:dyDescent="0.2">
      <c r="D3949">
        <v>100002359</v>
      </c>
      <c r="E3949" s="49">
        <v>45145</v>
      </c>
      <c r="F3949" t="s">
        <v>4060</v>
      </c>
      <c r="G3949" t="s">
        <v>3135</v>
      </c>
      <c r="H3949">
        <v>10</v>
      </c>
      <c r="I3949">
        <v>59.29</v>
      </c>
      <c r="J3949" s="50">
        <v>592.9</v>
      </c>
      <c r="K3949" t="s">
        <v>1618</v>
      </c>
      <c r="M3949" t="s">
        <v>1624</v>
      </c>
      <c r="N3949">
        <v>31.29</v>
      </c>
      <c r="O3949" s="49">
        <v>45146</v>
      </c>
      <c r="P3949" s="50">
        <v>266.80500000000001</v>
      </c>
    </row>
    <row r="3950" spans="4:16" x14ac:dyDescent="0.2">
      <c r="D3950">
        <v>100002359</v>
      </c>
      <c r="E3950" s="49">
        <v>45619</v>
      </c>
      <c r="F3950" t="s">
        <v>4060</v>
      </c>
      <c r="G3950" t="s">
        <v>1807</v>
      </c>
      <c r="H3950">
        <v>3</v>
      </c>
      <c r="I3950">
        <v>85.63</v>
      </c>
      <c r="J3950" s="50">
        <v>256.89</v>
      </c>
      <c r="K3950" t="s">
        <v>1618</v>
      </c>
      <c r="M3950" t="s">
        <v>1627</v>
      </c>
      <c r="N3950">
        <v>45.19</v>
      </c>
      <c r="O3950" s="49">
        <v>45621</v>
      </c>
      <c r="P3950" s="50">
        <v>115.6005</v>
      </c>
    </row>
    <row r="3951" spans="4:16" x14ac:dyDescent="0.2">
      <c r="D3951">
        <v>100002360</v>
      </c>
      <c r="E3951" s="49">
        <v>44414</v>
      </c>
      <c r="F3951" t="s">
        <v>4061</v>
      </c>
      <c r="G3951" t="s">
        <v>2134</v>
      </c>
      <c r="H3951">
        <v>4</v>
      </c>
      <c r="I3951">
        <v>56.76</v>
      </c>
      <c r="J3951" s="50">
        <v>227.04</v>
      </c>
      <c r="K3951" t="s">
        <v>1632</v>
      </c>
      <c r="M3951" t="s">
        <v>1624</v>
      </c>
      <c r="N3951">
        <v>29.96</v>
      </c>
      <c r="O3951" s="49">
        <v>44417</v>
      </c>
      <c r="P3951" s="50">
        <v>102.16799999999999</v>
      </c>
    </row>
    <row r="3952" spans="4:16" x14ac:dyDescent="0.2">
      <c r="D3952">
        <v>100002361</v>
      </c>
      <c r="E3952" s="49">
        <v>45014</v>
      </c>
      <c r="F3952" t="s">
        <v>4062</v>
      </c>
      <c r="G3952" t="s">
        <v>1842</v>
      </c>
      <c r="H3952">
        <v>3</v>
      </c>
      <c r="I3952">
        <v>57.22</v>
      </c>
      <c r="J3952" s="50">
        <v>171.66</v>
      </c>
      <c r="K3952" t="s">
        <v>1632</v>
      </c>
      <c r="M3952" t="s">
        <v>1619</v>
      </c>
      <c r="N3952">
        <v>30.2</v>
      </c>
      <c r="O3952" s="49">
        <v>45019</v>
      </c>
      <c r="P3952" s="50">
        <v>77.247</v>
      </c>
    </row>
    <row r="3953" spans="4:16" x14ac:dyDescent="0.2">
      <c r="D3953">
        <v>100002361</v>
      </c>
      <c r="E3953" s="49">
        <v>45112</v>
      </c>
      <c r="F3953" t="s">
        <v>4062</v>
      </c>
      <c r="G3953" t="s">
        <v>1789</v>
      </c>
      <c r="H3953">
        <v>4</v>
      </c>
      <c r="I3953">
        <v>63.1</v>
      </c>
      <c r="J3953" s="50">
        <v>252.4</v>
      </c>
      <c r="K3953" t="s">
        <v>1632</v>
      </c>
      <c r="M3953" t="s">
        <v>1627</v>
      </c>
      <c r="N3953">
        <v>33.299999999999997</v>
      </c>
      <c r="O3953" s="49">
        <v>45116</v>
      </c>
      <c r="P3953" s="50">
        <v>113.58</v>
      </c>
    </row>
    <row r="3954" spans="4:16" x14ac:dyDescent="0.2">
      <c r="D3954">
        <v>100002361</v>
      </c>
      <c r="E3954" s="49">
        <v>45352</v>
      </c>
      <c r="F3954" t="s">
        <v>4062</v>
      </c>
      <c r="G3954" t="s">
        <v>2099</v>
      </c>
      <c r="H3954">
        <v>1</v>
      </c>
      <c r="I3954">
        <v>55.89</v>
      </c>
      <c r="J3954" s="50">
        <v>55.89</v>
      </c>
      <c r="K3954" t="s">
        <v>1632</v>
      </c>
      <c r="M3954" t="s">
        <v>1624</v>
      </c>
      <c r="N3954">
        <v>29.5</v>
      </c>
      <c r="O3954" s="49">
        <v>45354</v>
      </c>
      <c r="P3954" s="50">
        <v>25.150500000000001</v>
      </c>
    </row>
    <row r="3955" spans="4:16" x14ac:dyDescent="0.2">
      <c r="D3955">
        <v>100002362</v>
      </c>
      <c r="E3955" s="49">
        <v>45630</v>
      </c>
      <c r="F3955" t="s">
        <v>4063</v>
      </c>
      <c r="G3955" t="s">
        <v>1967</v>
      </c>
      <c r="H3955">
        <v>4</v>
      </c>
      <c r="I3955">
        <v>54.55</v>
      </c>
      <c r="J3955" s="50">
        <v>218.2</v>
      </c>
      <c r="K3955" t="s">
        <v>1632</v>
      </c>
      <c r="L3955" t="s">
        <v>3243</v>
      </c>
      <c r="M3955" t="s">
        <v>1629</v>
      </c>
      <c r="N3955">
        <v>28.79</v>
      </c>
      <c r="O3955" s="49">
        <v>45633</v>
      </c>
      <c r="P3955" s="50">
        <v>98.19</v>
      </c>
    </row>
    <row r="3956" spans="4:16" x14ac:dyDescent="0.2">
      <c r="D3956">
        <v>100002362</v>
      </c>
      <c r="E3956" s="49">
        <v>45284</v>
      </c>
      <c r="F3956" t="s">
        <v>4063</v>
      </c>
      <c r="G3956" t="s">
        <v>1792</v>
      </c>
      <c r="H3956">
        <v>7</v>
      </c>
      <c r="I3956">
        <v>118.22</v>
      </c>
      <c r="J3956" s="50">
        <v>827.54</v>
      </c>
      <c r="K3956" t="s">
        <v>1632</v>
      </c>
      <c r="L3956" t="s">
        <v>3243</v>
      </c>
      <c r="M3956" t="s">
        <v>1627</v>
      </c>
      <c r="N3956">
        <v>62.39</v>
      </c>
      <c r="O3956" s="49">
        <v>45286</v>
      </c>
      <c r="P3956" s="50">
        <v>372.39299999999997</v>
      </c>
    </row>
    <row r="3957" spans="4:16" x14ac:dyDescent="0.2">
      <c r="D3957">
        <v>100002362</v>
      </c>
      <c r="E3957" s="49">
        <v>44868</v>
      </c>
      <c r="F3957" t="s">
        <v>4063</v>
      </c>
      <c r="G3957" t="s">
        <v>2232</v>
      </c>
      <c r="H3957">
        <v>3</v>
      </c>
      <c r="I3957">
        <v>69.06</v>
      </c>
      <c r="J3957" s="50">
        <v>207.18</v>
      </c>
      <c r="K3957" t="s">
        <v>1632</v>
      </c>
      <c r="L3957" t="s">
        <v>3243</v>
      </c>
      <c r="M3957" t="s">
        <v>1621</v>
      </c>
      <c r="N3957">
        <v>36.450000000000003</v>
      </c>
      <c r="O3957" s="49">
        <v>44869</v>
      </c>
      <c r="P3957" s="50">
        <v>93.231000000000009</v>
      </c>
    </row>
    <row r="3958" spans="4:16" x14ac:dyDescent="0.2">
      <c r="D3958">
        <v>100002362</v>
      </c>
      <c r="E3958" s="49">
        <v>44577</v>
      </c>
      <c r="F3958" t="s">
        <v>4063</v>
      </c>
      <c r="G3958" t="s">
        <v>1702</v>
      </c>
      <c r="H3958">
        <v>4</v>
      </c>
      <c r="I3958">
        <v>90.25</v>
      </c>
      <c r="J3958" s="50">
        <v>361</v>
      </c>
      <c r="K3958" t="s">
        <v>1632</v>
      </c>
      <c r="L3958" t="s">
        <v>3243</v>
      </c>
      <c r="M3958" t="s">
        <v>1624</v>
      </c>
      <c r="N3958">
        <v>47.63</v>
      </c>
      <c r="O3958" s="49">
        <v>44578</v>
      </c>
      <c r="P3958" s="50">
        <v>162.45000000000002</v>
      </c>
    </row>
    <row r="3959" spans="4:16" x14ac:dyDescent="0.2">
      <c r="D3959">
        <v>100002362</v>
      </c>
      <c r="E3959" s="49">
        <v>44703</v>
      </c>
      <c r="F3959" t="s">
        <v>4063</v>
      </c>
      <c r="G3959" t="s">
        <v>1670</v>
      </c>
      <c r="H3959">
        <v>7</v>
      </c>
      <c r="I3959">
        <v>32.35</v>
      </c>
      <c r="J3959" s="50">
        <v>226.45</v>
      </c>
      <c r="K3959" t="s">
        <v>1632</v>
      </c>
      <c r="L3959" t="s">
        <v>3243</v>
      </c>
      <c r="M3959" t="s">
        <v>1624</v>
      </c>
      <c r="N3959">
        <v>17.07</v>
      </c>
      <c r="O3959" s="49">
        <v>44705</v>
      </c>
      <c r="P3959" s="50">
        <v>101.9025</v>
      </c>
    </row>
    <row r="3960" spans="4:16" x14ac:dyDescent="0.2">
      <c r="D3960">
        <v>100002362</v>
      </c>
      <c r="E3960" s="49">
        <v>44759</v>
      </c>
      <c r="F3960" t="s">
        <v>4063</v>
      </c>
      <c r="G3960" t="s">
        <v>1628</v>
      </c>
      <c r="H3960">
        <v>2</v>
      </c>
      <c r="I3960">
        <v>78.83</v>
      </c>
      <c r="J3960" s="50">
        <v>157.66</v>
      </c>
      <c r="K3960" t="s">
        <v>1632</v>
      </c>
      <c r="L3960" t="s">
        <v>3243</v>
      </c>
      <c r="M3960" t="s">
        <v>1624</v>
      </c>
      <c r="N3960">
        <v>41.6</v>
      </c>
      <c r="O3960" s="49">
        <v>44764</v>
      </c>
      <c r="P3960" s="50">
        <v>70.947000000000003</v>
      </c>
    </row>
    <row r="3961" spans="4:16" x14ac:dyDescent="0.2">
      <c r="D3961">
        <v>100002362</v>
      </c>
      <c r="E3961" s="49">
        <v>44634</v>
      </c>
      <c r="F3961" t="s">
        <v>4063</v>
      </c>
      <c r="G3961" t="s">
        <v>1695</v>
      </c>
      <c r="H3961">
        <v>1</v>
      </c>
      <c r="I3961">
        <v>59.29</v>
      </c>
      <c r="J3961" s="50">
        <v>59.29</v>
      </c>
      <c r="K3961" t="s">
        <v>1632</v>
      </c>
      <c r="L3961" t="s">
        <v>3243</v>
      </c>
      <c r="M3961" t="s">
        <v>1619</v>
      </c>
      <c r="N3961">
        <v>31.29</v>
      </c>
      <c r="O3961" s="49">
        <v>44637</v>
      </c>
      <c r="P3961" s="50">
        <v>26.680499999999999</v>
      </c>
    </row>
    <row r="3962" spans="4:16" x14ac:dyDescent="0.2">
      <c r="D3962">
        <v>100002362</v>
      </c>
      <c r="E3962" s="49">
        <v>45021</v>
      </c>
      <c r="F3962" t="s">
        <v>4063</v>
      </c>
      <c r="G3962" t="s">
        <v>1760</v>
      </c>
      <c r="H3962">
        <v>5</v>
      </c>
      <c r="I3962">
        <v>96.98</v>
      </c>
      <c r="J3962" s="50">
        <v>484.9</v>
      </c>
      <c r="K3962" t="s">
        <v>1632</v>
      </c>
      <c r="L3962" t="s">
        <v>3243</v>
      </c>
      <c r="M3962" t="s">
        <v>1629</v>
      </c>
      <c r="N3962">
        <v>51.18</v>
      </c>
      <c r="O3962" s="49">
        <v>45023</v>
      </c>
      <c r="P3962" s="50">
        <v>218.20499999999998</v>
      </c>
    </row>
    <row r="3963" spans="4:16" x14ac:dyDescent="0.2">
      <c r="D3963">
        <v>100002362</v>
      </c>
      <c r="E3963" s="49">
        <v>44397</v>
      </c>
      <c r="F3963" t="s">
        <v>4063</v>
      </c>
      <c r="G3963" t="s">
        <v>2024</v>
      </c>
      <c r="H3963">
        <v>6</v>
      </c>
      <c r="I3963">
        <v>16.36</v>
      </c>
      <c r="J3963" s="50">
        <v>98.16</v>
      </c>
      <c r="K3963" t="s">
        <v>1632</v>
      </c>
      <c r="L3963" t="s">
        <v>3243</v>
      </c>
      <c r="M3963" t="s">
        <v>1624</v>
      </c>
      <c r="N3963">
        <v>8.6300000000000008</v>
      </c>
      <c r="O3963" s="49">
        <v>44398</v>
      </c>
      <c r="P3963" s="50">
        <v>44.171999999999997</v>
      </c>
    </row>
    <row r="3964" spans="4:16" x14ac:dyDescent="0.2">
      <c r="D3964">
        <v>100002362</v>
      </c>
      <c r="E3964" s="49">
        <v>45291</v>
      </c>
      <c r="F3964" t="s">
        <v>4063</v>
      </c>
      <c r="G3964" t="s">
        <v>2033</v>
      </c>
      <c r="H3964">
        <v>1</v>
      </c>
      <c r="I3964">
        <v>65.31</v>
      </c>
      <c r="J3964" s="50">
        <v>65.31</v>
      </c>
      <c r="K3964" t="s">
        <v>1632</v>
      </c>
      <c r="L3964" t="s">
        <v>3243</v>
      </c>
      <c r="M3964" t="s">
        <v>1624</v>
      </c>
      <c r="N3964">
        <v>34.47</v>
      </c>
      <c r="O3964" s="49">
        <v>45292</v>
      </c>
      <c r="P3964" s="50">
        <v>29.389500000000002</v>
      </c>
    </row>
    <row r="3965" spans="4:16" x14ac:dyDescent="0.2">
      <c r="D3965">
        <v>100002363</v>
      </c>
      <c r="E3965" s="49">
        <v>44353</v>
      </c>
      <c r="F3965" t="s">
        <v>4064</v>
      </c>
      <c r="G3965" t="s">
        <v>1902</v>
      </c>
      <c r="H3965">
        <v>9</v>
      </c>
      <c r="I3965">
        <v>27.9</v>
      </c>
      <c r="J3965" s="50">
        <v>251.1</v>
      </c>
      <c r="K3965" t="s">
        <v>1632</v>
      </c>
      <c r="M3965" t="s">
        <v>1621</v>
      </c>
      <c r="N3965">
        <v>14.72</v>
      </c>
      <c r="O3965" s="49">
        <v>44356</v>
      </c>
      <c r="P3965" s="50">
        <v>112.995</v>
      </c>
    </row>
    <row r="3966" spans="4:16" x14ac:dyDescent="0.2">
      <c r="D3966">
        <v>100002364</v>
      </c>
      <c r="E3966" s="49">
        <v>44324</v>
      </c>
      <c r="F3966" t="s">
        <v>4065</v>
      </c>
      <c r="G3966" t="s">
        <v>2447</v>
      </c>
      <c r="H3966">
        <v>2</v>
      </c>
      <c r="I3966">
        <v>60.41</v>
      </c>
      <c r="J3966" s="50">
        <v>120.82</v>
      </c>
      <c r="K3966" t="s">
        <v>1618</v>
      </c>
      <c r="M3966" t="s">
        <v>1629</v>
      </c>
      <c r="N3966">
        <v>31.88</v>
      </c>
      <c r="O3966" s="49">
        <v>44327</v>
      </c>
      <c r="P3966" s="50">
        <v>54.369</v>
      </c>
    </row>
    <row r="3967" spans="4:16" x14ac:dyDescent="0.2">
      <c r="D3967">
        <v>100002364</v>
      </c>
      <c r="E3967" s="49">
        <v>44341</v>
      </c>
      <c r="F3967" t="s">
        <v>4065</v>
      </c>
      <c r="G3967" t="s">
        <v>2331</v>
      </c>
      <c r="H3967">
        <v>1</v>
      </c>
      <c r="I3967">
        <v>90.36</v>
      </c>
      <c r="J3967" s="50">
        <v>90.36</v>
      </c>
      <c r="K3967" t="s">
        <v>1618</v>
      </c>
      <c r="M3967" t="s">
        <v>1624</v>
      </c>
      <c r="N3967">
        <v>47.69</v>
      </c>
      <c r="O3967" s="49">
        <v>44343</v>
      </c>
      <c r="P3967" s="50">
        <v>40.661999999999999</v>
      </c>
    </row>
    <row r="3968" spans="4:16" x14ac:dyDescent="0.2">
      <c r="D3968">
        <v>100002365</v>
      </c>
      <c r="E3968" s="49">
        <v>44423</v>
      </c>
      <c r="F3968" t="s">
        <v>4066</v>
      </c>
      <c r="G3968" t="s">
        <v>1738</v>
      </c>
      <c r="H3968">
        <v>9</v>
      </c>
      <c r="I3968">
        <v>113.7</v>
      </c>
      <c r="J3968" s="50">
        <v>1023.3</v>
      </c>
      <c r="K3968" t="s">
        <v>1618</v>
      </c>
      <c r="M3968" t="s">
        <v>1627</v>
      </c>
      <c r="N3968">
        <v>60.01</v>
      </c>
      <c r="O3968" s="49">
        <v>44426</v>
      </c>
      <c r="P3968" s="50">
        <v>460.48500000000001</v>
      </c>
    </row>
    <row r="3969" spans="4:16" x14ac:dyDescent="0.2">
      <c r="D3969">
        <v>100002366</v>
      </c>
      <c r="E3969" s="49">
        <v>45495</v>
      </c>
      <c r="F3969" t="s">
        <v>4067</v>
      </c>
      <c r="G3969" t="s">
        <v>2480</v>
      </c>
      <c r="H3969">
        <v>1</v>
      </c>
      <c r="I3969">
        <v>56.61</v>
      </c>
      <c r="J3969" s="50">
        <v>56.61</v>
      </c>
      <c r="K3969" t="s">
        <v>1632</v>
      </c>
      <c r="M3969" t="s">
        <v>1627</v>
      </c>
      <c r="N3969">
        <v>29.88</v>
      </c>
      <c r="O3969" s="49">
        <v>45498</v>
      </c>
      <c r="P3969" s="50">
        <v>25.474499999999999</v>
      </c>
    </row>
    <row r="3970" spans="4:16" x14ac:dyDescent="0.2">
      <c r="D3970">
        <v>100002366</v>
      </c>
      <c r="E3970" s="49">
        <v>44942</v>
      </c>
      <c r="F3970" t="s">
        <v>4067</v>
      </c>
      <c r="G3970" t="s">
        <v>1752</v>
      </c>
      <c r="H3970">
        <v>8</v>
      </c>
      <c r="I3970">
        <v>30.71</v>
      </c>
      <c r="J3970" s="50">
        <v>245.68</v>
      </c>
      <c r="K3970" t="s">
        <v>1632</v>
      </c>
      <c r="M3970" t="s">
        <v>1627</v>
      </c>
      <c r="N3970">
        <v>16.21</v>
      </c>
      <c r="O3970" s="49">
        <v>44944</v>
      </c>
      <c r="P3970" s="50">
        <v>110.55600000000001</v>
      </c>
    </row>
    <row r="3971" spans="4:16" x14ac:dyDescent="0.2">
      <c r="D3971">
        <v>100002367</v>
      </c>
      <c r="E3971" s="49">
        <v>45308</v>
      </c>
      <c r="F3971" t="s">
        <v>4068</v>
      </c>
      <c r="G3971" t="s">
        <v>2150</v>
      </c>
      <c r="H3971">
        <v>9</v>
      </c>
      <c r="I3971">
        <v>41.42</v>
      </c>
      <c r="J3971" s="50">
        <v>372.78</v>
      </c>
      <c r="K3971" t="s">
        <v>1618</v>
      </c>
      <c r="M3971" t="s">
        <v>1629</v>
      </c>
      <c r="N3971">
        <v>21.86</v>
      </c>
      <c r="O3971" s="49">
        <v>45309</v>
      </c>
      <c r="P3971" s="50">
        <v>167.751</v>
      </c>
    </row>
    <row r="3972" spans="4:16" x14ac:dyDescent="0.2">
      <c r="D3972">
        <v>100002368</v>
      </c>
      <c r="E3972" s="49">
        <v>44883</v>
      </c>
      <c r="F3972" t="s">
        <v>4069</v>
      </c>
      <c r="G3972" t="s">
        <v>1655</v>
      </c>
      <c r="H3972">
        <v>6</v>
      </c>
      <c r="I3972">
        <v>59.04</v>
      </c>
      <c r="J3972" s="50">
        <v>354.24</v>
      </c>
      <c r="K3972" t="s">
        <v>1632</v>
      </c>
      <c r="M3972" t="s">
        <v>1621</v>
      </c>
      <c r="N3972">
        <v>31.16</v>
      </c>
      <c r="O3972" s="49">
        <v>44884</v>
      </c>
      <c r="P3972" s="50">
        <v>159.40800000000002</v>
      </c>
    </row>
    <row r="3973" spans="4:16" x14ac:dyDescent="0.2">
      <c r="D3973">
        <v>100002369</v>
      </c>
      <c r="E3973" s="49">
        <v>44281</v>
      </c>
      <c r="F3973" t="s">
        <v>4070</v>
      </c>
      <c r="G3973" t="s">
        <v>2603</v>
      </c>
      <c r="H3973">
        <v>9</v>
      </c>
      <c r="I3973">
        <v>57.6</v>
      </c>
      <c r="J3973" s="50">
        <v>518.4</v>
      </c>
      <c r="K3973" t="s">
        <v>1618</v>
      </c>
      <c r="L3973" t="s">
        <v>4071</v>
      </c>
      <c r="M3973" t="s">
        <v>1619</v>
      </c>
      <c r="N3973">
        <v>30.4</v>
      </c>
      <c r="O3973" s="49">
        <v>44282</v>
      </c>
      <c r="P3973" s="50">
        <v>233.28</v>
      </c>
    </row>
    <row r="3974" spans="4:16" x14ac:dyDescent="0.2">
      <c r="D3974">
        <v>100002370</v>
      </c>
      <c r="E3974" s="49">
        <v>45412</v>
      </c>
      <c r="F3974" t="s">
        <v>4072</v>
      </c>
      <c r="G3974" t="s">
        <v>1641</v>
      </c>
      <c r="H3974">
        <v>10</v>
      </c>
      <c r="I3974">
        <v>34.21</v>
      </c>
      <c r="J3974" s="50">
        <v>342.1</v>
      </c>
      <c r="K3974" t="s">
        <v>1618</v>
      </c>
      <c r="M3974" t="s">
        <v>1621</v>
      </c>
      <c r="N3974">
        <v>18.059999999999999</v>
      </c>
      <c r="O3974" s="49">
        <v>45413</v>
      </c>
      <c r="P3974" s="50">
        <v>153.94500000000002</v>
      </c>
    </row>
    <row r="3975" spans="4:16" x14ac:dyDescent="0.2">
      <c r="D3975">
        <v>100002370</v>
      </c>
      <c r="E3975" s="49">
        <v>45236</v>
      </c>
      <c r="F3975" t="s">
        <v>4072</v>
      </c>
      <c r="G3975" t="s">
        <v>1754</v>
      </c>
      <c r="H3975">
        <v>4</v>
      </c>
      <c r="I3975">
        <v>48.51</v>
      </c>
      <c r="J3975" s="50">
        <v>194.04</v>
      </c>
      <c r="K3975" t="s">
        <v>1618</v>
      </c>
      <c r="M3975" t="s">
        <v>1627</v>
      </c>
      <c r="N3975">
        <v>25.6</v>
      </c>
      <c r="O3975" s="49">
        <v>45241</v>
      </c>
      <c r="P3975" s="50">
        <v>87.317999999999998</v>
      </c>
    </row>
    <row r="3976" spans="4:16" x14ac:dyDescent="0.2">
      <c r="D3976">
        <v>100002371</v>
      </c>
      <c r="E3976" s="49">
        <v>45074</v>
      </c>
      <c r="F3976" t="s">
        <v>4073</v>
      </c>
      <c r="G3976" t="s">
        <v>1827</v>
      </c>
      <c r="H3976">
        <v>10</v>
      </c>
      <c r="I3976">
        <v>59.17</v>
      </c>
      <c r="J3976" s="50">
        <v>591.70000000000005</v>
      </c>
      <c r="K3976" t="s">
        <v>1618</v>
      </c>
      <c r="L3976" t="s">
        <v>2830</v>
      </c>
      <c r="M3976" t="s">
        <v>1624</v>
      </c>
      <c r="N3976">
        <v>31.23</v>
      </c>
      <c r="O3976" s="49">
        <v>45077</v>
      </c>
      <c r="P3976" s="50">
        <v>266.26500000000004</v>
      </c>
    </row>
    <row r="3977" spans="4:16" x14ac:dyDescent="0.2">
      <c r="D3977">
        <v>100002371</v>
      </c>
      <c r="E3977" s="49">
        <v>45299</v>
      </c>
      <c r="F3977" t="s">
        <v>4073</v>
      </c>
      <c r="G3977" t="s">
        <v>1760</v>
      </c>
      <c r="H3977">
        <v>7</v>
      </c>
      <c r="I3977">
        <v>65.87</v>
      </c>
      <c r="J3977" s="50">
        <v>461.09</v>
      </c>
      <c r="K3977" t="s">
        <v>1618</v>
      </c>
      <c r="L3977" t="s">
        <v>2830</v>
      </c>
      <c r="M3977" t="s">
        <v>1619</v>
      </c>
      <c r="N3977">
        <v>34.76</v>
      </c>
      <c r="O3977" s="49">
        <v>45302</v>
      </c>
      <c r="P3977" s="50">
        <v>207.4905</v>
      </c>
    </row>
    <row r="3978" spans="4:16" x14ac:dyDescent="0.2">
      <c r="D3978">
        <v>100002372</v>
      </c>
      <c r="E3978" s="49">
        <v>45229</v>
      </c>
      <c r="F3978" t="s">
        <v>4074</v>
      </c>
      <c r="G3978" t="s">
        <v>1902</v>
      </c>
      <c r="H3978">
        <v>3</v>
      </c>
      <c r="I3978">
        <v>22.2</v>
      </c>
      <c r="J3978" s="50">
        <v>66.599999999999994</v>
      </c>
      <c r="K3978" t="s">
        <v>1618</v>
      </c>
      <c r="M3978" t="s">
        <v>1627</v>
      </c>
      <c r="N3978">
        <v>11.72</v>
      </c>
      <c r="O3978" s="49">
        <v>45234</v>
      </c>
      <c r="P3978" s="50">
        <v>29.97</v>
      </c>
    </row>
    <row r="3979" spans="4:16" x14ac:dyDescent="0.2">
      <c r="D3979">
        <v>100002373</v>
      </c>
      <c r="E3979" s="49">
        <v>45640</v>
      </c>
      <c r="F3979" t="s">
        <v>4075</v>
      </c>
      <c r="G3979" t="s">
        <v>2076</v>
      </c>
      <c r="H3979">
        <v>1</v>
      </c>
      <c r="I3979">
        <v>88.04</v>
      </c>
      <c r="J3979" s="50">
        <v>88.04</v>
      </c>
      <c r="K3979" t="s">
        <v>1618</v>
      </c>
      <c r="M3979" t="s">
        <v>1624</v>
      </c>
      <c r="N3979">
        <v>46.47</v>
      </c>
      <c r="O3979" s="49">
        <v>45643</v>
      </c>
      <c r="P3979" s="50">
        <v>39.618000000000002</v>
      </c>
    </row>
    <row r="3980" spans="4:16" x14ac:dyDescent="0.2">
      <c r="D3980">
        <v>100002373</v>
      </c>
      <c r="E3980" s="49">
        <v>44330</v>
      </c>
      <c r="F3980" t="s">
        <v>4075</v>
      </c>
      <c r="G3980" t="s">
        <v>1842</v>
      </c>
      <c r="H3980">
        <v>2</v>
      </c>
      <c r="I3980">
        <v>37.04</v>
      </c>
      <c r="J3980" s="50">
        <v>74.08</v>
      </c>
      <c r="K3980" t="s">
        <v>1618</v>
      </c>
      <c r="M3980" t="s">
        <v>1621</v>
      </c>
      <c r="N3980">
        <v>19.55</v>
      </c>
      <c r="O3980" s="49">
        <v>44333</v>
      </c>
      <c r="P3980" s="50">
        <v>33.335999999999999</v>
      </c>
    </row>
    <row r="3981" spans="4:16" x14ac:dyDescent="0.2">
      <c r="D3981">
        <v>100002373</v>
      </c>
      <c r="E3981" s="49">
        <v>45374</v>
      </c>
      <c r="F3981" t="s">
        <v>4075</v>
      </c>
      <c r="G3981" t="s">
        <v>1709</v>
      </c>
      <c r="H3981">
        <v>4</v>
      </c>
      <c r="I3981">
        <v>105.43</v>
      </c>
      <c r="J3981" s="50">
        <v>421.72</v>
      </c>
      <c r="K3981" t="s">
        <v>1618</v>
      </c>
      <c r="M3981" t="s">
        <v>1619</v>
      </c>
      <c r="N3981">
        <v>55.64</v>
      </c>
      <c r="O3981" s="49">
        <v>45376</v>
      </c>
      <c r="P3981" s="50">
        <v>189.77400000000003</v>
      </c>
    </row>
    <row r="3982" spans="4:16" x14ac:dyDescent="0.2">
      <c r="D3982">
        <v>100002374</v>
      </c>
      <c r="E3982" s="49">
        <v>44405</v>
      </c>
      <c r="F3982" t="s">
        <v>2523</v>
      </c>
      <c r="G3982" t="s">
        <v>1760</v>
      </c>
      <c r="H3982">
        <v>5</v>
      </c>
      <c r="I3982">
        <v>93.7</v>
      </c>
      <c r="J3982" s="50">
        <v>468.5</v>
      </c>
      <c r="K3982" t="s">
        <v>1632</v>
      </c>
      <c r="M3982" t="s">
        <v>1627</v>
      </c>
      <c r="N3982">
        <v>49.45</v>
      </c>
      <c r="O3982" s="49">
        <v>44409</v>
      </c>
      <c r="P3982" s="50">
        <v>210.82500000000002</v>
      </c>
    </row>
    <row r="3983" spans="4:16" x14ac:dyDescent="0.2">
      <c r="D3983">
        <v>100002374</v>
      </c>
      <c r="E3983" s="49">
        <v>45367</v>
      </c>
      <c r="F3983" t="s">
        <v>2523</v>
      </c>
      <c r="G3983" t="s">
        <v>2025</v>
      </c>
      <c r="H3983">
        <v>10</v>
      </c>
      <c r="I3983">
        <v>79.849999999999994</v>
      </c>
      <c r="J3983" s="50">
        <v>798.5</v>
      </c>
      <c r="K3983" t="s">
        <v>1632</v>
      </c>
      <c r="M3983" t="s">
        <v>1627</v>
      </c>
      <c r="N3983">
        <v>42.14</v>
      </c>
      <c r="O3983" s="49">
        <v>45371</v>
      </c>
      <c r="P3983" s="50">
        <v>359.32499999999999</v>
      </c>
    </row>
    <row r="3984" spans="4:16" x14ac:dyDescent="0.2">
      <c r="D3984">
        <v>100002374</v>
      </c>
      <c r="E3984" s="49">
        <v>44956</v>
      </c>
      <c r="F3984" t="s">
        <v>2523</v>
      </c>
      <c r="G3984" t="s">
        <v>1696</v>
      </c>
      <c r="H3984">
        <v>3</v>
      </c>
      <c r="I3984">
        <v>33.090000000000003</v>
      </c>
      <c r="J3984" s="50">
        <v>99.27000000000001</v>
      </c>
      <c r="K3984" t="s">
        <v>1632</v>
      </c>
      <c r="M3984" t="s">
        <v>1624</v>
      </c>
      <c r="N3984">
        <v>17.46</v>
      </c>
      <c r="O3984" s="49">
        <v>44960</v>
      </c>
      <c r="P3984" s="50">
        <v>44.671500000000009</v>
      </c>
    </row>
    <row r="3985" spans="4:16" x14ac:dyDescent="0.2">
      <c r="D3985">
        <v>100002375</v>
      </c>
      <c r="E3985" s="49">
        <v>45354</v>
      </c>
      <c r="F3985" t="s">
        <v>2874</v>
      </c>
      <c r="G3985" t="s">
        <v>2003</v>
      </c>
      <c r="H3985">
        <v>1</v>
      </c>
      <c r="I3985">
        <v>73.16</v>
      </c>
      <c r="J3985" s="50">
        <v>73.16</v>
      </c>
      <c r="K3985" t="s">
        <v>1618</v>
      </c>
      <c r="M3985" t="s">
        <v>1621</v>
      </c>
      <c r="N3985">
        <v>38.61</v>
      </c>
      <c r="O3985" s="49">
        <v>45359</v>
      </c>
      <c r="P3985" s="50">
        <v>32.921999999999997</v>
      </c>
    </row>
    <row r="3986" spans="4:16" x14ac:dyDescent="0.2">
      <c r="D3986">
        <v>100002375</v>
      </c>
      <c r="E3986" s="49">
        <v>44380</v>
      </c>
      <c r="F3986" t="s">
        <v>2874</v>
      </c>
      <c r="G3986" t="s">
        <v>2232</v>
      </c>
      <c r="H3986">
        <v>5</v>
      </c>
      <c r="I3986">
        <v>78.73</v>
      </c>
      <c r="J3986" s="50">
        <v>393.65</v>
      </c>
      <c r="K3986" t="s">
        <v>1618</v>
      </c>
      <c r="M3986" t="s">
        <v>1621</v>
      </c>
      <c r="N3986">
        <v>41.55</v>
      </c>
      <c r="O3986" s="49">
        <v>44383</v>
      </c>
      <c r="P3986" s="50">
        <v>177.14249999999998</v>
      </c>
    </row>
    <row r="3987" spans="4:16" x14ac:dyDescent="0.2">
      <c r="D3987">
        <v>100002375</v>
      </c>
      <c r="E3987" s="49">
        <v>44570</v>
      </c>
      <c r="F3987" t="s">
        <v>2874</v>
      </c>
      <c r="G3987" t="s">
        <v>1669</v>
      </c>
      <c r="H3987">
        <v>6</v>
      </c>
      <c r="I3987">
        <v>56.9</v>
      </c>
      <c r="J3987" s="50">
        <v>341.4</v>
      </c>
      <c r="K3987" t="s">
        <v>1618</v>
      </c>
      <c r="M3987" t="s">
        <v>1624</v>
      </c>
      <c r="N3987">
        <v>30.03</v>
      </c>
      <c r="O3987" s="49">
        <v>44572</v>
      </c>
      <c r="P3987" s="50">
        <v>153.63</v>
      </c>
    </row>
    <row r="3988" spans="4:16" x14ac:dyDescent="0.2">
      <c r="D3988">
        <v>100002375</v>
      </c>
      <c r="E3988" s="49">
        <v>44450</v>
      </c>
      <c r="F3988" t="s">
        <v>2874</v>
      </c>
      <c r="G3988" t="s">
        <v>1717</v>
      </c>
      <c r="H3988">
        <v>7</v>
      </c>
      <c r="I3988">
        <v>29.79</v>
      </c>
      <c r="J3988" s="50">
        <v>208.53</v>
      </c>
      <c r="K3988" t="s">
        <v>1618</v>
      </c>
      <c r="M3988" t="s">
        <v>1629</v>
      </c>
      <c r="N3988">
        <v>15.72</v>
      </c>
      <c r="O3988" s="49">
        <v>44453</v>
      </c>
      <c r="P3988" s="50">
        <v>93.838499999999996</v>
      </c>
    </row>
    <row r="3989" spans="4:16" x14ac:dyDescent="0.2">
      <c r="D3989">
        <v>100002375</v>
      </c>
      <c r="E3989" s="49">
        <v>45578</v>
      </c>
      <c r="F3989" t="s">
        <v>2874</v>
      </c>
      <c r="G3989" t="s">
        <v>2016</v>
      </c>
      <c r="H3989">
        <v>1</v>
      </c>
      <c r="I3989">
        <v>54.11</v>
      </c>
      <c r="J3989" s="50">
        <v>54.11</v>
      </c>
      <c r="K3989" t="s">
        <v>1618</v>
      </c>
      <c r="M3989" t="s">
        <v>1621</v>
      </c>
      <c r="N3989">
        <v>28.56</v>
      </c>
      <c r="O3989" s="49">
        <v>45581</v>
      </c>
      <c r="P3989" s="50">
        <v>24.349499999999999</v>
      </c>
    </row>
    <row r="3990" spans="4:16" x14ac:dyDescent="0.2">
      <c r="D3990">
        <v>100002376</v>
      </c>
      <c r="E3990" s="49">
        <v>45182</v>
      </c>
      <c r="F3990" t="s">
        <v>4076</v>
      </c>
      <c r="G3990" t="s">
        <v>1644</v>
      </c>
      <c r="H3990">
        <v>3</v>
      </c>
      <c r="I3990">
        <v>75.55</v>
      </c>
      <c r="J3990" s="50">
        <v>226.65</v>
      </c>
      <c r="K3990" t="s">
        <v>1618</v>
      </c>
      <c r="M3990" t="s">
        <v>1627</v>
      </c>
      <c r="N3990">
        <v>39.869999999999997</v>
      </c>
      <c r="O3990" s="49">
        <v>45183</v>
      </c>
      <c r="P3990" s="50">
        <v>101.99250000000001</v>
      </c>
    </row>
    <row r="3991" spans="4:16" x14ac:dyDescent="0.2">
      <c r="D3991">
        <v>100002376</v>
      </c>
      <c r="E3991" s="49">
        <v>45391</v>
      </c>
      <c r="F3991" t="s">
        <v>4076</v>
      </c>
      <c r="G3991" t="s">
        <v>2159</v>
      </c>
      <c r="H3991">
        <v>8</v>
      </c>
      <c r="I3991">
        <v>65.37</v>
      </c>
      <c r="J3991" s="50">
        <v>522.96</v>
      </c>
      <c r="K3991" t="s">
        <v>1618</v>
      </c>
      <c r="M3991" t="s">
        <v>1624</v>
      </c>
      <c r="N3991">
        <v>34.5</v>
      </c>
      <c r="O3991" s="49">
        <v>45395</v>
      </c>
      <c r="P3991" s="50">
        <v>235.33200000000002</v>
      </c>
    </row>
    <row r="3992" spans="4:16" x14ac:dyDescent="0.2">
      <c r="D3992">
        <v>100002376</v>
      </c>
      <c r="E3992" s="49">
        <v>44783</v>
      </c>
      <c r="F3992" t="s">
        <v>4076</v>
      </c>
      <c r="G3992" t="s">
        <v>2387</v>
      </c>
      <c r="H3992">
        <v>4</v>
      </c>
      <c r="I3992">
        <v>28</v>
      </c>
      <c r="J3992" s="50">
        <v>112</v>
      </c>
      <c r="K3992" t="s">
        <v>1618</v>
      </c>
      <c r="M3992" t="s">
        <v>1619</v>
      </c>
      <c r="N3992">
        <v>14.78</v>
      </c>
      <c r="O3992" s="49">
        <v>44786</v>
      </c>
      <c r="P3992" s="50">
        <v>50.4</v>
      </c>
    </row>
    <row r="3993" spans="4:16" x14ac:dyDescent="0.2">
      <c r="D3993">
        <v>100002376</v>
      </c>
      <c r="E3993" s="49">
        <v>45351</v>
      </c>
      <c r="F3993" t="s">
        <v>4076</v>
      </c>
      <c r="G3993" t="s">
        <v>1642</v>
      </c>
      <c r="H3993">
        <v>8</v>
      </c>
      <c r="I3993">
        <v>23.89</v>
      </c>
      <c r="J3993" s="50">
        <v>191.12</v>
      </c>
      <c r="K3993" t="s">
        <v>1618</v>
      </c>
      <c r="M3993" t="s">
        <v>1627</v>
      </c>
      <c r="N3993">
        <v>12.61</v>
      </c>
      <c r="O3993" s="49">
        <v>45356</v>
      </c>
      <c r="P3993" s="50">
        <v>86.004000000000005</v>
      </c>
    </row>
    <row r="3994" spans="4:16" x14ac:dyDescent="0.2">
      <c r="D3994">
        <v>100002376</v>
      </c>
      <c r="E3994" s="49">
        <v>45406</v>
      </c>
      <c r="F3994" t="s">
        <v>4076</v>
      </c>
      <c r="G3994" t="s">
        <v>1736</v>
      </c>
      <c r="H3994">
        <v>2</v>
      </c>
      <c r="I3994">
        <v>73.62</v>
      </c>
      <c r="J3994" s="50">
        <v>147.24</v>
      </c>
      <c r="K3994" t="s">
        <v>1618</v>
      </c>
      <c r="M3994" t="s">
        <v>1629</v>
      </c>
      <c r="N3994">
        <v>38.85</v>
      </c>
      <c r="O3994" s="49">
        <v>45411</v>
      </c>
      <c r="P3994" s="50">
        <v>66.25800000000001</v>
      </c>
    </row>
    <row r="3995" spans="4:16" x14ac:dyDescent="0.2">
      <c r="D3995">
        <v>100002377</v>
      </c>
      <c r="E3995" s="49">
        <v>44892</v>
      </c>
      <c r="F3995" t="s">
        <v>4077</v>
      </c>
      <c r="G3995" t="s">
        <v>2207</v>
      </c>
      <c r="H3995">
        <v>1</v>
      </c>
      <c r="I3995">
        <v>111.07</v>
      </c>
      <c r="J3995" s="50">
        <v>111.07</v>
      </c>
      <c r="K3995" t="s">
        <v>1632</v>
      </c>
      <c r="L3995" t="s">
        <v>4078</v>
      </c>
      <c r="M3995" t="s">
        <v>1624</v>
      </c>
      <c r="N3995">
        <v>58.62</v>
      </c>
      <c r="O3995" s="49">
        <v>44896</v>
      </c>
      <c r="P3995" s="50">
        <v>49.981499999999997</v>
      </c>
    </row>
    <row r="3996" spans="4:16" x14ac:dyDescent="0.2">
      <c r="D3996">
        <v>100002377</v>
      </c>
      <c r="E3996" s="49">
        <v>44291</v>
      </c>
      <c r="F3996" t="s">
        <v>4077</v>
      </c>
      <c r="G3996" t="s">
        <v>1649</v>
      </c>
      <c r="H3996">
        <v>2</v>
      </c>
      <c r="I3996">
        <v>16.86</v>
      </c>
      <c r="J3996" s="50">
        <v>33.72</v>
      </c>
      <c r="K3996" t="s">
        <v>1632</v>
      </c>
      <c r="L3996" t="s">
        <v>4078</v>
      </c>
      <c r="M3996" t="s">
        <v>1624</v>
      </c>
      <c r="N3996">
        <v>8.9</v>
      </c>
      <c r="O3996" s="49">
        <v>44295</v>
      </c>
      <c r="P3996" s="50">
        <v>15.173999999999999</v>
      </c>
    </row>
    <row r="3997" spans="4:16" x14ac:dyDescent="0.2">
      <c r="D3997">
        <v>100002377</v>
      </c>
      <c r="E3997" s="49">
        <v>45394</v>
      </c>
      <c r="F3997" t="s">
        <v>4077</v>
      </c>
      <c r="G3997" t="s">
        <v>1653</v>
      </c>
      <c r="H3997">
        <v>9</v>
      </c>
      <c r="I3997">
        <v>71.239999999999995</v>
      </c>
      <c r="J3997" s="50">
        <v>641.16</v>
      </c>
      <c r="K3997" t="s">
        <v>1632</v>
      </c>
      <c r="L3997" t="s">
        <v>4078</v>
      </c>
      <c r="M3997" t="s">
        <v>1627</v>
      </c>
      <c r="N3997">
        <v>37.6</v>
      </c>
      <c r="O3997" s="49">
        <v>45397</v>
      </c>
      <c r="P3997" s="50">
        <v>288.52199999999999</v>
      </c>
    </row>
    <row r="3998" spans="4:16" x14ac:dyDescent="0.2">
      <c r="D3998">
        <v>100002378</v>
      </c>
      <c r="E3998" s="49">
        <v>45492</v>
      </c>
      <c r="F3998" t="s">
        <v>4079</v>
      </c>
      <c r="G3998" t="s">
        <v>2076</v>
      </c>
      <c r="H3998">
        <v>3</v>
      </c>
      <c r="I3998">
        <v>57.82</v>
      </c>
      <c r="J3998" s="50">
        <v>173.46</v>
      </c>
      <c r="K3998" t="s">
        <v>1632</v>
      </c>
      <c r="M3998" t="s">
        <v>1627</v>
      </c>
      <c r="N3998">
        <v>30.52</v>
      </c>
      <c r="O3998" s="49">
        <v>45493</v>
      </c>
      <c r="P3998" s="50">
        <v>78.057000000000002</v>
      </c>
    </row>
    <row r="3999" spans="4:16" x14ac:dyDescent="0.2">
      <c r="D3999">
        <v>100002378</v>
      </c>
      <c r="E3999" s="49">
        <v>44338</v>
      </c>
      <c r="F3999" t="s">
        <v>4079</v>
      </c>
      <c r="G3999" t="s">
        <v>1719</v>
      </c>
      <c r="H3999">
        <v>8</v>
      </c>
      <c r="I3999">
        <v>103.29</v>
      </c>
      <c r="J3999" s="50">
        <v>826.32</v>
      </c>
      <c r="K3999" t="s">
        <v>1632</v>
      </c>
      <c r="M3999" t="s">
        <v>1627</v>
      </c>
      <c r="N3999">
        <v>54.51</v>
      </c>
      <c r="O3999" s="49">
        <v>44340</v>
      </c>
      <c r="P3999" s="50">
        <v>371.84400000000005</v>
      </c>
    </row>
    <row r="4000" spans="4:16" x14ac:dyDescent="0.2">
      <c r="D4000">
        <v>100002378</v>
      </c>
      <c r="E4000" s="49">
        <v>44599</v>
      </c>
      <c r="F4000" t="s">
        <v>4079</v>
      </c>
      <c r="G4000" t="s">
        <v>2733</v>
      </c>
      <c r="H4000">
        <v>10</v>
      </c>
      <c r="I4000">
        <v>16.809999999999999</v>
      </c>
      <c r="J4000" s="50">
        <v>168.1</v>
      </c>
      <c r="K4000" t="s">
        <v>1632</v>
      </c>
      <c r="M4000" t="s">
        <v>1621</v>
      </c>
      <c r="N4000">
        <v>8.8699999999999992</v>
      </c>
      <c r="O4000" s="49">
        <v>44602</v>
      </c>
      <c r="P4000" s="50">
        <v>75.644999999999996</v>
      </c>
    </row>
    <row r="4001" spans="4:16" x14ac:dyDescent="0.2">
      <c r="D4001">
        <v>100002378</v>
      </c>
      <c r="E4001" s="49">
        <v>44844</v>
      </c>
      <c r="F4001" t="s">
        <v>4079</v>
      </c>
      <c r="G4001" t="s">
        <v>2084</v>
      </c>
      <c r="H4001">
        <v>4</v>
      </c>
      <c r="I4001">
        <v>84.77</v>
      </c>
      <c r="J4001" s="50">
        <v>339.08</v>
      </c>
      <c r="K4001" t="s">
        <v>1632</v>
      </c>
      <c r="M4001" t="s">
        <v>1619</v>
      </c>
      <c r="N4001">
        <v>44.74</v>
      </c>
      <c r="O4001" s="49">
        <v>44845</v>
      </c>
      <c r="P4001" s="50">
        <v>152.58599999999998</v>
      </c>
    </row>
    <row r="4002" spans="4:16" x14ac:dyDescent="0.2">
      <c r="D4002">
        <v>100002378</v>
      </c>
      <c r="E4002" s="49">
        <v>44984</v>
      </c>
      <c r="F4002" t="s">
        <v>4079</v>
      </c>
      <c r="G4002" t="s">
        <v>1801</v>
      </c>
      <c r="H4002">
        <v>5</v>
      </c>
      <c r="I4002">
        <v>99.46</v>
      </c>
      <c r="J4002" s="50">
        <v>497.3</v>
      </c>
      <c r="K4002" t="s">
        <v>1632</v>
      </c>
      <c r="M4002" t="s">
        <v>1619</v>
      </c>
      <c r="N4002">
        <v>52.49</v>
      </c>
      <c r="O4002" s="49">
        <v>44985</v>
      </c>
      <c r="P4002" s="50">
        <v>223.785</v>
      </c>
    </row>
    <row r="4003" spans="4:16" x14ac:dyDescent="0.2">
      <c r="D4003">
        <v>100002378</v>
      </c>
      <c r="E4003" s="49">
        <v>44406</v>
      </c>
      <c r="F4003" t="s">
        <v>4079</v>
      </c>
      <c r="G4003" t="s">
        <v>2328</v>
      </c>
      <c r="H4003">
        <v>8</v>
      </c>
      <c r="I4003">
        <v>111.51</v>
      </c>
      <c r="J4003" s="50">
        <v>892.08</v>
      </c>
      <c r="K4003" t="s">
        <v>1632</v>
      </c>
      <c r="M4003" t="s">
        <v>1621</v>
      </c>
      <c r="N4003">
        <v>58.85</v>
      </c>
      <c r="O4003" s="49">
        <v>44410</v>
      </c>
      <c r="P4003" s="50">
        <v>401.43600000000004</v>
      </c>
    </row>
    <row r="4004" spans="4:16" x14ac:dyDescent="0.2">
      <c r="D4004">
        <v>100002380</v>
      </c>
      <c r="E4004" s="49">
        <v>45638</v>
      </c>
      <c r="F4004" t="s">
        <v>4080</v>
      </c>
      <c r="G4004" t="s">
        <v>1672</v>
      </c>
      <c r="H4004">
        <v>7</v>
      </c>
      <c r="I4004">
        <v>82.64</v>
      </c>
      <c r="J4004" s="50">
        <v>578.48</v>
      </c>
      <c r="K4004" t="s">
        <v>1632</v>
      </c>
      <c r="L4004" t="s">
        <v>4081</v>
      </c>
      <c r="M4004" t="s">
        <v>1624</v>
      </c>
      <c r="N4004">
        <v>43.62</v>
      </c>
      <c r="O4004" s="49">
        <v>45641</v>
      </c>
      <c r="P4004" s="50">
        <v>260.31600000000003</v>
      </c>
    </row>
    <row r="4005" spans="4:16" x14ac:dyDescent="0.2">
      <c r="D4005">
        <v>100002380</v>
      </c>
      <c r="E4005" s="49">
        <v>44566</v>
      </c>
      <c r="F4005" t="s">
        <v>4080</v>
      </c>
      <c r="G4005" t="s">
        <v>2204</v>
      </c>
      <c r="H4005">
        <v>4</v>
      </c>
      <c r="I4005">
        <v>56.56</v>
      </c>
      <c r="J4005" s="50">
        <v>226.24</v>
      </c>
      <c r="K4005" t="s">
        <v>1632</v>
      </c>
      <c r="L4005" t="s">
        <v>4081</v>
      </c>
      <c r="M4005" t="s">
        <v>1627</v>
      </c>
      <c r="N4005">
        <v>29.85</v>
      </c>
      <c r="O4005" s="49">
        <v>44571</v>
      </c>
      <c r="P4005" s="50">
        <v>101.80800000000001</v>
      </c>
    </row>
    <row r="4006" spans="4:16" x14ac:dyDescent="0.2">
      <c r="D4006">
        <v>100002380</v>
      </c>
      <c r="E4006" s="49">
        <v>44970</v>
      </c>
      <c r="F4006" t="s">
        <v>4080</v>
      </c>
      <c r="G4006" t="s">
        <v>1897</v>
      </c>
      <c r="H4006">
        <v>9</v>
      </c>
      <c r="I4006">
        <v>100.33</v>
      </c>
      <c r="J4006" s="50">
        <v>902.97</v>
      </c>
      <c r="K4006" t="s">
        <v>1632</v>
      </c>
      <c r="L4006" t="s">
        <v>4081</v>
      </c>
      <c r="M4006" t="s">
        <v>1627</v>
      </c>
      <c r="N4006">
        <v>52.95</v>
      </c>
      <c r="O4006" s="49">
        <v>44971</v>
      </c>
      <c r="P4006" s="50">
        <v>406.3365</v>
      </c>
    </row>
    <row r="4007" spans="4:16" x14ac:dyDescent="0.2">
      <c r="D4007">
        <v>100002381</v>
      </c>
      <c r="E4007" s="49">
        <v>44300</v>
      </c>
      <c r="F4007" t="s">
        <v>4082</v>
      </c>
      <c r="G4007" t="s">
        <v>2079</v>
      </c>
      <c r="H4007">
        <v>1</v>
      </c>
      <c r="I4007">
        <v>58.82</v>
      </c>
      <c r="J4007" s="50">
        <v>58.82</v>
      </c>
      <c r="K4007" t="s">
        <v>1632</v>
      </c>
      <c r="M4007" t="s">
        <v>1624</v>
      </c>
      <c r="N4007">
        <v>31.04</v>
      </c>
      <c r="O4007" s="49">
        <v>44301</v>
      </c>
      <c r="P4007" s="50">
        <v>26.469000000000001</v>
      </c>
    </row>
    <row r="4008" spans="4:16" x14ac:dyDescent="0.2">
      <c r="D4008">
        <v>100002381</v>
      </c>
      <c r="E4008" s="49">
        <v>45376</v>
      </c>
      <c r="F4008" t="s">
        <v>4082</v>
      </c>
      <c r="G4008" t="s">
        <v>2373</v>
      </c>
      <c r="H4008">
        <v>6</v>
      </c>
      <c r="I4008">
        <v>43.97</v>
      </c>
      <c r="J4008" s="50">
        <v>263.82</v>
      </c>
      <c r="K4008" t="s">
        <v>1632</v>
      </c>
      <c r="M4008" t="s">
        <v>1621</v>
      </c>
      <c r="N4008">
        <v>23.21</v>
      </c>
      <c r="O4008" s="49">
        <v>45381</v>
      </c>
      <c r="P4008" s="50">
        <v>118.71899999999999</v>
      </c>
    </row>
    <row r="4009" spans="4:16" x14ac:dyDescent="0.2">
      <c r="D4009">
        <v>100002381</v>
      </c>
      <c r="E4009" s="49">
        <v>44394</v>
      </c>
      <c r="F4009" t="s">
        <v>4082</v>
      </c>
      <c r="G4009" t="s">
        <v>1948</v>
      </c>
      <c r="H4009">
        <v>7</v>
      </c>
      <c r="I4009">
        <v>21.15</v>
      </c>
      <c r="J4009" s="50">
        <v>148.05000000000001</v>
      </c>
      <c r="K4009" t="s">
        <v>1632</v>
      </c>
      <c r="M4009" t="s">
        <v>1629</v>
      </c>
      <c r="N4009">
        <v>11.16</v>
      </c>
      <c r="O4009" s="49">
        <v>44397</v>
      </c>
      <c r="P4009" s="50">
        <v>66.622500000000002</v>
      </c>
    </row>
    <row r="4010" spans="4:16" x14ac:dyDescent="0.2">
      <c r="D4010">
        <v>100002381</v>
      </c>
      <c r="E4010" s="49">
        <v>45485</v>
      </c>
      <c r="F4010" t="s">
        <v>4082</v>
      </c>
      <c r="G4010" t="s">
        <v>2191</v>
      </c>
      <c r="H4010">
        <v>8</v>
      </c>
      <c r="I4010">
        <v>96.59</v>
      </c>
      <c r="J4010" s="50">
        <v>772.72</v>
      </c>
      <c r="K4010" t="s">
        <v>1632</v>
      </c>
      <c r="M4010" t="s">
        <v>1627</v>
      </c>
      <c r="N4010">
        <v>50.98</v>
      </c>
      <c r="O4010" s="49">
        <v>45488</v>
      </c>
      <c r="P4010" s="50">
        <v>347.72400000000005</v>
      </c>
    </row>
    <row r="4011" spans="4:16" x14ac:dyDescent="0.2">
      <c r="D4011">
        <v>100002382</v>
      </c>
      <c r="E4011" s="49">
        <v>45332</v>
      </c>
      <c r="F4011" t="s">
        <v>4083</v>
      </c>
      <c r="G4011" t="s">
        <v>2230</v>
      </c>
      <c r="H4011">
        <v>1</v>
      </c>
      <c r="I4011">
        <v>89.06</v>
      </c>
      <c r="J4011" s="50">
        <v>89.06</v>
      </c>
      <c r="K4011" t="s">
        <v>1632</v>
      </c>
      <c r="L4011" t="s">
        <v>4084</v>
      </c>
      <c r="M4011" t="s">
        <v>1621</v>
      </c>
      <c r="N4011">
        <v>47</v>
      </c>
      <c r="O4011" s="49">
        <v>45334</v>
      </c>
      <c r="P4011" s="50">
        <v>40.077000000000005</v>
      </c>
    </row>
    <row r="4012" spans="4:16" x14ac:dyDescent="0.2">
      <c r="D4012">
        <v>100002382</v>
      </c>
      <c r="E4012" s="49">
        <v>45580</v>
      </c>
      <c r="F4012" t="s">
        <v>4083</v>
      </c>
      <c r="G4012" t="s">
        <v>1681</v>
      </c>
      <c r="H4012">
        <v>1</v>
      </c>
      <c r="I4012">
        <v>99.01</v>
      </c>
      <c r="J4012" s="50">
        <v>99.01</v>
      </c>
      <c r="K4012" t="s">
        <v>1632</v>
      </c>
      <c r="L4012" t="s">
        <v>4084</v>
      </c>
      <c r="M4012" t="s">
        <v>1627</v>
      </c>
      <c r="N4012">
        <v>52.25</v>
      </c>
      <c r="O4012" s="49">
        <v>45581</v>
      </c>
      <c r="P4012" s="50">
        <v>44.554500000000004</v>
      </c>
    </row>
    <row r="4013" spans="4:16" x14ac:dyDescent="0.2">
      <c r="D4013">
        <v>100002382</v>
      </c>
      <c r="E4013" s="49">
        <v>44298</v>
      </c>
      <c r="F4013" t="s">
        <v>4083</v>
      </c>
      <c r="G4013" t="s">
        <v>2088</v>
      </c>
      <c r="H4013">
        <v>7</v>
      </c>
      <c r="I4013">
        <v>10.56</v>
      </c>
      <c r="J4013" s="50">
        <v>73.92</v>
      </c>
      <c r="K4013" t="s">
        <v>1632</v>
      </c>
      <c r="L4013" t="s">
        <v>4084</v>
      </c>
      <c r="M4013" t="s">
        <v>1621</v>
      </c>
      <c r="N4013">
        <v>5.57</v>
      </c>
      <c r="O4013" s="49">
        <v>44303</v>
      </c>
      <c r="P4013" s="50">
        <v>33.264000000000003</v>
      </c>
    </row>
    <row r="4014" spans="4:16" x14ac:dyDescent="0.2">
      <c r="D4014">
        <v>100002383</v>
      </c>
      <c r="E4014" s="49">
        <v>44818</v>
      </c>
      <c r="F4014" t="s">
        <v>4085</v>
      </c>
      <c r="G4014" t="s">
        <v>1710</v>
      </c>
      <c r="H4014">
        <v>4</v>
      </c>
      <c r="I4014">
        <v>113.13</v>
      </c>
      <c r="J4014" s="50">
        <v>452.52</v>
      </c>
      <c r="K4014" t="s">
        <v>1618</v>
      </c>
      <c r="M4014" t="s">
        <v>1619</v>
      </c>
      <c r="N4014">
        <v>59.71</v>
      </c>
      <c r="O4014" s="49">
        <v>44819</v>
      </c>
      <c r="P4014" s="50">
        <v>203.63399999999999</v>
      </c>
    </row>
    <row r="4015" spans="4:16" x14ac:dyDescent="0.2">
      <c r="D4015">
        <v>100002383</v>
      </c>
      <c r="E4015" s="49">
        <v>45431</v>
      </c>
      <c r="F4015" t="s">
        <v>4085</v>
      </c>
      <c r="G4015" t="s">
        <v>1710</v>
      </c>
      <c r="H4015">
        <v>7</v>
      </c>
      <c r="I4015">
        <v>44.27</v>
      </c>
      <c r="J4015" s="50">
        <v>309.89</v>
      </c>
      <c r="K4015" t="s">
        <v>1618</v>
      </c>
      <c r="M4015" t="s">
        <v>1629</v>
      </c>
      <c r="N4015">
        <v>23.36</v>
      </c>
      <c r="O4015" s="49">
        <v>45436</v>
      </c>
      <c r="P4015" s="50">
        <v>139.45050000000001</v>
      </c>
    </row>
    <row r="4016" spans="4:16" x14ac:dyDescent="0.2">
      <c r="D4016">
        <v>100002383</v>
      </c>
      <c r="E4016" s="49">
        <v>45255</v>
      </c>
      <c r="F4016" t="s">
        <v>4085</v>
      </c>
      <c r="G4016" t="s">
        <v>1707</v>
      </c>
      <c r="H4016">
        <v>7</v>
      </c>
      <c r="I4016">
        <v>102.65</v>
      </c>
      <c r="J4016" s="50">
        <v>718.55000000000007</v>
      </c>
      <c r="K4016" t="s">
        <v>1618</v>
      </c>
      <c r="M4016" t="s">
        <v>1621</v>
      </c>
      <c r="N4016">
        <v>54.18</v>
      </c>
      <c r="O4016" s="49">
        <v>45257</v>
      </c>
      <c r="P4016" s="50">
        <v>323.34750000000003</v>
      </c>
    </row>
    <row r="4017" spans="4:16" x14ac:dyDescent="0.2">
      <c r="D4017">
        <v>100002386</v>
      </c>
      <c r="E4017" s="49">
        <v>44320</v>
      </c>
      <c r="F4017" t="s">
        <v>4086</v>
      </c>
      <c r="G4017" t="s">
        <v>2125</v>
      </c>
      <c r="H4017">
        <v>1</v>
      </c>
      <c r="I4017">
        <v>62.63</v>
      </c>
      <c r="J4017" s="50">
        <v>62.63</v>
      </c>
      <c r="K4017" t="s">
        <v>1618</v>
      </c>
      <c r="M4017" t="s">
        <v>1629</v>
      </c>
      <c r="N4017">
        <v>33.049999999999997</v>
      </c>
      <c r="O4017" s="49">
        <v>44321</v>
      </c>
      <c r="P4017" s="50">
        <v>28.183500000000002</v>
      </c>
    </row>
    <row r="4018" spans="4:16" x14ac:dyDescent="0.2">
      <c r="D4018">
        <v>100002386</v>
      </c>
      <c r="E4018" s="49">
        <v>45544</v>
      </c>
      <c r="F4018" t="s">
        <v>4086</v>
      </c>
      <c r="G4018" t="s">
        <v>2301</v>
      </c>
      <c r="H4018">
        <v>9</v>
      </c>
      <c r="I4018">
        <v>41.81</v>
      </c>
      <c r="J4018" s="50">
        <v>376.29</v>
      </c>
      <c r="K4018" t="s">
        <v>1618</v>
      </c>
      <c r="M4018" t="s">
        <v>1629</v>
      </c>
      <c r="N4018">
        <v>22.07</v>
      </c>
      <c r="O4018" s="49">
        <v>45545</v>
      </c>
      <c r="P4018" s="50">
        <v>169.3305</v>
      </c>
    </row>
    <row r="4019" spans="4:16" x14ac:dyDescent="0.2">
      <c r="D4019">
        <v>100002386</v>
      </c>
      <c r="E4019" s="49">
        <v>44760</v>
      </c>
      <c r="F4019" t="s">
        <v>4086</v>
      </c>
      <c r="G4019" t="s">
        <v>1890</v>
      </c>
      <c r="H4019">
        <v>4</v>
      </c>
      <c r="I4019">
        <v>109</v>
      </c>
      <c r="J4019" s="50">
        <v>436</v>
      </c>
      <c r="K4019" t="s">
        <v>1618</v>
      </c>
      <c r="M4019" t="s">
        <v>1629</v>
      </c>
      <c r="N4019">
        <v>57.53</v>
      </c>
      <c r="O4019" s="49">
        <v>44764</v>
      </c>
      <c r="P4019" s="50">
        <v>196.20000000000002</v>
      </c>
    </row>
    <row r="4020" spans="4:16" x14ac:dyDescent="0.2">
      <c r="D4020">
        <v>100002387</v>
      </c>
      <c r="E4020" s="49">
        <v>45509</v>
      </c>
      <c r="F4020" t="s">
        <v>4087</v>
      </c>
      <c r="G4020" t="s">
        <v>1646</v>
      </c>
      <c r="H4020">
        <v>4</v>
      </c>
      <c r="I4020">
        <v>73.87</v>
      </c>
      <c r="J4020" s="50">
        <v>295.48</v>
      </c>
      <c r="K4020" t="s">
        <v>1618</v>
      </c>
      <c r="M4020" t="s">
        <v>1621</v>
      </c>
      <c r="N4020">
        <v>38.99</v>
      </c>
      <c r="O4020" s="49">
        <v>45511</v>
      </c>
      <c r="P4020" s="50">
        <v>132.96600000000001</v>
      </c>
    </row>
    <row r="4021" spans="4:16" x14ac:dyDescent="0.2">
      <c r="D4021">
        <v>100002389</v>
      </c>
      <c r="E4021" s="49">
        <v>44252</v>
      </c>
      <c r="F4021" t="s">
        <v>4088</v>
      </c>
      <c r="G4021" t="s">
        <v>2093</v>
      </c>
      <c r="H4021">
        <v>4</v>
      </c>
      <c r="I4021">
        <v>108.82</v>
      </c>
      <c r="J4021" s="50">
        <v>435.28</v>
      </c>
      <c r="K4021" t="s">
        <v>1618</v>
      </c>
      <c r="M4021" t="s">
        <v>1627</v>
      </c>
      <c r="N4021">
        <v>57.43</v>
      </c>
      <c r="O4021" s="49">
        <v>44254</v>
      </c>
      <c r="P4021" s="50">
        <v>195.876</v>
      </c>
    </row>
    <row r="4022" spans="4:16" x14ac:dyDescent="0.2">
      <c r="D4022">
        <v>100002389</v>
      </c>
      <c r="E4022" s="49">
        <v>45601</v>
      </c>
      <c r="F4022" t="s">
        <v>4088</v>
      </c>
      <c r="G4022" t="s">
        <v>2436</v>
      </c>
      <c r="H4022">
        <v>7</v>
      </c>
      <c r="I4022">
        <v>112.47</v>
      </c>
      <c r="J4022" s="50">
        <v>787.29</v>
      </c>
      <c r="K4022" t="s">
        <v>1618</v>
      </c>
      <c r="M4022" t="s">
        <v>1629</v>
      </c>
      <c r="N4022">
        <v>59.36</v>
      </c>
      <c r="O4022" s="49">
        <v>45605</v>
      </c>
      <c r="P4022" s="50">
        <v>354.28050000000002</v>
      </c>
    </row>
    <row r="4023" spans="4:16" x14ac:dyDescent="0.2">
      <c r="D4023">
        <v>100002391</v>
      </c>
      <c r="E4023" s="49">
        <v>45536</v>
      </c>
      <c r="F4023" t="s">
        <v>4089</v>
      </c>
      <c r="G4023" t="s">
        <v>2103</v>
      </c>
      <c r="H4023">
        <v>4</v>
      </c>
      <c r="I4023">
        <v>54.2</v>
      </c>
      <c r="J4023" s="50">
        <v>216.8</v>
      </c>
      <c r="K4023" t="s">
        <v>1632</v>
      </c>
      <c r="M4023" t="s">
        <v>1621</v>
      </c>
      <c r="N4023">
        <v>28.61</v>
      </c>
      <c r="O4023" s="49">
        <v>45539</v>
      </c>
      <c r="P4023" s="50">
        <v>97.56</v>
      </c>
    </row>
    <row r="4024" spans="4:16" x14ac:dyDescent="0.2">
      <c r="D4024">
        <v>100002391</v>
      </c>
      <c r="E4024" s="49">
        <v>45048</v>
      </c>
      <c r="F4024" t="s">
        <v>4089</v>
      </c>
      <c r="G4024" t="s">
        <v>1856</v>
      </c>
      <c r="H4024">
        <v>8</v>
      </c>
      <c r="I4024">
        <v>18.66</v>
      </c>
      <c r="J4024" s="50">
        <v>149.28</v>
      </c>
      <c r="K4024" t="s">
        <v>1632</v>
      </c>
      <c r="M4024" t="s">
        <v>1629</v>
      </c>
      <c r="N4024">
        <v>9.85</v>
      </c>
      <c r="O4024" s="49">
        <v>45051</v>
      </c>
      <c r="P4024" s="50">
        <v>67.176000000000002</v>
      </c>
    </row>
    <row r="4025" spans="4:16" x14ac:dyDescent="0.2">
      <c r="D4025">
        <v>100002395</v>
      </c>
      <c r="E4025" s="49">
        <v>44913</v>
      </c>
      <c r="F4025" t="s">
        <v>4090</v>
      </c>
      <c r="G4025" t="s">
        <v>2033</v>
      </c>
      <c r="H4025">
        <v>1</v>
      </c>
      <c r="I4025">
        <v>14.14</v>
      </c>
      <c r="J4025" s="50">
        <v>14.14</v>
      </c>
      <c r="K4025" t="s">
        <v>1618</v>
      </c>
      <c r="M4025" t="s">
        <v>1629</v>
      </c>
      <c r="N4025">
        <v>7.46</v>
      </c>
      <c r="O4025" s="49">
        <v>44916</v>
      </c>
      <c r="P4025" s="50">
        <v>6.3630000000000004</v>
      </c>
    </row>
    <row r="4026" spans="4:16" x14ac:dyDescent="0.2">
      <c r="D4026">
        <v>100002395</v>
      </c>
      <c r="E4026" s="49">
        <v>45009</v>
      </c>
      <c r="F4026" t="s">
        <v>4090</v>
      </c>
      <c r="G4026" t="s">
        <v>1937</v>
      </c>
      <c r="H4026">
        <v>10</v>
      </c>
      <c r="I4026">
        <v>89.72</v>
      </c>
      <c r="J4026" s="50">
        <v>897.2</v>
      </c>
      <c r="K4026" t="s">
        <v>1618</v>
      </c>
      <c r="M4026" t="s">
        <v>1627</v>
      </c>
      <c r="N4026">
        <v>47.35</v>
      </c>
      <c r="O4026" s="49">
        <v>45013</v>
      </c>
      <c r="P4026" s="50">
        <v>403.74</v>
      </c>
    </row>
    <row r="4027" spans="4:16" x14ac:dyDescent="0.2">
      <c r="D4027">
        <v>100002395</v>
      </c>
      <c r="E4027" s="49">
        <v>44434</v>
      </c>
      <c r="F4027" t="s">
        <v>4090</v>
      </c>
      <c r="G4027" t="s">
        <v>1820</v>
      </c>
      <c r="H4027">
        <v>6</v>
      </c>
      <c r="I4027">
        <v>37.130000000000003</v>
      </c>
      <c r="J4027" s="50">
        <v>222.78</v>
      </c>
      <c r="K4027" t="s">
        <v>1618</v>
      </c>
      <c r="M4027" t="s">
        <v>1619</v>
      </c>
      <c r="N4027">
        <v>19.600000000000001</v>
      </c>
      <c r="O4027" s="49">
        <v>44438</v>
      </c>
      <c r="P4027" s="50">
        <v>100.251</v>
      </c>
    </row>
    <row r="4028" spans="4:16" x14ac:dyDescent="0.2">
      <c r="D4028">
        <v>100002396</v>
      </c>
      <c r="E4028" s="49">
        <v>44916</v>
      </c>
      <c r="F4028" t="s">
        <v>4091</v>
      </c>
      <c r="G4028" t="s">
        <v>2343</v>
      </c>
      <c r="H4028">
        <v>10</v>
      </c>
      <c r="I4028">
        <v>38.74</v>
      </c>
      <c r="J4028" s="50">
        <v>387.4</v>
      </c>
      <c r="K4028" t="s">
        <v>1618</v>
      </c>
      <c r="M4028" t="s">
        <v>1621</v>
      </c>
      <c r="N4028">
        <v>20.45</v>
      </c>
      <c r="O4028" s="49">
        <v>44919</v>
      </c>
      <c r="P4028" s="50">
        <v>174.32999999999998</v>
      </c>
    </row>
    <row r="4029" spans="4:16" x14ac:dyDescent="0.2">
      <c r="D4029">
        <v>100002398</v>
      </c>
      <c r="E4029" s="49">
        <v>45152</v>
      </c>
      <c r="F4029" t="s">
        <v>4092</v>
      </c>
      <c r="G4029" t="s">
        <v>1985</v>
      </c>
      <c r="H4029">
        <v>6</v>
      </c>
      <c r="I4029">
        <v>29.51</v>
      </c>
      <c r="J4029" s="50">
        <v>177.06</v>
      </c>
      <c r="K4029" t="s">
        <v>1618</v>
      </c>
      <c r="M4029" t="s">
        <v>1619</v>
      </c>
      <c r="N4029">
        <v>15.57</v>
      </c>
      <c r="O4029" s="49">
        <v>45156</v>
      </c>
      <c r="P4029" s="50">
        <v>79.677000000000007</v>
      </c>
    </row>
    <row r="4030" spans="4:16" x14ac:dyDescent="0.2">
      <c r="D4030">
        <v>100002399</v>
      </c>
      <c r="E4030" s="49">
        <v>45181</v>
      </c>
      <c r="F4030" t="s">
        <v>4093</v>
      </c>
      <c r="G4030" t="s">
        <v>1715</v>
      </c>
      <c r="H4030">
        <v>5</v>
      </c>
      <c r="I4030">
        <v>115.64</v>
      </c>
      <c r="J4030" s="50">
        <v>578.20000000000005</v>
      </c>
      <c r="K4030" t="s">
        <v>1618</v>
      </c>
      <c r="M4030" t="s">
        <v>1621</v>
      </c>
      <c r="N4030">
        <v>61.03</v>
      </c>
      <c r="O4030" s="49">
        <v>45184</v>
      </c>
      <c r="P4030" s="50">
        <v>260.19000000000005</v>
      </c>
    </row>
    <row r="4031" spans="4:16" x14ac:dyDescent="0.2">
      <c r="D4031">
        <v>100002400</v>
      </c>
      <c r="E4031" s="49">
        <v>44235</v>
      </c>
      <c r="F4031" t="s">
        <v>4094</v>
      </c>
      <c r="G4031" t="s">
        <v>1756</v>
      </c>
      <c r="H4031">
        <v>3</v>
      </c>
      <c r="I4031">
        <v>20.16</v>
      </c>
      <c r="J4031" s="50">
        <v>60.48</v>
      </c>
      <c r="K4031" t="s">
        <v>1618</v>
      </c>
      <c r="M4031" t="s">
        <v>1621</v>
      </c>
      <c r="N4031">
        <v>10.64</v>
      </c>
      <c r="O4031" s="49">
        <v>44237</v>
      </c>
      <c r="P4031" s="50">
        <v>27.215999999999998</v>
      </c>
    </row>
    <row r="4032" spans="4:16" x14ac:dyDescent="0.2">
      <c r="D4032">
        <v>100002401</v>
      </c>
      <c r="E4032" s="49">
        <v>45125</v>
      </c>
      <c r="F4032" t="s">
        <v>2807</v>
      </c>
      <c r="G4032" t="s">
        <v>1722</v>
      </c>
      <c r="H4032">
        <v>2</v>
      </c>
      <c r="I4032">
        <v>53.21</v>
      </c>
      <c r="J4032" s="50">
        <v>106.42</v>
      </c>
      <c r="K4032" t="s">
        <v>1618</v>
      </c>
      <c r="M4032" t="s">
        <v>1619</v>
      </c>
      <c r="N4032">
        <v>28.08</v>
      </c>
      <c r="O4032" s="49">
        <v>45129</v>
      </c>
      <c r="P4032" s="50">
        <v>47.889000000000003</v>
      </c>
    </row>
    <row r="4033" spans="4:16" x14ac:dyDescent="0.2">
      <c r="D4033">
        <v>100002404</v>
      </c>
      <c r="E4033" s="49">
        <v>44964</v>
      </c>
      <c r="F4033" t="s">
        <v>2058</v>
      </c>
      <c r="G4033" t="s">
        <v>1691</v>
      </c>
      <c r="H4033">
        <v>9</v>
      </c>
      <c r="I4033">
        <v>62.26</v>
      </c>
      <c r="J4033" s="50">
        <v>560.34</v>
      </c>
      <c r="K4033" t="s">
        <v>1632</v>
      </c>
      <c r="L4033" t="s">
        <v>3373</v>
      </c>
      <c r="M4033" t="s">
        <v>1619</v>
      </c>
      <c r="N4033">
        <v>32.86</v>
      </c>
      <c r="O4033" s="49">
        <v>44966</v>
      </c>
      <c r="P4033" s="50">
        <v>252.15300000000002</v>
      </c>
    </row>
    <row r="4034" spans="4:16" x14ac:dyDescent="0.2">
      <c r="D4034">
        <v>100002405</v>
      </c>
      <c r="E4034" s="49">
        <v>45291</v>
      </c>
      <c r="F4034" t="s">
        <v>4095</v>
      </c>
      <c r="G4034" t="s">
        <v>1963</v>
      </c>
      <c r="H4034">
        <v>4</v>
      </c>
      <c r="I4034">
        <v>20.420000000000002</v>
      </c>
      <c r="J4034" s="50">
        <v>81.680000000000007</v>
      </c>
      <c r="K4034" t="s">
        <v>1618</v>
      </c>
      <c r="M4034" t="s">
        <v>1627</v>
      </c>
      <c r="N4034">
        <v>10.78</v>
      </c>
      <c r="O4034" s="49">
        <v>45296</v>
      </c>
      <c r="P4034" s="50">
        <v>36.756000000000007</v>
      </c>
    </row>
    <row r="4035" spans="4:16" x14ac:dyDescent="0.2">
      <c r="D4035">
        <v>100002405</v>
      </c>
      <c r="E4035" s="49">
        <v>44853</v>
      </c>
      <c r="F4035" t="s">
        <v>4095</v>
      </c>
      <c r="G4035" t="s">
        <v>1756</v>
      </c>
      <c r="H4035">
        <v>8</v>
      </c>
      <c r="I4035">
        <v>89.09</v>
      </c>
      <c r="J4035" s="50">
        <v>712.72</v>
      </c>
      <c r="K4035" t="s">
        <v>1618</v>
      </c>
      <c r="M4035" t="s">
        <v>1627</v>
      </c>
      <c r="N4035">
        <v>47.02</v>
      </c>
      <c r="O4035" s="49">
        <v>44855</v>
      </c>
      <c r="P4035" s="50">
        <v>320.72400000000005</v>
      </c>
    </row>
    <row r="4036" spans="4:16" x14ac:dyDescent="0.2">
      <c r="D4036">
        <v>100002405</v>
      </c>
      <c r="E4036" s="49">
        <v>44526</v>
      </c>
      <c r="F4036" t="s">
        <v>4095</v>
      </c>
      <c r="G4036" t="s">
        <v>1856</v>
      </c>
      <c r="H4036">
        <v>8</v>
      </c>
      <c r="I4036">
        <v>47.58</v>
      </c>
      <c r="J4036" s="50">
        <v>380.64</v>
      </c>
      <c r="K4036" t="s">
        <v>1618</v>
      </c>
      <c r="M4036" t="s">
        <v>1629</v>
      </c>
      <c r="N4036">
        <v>25.11</v>
      </c>
      <c r="O4036" s="49">
        <v>44530</v>
      </c>
      <c r="P4036" s="50">
        <v>171.28800000000001</v>
      </c>
    </row>
    <row r="4037" spans="4:16" x14ac:dyDescent="0.2">
      <c r="D4037">
        <v>100002405</v>
      </c>
      <c r="E4037" s="49">
        <v>45596</v>
      </c>
      <c r="F4037" t="s">
        <v>4095</v>
      </c>
      <c r="G4037" t="s">
        <v>1932</v>
      </c>
      <c r="H4037">
        <v>4</v>
      </c>
      <c r="I4037">
        <v>43.16</v>
      </c>
      <c r="J4037" s="50">
        <v>172.64</v>
      </c>
      <c r="K4037" t="s">
        <v>1618</v>
      </c>
      <c r="M4037" t="s">
        <v>1627</v>
      </c>
      <c r="N4037">
        <v>22.78</v>
      </c>
      <c r="O4037" s="49">
        <v>45600</v>
      </c>
      <c r="P4037" s="50">
        <v>77.688000000000002</v>
      </c>
    </row>
    <row r="4038" spans="4:16" x14ac:dyDescent="0.2">
      <c r="D4038">
        <v>100002405</v>
      </c>
      <c r="E4038" s="49">
        <v>44502</v>
      </c>
      <c r="F4038" t="s">
        <v>4095</v>
      </c>
      <c r="G4038" t="s">
        <v>1895</v>
      </c>
      <c r="H4038">
        <v>7</v>
      </c>
      <c r="I4038">
        <v>12.16</v>
      </c>
      <c r="J4038" s="50">
        <v>85.12</v>
      </c>
      <c r="K4038" t="s">
        <v>1618</v>
      </c>
      <c r="M4038" t="s">
        <v>1621</v>
      </c>
      <c r="N4038">
        <v>6.42</v>
      </c>
      <c r="O4038" s="49">
        <v>44503</v>
      </c>
      <c r="P4038" s="50">
        <v>38.304000000000002</v>
      </c>
    </row>
    <row r="4039" spans="4:16" x14ac:dyDescent="0.2">
      <c r="D4039">
        <v>100002405</v>
      </c>
      <c r="E4039" s="49">
        <v>44827</v>
      </c>
      <c r="F4039" t="s">
        <v>4095</v>
      </c>
      <c r="G4039" t="s">
        <v>1975</v>
      </c>
      <c r="H4039">
        <v>5</v>
      </c>
      <c r="I4039">
        <v>84.63</v>
      </c>
      <c r="J4039" s="50">
        <v>423.15</v>
      </c>
      <c r="K4039" t="s">
        <v>1618</v>
      </c>
      <c r="M4039" t="s">
        <v>1627</v>
      </c>
      <c r="N4039">
        <v>44.67</v>
      </c>
      <c r="O4039" s="49">
        <v>44829</v>
      </c>
      <c r="P4039" s="50">
        <v>190.41749999999999</v>
      </c>
    </row>
    <row r="4040" spans="4:16" x14ac:dyDescent="0.2">
      <c r="D4040">
        <v>100002406</v>
      </c>
      <c r="E4040" s="49">
        <v>44974</v>
      </c>
      <c r="F4040" t="s">
        <v>4096</v>
      </c>
      <c r="G4040" t="s">
        <v>2068</v>
      </c>
      <c r="H4040">
        <v>7</v>
      </c>
      <c r="I4040">
        <v>37.950000000000003</v>
      </c>
      <c r="J4040" s="50">
        <v>265.64999999999998</v>
      </c>
      <c r="K4040" t="s">
        <v>1632</v>
      </c>
      <c r="M4040" t="s">
        <v>1621</v>
      </c>
      <c r="N4040">
        <v>20.03</v>
      </c>
      <c r="O4040" s="49">
        <v>44978</v>
      </c>
      <c r="P4040" s="50">
        <v>119.54249999999999</v>
      </c>
    </row>
    <row r="4041" spans="4:16" x14ac:dyDescent="0.2">
      <c r="D4041">
        <v>100002406</v>
      </c>
      <c r="E4041" s="49">
        <v>45153</v>
      </c>
      <c r="F4041" t="s">
        <v>4096</v>
      </c>
      <c r="G4041" t="s">
        <v>1841</v>
      </c>
      <c r="H4041">
        <v>5</v>
      </c>
      <c r="I4041">
        <v>83.19</v>
      </c>
      <c r="J4041" s="50">
        <v>415.95</v>
      </c>
      <c r="K4041" t="s">
        <v>1632</v>
      </c>
      <c r="M4041" t="s">
        <v>1629</v>
      </c>
      <c r="N4041">
        <v>43.91</v>
      </c>
      <c r="O4041" s="49">
        <v>45157</v>
      </c>
      <c r="P4041" s="50">
        <v>187.17750000000001</v>
      </c>
    </row>
    <row r="4042" spans="4:16" x14ac:dyDescent="0.2">
      <c r="D4042">
        <v>100002406</v>
      </c>
      <c r="E4042" s="49">
        <v>44626</v>
      </c>
      <c r="F4042" t="s">
        <v>4096</v>
      </c>
      <c r="G4042" t="s">
        <v>1967</v>
      </c>
      <c r="H4042">
        <v>5</v>
      </c>
      <c r="I4042">
        <v>98.53</v>
      </c>
      <c r="J4042" s="50">
        <v>492.65</v>
      </c>
      <c r="K4042" t="s">
        <v>1632</v>
      </c>
      <c r="M4042" t="s">
        <v>1619</v>
      </c>
      <c r="N4042">
        <v>52</v>
      </c>
      <c r="O4042" s="49">
        <v>44630</v>
      </c>
      <c r="P4042" s="50">
        <v>221.6925</v>
      </c>
    </row>
    <row r="4043" spans="4:16" x14ac:dyDescent="0.2">
      <c r="D4043">
        <v>100002406</v>
      </c>
      <c r="E4043" s="49">
        <v>45621</v>
      </c>
      <c r="F4043" t="s">
        <v>4096</v>
      </c>
      <c r="G4043" t="s">
        <v>1742</v>
      </c>
      <c r="H4043">
        <v>9</v>
      </c>
      <c r="I4043">
        <v>55.66</v>
      </c>
      <c r="J4043" s="50">
        <v>500.93999999999988</v>
      </c>
      <c r="K4043" t="s">
        <v>1632</v>
      </c>
      <c r="M4043" t="s">
        <v>1619</v>
      </c>
      <c r="N4043">
        <v>29.38</v>
      </c>
      <c r="O4043" s="49">
        <v>45625</v>
      </c>
      <c r="P4043" s="50">
        <v>225.42299999999994</v>
      </c>
    </row>
    <row r="4044" spans="4:16" x14ac:dyDescent="0.2">
      <c r="D4044">
        <v>100002406</v>
      </c>
      <c r="E4044" s="49">
        <v>45337</v>
      </c>
      <c r="F4044" t="s">
        <v>4096</v>
      </c>
      <c r="G4044" t="s">
        <v>3135</v>
      </c>
      <c r="H4044">
        <v>8</v>
      </c>
      <c r="I4044">
        <v>39.14</v>
      </c>
      <c r="J4044" s="50">
        <v>313.12</v>
      </c>
      <c r="K4044" t="s">
        <v>1632</v>
      </c>
      <c r="M4044" t="s">
        <v>1629</v>
      </c>
      <c r="N4044">
        <v>20.66</v>
      </c>
      <c r="O4044" s="49">
        <v>45339</v>
      </c>
      <c r="P4044" s="50">
        <v>140.904</v>
      </c>
    </row>
    <row r="4045" spans="4:16" x14ac:dyDescent="0.2">
      <c r="D4045">
        <v>100002406</v>
      </c>
      <c r="E4045" s="49">
        <v>44857</v>
      </c>
      <c r="F4045" t="s">
        <v>4096</v>
      </c>
      <c r="G4045" t="s">
        <v>1841</v>
      </c>
      <c r="H4045">
        <v>5</v>
      </c>
      <c r="I4045">
        <v>10.039999999999999</v>
      </c>
      <c r="J4045" s="50">
        <v>50.2</v>
      </c>
      <c r="K4045" t="s">
        <v>1632</v>
      </c>
      <c r="M4045" t="s">
        <v>1621</v>
      </c>
      <c r="N4045">
        <v>5.3</v>
      </c>
      <c r="O4045" s="49">
        <v>44861</v>
      </c>
      <c r="P4045" s="50">
        <v>22.590000000000003</v>
      </c>
    </row>
    <row r="4046" spans="4:16" x14ac:dyDescent="0.2">
      <c r="D4046">
        <v>100002406</v>
      </c>
      <c r="E4046" s="49">
        <v>45058</v>
      </c>
      <c r="F4046" t="s">
        <v>4096</v>
      </c>
      <c r="G4046" t="s">
        <v>1709</v>
      </c>
      <c r="H4046">
        <v>6</v>
      </c>
      <c r="I4046">
        <v>26.49</v>
      </c>
      <c r="J4046" s="50">
        <v>158.94</v>
      </c>
      <c r="K4046" t="s">
        <v>1632</v>
      </c>
      <c r="M4046" t="s">
        <v>1624</v>
      </c>
      <c r="N4046">
        <v>13.98</v>
      </c>
      <c r="O4046" s="49">
        <v>45061</v>
      </c>
      <c r="P4046" s="50">
        <v>71.522999999999996</v>
      </c>
    </row>
    <row r="4047" spans="4:16" x14ac:dyDescent="0.2">
      <c r="D4047">
        <v>100002406</v>
      </c>
      <c r="E4047" s="49">
        <v>45435</v>
      </c>
      <c r="F4047" t="s">
        <v>4096</v>
      </c>
      <c r="G4047" t="s">
        <v>2060</v>
      </c>
      <c r="H4047">
        <v>10</v>
      </c>
      <c r="I4047">
        <v>31.53</v>
      </c>
      <c r="J4047" s="50">
        <v>315.3</v>
      </c>
      <c r="K4047" t="s">
        <v>1632</v>
      </c>
      <c r="M4047" t="s">
        <v>1624</v>
      </c>
      <c r="N4047">
        <v>16.64</v>
      </c>
      <c r="O4047" s="49">
        <v>45438</v>
      </c>
      <c r="P4047" s="50">
        <v>141.88500000000002</v>
      </c>
    </row>
    <row r="4048" spans="4:16" x14ac:dyDescent="0.2">
      <c r="D4048">
        <v>100002406</v>
      </c>
      <c r="E4048" s="49">
        <v>45604</v>
      </c>
      <c r="F4048" t="s">
        <v>4096</v>
      </c>
      <c r="G4048" t="s">
        <v>1851</v>
      </c>
      <c r="H4048">
        <v>2</v>
      </c>
      <c r="I4048">
        <v>92.29</v>
      </c>
      <c r="J4048" s="50">
        <v>184.58</v>
      </c>
      <c r="K4048" t="s">
        <v>1632</v>
      </c>
      <c r="M4048" t="s">
        <v>1619</v>
      </c>
      <c r="N4048">
        <v>48.71</v>
      </c>
      <c r="O4048" s="49">
        <v>45605</v>
      </c>
      <c r="P4048" s="50">
        <v>83.061000000000007</v>
      </c>
    </row>
    <row r="4049" spans="4:16" x14ac:dyDescent="0.2">
      <c r="D4049">
        <v>100002406</v>
      </c>
      <c r="E4049" s="49">
        <v>45184</v>
      </c>
      <c r="F4049" t="s">
        <v>4096</v>
      </c>
      <c r="G4049" t="s">
        <v>2380</v>
      </c>
      <c r="H4049">
        <v>3</v>
      </c>
      <c r="I4049">
        <v>101.6</v>
      </c>
      <c r="J4049" s="50">
        <v>304.8</v>
      </c>
      <c r="K4049" t="s">
        <v>1632</v>
      </c>
      <c r="M4049" t="s">
        <v>1629</v>
      </c>
      <c r="N4049">
        <v>53.62</v>
      </c>
      <c r="O4049" s="49">
        <v>45188</v>
      </c>
      <c r="P4049" s="50">
        <v>137.16</v>
      </c>
    </row>
    <row r="4050" spans="4:16" x14ac:dyDescent="0.2">
      <c r="D4050">
        <v>100002406</v>
      </c>
      <c r="E4050" s="49">
        <v>44498</v>
      </c>
      <c r="F4050" t="s">
        <v>4096</v>
      </c>
      <c r="G4050" t="s">
        <v>1924</v>
      </c>
      <c r="H4050">
        <v>1</v>
      </c>
      <c r="I4050">
        <v>78.28</v>
      </c>
      <c r="J4050" s="50">
        <v>78.28</v>
      </c>
      <c r="K4050" t="s">
        <v>1632</v>
      </c>
      <c r="M4050" t="s">
        <v>1629</v>
      </c>
      <c r="N4050">
        <v>41.31</v>
      </c>
      <c r="O4050" s="49">
        <v>44500</v>
      </c>
      <c r="P4050" s="50">
        <v>35.225999999999999</v>
      </c>
    </row>
    <row r="4051" spans="4:16" x14ac:dyDescent="0.2">
      <c r="D4051">
        <v>100002406</v>
      </c>
      <c r="E4051" s="49">
        <v>44716</v>
      </c>
      <c r="F4051" t="s">
        <v>4096</v>
      </c>
      <c r="G4051" t="s">
        <v>1785</v>
      </c>
      <c r="H4051">
        <v>5</v>
      </c>
      <c r="I4051">
        <v>27.68</v>
      </c>
      <c r="J4051" s="50">
        <v>138.4</v>
      </c>
      <c r="K4051" t="s">
        <v>1632</v>
      </c>
      <c r="M4051" t="s">
        <v>1619</v>
      </c>
      <c r="N4051">
        <v>14.61</v>
      </c>
      <c r="O4051" s="49">
        <v>44717</v>
      </c>
      <c r="P4051" s="50">
        <v>62.28</v>
      </c>
    </row>
    <row r="4052" spans="4:16" x14ac:dyDescent="0.2">
      <c r="D4052">
        <v>100002406</v>
      </c>
      <c r="E4052" s="49">
        <v>45054</v>
      </c>
      <c r="F4052" t="s">
        <v>4096</v>
      </c>
      <c r="G4052" t="s">
        <v>1681</v>
      </c>
      <c r="H4052">
        <v>6</v>
      </c>
      <c r="I4052">
        <v>112.88</v>
      </c>
      <c r="J4052" s="50">
        <v>677.28</v>
      </c>
      <c r="K4052" t="s">
        <v>1632</v>
      </c>
      <c r="M4052" t="s">
        <v>1624</v>
      </c>
      <c r="N4052">
        <v>59.58</v>
      </c>
      <c r="O4052" s="49">
        <v>45056</v>
      </c>
      <c r="P4052" s="50">
        <v>304.77600000000001</v>
      </c>
    </row>
    <row r="4053" spans="4:16" x14ac:dyDescent="0.2">
      <c r="D4053">
        <v>100002407</v>
      </c>
      <c r="E4053" s="49">
        <v>45477</v>
      </c>
      <c r="F4053" t="s">
        <v>4097</v>
      </c>
      <c r="G4053" t="s">
        <v>1833</v>
      </c>
      <c r="H4053">
        <v>2</v>
      </c>
      <c r="I4053">
        <v>38.75</v>
      </c>
      <c r="J4053" s="50">
        <v>77.5</v>
      </c>
      <c r="K4053" t="s">
        <v>1632</v>
      </c>
      <c r="M4053" t="s">
        <v>1624</v>
      </c>
      <c r="N4053">
        <v>20.45</v>
      </c>
      <c r="O4053" s="49">
        <v>45482</v>
      </c>
      <c r="P4053" s="50">
        <v>34.875</v>
      </c>
    </row>
    <row r="4054" spans="4:16" x14ac:dyDescent="0.2">
      <c r="D4054">
        <v>100002408</v>
      </c>
      <c r="E4054" s="49">
        <v>45107</v>
      </c>
      <c r="F4054" t="s">
        <v>4098</v>
      </c>
      <c r="G4054" t="s">
        <v>1743</v>
      </c>
      <c r="H4054">
        <v>10</v>
      </c>
      <c r="I4054">
        <v>14.08</v>
      </c>
      <c r="J4054" s="50">
        <v>140.80000000000001</v>
      </c>
      <c r="K4054" t="s">
        <v>1618</v>
      </c>
      <c r="L4054" t="s">
        <v>4099</v>
      </c>
      <c r="M4054" t="s">
        <v>1619</v>
      </c>
      <c r="N4054">
        <v>7.43</v>
      </c>
      <c r="O4054" s="49">
        <v>45109</v>
      </c>
      <c r="P4054" s="50">
        <v>63.360000000000007</v>
      </c>
    </row>
    <row r="4055" spans="4:16" x14ac:dyDescent="0.2">
      <c r="D4055">
        <v>100002409</v>
      </c>
      <c r="E4055" s="49">
        <v>44411</v>
      </c>
      <c r="F4055" t="s">
        <v>4100</v>
      </c>
      <c r="G4055" t="s">
        <v>2099</v>
      </c>
      <c r="H4055">
        <v>8</v>
      </c>
      <c r="I4055">
        <v>109.21</v>
      </c>
      <c r="J4055" s="50">
        <v>873.68</v>
      </c>
      <c r="K4055" t="s">
        <v>1618</v>
      </c>
      <c r="L4055" t="s">
        <v>4101</v>
      </c>
      <c r="M4055" t="s">
        <v>1619</v>
      </c>
      <c r="N4055">
        <v>57.64</v>
      </c>
      <c r="O4055" s="49">
        <v>44412</v>
      </c>
      <c r="P4055" s="50">
        <v>393.15600000000001</v>
      </c>
    </row>
    <row r="4056" spans="4:16" x14ac:dyDescent="0.2">
      <c r="D4056">
        <v>100002409</v>
      </c>
      <c r="E4056" s="49">
        <v>45200</v>
      </c>
      <c r="F4056" t="s">
        <v>4100</v>
      </c>
      <c r="G4056" t="s">
        <v>1950</v>
      </c>
      <c r="H4056">
        <v>5</v>
      </c>
      <c r="I4056">
        <v>93.94</v>
      </c>
      <c r="J4056" s="50">
        <v>469.7</v>
      </c>
      <c r="K4056" t="s">
        <v>1618</v>
      </c>
      <c r="L4056" t="s">
        <v>4101</v>
      </c>
      <c r="M4056" t="s">
        <v>1624</v>
      </c>
      <c r="N4056">
        <v>49.58</v>
      </c>
      <c r="O4056" s="49">
        <v>45204</v>
      </c>
      <c r="P4056" s="50">
        <v>211.36500000000001</v>
      </c>
    </row>
    <row r="4057" spans="4:16" x14ac:dyDescent="0.2">
      <c r="D4057">
        <v>100002409</v>
      </c>
      <c r="E4057" s="49">
        <v>44577</v>
      </c>
      <c r="F4057" t="s">
        <v>4100</v>
      </c>
      <c r="G4057" t="s">
        <v>2033</v>
      </c>
      <c r="H4057">
        <v>3</v>
      </c>
      <c r="I4057">
        <v>33.4</v>
      </c>
      <c r="J4057" s="50">
        <v>100.2</v>
      </c>
      <c r="K4057" t="s">
        <v>1618</v>
      </c>
      <c r="L4057" t="s">
        <v>4101</v>
      </c>
      <c r="M4057" t="s">
        <v>1619</v>
      </c>
      <c r="N4057">
        <v>17.63</v>
      </c>
      <c r="O4057" s="49">
        <v>44579</v>
      </c>
      <c r="P4057" s="50">
        <v>45.09</v>
      </c>
    </row>
    <row r="4058" spans="4:16" x14ac:dyDescent="0.2">
      <c r="D4058">
        <v>100002410</v>
      </c>
      <c r="E4058" s="49">
        <v>45251</v>
      </c>
      <c r="F4058" t="s">
        <v>4102</v>
      </c>
      <c r="G4058" t="s">
        <v>2057</v>
      </c>
      <c r="H4058">
        <v>2</v>
      </c>
      <c r="I4058">
        <v>91.3</v>
      </c>
      <c r="J4058" s="50">
        <v>182.6</v>
      </c>
      <c r="K4058" t="s">
        <v>1618</v>
      </c>
      <c r="M4058" t="s">
        <v>1619</v>
      </c>
      <c r="N4058">
        <v>48.19</v>
      </c>
      <c r="O4058" s="49">
        <v>45254</v>
      </c>
      <c r="P4058" s="50">
        <v>82.17</v>
      </c>
    </row>
    <row r="4059" spans="4:16" x14ac:dyDescent="0.2">
      <c r="D4059">
        <v>100002410</v>
      </c>
      <c r="E4059" s="49">
        <v>44824</v>
      </c>
      <c r="F4059" t="s">
        <v>4102</v>
      </c>
      <c r="G4059" t="s">
        <v>1827</v>
      </c>
      <c r="H4059">
        <v>4</v>
      </c>
      <c r="I4059">
        <v>107.35</v>
      </c>
      <c r="J4059" s="50">
        <v>429.4</v>
      </c>
      <c r="K4059" t="s">
        <v>1618</v>
      </c>
      <c r="M4059" t="s">
        <v>1621</v>
      </c>
      <c r="N4059">
        <v>56.66</v>
      </c>
      <c r="O4059" s="49">
        <v>44828</v>
      </c>
      <c r="P4059" s="50">
        <v>193.23</v>
      </c>
    </row>
    <row r="4060" spans="4:16" x14ac:dyDescent="0.2">
      <c r="D4060">
        <v>100002410</v>
      </c>
      <c r="E4060" s="49">
        <v>44761</v>
      </c>
      <c r="F4060" t="s">
        <v>4102</v>
      </c>
      <c r="G4060" t="s">
        <v>1645</v>
      </c>
      <c r="H4060">
        <v>4</v>
      </c>
      <c r="I4060">
        <v>114.34</v>
      </c>
      <c r="J4060" s="50">
        <v>457.36</v>
      </c>
      <c r="K4060" t="s">
        <v>1618</v>
      </c>
      <c r="M4060" t="s">
        <v>1621</v>
      </c>
      <c r="N4060">
        <v>60.35</v>
      </c>
      <c r="O4060" s="49">
        <v>44762</v>
      </c>
      <c r="P4060" s="50">
        <v>205.81200000000001</v>
      </c>
    </row>
    <row r="4061" spans="4:16" x14ac:dyDescent="0.2">
      <c r="D4061">
        <v>100002411</v>
      </c>
      <c r="E4061" s="49">
        <v>45062</v>
      </c>
      <c r="F4061" t="s">
        <v>4103</v>
      </c>
      <c r="G4061" t="s">
        <v>2344</v>
      </c>
      <c r="H4061">
        <v>8</v>
      </c>
      <c r="I4061">
        <v>78.290000000000006</v>
      </c>
      <c r="J4061" s="50">
        <v>626.32000000000005</v>
      </c>
      <c r="K4061" t="s">
        <v>1618</v>
      </c>
      <c r="M4061" t="s">
        <v>1619</v>
      </c>
      <c r="N4061">
        <v>41.32</v>
      </c>
      <c r="O4061" s="49">
        <v>45065</v>
      </c>
      <c r="P4061" s="50">
        <v>281.84400000000005</v>
      </c>
    </row>
    <row r="4062" spans="4:16" x14ac:dyDescent="0.2">
      <c r="D4062">
        <v>100002411</v>
      </c>
      <c r="E4062" s="49">
        <v>45235</v>
      </c>
      <c r="F4062" t="s">
        <v>4103</v>
      </c>
      <c r="G4062" t="s">
        <v>1731</v>
      </c>
      <c r="H4062">
        <v>4</v>
      </c>
      <c r="I4062">
        <v>91.25</v>
      </c>
      <c r="J4062" s="50">
        <v>365</v>
      </c>
      <c r="K4062" t="s">
        <v>1618</v>
      </c>
      <c r="M4062" t="s">
        <v>1627</v>
      </c>
      <c r="N4062">
        <v>48.16</v>
      </c>
      <c r="O4062" s="49">
        <v>45236</v>
      </c>
      <c r="P4062" s="50">
        <v>164.25</v>
      </c>
    </row>
    <row r="4063" spans="4:16" x14ac:dyDescent="0.2">
      <c r="D4063">
        <v>100002412</v>
      </c>
      <c r="E4063" s="49">
        <v>45373</v>
      </c>
      <c r="F4063" t="s">
        <v>4104</v>
      </c>
      <c r="G4063" t="s">
        <v>1738</v>
      </c>
      <c r="H4063">
        <v>3</v>
      </c>
      <c r="I4063">
        <v>39.17</v>
      </c>
      <c r="J4063" s="50">
        <v>117.51</v>
      </c>
      <c r="K4063" t="s">
        <v>1618</v>
      </c>
      <c r="L4063" t="s">
        <v>4105</v>
      </c>
      <c r="M4063" t="s">
        <v>1621</v>
      </c>
      <c r="N4063">
        <v>20.67</v>
      </c>
      <c r="O4063" s="49">
        <v>45376</v>
      </c>
      <c r="P4063" s="50">
        <v>52.8795</v>
      </c>
    </row>
    <row r="4064" spans="4:16" x14ac:dyDescent="0.2">
      <c r="D4064">
        <v>100002414</v>
      </c>
      <c r="E4064" s="49">
        <v>45447</v>
      </c>
      <c r="F4064" t="s">
        <v>4106</v>
      </c>
      <c r="G4064" t="s">
        <v>2427</v>
      </c>
      <c r="H4064">
        <v>6</v>
      </c>
      <c r="I4064">
        <v>31.2</v>
      </c>
      <c r="J4064" s="50">
        <v>187.2</v>
      </c>
      <c r="K4064" t="s">
        <v>1618</v>
      </c>
      <c r="M4064" t="s">
        <v>1624</v>
      </c>
      <c r="N4064">
        <v>16.47</v>
      </c>
      <c r="O4064" s="49">
        <v>45452</v>
      </c>
      <c r="P4064" s="50">
        <v>84.24</v>
      </c>
    </row>
    <row r="4065" spans="4:16" x14ac:dyDescent="0.2">
      <c r="D4065">
        <v>100002414</v>
      </c>
      <c r="E4065" s="49">
        <v>44323</v>
      </c>
      <c r="F4065" t="s">
        <v>4106</v>
      </c>
      <c r="G4065" t="s">
        <v>2372</v>
      </c>
      <c r="H4065">
        <v>1</v>
      </c>
      <c r="I4065">
        <v>118.51</v>
      </c>
      <c r="J4065" s="50">
        <v>118.51</v>
      </c>
      <c r="K4065" t="s">
        <v>1618</v>
      </c>
      <c r="M4065" t="s">
        <v>1621</v>
      </c>
      <c r="N4065">
        <v>62.55</v>
      </c>
      <c r="O4065" s="49">
        <v>44326</v>
      </c>
      <c r="P4065" s="50">
        <v>53.329500000000003</v>
      </c>
    </row>
    <row r="4066" spans="4:16" x14ac:dyDescent="0.2">
      <c r="D4066">
        <v>100002415</v>
      </c>
      <c r="E4066" s="49">
        <v>45325</v>
      </c>
      <c r="F4066" t="s">
        <v>4107</v>
      </c>
      <c r="G4066" t="s">
        <v>2041</v>
      </c>
      <c r="H4066">
        <v>3</v>
      </c>
      <c r="I4066">
        <v>75.930000000000007</v>
      </c>
      <c r="J4066" s="50">
        <v>227.79</v>
      </c>
      <c r="K4066" t="s">
        <v>1618</v>
      </c>
      <c r="M4066" t="s">
        <v>1619</v>
      </c>
      <c r="N4066">
        <v>40.07</v>
      </c>
      <c r="O4066" s="49">
        <v>45330</v>
      </c>
      <c r="P4066" s="50">
        <v>102.5055</v>
      </c>
    </row>
    <row r="4067" spans="4:16" x14ac:dyDescent="0.2">
      <c r="D4067">
        <v>100002415</v>
      </c>
      <c r="E4067" s="49">
        <v>45487</v>
      </c>
      <c r="F4067" t="s">
        <v>4107</v>
      </c>
      <c r="G4067" t="s">
        <v>2198</v>
      </c>
      <c r="H4067">
        <v>9</v>
      </c>
      <c r="I4067">
        <v>76.930000000000007</v>
      </c>
      <c r="J4067" s="50">
        <v>692.37000000000012</v>
      </c>
      <c r="K4067" t="s">
        <v>1618</v>
      </c>
      <c r="M4067" t="s">
        <v>1624</v>
      </c>
      <c r="N4067">
        <v>40.6</v>
      </c>
      <c r="O4067" s="49">
        <v>45491</v>
      </c>
      <c r="P4067" s="50">
        <v>311.56650000000008</v>
      </c>
    </row>
    <row r="4068" spans="4:16" x14ac:dyDescent="0.2">
      <c r="D4068">
        <v>100002415</v>
      </c>
      <c r="E4068" s="49">
        <v>44400</v>
      </c>
      <c r="F4068" t="s">
        <v>4107</v>
      </c>
      <c r="G4068" t="s">
        <v>1819</v>
      </c>
      <c r="H4068">
        <v>6</v>
      </c>
      <c r="I4068">
        <v>65.319999999999993</v>
      </c>
      <c r="J4068" s="50">
        <v>391.92</v>
      </c>
      <c r="K4068" t="s">
        <v>1618</v>
      </c>
      <c r="M4068" t="s">
        <v>1621</v>
      </c>
      <c r="N4068">
        <v>34.47</v>
      </c>
      <c r="O4068" s="49">
        <v>44403</v>
      </c>
      <c r="P4068" s="50">
        <v>176.364</v>
      </c>
    </row>
    <row r="4069" spans="4:16" x14ac:dyDescent="0.2">
      <c r="D4069">
        <v>100002416</v>
      </c>
      <c r="E4069" s="49">
        <v>44352</v>
      </c>
      <c r="F4069" t="s">
        <v>4108</v>
      </c>
      <c r="G4069" t="s">
        <v>2028</v>
      </c>
      <c r="H4069">
        <v>9</v>
      </c>
      <c r="I4069">
        <v>50.74</v>
      </c>
      <c r="J4069" s="50">
        <v>456.66</v>
      </c>
      <c r="K4069" t="s">
        <v>1618</v>
      </c>
      <c r="L4069" t="s">
        <v>3429</v>
      </c>
      <c r="M4069" t="s">
        <v>1619</v>
      </c>
      <c r="N4069">
        <v>26.78</v>
      </c>
      <c r="O4069" s="49">
        <v>44357</v>
      </c>
      <c r="P4069" s="50">
        <v>205.49700000000001</v>
      </c>
    </row>
    <row r="4070" spans="4:16" x14ac:dyDescent="0.2">
      <c r="D4070">
        <v>100002416</v>
      </c>
      <c r="E4070" s="49">
        <v>44775</v>
      </c>
      <c r="F4070" t="s">
        <v>4108</v>
      </c>
      <c r="G4070" t="s">
        <v>1841</v>
      </c>
      <c r="H4070">
        <v>1</v>
      </c>
      <c r="I4070">
        <v>58.31</v>
      </c>
      <c r="J4070" s="50">
        <v>58.31</v>
      </c>
      <c r="K4070" t="s">
        <v>1618</v>
      </c>
      <c r="L4070" t="s">
        <v>3429</v>
      </c>
      <c r="M4070" t="s">
        <v>1621</v>
      </c>
      <c r="N4070">
        <v>30.77</v>
      </c>
      <c r="O4070" s="49">
        <v>44777</v>
      </c>
      <c r="P4070" s="50">
        <v>26.239500000000003</v>
      </c>
    </row>
    <row r="4071" spans="4:16" x14ac:dyDescent="0.2">
      <c r="D4071">
        <v>100002416</v>
      </c>
      <c r="E4071" s="49">
        <v>45175</v>
      </c>
      <c r="F4071" t="s">
        <v>4108</v>
      </c>
      <c r="G4071" t="s">
        <v>2613</v>
      </c>
      <c r="H4071">
        <v>8</v>
      </c>
      <c r="I4071">
        <v>86.32</v>
      </c>
      <c r="J4071" s="50">
        <v>690.56</v>
      </c>
      <c r="K4071" t="s">
        <v>1618</v>
      </c>
      <c r="L4071" t="s">
        <v>3429</v>
      </c>
      <c r="M4071" t="s">
        <v>1619</v>
      </c>
      <c r="N4071">
        <v>45.56</v>
      </c>
      <c r="O4071" s="49">
        <v>45177</v>
      </c>
      <c r="P4071" s="50">
        <v>310.75200000000001</v>
      </c>
    </row>
    <row r="4072" spans="4:16" x14ac:dyDescent="0.2">
      <c r="D4072">
        <v>100002417</v>
      </c>
      <c r="E4072" s="49">
        <v>44451</v>
      </c>
      <c r="F4072" t="s">
        <v>4109</v>
      </c>
      <c r="G4072" t="s">
        <v>2416</v>
      </c>
      <c r="H4072">
        <v>9</v>
      </c>
      <c r="I4072">
        <v>32.18</v>
      </c>
      <c r="J4072" s="50">
        <v>289.62</v>
      </c>
      <c r="K4072" t="s">
        <v>1618</v>
      </c>
      <c r="M4072" t="s">
        <v>1624</v>
      </c>
      <c r="N4072">
        <v>16.98</v>
      </c>
      <c r="O4072" s="49">
        <v>44456</v>
      </c>
      <c r="P4072" s="50">
        <v>130.32900000000001</v>
      </c>
    </row>
    <row r="4073" spans="4:16" x14ac:dyDescent="0.2">
      <c r="D4073">
        <v>100002417</v>
      </c>
      <c r="E4073" s="49">
        <v>44944</v>
      </c>
      <c r="F4073" t="s">
        <v>4109</v>
      </c>
      <c r="G4073" t="s">
        <v>1842</v>
      </c>
      <c r="H4073">
        <v>9</v>
      </c>
      <c r="I4073">
        <v>87.75</v>
      </c>
      <c r="J4073" s="50">
        <v>789.75</v>
      </c>
      <c r="K4073" t="s">
        <v>1618</v>
      </c>
      <c r="M4073" t="s">
        <v>1624</v>
      </c>
      <c r="N4073">
        <v>46.31</v>
      </c>
      <c r="O4073" s="49">
        <v>44948</v>
      </c>
      <c r="P4073" s="50">
        <v>355.38749999999999</v>
      </c>
    </row>
    <row r="4074" spans="4:16" x14ac:dyDescent="0.2">
      <c r="D4074">
        <v>100002417</v>
      </c>
      <c r="E4074" s="49">
        <v>44910</v>
      </c>
      <c r="F4074" t="s">
        <v>4109</v>
      </c>
      <c r="G4074" t="s">
        <v>1937</v>
      </c>
      <c r="H4074">
        <v>8</v>
      </c>
      <c r="I4074">
        <v>61.62</v>
      </c>
      <c r="J4074" s="50">
        <v>492.96</v>
      </c>
      <c r="K4074" t="s">
        <v>1618</v>
      </c>
      <c r="M4074" t="s">
        <v>1621</v>
      </c>
      <c r="N4074">
        <v>32.520000000000003</v>
      </c>
      <c r="O4074" s="49">
        <v>44912</v>
      </c>
      <c r="P4074" s="50">
        <v>221.83199999999999</v>
      </c>
    </row>
    <row r="4075" spans="4:16" x14ac:dyDescent="0.2">
      <c r="D4075">
        <v>100002417</v>
      </c>
      <c r="E4075" s="49">
        <v>44838</v>
      </c>
      <c r="F4075" t="s">
        <v>4109</v>
      </c>
      <c r="G4075" t="s">
        <v>2074</v>
      </c>
      <c r="H4075">
        <v>5</v>
      </c>
      <c r="I4075">
        <v>65.930000000000007</v>
      </c>
      <c r="J4075" s="50">
        <v>329.65</v>
      </c>
      <c r="K4075" t="s">
        <v>1618</v>
      </c>
      <c r="M4075" t="s">
        <v>1629</v>
      </c>
      <c r="N4075">
        <v>34.799999999999997</v>
      </c>
      <c r="O4075" s="49">
        <v>44839</v>
      </c>
      <c r="P4075" s="50">
        <v>148.3425</v>
      </c>
    </row>
    <row r="4076" spans="4:16" x14ac:dyDescent="0.2">
      <c r="D4076">
        <v>100002418</v>
      </c>
      <c r="E4076" s="49">
        <v>44317</v>
      </c>
      <c r="F4076" t="s">
        <v>4110</v>
      </c>
      <c r="G4076" t="s">
        <v>2658</v>
      </c>
      <c r="H4076">
        <v>7</v>
      </c>
      <c r="I4076">
        <v>55.71</v>
      </c>
      <c r="J4076" s="50">
        <v>389.97</v>
      </c>
      <c r="K4076" t="s">
        <v>1618</v>
      </c>
      <c r="M4076" t="s">
        <v>1627</v>
      </c>
      <c r="N4076">
        <v>29.4</v>
      </c>
      <c r="O4076" s="49">
        <v>44318</v>
      </c>
      <c r="P4076" s="50">
        <v>175.48650000000001</v>
      </c>
    </row>
    <row r="4077" spans="4:16" x14ac:dyDescent="0.2">
      <c r="D4077">
        <v>100002419</v>
      </c>
      <c r="E4077" s="49">
        <v>44664</v>
      </c>
      <c r="F4077" t="s">
        <v>4111</v>
      </c>
      <c r="G4077" t="s">
        <v>2065</v>
      </c>
      <c r="H4077">
        <v>9</v>
      </c>
      <c r="I4077">
        <v>112.09</v>
      </c>
      <c r="J4077" s="50">
        <v>1008.81</v>
      </c>
      <c r="K4077" t="s">
        <v>1632</v>
      </c>
      <c r="M4077" t="s">
        <v>1629</v>
      </c>
      <c r="N4077">
        <v>59.16</v>
      </c>
      <c r="O4077" s="49">
        <v>44668</v>
      </c>
      <c r="P4077" s="50">
        <v>453.96449999999999</v>
      </c>
    </row>
    <row r="4078" spans="4:16" x14ac:dyDescent="0.2">
      <c r="D4078">
        <v>100002419</v>
      </c>
      <c r="E4078" s="49">
        <v>45345</v>
      </c>
      <c r="F4078" t="s">
        <v>4111</v>
      </c>
      <c r="G4078" t="s">
        <v>1707</v>
      </c>
      <c r="H4078">
        <v>5</v>
      </c>
      <c r="I4078">
        <v>28.78</v>
      </c>
      <c r="J4078" s="50">
        <v>143.9</v>
      </c>
      <c r="K4078" t="s">
        <v>1632</v>
      </c>
      <c r="M4078" t="s">
        <v>1629</v>
      </c>
      <c r="N4078">
        <v>15.19</v>
      </c>
      <c r="O4078" s="49">
        <v>45348</v>
      </c>
      <c r="P4078" s="50">
        <v>64.75500000000001</v>
      </c>
    </row>
    <row r="4079" spans="4:16" x14ac:dyDescent="0.2">
      <c r="D4079">
        <v>100002419</v>
      </c>
      <c r="E4079" s="49">
        <v>44733</v>
      </c>
      <c r="F4079" t="s">
        <v>4111</v>
      </c>
      <c r="G4079" t="s">
        <v>2581</v>
      </c>
      <c r="H4079">
        <v>9</v>
      </c>
      <c r="I4079">
        <v>37.630000000000003</v>
      </c>
      <c r="J4079" s="50">
        <v>338.67</v>
      </c>
      <c r="K4079" t="s">
        <v>1632</v>
      </c>
      <c r="M4079" t="s">
        <v>1627</v>
      </c>
      <c r="N4079">
        <v>19.86</v>
      </c>
      <c r="O4079" s="49">
        <v>44737</v>
      </c>
      <c r="P4079" s="50">
        <v>152.4015</v>
      </c>
    </row>
    <row r="4080" spans="4:16" x14ac:dyDescent="0.2">
      <c r="D4080">
        <v>100002419</v>
      </c>
      <c r="E4080" s="49">
        <v>45421</v>
      </c>
      <c r="F4080" t="s">
        <v>4111</v>
      </c>
      <c r="G4080" t="s">
        <v>2337</v>
      </c>
      <c r="H4080">
        <v>1</v>
      </c>
      <c r="I4080">
        <v>92.5</v>
      </c>
      <c r="J4080" s="50">
        <v>92.5</v>
      </c>
      <c r="K4080" t="s">
        <v>1632</v>
      </c>
      <c r="M4080" t="s">
        <v>1627</v>
      </c>
      <c r="N4080">
        <v>48.82</v>
      </c>
      <c r="O4080" s="49">
        <v>45425</v>
      </c>
      <c r="P4080" s="50">
        <v>41.625</v>
      </c>
    </row>
    <row r="4081" spans="4:16" x14ac:dyDescent="0.2">
      <c r="D4081">
        <v>100002420</v>
      </c>
      <c r="E4081" s="49">
        <v>44864</v>
      </c>
      <c r="F4081" t="s">
        <v>4112</v>
      </c>
      <c r="G4081" t="s">
        <v>1748</v>
      </c>
      <c r="H4081">
        <v>2</v>
      </c>
      <c r="I4081">
        <v>52.02</v>
      </c>
      <c r="J4081" s="50">
        <v>104.04</v>
      </c>
      <c r="K4081" t="s">
        <v>1632</v>
      </c>
      <c r="M4081" t="s">
        <v>1619</v>
      </c>
      <c r="N4081">
        <v>27.45</v>
      </c>
      <c r="O4081" s="49">
        <v>44866</v>
      </c>
      <c r="P4081" s="50">
        <v>46.818000000000005</v>
      </c>
    </row>
    <row r="4082" spans="4:16" x14ac:dyDescent="0.2">
      <c r="D4082">
        <v>100002421</v>
      </c>
      <c r="E4082" s="49">
        <v>44919</v>
      </c>
      <c r="F4082" t="s">
        <v>4113</v>
      </c>
      <c r="G4082" t="s">
        <v>1982</v>
      </c>
      <c r="H4082">
        <v>6</v>
      </c>
      <c r="I4082">
        <v>75.38</v>
      </c>
      <c r="J4082" s="50">
        <v>452.28</v>
      </c>
      <c r="K4082" t="s">
        <v>1632</v>
      </c>
      <c r="M4082" t="s">
        <v>1627</v>
      </c>
      <c r="N4082">
        <v>39.78</v>
      </c>
      <c r="O4082" s="49">
        <v>44922</v>
      </c>
      <c r="P4082" s="50">
        <v>203.52599999999998</v>
      </c>
    </row>
    <row r="4083" spans="4:16" x14ac:dyDescent="0.2">
      <c r="D4083">
        <v>100002421</v>
      </c>
      <c r="E4083" s="49">
        <v>44602</v>
      </c>
      <c r="F4083" t="s">
        <v>4113</v>
      </c>
      <c r="G4083" t="s">
        <v>2337</v>
      </c>
      <c r="H4083">
        <v>1</v>
      </c>
      <c r="I4083">
        <v>103.01</v>
      </c>
      <c r="J4083" s="50">
        <v>103.01</v>
      </c>
      <c r="K4083" t="s">
        <v>1632</v>
      </c>
      <c r="M4083" t="s">
        <v>1629</v>
      </c>
      <c r="N4083">
        <v>54.37</v>
      </c>
      <c r="O4083" s="49">
        <v>44605</v>
      </c>
      <c r="P4083" s="50">
        <v>46.354500000000002</v>
      </c>
    </row>
    <row r="4084" spans="4:16" x14ac:dyDescent="0.2">
      <c r="D4084">
        <v>100002423</v>
      </c>
      <c r="E4084" s="49">
        <v>44849</v>
      </c>
      <c r="F4084" t="s">
        <v>4114</v>
      </c>
      <c r="G4084" t="s">
        <v>2159</v>
      </c>
      <c r="H4084">
        <v>7</v>
      </c>
      <c r="I4084">
        <v>90.77</v>
      </c>
      <c r="J4084" s="50">
        <v>635.39</v>
      </c>
      <c r="K4084" t="s">
        <v>1618</v>
      </c>
      <c r="L4084" t="s">
        <v>4115</v>
      </c>
      <c r="M4084" t="s">
        <v>1619</v>
      </c>
      <c r="N4084">
        <v>47.91</v>
      </c>
      <c r="O4084" s="49">
        <v>44854</v>
      </c>
      <c r="P4084" s="50">
        <v>285.9255</v>
      </c>
    </row>
    <row r="4085" spans="4:16" x14ac:dyDescent="0.2">
      <c r="D4085">
        <v>100002424</v>
      </c>
      <c r="E4085" s="49">
        <v>45595</v>
      </c>
      <c r="F4085" t="s">
        <v>4116</v>
      </c>
      <c r="G4085" t="s">
        <v>1950</v>
      </c>
      <c r="H4085">
        <v>1</v>
      </c>
      <c r="I4085">
        <v>59.5</v>
      </c>
      <c r="J4085" s="50">
        <v>59.5</v>
      </c>
      <c r="K4085" t="s">
        <v>1632</v>
      </c>
      <c r="L4085" t="s">
        <v>2399</v>
      </c>
      <c r="M4085" t="s">
        <v>1629</v>
      </c>
      <c r="N4085">
        <v>31.4</v>
      </c>
      <c r="O4085" s="49">
        <v>45600</v>
      </c>
      <c r="P4085" s="50">
        <v>26.775000000000002</v>
      </c>
    </row>
    <row r="4086" spans="4:16" x14ac:dyDescent="0.2">
      <c r="D4086">
        <v>100002425</v>
      </c>
      <c r="E4086" s="49">
        <v>44823</v>
      </c>
      <c r="F4086" t="s">
        <v>4117</v>
      </c>
      <c r="G4086" t="s">
        <v>1742</v>
      </c>
      <c r="H4086">
        <v>10</v>
      </c>
      <c r="I4086">
        <v>94.37</v>
      </c>
      <c r="J4086" s="50">
        <v>943.7</v>
      </c>
      <c r="K4086" t="s">
        <v>1632</v>
      </c>
      <c r="M4086" t="s">
        <v>1624</v>
      </c>
      <c r="N4086">
        <v>49.81</v>
      </c>
      <c r="O4086" s="49">
        <v>44828</v>
      </c>
      <c r="P4086" s="50">
        <v>424.66500000000002</v>
      </c>
    </row>
    <row r="4087" spans="4:16" x14ac:dyDescent="0.2">
      <c r="D4087">
        <v>100002427</v>
      </c>
      <c r="E4087" s="49">
        <v>45070</v>
      </c>
      <c r="F4087" t="s">
        <v>4118</v>
      </c>
      <c r="G4087" t="s">
        <v>2390</v>
      </c>
      <c r="H4087">
        <v>10</v>
      </c>
      <c r="I4087">
        <v>55.24</v>
      </c>
      <c r="J4087" s="50">
        <v>552.4</v>
      </c>
      <c r="K4087" t="s">
        <v>1618</v>
      </c>
      <c r="L4087" t="s">
        <v>4119</v>
      </c>
      <c r="M4087" t="s">
        <v>1629</v>
      </c>
      <c r="N4087">
        <v>29.15</v>
      </c>
      <c r="O4087" s="49">
        <v>45071</v>
      </c>
      <c r="P4087" s="50">
        <v>248.57999999999998</v>
      </c>
    </row>
    <row r="4088" spans="4:16" x14ac:dyDescent="0.2">
      <c r="D4088">
        <v>100002428</v>
      </c>
      <c r="E4088" s="49">
        <v>45569</v>
      </c>
      <c r="F4088" t="s">
        <v>4120</v>
      </c>
      <c r="G4088" t="s">
        <v>1762</v>
      </c>
      <c r="H4088">
        <v>6</v>
      </c>
      <c r="I4088">
        <v>55.18</v>
      </c>
      <c r="J4088" s="50">
        <v>331.08</v>
      </c>
      <c r="K4088" t="s">
        <v>1632</v>
      </c>
      <c r="M4088" t="s">
        <v>1627</v>
      </c>
      <c r="N4088">
        <v>29.12</v>
      </c>
      <c r="O4088" s="49">
        <v>45570</v>
      </c>
      <c r="P4088" s="50">
        <v>148.98599999999999</v>
      </c>
    </row>
    <row r="4089" spans="4:16" x14ac:dyDescent="0.2">
      <c r="D4089">
        <v>100002429</v>
      </c>
      <c r="E4089" s="49">
        <v>44383</v>
      </c>
      <c r="F4089" t="s">
        <v>4121</v>
      </c>
      <c r="G4089" t="s">
        <v>2191</v>
      </c>
      <c r="H4089">
        <v>4</v>
      </c>
      <c r="I4089">
        <v>79.8</v>
      </c>
      <c r="J4089" s="50">
        <v>319.2</v>
      </c>
      <c r="K4089" t="s">
        <v>1618</v>
      </c>
      <c r="M4089" t="s">
        <v>1629</v>
      </c>
      <c r="N4089">
        <v>42.12</v>
      </c>
      <c r="O4089" s="49">
        <v>44386</v>
      </c>
      <c r="P4089" s="50">
        <v>143.63999999999999</v>
      </c>
    </row>
    <row r="4090" spans="4:16" x14ac:dyDescent="0.2">
      <c r="D4090">
        <v>100002430</v>
      </c>
      <c r="E4090" s="49">
        <v>44390</v>
      </c>
      <c r="F4090" t="s">
        <v>4122</v>
      </c>
      <c r="G4090" t="s">
        <v>1702</v>
      </c>
      <c r="H4090">
        <v>10</v>
      </c>
      <c r="I4090">
        <v>29.86</v>
      </c>
      <c r="J4090" s="50">
        <v>298.60000000000002</v>
      </c>
      <c r="K4090" t="s">
        <v>1618</v>
      </c>
      <c r="M4090" t="s">
        <v>1619</v>
      </c>
      <c r="N4090">
        <v>15.76</v>
      </c>
      <c r="O4090" s="49">
        <v>44393</v>
      </c>
      <c r="P4090" s="50">
        <v>134.37</v>
      </c>
    </row>
    <row r="4091" spans="4:16" x14ac:dyDescent="0.2">
      <c r="D4091">
        <v>100002432</v>
      </c>
      <c r="E4091" s="49">
        <v>44398</v>
      </c>
      <c r="F4091" t="s">
        <v>4123</v>
      </c>
      <c r="G4091" t="s">
        <v>2023</v>
      </c>
      <c r="H4091">
        <v>8</v>
      </c>
      <c r="I4091">
        <v>60.37</v>
      </c>
      <c r="J4091" s="50">
        <v>482.96</v>
      </c>
      <c r="K4091" t="s">
        <v>1618</v>
      </c>
      <c r="M4091" t="s">
        <v>1621</v>
      </c>
      <c r="N4091">
        <v>31.86</v>
      </c>
      <c r="O4091" s="49">
        <v>44401</v>
      </c>
      <c r="P4091" s="50">
        <v>217.33199999999999</v>
      </c>
    </row>
    <row r="4092" spans="4:16" x14ac:dyDescent="0.2">
      <c r="D4092">
        <v>100002432</v>
      </c>
      <c r="E4092" s="49">
        <v>44854</v>
      </c>
      <c r="F4092" t="s">
        <v>4123</v>
      </c>
      <c r="G4092" t="s">
        <v>1648</v>
      </c>
      <c r="H4092">
        <v>6</v>
      </c>
      <c r="I4092">
        <v>92.37</v>
      </c>
      <c r="J4092" s="50">
        <v>554.22</v>
      </c>
      <c r="K4092" t="s">
        <v>1618</v>
      </c>
      <c r="M4092" t="s">
        <v>1624</v>
      </c>
      <c r="N4092">
        <v>48.75</v>
      </c>
      <c r="O4092" s="49">
        <v>44858</v>
      </c>
      <c r="P4092" s="50">
        <v>249.39900000000003</v>
      </c>
    </row>
    <row r="4093" spans="4:16" x14ac:dyDescent="0.2">
      <c r="D4093">
        <v>100002436</v>
      </c>
      <c r="E4093" s="49">
        <v>45363</v>
      </c>
      <c r="F4093" t="s">
        <v>4124</v>
      </c>
      <c r="G4093" t="s">
        <v>1709</v>
      </c>
      <c r="H4093">
        <v>1</v>
      </c>
      <c r="I4093">
        <v>44.29</v>
      </c>
      <c r="J4093" s="50">
        <v>44.29</v>
      </c>
      <c r="K4093" t="s">
        <v>1618</v>
      </c>
      <c r="M4093" t="s">
        <v>1619</v>
      </c>
      <c r="N4093">
        <v>23.38</v>
      </c>
      <c r="O4093" s="49">
        <v>45368</v>
      </c>
      <c r="P4093" s="50">
        <v>19.930499999999999</v>
      </c>
    </row>
    <row r="4094" spans="4:16" x14ac:dyDescent="0.2">
      <c r="D4094">
        <v>100002437</v>
      </c>
      <c r="E4094" s="49">
        <v>44884</v>
      </c>
      <c r="F4094" t="s">
        <v>4125</v>
      </c>
      <c r="G4094" t="s">
        <v>2306</v>
      </c>
      <c r="H4094">
        <v>6</v>
      </c>
      <c r="I4094">
        <v>118.4</v>
      </c>
      <c r="J4094" s="50">
        <v>710.40000000000009</v>
      </c>
      <c r="K4094" t="s">
        <v>1618</v>
      </c>
      <c r="M4094" t="s">
        <v>1624</v>
      </c>
      <c r="N4094">
        <v>62.49</v>
      </c>
      <c r="O4094" s="49">
        <v>44887</v>
      </c>
      <c r="P4094" s="50">
        <v>319.68000000000006</v>
      </c>
    </row>
    <row r="4095" spans="4:16" x14ac:dyDescent="0.2">
      <c r="D4095">
        <v>100002437</v>
      </c>
      <c r="E4095" s="49">
        <v>44860</v>
      </c>
      <c r="F4095" t="s">
        <v>4125</v>
      </c>
      <c r="G4095" t="s">
        <v>1721</v>
      </c>
      <c r="H4095">
        <v>7</v>
      </c>
      <c r="I4095">
        <v>14.73</v>
      </c>
      <c r="J4095" s="50">
        <v>103.11</v>
      </c>
      <c r="K4095" t="s">
        <v>1618</v>
      </c>
      <c r="M4095" t="s">
        <v>1621</v>
      </c>
      <c r="N4095">
        <v>7.77</v>
      </c>
      <c r="O4095" s="49">
        <v>44864</v>
      </c>
      <c r="P4095" s="50">
        <v>46.399500000000003</v>
      </c>
    </row>
    <row r="4096" spans="4:16" x14ac:dyDescent="0.2">
      <c r="D4096">
        <v>100002437</v>
      </c>
      <c r="E4096" s="49">
        <v>44203</v>
      </c>
      <c r="F4096" t="s">
        <v>4125</v>
      </c>
      <c r="G4096" t="s">
        <v>1695</v>
      </c>
      <c r="H4096">
        <v>9</v>
      </c>
      <c r="I4096">
        <v>65.180000000000007</v>
      </c>
      <c r="J4096" s="50">
        <v>586.62000000000012</v>
      </c>
      <c r="K4096" t="s">
        <v>1618</v>
      </c>
      <c r="M4096" t="s">
        <v>1624</v>
      </c>
      <c r="N4096">
        <v>34.4</v>
      </c>
      <c r="O4096" s="49">
        <v>44206</v>
      </c>
      <c r="P4096" s="50">
        <v>263.97900000000004</v>
      </c>
    </row>
    <row r="4097" spans="4:16" x14ac:dyDescent="0.2">
      <c r="D4097">
        <v>100002437</v>
      </c>
      <c r="E4097" s="49">
        <v>45214</v>
      </c>
      <c r="F4097" t="s">
        <v>4125</v>
      </c>
      <c r="G4097" t="s">
        <v>1910</v>
      </c>
      <c r="H4097">
        <v>6</v>
      </c>
      <c r="I4097">
        <v>89.56</v>
      </c>
      <c r="J4097" s="50">
        <v>537.36</v>
      </c>
      <c r="K4097" t="s">
        <v>1618</v>
      </c>
      <c r="M4097" t="s">
        <v>1627</v>
      </c>
      <c r="N4097">
        <v>47.27</v>
      </c>
      <c r="O4097" s="49">
        <v>45217</v>
      </c>
      <c r="P4097" s="50">
        <v>241.81200000000001</v>
      </c>
    </row>
    <row r="4098" spans="4:16" x14ac:dyDescent="0.2">
      <c r="D4098">
        <v>100002438</v>
      </c>
      <c r="E4098" s="49">
        <v>45014</v>
      </c>
      <c r="F4098" t="s">
        <v>4126</v>
      </c>
      <c r="G4098" t="s">
        <v>1799</v>
      </c>
      <c r="H4098">
        <v>6</v>
      </c>
      <c r="I4098">
        <v>40.380000000000003</v>
      </c>
      <c r="J4098" s="50">
        <v>242.28</v>
      </c>
      <c r="K4098" t="s">
        <v>1618</v>
      </c>
      <c r="L4098" t="s">
        <v>4127</v>
      </c>
      <c r="M4098" t="s">
        <v>1624</v>
      </c>
      <c r="N4098">
        <v>21.31</v>
      </c>
      <c r="O4098" s="49">
        <v>45015</v>
      </c>
      <c r="P4098" s="50">
        <v>109.026</v>
      </c>
    </row>
    <row r="4099" spans="4:16" x14ac:dyDescent="0.2">
      <c r="D4099">
        <v>100002439</v>
      </c>
      <c r="E4099" s="49">
        <v>44391</v>
      </c>
      <c r="F4099" t="s">
        <v>4128</v>
      </c>
      <c r="G4099" t="s">
        <v>2337</v>
      </c>
      <c r="H4099">
        <v>5</v>
      </c>
      <c r="I4099">
        <v>106.86</v>
      </c>
      <c r="J4099" s="50">
        <v>534.29999999999995</v>
      </c>
      <c r="K4099" t="s">
        <v>1632</v>
      </c>
      <c r="L4099" t="s">
        <v>4129</v>
      </c>
      <c r="M4099" t="s">
        <v>1627</v>
      </c>
      <c r="N4099">
        <v>56.4</v>
      </c>
      <c r="O4099" s="49">
        <v>44396</v>
      </c>
      <c r="P4099" s="50">
        <v>240.43499999999997</v>
      </c>
    </row>
    <row r="4100" spans="4:16" x14ac:dyDescent="0.2">
      <c r="D4100">
        <v>100002439</v>
      </c>
      <c r="E4100" s="49">
        <v>44523</v>
      </c>
      <c r="F4100" t="s">
        <v>4128</v>
      </c>
      <c r="G4100" t="s">
        <v>1617</v>
      </c>
      <c r="H4100">
        <v>3</v>
      </c>
      <c r="I4100">
        <v>45</v>
      </c>
      <c r="J4100" s="50">
        <v>135</v>
      </c>
      <c r="K4100" t="s">
        <v>1632</v>
      </c>
      <c r="L4100" t="s">
        <v>4129</v>
      </c>
      <c r="M4100" t="s">
        <v>1627</v>
      </c>
      <c r="N4100">
        <v>23.75</v>
      </c>
      <c r="O4100" s="49">
        <v>44525</v>
      </c>
      <c r="P4100" s="50">
        <v>60.75</v>
      </c>
    </row>
    <row r="4101" spans="4:16" x14ac:dyDescent="0.2">
      <c r="D4101">
        <v>100002439</v>
      </c>
      <c r="E4101" s="49">
        <v>44333</v>
      </c>
      <c r="F4101" t="s">
        <v>4128</v>
      </c>
      <c r="G4101" t="s">
        <v>1647</v>
      </c>
      <c r="H4101">
        <v>3</v>
      </c>
      <c r="I4101">
        <v>17.71</v>
      </c>
      <c r="J4101" s="50">
        <v>53.13</v>
      </c>
      <c r="K4101" t="s">
        <v>1632</v>
      </c>
      <c r="L4101" t="s">
        <v>4129</v>
      </c>
      <c r="M4101" t="s">
        <v>1627</v>
      </c>
      <c r="N4101">
        <v>9.35</v>
      </c>
      <c r="O4101" s="49">
        <v>44338</v>
      </c>
      <c r="P4101" s="50">
        <v>23.9085</v>
      </c>
    </row>
    <row r="4102" spans="4:16" x14ac:dyDescent="0.2">
      <c r="D4102">
        <v>100002440</v>
      </c>
      <c r="E4102" s="49">
        <v>45303</v>
      </c>
      <c r="F4102" t="s">
        <v>4130</v>
      </c>
      <c r="G4102" t="s">
        <v>1785</v>
      </c>
      <c r="H4102">
        <v>5</v>
      </c>
      <c r="I4102">
        <v>49.38</v>
      </c>
      <c r="J4102" s="50">
        <v>246.9</v>
      </c>
      <c r="K4102" t="s">
        <v>1618</v>
      </c>
      <c r="M4102" t="s">
        <v>1627</v>
      </c>
      <c r="N4102">
        <v>26.06</v>
      </c>
      <c r="O4102" s="49">
        <v>45308</v>
      </c>
      <c r="P4102" s="50">
        <v>111.105</v>
      </c>
    </row>
    <row r="4103" spans="4:16" x14ac:dyDescent="0.2">
      <c r="D4103">
        <v>100002441</v>
      </c>
      <c r="E4103" s="49">
        <v>44994</v>
      </c>
      <c r="F4103" t="s">
        <v>4131</v>
      </c>
      <c r="G4103" t="s">
        <v>2698</v>
      </c>
      <c r="H4103">
        <v>2</v>
      </c>
      <c r="I4103">
        <v>119.31</v>
      </c>
      <c r="J4103" s="50">
        <v>238.62</v>
      </c>
      <c r="K4103" t="s">
        <v>1632</v>
      </c>
      <c r="M4103" t="s">
        <v>1629</v>
      </c>
      <c r="N4103">
        <v>62.97</v>
      </c>
      <c r="O4103" s="49">
        <v>44998</v>
      </c>
      <c r="P4103" s="50">
        <v>107.379</v>
      </c>
    </row>
    <row r="4104" spans="4:16" x14ac:dyDescent="0.2">
      <c r="D4104">
        <v>100002441</v>
      </c>
      <c r="E4104" s="49">
        <v>44370</v>
      </c>
      <c r="F4104" t="s">
        <v>4131</v>
      </c>
      <c r="G4104" t="s">
        <v>1754</v>
      </c>
      <c r="H4104">
        <v>10</v>
      </c>
      <c r="I4104">
        <v>45.13</v>
      </c>
      <c r="J4104" s="50">
        <v>451.3</v>
      </c>
      <c r="K4104" t="s">
        <v>1632</v>
      </c>
      <c r="M4104" t="s">
        <v>1624</v>
      </c>
      <c r="N4104">
        <v>23.82</v>
      </c>
      <c r="O4104" s="49">
        <v>44374</v>
      </c>
      <c r="P4104" s="50">
        <v>203.08500000000001</v>
      </c>
    </row>
    <row r="4105" spans="4:16" x14ac:dyDescent="0.2">
      <c r="D4105">
        <v>100002441</v>
      </c>
      <c r="E4105" s="49">
        <v>44287</v>
      </c>
      <c r="F4105" t="s">
        <v>4131</v>
      </c>
      <c r="G4105" t="s">
        <v>2182</v>
      </c>
      <c r="H4105">
        <v>4</v>
      </c>
      <c r="I4105">
        <v>85.33</v>
      </c>
      <c r="J4105" s="50">
        <v>341.32</v>
      </c>
      <c r="K4105" t="s">
        <v>1632</v>
      </c>
      <c r="M4105" t="s">
        <v>1619</v>
      </c>
      <c r="N4105">
        <v>45.03</v>
      </c>
      <c r="O4105" s="49">
        <v>44291</v>
      </c>
      <c r="P4105" s="50">
        <v>153.59399999999999</v>
      </c>
    </row>
    <row r="4106" spans="4:16" x14ac:dyDescent="0.2">
      <c r="D4106">
        <v>100002442</v>
      </c>
      <c r="E4106" s="49">
        <v>45254</v>
      </c>
      <c r="F4106" t="s">
        <v>4132</v>
      </c>
      <c r="G4106" t="s">
        <v>1705</v>
      </c>
      <c r="H4106">
        <v>7</v>
      </c>
      <c r="I4106">
        <v>19.54</v>
      </c>
      <c r="J4106" s="50">
        <v>136.78</v>
      </c>
      <c r="K4106" t="s">
        <v>1618</v>
      </c>
      <c r="M4106" t="s">
        <v>1619</v>
      </c>
      <c r="N4106">
        <v>10.31</v>
      </c>
      <c r="O4106" s="49">
        <v>45259</v>
      </c>
      <c r="P4106" s="50">
        <v>61.551000000000002</v>
      </c>
    </row>
    <row r="4107" spans="4:16" x14ac:dyDescent="0.2">
      <c r="D4107">
        <v>100002444</v>
      </c>
      <c r="E4107" s="49">
        <v>45024</v>
      </c>
      <c r="F4107" t="s">
        <v>4133</v>
      </c>
      <c r="G4107" t="s">
        <v>1929</v>
      </c>
      <c r="H4107">
        <v>10</v>
      </c>
      <c r="I4107">
        <v>119.69</v>
      </c>
      <c r="J4107" s="50">
        <v>1196.9000000000001</v>
      </c>
      <c r="K4107" t="s">
        <v>1632</v>
      </c>
      <c r="L4107" t="s">
        <v>4134</v>
      </c>
      <c r="M4107" t="s">
        <v>1621</v>
      </c>
      <c r="N4107">
        <v>63.17</v>
      </c>
      <c r="O4107" s="49">
        <v>45028</v>
      </c>
      <c r="P4107" s="50">
        <v>538.60500000000002</v>
      </c>
    </row>
    <row r="4108" spans="4:16" x14ac:dyDescent="0.2">
      <c r="D4108">
        <v>100002445</v>
      </c>
      <c r="E4108" s="49">
        <v>44433</v>
      </c>
      <c r="F4108" t="s">
        <v>4135</v>
      </c>
      <c r="G4108" t="s">
        <v>2039</v>
      </c>
      <c r="H4108">
        <v>6</v>
      </c>
      <c r="I4108">
        <v>75.180000000000007</v>
      </c>
      <c r="J4108" s="50">
        <v>451.08</v>
      </c>
      <c r="K4108" t="s">
        <v>1632</v>
      </c>
      <c r="L4108" t="s">
        <v>4136</v>
      </c>
      <c r="M4108" t="s">
        <v>1621</v>
      </c>
      <c r="N4108">
        <v>39.68</v>
      </c>
      <c r="O4108" s="49">
        <v>44438</v>
      </c>
      <c r="P4108" s="50">
        <v>202.98599999999999</v>
      </c>
    </row>
    <row r="4109" spans="4:16" x14ac:dyDescent="0.2">
      <c r="D4109">
        <v>100002446</v>
      </c>
      <c r="E4109" s="49">
        <v>44910</v>
      </c>
      <c r="F4109" t="s">
        <v>4137</v>
      </c>
      <c r="G4109" t="s">
        <v>2372</v>
      </c>
      <c r="H4109">
        <v>8</v>
      </c>
      <c r="I4109">
        <v>17.43</v>
      </c>
      <c r="J4109" s="50">
        <v>139.44</v>
      </c>
      <c r="K4109" t="s">
        <v>1618</v>
      </c>
      <c r="M4109" t="s">
        <v>1619</v>
      </c>
      <c r="N4109">
        <v>9.1999999999999993</v>
      </c>
      <c r="O4109" s="49">
        <v>44913</v>
      </c>
      <c r="P4109" s="50">
        <v>62.747999999999998</v>
      </c>
    </row>
    <row r="4110" spans="4:16" x14ac:dyDescent="0.2">
      <c r="D4110">
        <v>100002446</v>
      </c>
      <c r="E4110" s="49">
        <v>45206</v>
      </c>
      <c r="F4110" t="s">
        <v>4137</v>
      </c>
      <c r="G4110" t="s">
        <v>1664</v>
      </c>
      <c r="H4110">
        <v>4</v>
      </c>
      <c r="I4110">
        <v>58.13</v>
      </c>
      <c r="J4110" s="50">
        <v>232.52</v>
      </c>
      <c r="K4110" t="s">
        <v>1618</v>
      </c>
      <c r="M4110" t="s">
        <v>1619</v>
      </c>
      <c r="N4110">
        <v>30.68</v>
      </c>
      <c r="O4110" s="49">
        <v>45210</v>
      </c>
      <c r="P4110" s="50">
        <v>104.634</v>
      </c>
    </row>
    <row r="4111" spans="4:16" x14ac:dyDescent="0.2">
      <c r="D4111">
        <v>100002446</v>
      </c>
      <c r="E4111" s="49">
        <v>45377</v>
      </c>
      <c r="F4111" t="s">
        <v>4137</v>
      </c>
      <c r="G4111" t="s">
        <v>2420</v>
      </c>
      <c r="H4111">
        <v>1</v>
      </c>
      <c r="I4111">
        <v>54.23</v>
      </c>
      <c r="J4111" s="50">
        <v>54.23</v>
      </c>
      <c r="K4111" t="s">
        <v>1618</v>
      </c>
      <c r="M4111" t="s">
        <v>1619</v>
      </c>
      <c r="N4111">
        <v>28.62</v>
      </c>
      <c r="O4111" s="49">
        <v>45382</v>
      </c>
      <c r="P4111" s="50">
        <v>24.403499999999998</v>
      </c>
    </row>
    <row r="4112" spans="4:16" x14ac:dyDescent="0.2">
      <c r="D4112">
        <v>100002446</v>
      </c>
      <c r="E4112" s="49">
        <v>44592</v>
      </c>
      <c r="F4112" t="s">
        <v>4137</v>
      </c>
      <c r="G4112" t="s">
        <v>1785</v>
      </c>
      <c r="H4112">
        <v>9</v>
      </c>
      <c r="I4112">
        <v>70.790000000000006</v>
      </c>
      <c r="J4112" s="50">
        <v>637.11</v>
      </c>
      <c r="K4112" t="s">
        <v>1618</v>
      </c>
      <c r="M4112" t="s">
        <v>1624</v>
      </c>
      <c r="N4112">
        <v>37.36</v>
      </c>
      <c r="O4112" s="49">
        <v>44597</v>
      </c>
      <c r="P4112" s="50">
        <v>286.6995</v>
      </c>
    </row>
    <row r="4113" spans="4:16" x14ac:dyDescent="0.2">
      <c r="D4113">
        <v>100002446</v>
      </c>
      <c r="E4113" s="49">
        <v>45471</v>
      </c>
      <c r="F4113" t="s">
        <v>4137</v>
      </c>
      <c r="G4113" t="s">
        <v>1710</v>
      </c>
      <c r="H4113">
        <v>4</v>
      </c>
      <c r="I4113">
        <v>100.44</v>
      </c>
      <c r="J4113" s="50">
        <v>401.76</v>
      </c>
      <c r="K4113" t="s">
        <v>1618</v>
      </c>
      <c r="M4113" t="s">
        <v>1624</v>
      </c>
      <c r="N4113">
        <v>53.01</v>
      </c>
      <c r="O4113" s="49">
        <v>45474</v>
      </c>
      <c r="P4113" s="50">
        <v>180.792</v>
      </c>
    </row>
    <row r="4114" spans="4:16" x14ac:dyDescent="0.2">
      <c r="D4114">
        <v>100002448</v>
      </c>
      <c r="E4114" s="49">
        <v>44281</v>
      </c>
      <c r="F4114" t="s">
        <v>4138</v>
      </c>
      <c r="G4114" t="s">
        <v>1644</v>
      </c>
      <c r="H4114">
        <v>8</v>
      </c>
      <c r="I4114">
        <v>62.11</v>
      </c>
      <c r="J4114" s="50">
        <v>496.88</v>
      </c>
      <c r="K4114" t="s">
        <v>1618</v>
      </c>
      <c r="L4114" t="s">
        <v>4139</v>
      </c>
      <c r="M4114" t="s">
        <v>1619</v>
      </c>
      <c r="N4114">
        <v>32.78</v>
      </c>
      <c r="O4114" s="49">
        <v>44286</v>
      </c>
      <c r="P4114" s="50">
        <v>223.596</v>
      </c>
    </row>
    <row r="4115" spans="4:16" x14ac:dyDescent="0.2">
      <c r="D4115">
        <v>100002448</v>
      </c>
      <c r="E4115" s="49">
        <v>44256</v>
      </c>
      <c r="F4115" t="s">
        <v>4138</v>
      </c>
      <c r="G4115" t="s">
        <v>2098</v>
      </c>
      <c r="H4115">
        <v>1</v>
      </c>
      <c r="I4115">
        <v>67.150000000000006</v>
      </c>
      <c r="J4115" s="50">
        <v>67.150000000000006</v>
      </c>
      <c r="K4115" t="s">
        <v>1618</v>
      </c>
      <c r="L4115" t="s">
        <v>4139</v>
      </c>
      <c r="M4115" t="s">
        <v>1619</v>
      </c>
      <c r="N4115">
        <v>35.44</v>
      </c>
      <c r="O4115" s="49">
        <v>44258</v>
      </c>
      <c r="P4115" s="50">
        <v>30.217500000000005</v>
      </c>
    </row>
    <row r="4116" spans="4:16" x14ac:dyDescent="0.2">
      <c r="D4116">
        <v>100002449</v>
      </c>
      <c r="E4116" s="49">
        <v>45075</v>
      </c>
      <c r="F4116" t="s">
        <v>4140</v>
      </c>
      <c r="G4116" t="s">
        <v>2762</v>
      </c>
      <c r="H4116">
        <v>2</v>
      </c>
      <c r="I4116">
        <v>79.42</v>
      </c>
      <c r="J4116" s="50">
        <v>158.84</v>
      </c>
      <c r="K4116" t="s">
        <v>1632</v>
      </c>
      <c r="L4116" t="s">
        <v>4141</v>
      </c>
      <c r="M4116" t="s">
        <v>1619</v>
      </c>
      <c r="N4116">
        <v>41.92</v>
      </c>
      <c r="O4116" s="49">
        <v>45076</v>
      </c>
      <c r="P4116" s="50">
        <v>71.478000000000009</v>
      </c>
    </row>
    <row r="4117" spans="4:16" x14ac:dyDescent="0.2">
      <c r="D4117">
        <v>100002449</v>
      </c>
      <c r="E4117" s="49">
        <v>45139</v>
      </c>
      <c r="F4117" t="s">
        <v>4140</v>
      </c>
      <c r="G4117" t="s">
        <v>1617</v>
      </c>
      <c r="H4117">
        <v>10</v>
      </c>
      <c r="I4117">
        <v>53.48</v>
      </c>
      <c r="J4117" s="50">
        <v>534.79999999999995</v>
      </c>
      <c r="K4117" t="s">
        <v>1632</v>
      </c>
      <c r="L4117" t="s">
        <v>4141</v>
      </c>
      <c r="M4117" t="s">
        <v>1624</v>
      </c>
      <c r="N4117">
        <v>28.23</v>
      </c>
      <c r="O4117" s="49">
        <v>45144</v>
      </c>
      <c r="P4117" s="50">
        <v>240.66</v>
      </c>
    </row>
    <row r="4118" spans="4:16" x14ac:dyDescent="0.2">
      <c r="D4118">
        <v>100002449</v>
      </c>
      <c r="E4118" s="49">
        <v>45523</v>
      </c>
      <c r="F4118" t="s">
        <v>4140</v>
      </c>
      <c r="G4118" t="s">
        <v>1726</v>
      </c>
      <c r="H4118">
        <v>6</v>
      </c>
      <c r="I4118">
        <v>34.33</v>
      </c>
      <c r="J4118" s="50">
        <v>205.98</v>
      </c>
      <c r="K4118" t="s">
        <v>1632</v>
      </c>
      <c r="L4118" t="s">
        <v>4141</v>
      </c>
      <c r="M4118" t="s">
        <v>1629</v>
      </c>
      <c r="N4118">
        <v>18.12</v>
      </c>
      <c r="O4118" s="49">
        <v>45527</v>
      </c>
      <c r="P4118" s="50">
        <v>92.691000000000003</v>
      </c>
    </row>
    <row r="4119" spans="4:16" x14ac:dyDescent="0.2">
      <c r="D4119">
        <v>100002449</v>
      </c>
      <c r="E4119" s="49">
        <v>44773</v>
      </c>
      <c r="F4119" t="s">
        <v>4140</v>
      </c>
      <c r="G4119" t="s">
        <v>2447</v>
      </c>
      <c r="H4119">
        <v>4</v>
      </c>
      <c r="I4119">
        <v>51.59</v>
      </c>
      <c r="J4119" s="50">
        <v>206.36</v>
      </c>
      <c r="K4119" t="s">
        <v>1632</v>
      </c>
      <c r="L4119" t="s">
        <v>4141</v>
      </c>
      <c r="M4119" t="s">
        <v>1621</v>
      </c>
      <c r="N4119">
        <v>27.23</v>
      </c>
      <c r="O4119" s="49">
        <v>44777</v>
      </c>
      <c r="P4119" s="50">
        <v>92.862000000000009</v>
      </c>
    </row>
    <row r="4120" spans="4:16" x14ac:dyDescent="0.2">
      <c r="D4120">
        <v>100002449</v>
      </c>
      <c r="E4120" s="49">
        <v>45278</v>
      </c>
      <c r="F4120" t="s">
        <v>4140</v>
      </c>
      <c r="G4120" t="s">
        <v>1718</v>
      </c>
      <c r="H4120">
        <v>10</v>
      </c>
      <c r="I4120">
        <v>93.24</v>
      </c>
      <c r="J4120" s="50">
        <v>932.4</v>
      </c>
      <c r="K4120" t="s">
        <v>1632</v>
      </c>
      <c r="L4120" t="s">
        <v>4141</v>
      </c>
      <c r="M4120" t="s">
        <v>1624</v>
      </c>
      <c r="N4120">
        <v>49.21</v>
      </c>
      <c r="O4120" s="49">
        <v>45283</v>
      </c>
      <c r="P4120" s="50">
        <v>419.58</v>
      </c>
    </row>
    <row r="4121" spans="4:16" x14ac:dyDescent="0.2">
      <c r="D4121">
        <v>100002450</v>
      </c>
      <c r="E4121" s="49">
        <v>44624</v>
      </c>
      <c r="F4121" t="s">
        <v>4142</v>
      </c>
      <c r="G4121" t="s">
        <v>1695</v>
      </c>
      <c r="H4121">
        <v>9</v>
      </c>
      <c r="I4121">
        <v>10.4</v>
      </c>
      <c r="J4121" s="50">
        <v>93.600000000000009</v>
      </c>
      <c r="K4121" t="s">
        <v>1618</v>
      </c>
      <c r="M4121" t="s">
        <v>1621</v>
      </c>
      <c r="N4121">
        <v>5.49</v>
      </c>
      <c r="O4121" s="49">
        <v>44626</v>
      </c>
      <c r="P4121" s="50">
        <v>42.120000000000005</v>
      </c>
    </row>
    <row r="4122" spans="4:16" x14ac:dyDescent="0.2">
      <c r="D4122">
        <v>100002452</v>
      </c>
      <c r="E4122" s="49">
        <v>44351</v>
      </c>
      <c r="F4122" t="s">
        <v>2044</v>
      </c>
      <c r="G4122" t="s">
        <v>1651</v>
      </c>
      <c r="H4122">
        <v>4</v>
      </c>
      <c r="I4122">
        <v>11.43</v>
      </c>
      <c r="J4122" s="50">
        <v>45.72</v>
      </c>
      <c r="K4122" t="s">
        <v>1618</v>
      </c>
      <c r="M4122" t="s">
        <v>1621</v>
      </c>
      <c r="N4122">
        <v>6.03</v>
      </c>
      <c r="O4122" s="49">
        <v>44354</v>
      </c>
      <c r="P4122" s="50">
        <v>20.574000000000002</v>
      </c>
    </row>
    <row r="4123" spans="4:16" x14ac:dyDescent="0.2">
      <c r="D4123">
        <v>100002453</v>
      </c>
      <c r="E4123" s="49">
        <v>44454</v>
      </c>
      <c r="F4123" t="s">
        <v>4143</v>
      </c>
      <c r="G4123" t="s">
        <v>1971</v>
      </c>
      <c r="H4123">
        <v>3</v>
      </c>
      <c r="I4123">
        <v>87.07</v>
      </c>
      <c r="J4123" s="50">
        <v>261.20999999999998</v>
      </c>
      <c r="K4123" t="s">
        <v>1618</v>
      </c>
      <c r="M4123" t="s">
        <v>1624</v>
      </c>
      <c r="N4123">
        <v>45.95</v>
      </c>
      <c r="O4123" s="49">
        <v>44458</v>
      </c>
      <c r="P4123" s="50">
        <v>117.5445</v>
      </c>
    </row>
    <row r="4124" spans="4:16" x14ac:dyDescent="0.2">
      <c r="D4124">
        <v>100002456</v>
      </c>
      <c r="E4124" s="49">
        <v>45611</v>
      </c>
      <c r="F4124" t="s">
        <v>4144</v>
      </c>
      <c r="G4124" t="s">
        <v>2633</v>
      </c>
      <c r="H4124">
        <v>5</v>
      </c>
      <c r="I4124">
        <v>40.75</v>
      </c>
      <c r="J4124" s="50">
        <v>203.75</v>
      </c>
      <c r="K4124" t="s">
        <v>1618</v>
      </c>
      <c r="M4124" t="s">
        <v>1621</v>
      </c>
      <c r="N4124">
        <v>21.51</v>
      </c>
      <c r="O4124" s="49">
        <v>45615</v>
      </c>
      <c r="P4124" s="50">
        <v>91.6875</v>
      </c>
    </row>
    <row r="4125" spans="4:16" x14ac:dyDescent="0.2">
      <c r="D4125">
        <v>100002456</v>
      </c>
      <c r="E4125" s="49">
        <v>44753</v>
      </c>
      <c r="F4125" t="s">
        <v>4144</v>
      </c>
      <c r="G4125" t="s">
        <v>2192</v>
      </c>
      <c r="H4125">
        <v>6</v>
      </c>
      <c r="I4125">
        <v>40.31</v>
      </c>
      <c r="J4125" s="50">
        <v>241.86</v>
      </c>
      <c r="K4125" t="s">
        <v>1618</v>
      </c>
      <c r="M4125" t="s">
        <v>1629</v>
      </c>
      <c r="N4125">
        <v>21.27</v>
      </c>
      <c r="O4125" s="49">
        <v>44758</v>
      </c>
      <c r="P4125" s="50">
        <v>108.837</v>
      </c>
    </row>
    <row r="4126" spans="4:16" x14ac:dyDescent="0.2">
      <c r="D4126">
        <v>100002457</v>
      </c>
      <c r="E4126" s="49">
        <v>44728</v>
      </c>
      <c r="F4126" t="s">
        <v>4145</v>
      </c>
      <c r="G4126" t="s">
        <v>2093</v>
      </c>
      <c r="H4126">
        <v>8</v>
      </c>
      <c r="I4126">
        <v>91.32</v>
      </c>
      <c r="J4126" s="50">
        <v>730.56</v>
      </c>
      <c r="K4126" t="s">
        <v>1632</v>
      </c>
      <c r="L4126" t="s">
        <v>2091</v>
      </c>
      <c r="M4126" t="s">
        <v>1627</v>
      </c>
      <c r="N4126">
        <v>48.2</v>
      </c>
      <c r="O4126" s="49">
        <v>44730</v>
      </c>
      <c r="P4126" s="50">
        <v>328.75200000000001</v>
      </c>
    </row>
    <row r="4127" spans="4:16" x14ac:dyDescent="0.2">
      <c r="D4127">
        <v>100002458</v>
      </c>
      <c r="E4127" s="49">
        <v>45562</v>
      </c>
      <c r="F4127" t="s">
        <v>4146</v>
      </c>
      <c r="G4127" t="s">
        <v>2076</v>
      </c>
      <c r="H4127">
        <v>6</v>
      </c>
      <c r="I4127">
        <v>99.1</v>
      </c>
      <c r="J4127" s="50">
        <v>594.59999999999991</v>
      </c>
      <c r="K4127" t="s">
        <v>1618</v>
      </c>
      <c r="L4127" t="s">
        <v>4147</v>
      </c>
      <c r="M4127" t="s">
        <v>1621</v>
      </c>
      <c r="N4127">
        <v>52.3</v>
      </c>
      <c r="O4127" s="49">
        <v>45563</v>
      </c>
      <c r="P4127" s="50">
        <v>267.57</v>
      </c>
    </row>
    <row r="4128" spans="4:16" x14ac:dyDescent="0.2">
      <c r="D4128">
        <v>100002459</v>
      </c>
      <c r="E4128" s="49">
        <v>45331</v>
      </c>
      <c r="F4128" t="s">
        <v>4148</v>
      </c>
      <c r="G4128" t="s">
        <v>1709</v>
      </c>
      <c r="H4128">
        <v>5</v>
      </c>
      <c r="I4128">
        <v>34.31</v>
      </c>
      <c r="J4128" s="50">
        <v>171.55</v>
      </c>
      <c r="K4128" t="s">
        <v>1632</v>
      </c>
      <c r="M4128" t="s">
        <v>1621</v>
      </c>
      <c r="N4128">
        <v>18.11</v>
      </c>
      <c r="O4128" s="49">
        <v>45332</v>
      </c>
      <c r="P4128" s="50">
        <v>77.197500000000005</v>
      </c>
    </row>
    <row r="4129" spans="4:16" x14ac:dyDescent="0.2">
      <c r="D4129">
        <v>100002459</v>
      </c>
      <c r="E4129" s="49">
        <v>44831</v>
      </c>
      <c r="F4129" t="s">
        <v>4148</v>
      </c>
      <c r="G4129" t="s">
        <v>2301</v>
      </c>
      <c r="H4129">
        <v>2</v>
      </c>
      <c r="I4129">
        <v>53.04</v>
      </c>
      <c r="J4129" s="50">
        <v>106.08</v>
      </c>
      <c r="K4129" t="s">
        <v>1632</v>
      </c>
      <c r="M4129" t="s">
        <v>1619</v>
      </c>
      <c r="N4129">
        <v>27.99</v>
      </c>
      <c r="O4129" s="49">
        <v>44833</v>
      </c>
      <c r="P4129" s="50">
        <v>47.735999999999997</v>
      </c>
    </row>
    <row r="4130" spans="4:16" x14ac:dyDescent="0.2">
      <c r="D4130">
        <v>100002459</v>
      </c>
      <c r="E4130" s="49">
        <v>45114</v>
      </c>
      <c r="F4130" t="s">
        <v>4148</v>
      </c>
      <c r="G4130" t="s">
        <v>1710</v>
      </c>
      <c r="H4130">
        <v>5</v>
      </c>
      <c r="I4130">
        <v>81.73</v>
      </c>
      <c r="J4130" s="50">
        <v>408.65</v>
      </c>
      <c r="K4130" t="s">
        <v>1632</v>
      </c>
      <c r="M4130" t="s">
        <v>1627</v>
      </c>
      <c r="N4130">
        <v>43.13</v>
      </c>
      <c r="O4130" s="49">
        <v>45116</v>
      </c>
      <c r="P4130" s="50">
        <v>183.89249999999998</v>
      </c>
    </row>
    <row r="4131" spans="4:16" x14ac:dyDescent="0.2">
      <c r="D4131">
        <v>100002459</v>
      </c>
      <c r="E4131" s="49">
        <v>45379</v>
      </c>
      <c r="F4131" t="s">
        <v>4148</v>
      </c>
      <c r="G4131" t="s">
        <v>2633</v>
      </c>
      <c r="H4131">
        <v>7</v>
      </c>
      <c r="I4131">
        <v>85.17</v>
      </c>
      <c r="J4131" s="50">
        <v>596.19000000000005</v>
      </c>
      <c r="K4131" t="s">
        <v>1632</v>
      </c>
      <c r="M4131" t="s">
        <v>1629</v>
      </c>
      <c r="N4131">
        <v>44.95</v>
      </c>
      <c r="O4131" s="49">
        <v>45384</v>
      </c>
      <c r="P4131" s="50">
        <v>268.28550000000001</v>
      </c>
    </row>
    <row r="4132" spans="4:16" x14ac:dyDescent="0.2">
      <c r="D4132">
        <v>100002459</v>
      </c>
      <c r="E4132" s="49">
        <v>45349</v>
      </c>
      <c r="F4132" t="s">
        <v>4148</v>
      </c>
      <c r="G4132" t="s">
        <v>2387</v>
      </c>
      <c r="H4132">
        <v>4</v>
      </c>
      <c r="I4132">
        <v>53.43</v>
      </c>
      <c r="J4132" s="50">
        <v>213.72</v>
      </c>
      <c r="K4132" t="s">
        <v>1632</v>
      </c>
      <c r="M4132" t="s">
        <v>1627</v>
      </c>
      <c r="N4132">
        <v>28.2</v>
      </c>
      <c r="O4132" s="49">
        <v>45353</v>
      </c>
      <c r="P4132" s="50">
        <v>96.174000000000007</v>
      </c>
    </row>
    <row r="4133" spans="4:16" x14ac:dyDescent="0.2">
      <c r="D4133">
        <v>100002459</v>
      </c>
      <c r="E4133" s="49">
        <v>44923</v>
      </c>
      <c r="F4133" t="s">
        <v>4148</v>
      </c>
      <c r="G4133" t="s">
        <v>2745</v>
      </c>
      <c r="H4133">
        <v>1</v>
      </c>
      <c r="I4133">
        <v>27.39</v>
      </c>
      <c r="J4133" s="50">
        <v>27.39</v>
      </c>
      <c r="K4133" t="s">
        <v>1632</v>
      </c>
      <c r="M4133" t="s">
        <v>1624</v>
      </c>
      <c r="N4133">
        <v>14.46</v>
      </c>
      <c r="O4133" s="49">
        <v>44924</v>
      </c>
      <c r="P4133" s="50">
        <v>12.3255</v>
      </c>
    </row>
    <row r="4134" spans="4:16" x14ac:dyDescent="0.2">
      <c r="D4134">
        <v>100002459</v>
      </c>
      <c r="E4134" s="49">
        <v>44777</v>
      </c>
      <c r="F4134" t="s">
        <v>4148</v>
      </c>
      <c r="G4134" t="s">
        <v>1719</v>
      </c>
      <c r="H4134">
        <v>4</v>
      </c>
      <c r="I4134">
        <v>24.36</v>
      </c>
      <c r="J4134" s="50">
        <v>97.44</v>
      </c>
      <c r="K4134" t="s">
        <v>1632</v>
      </c>
      <c r="M4134" t="s">
        <v>1624</v>
      </c>
      <c r="N4134">
        <v>12.86</v>
      </c>
      <c r="O4134" s="49">
        <v>44778</v>
      </c>
      <c r="P4134" s="50">
        <v>43.847999999999999</v>
      </c>
    </row>
    <row r="4135" spans="4:16" x14ac:dyDescent="0.2">
      <c r="D4135">
        <v>100002459</v>
      </c>
      <c r="E4135" s="49">
        <v>44508</v>
      </c>
      <c r="F4135" t="s">
        <v>4148</v>
      </c>
      <c r="G4135" t="s">
        <v>2025</v>
      </c>
      <c r="H4135">
        <v>2</v>
      </c>
      <c r="I4135">
        <v>93.01</v>
      </c>
      <c r="J4135" s="50">
        <v>186.02</v>
      </c>
      <c r="K4135" t="s">
        <v>1632</v>
      </c>
      <c r="M4135" t="s">
        <v>1627</v>
      </c>
      <c r="N4135">
        <v>49.09</v>
      </c>
      <c r="O4135" s="49">
        <v>44511</v>
      </c>
      <c r="P4135" s="50">
        <v>83.709000000000003</v>
      </c>
    </row>
    <row r="4136" spans="4:16" x14ac:dyDescent="0.2">
      <c r="D4136">
        <v>100002459</v>
      </c>
      <c r="E4136" s="49">
        <v>44680</v>
      </c>
      <c r="F4136" t="s">
        <v>4148</v>
      </c>
      <c r="G4136" t="s">
        <v>2302</v>
      </c>
      <c r="H4136">
        <v>2</v>
      </c>
      <c r="I4136">
        <v>70.92</v>
      </c>
      <c r="J4136" s="50">
        <v>141.84</v>
      </c>
      <c r="K4136" t="s">
        <v>1632</v>
      </c>
      <c r="M4136" t="s">
        <v>1621</v>
      </c>
      <c r="N4136">
        <v>37.43</v>
      </c>
      <c r="O4136" s="49">
        <v>44682</v>
      </c>
      <c r="P4136" s="50">
        <v>63.828000000000003</v>
      </c>
    </row>
    <row r="4137" spans="4:16" x14ac:dyDescent="0.2">
      <c r="D4137">
        <v>100002460</v>
      </c>
      <c r="E4137" s="49">
        <v>44908</v>
      </c>
      <c r="F4137" t="s">
        <v>4149</v>
      </c>
      <c r="G4137" t="s">
        <v>2112</v>
      </c>
      <c r="H4137">
        <v>6</v>
      </c>
      <c r="I4137">
        <v>99.05</v>
      </c>
      <c r="J4137" s="50">
        <v>594.29999999999995</v>
      </c>
      <c r="K4137" t="s">
        <v>1618</v>
      </c>
      <c r="M4137" t="s">
        <v>1619</v>
      </c>
      <c r="N4137">
        <v>52.28</v>
      </c>
      <c r="O4137" s="49">
        <v>44909</v>
      </c>
      <c r="P4137" s="50">
        <v>267.435</v>
      </c>
    </row>
    <row r="4138" spans="4:16" x14ac:dyDescent="0.2">
      <c r="D4138">
        <v>100002460</v>
      </c>
      <c r="E4138" s="49">
        <v>45346</v>
      </c>
      <c r="F4138" t="s">
        <v>4149</v>
      </c>
      <c r="G4138" t="s">
        <v>2305</v>
      </c>
      <c r="H4138">
        <v>5</v>
      </c>
      <c r="I4138">
        <v>110.81</v>
      </c>
      <c r="J4138" s="50">
        <v>554.04999999999995</v>
      </c>
      <c r="K4138" t="s">
        <v>1618</v>
      </c>
      <c r="M4138" t="s">
        <v>1627</v>
      </c>
      <c r="N4138">
        <v>58.48</v>
      </c>
      <c r="O4138" s="49">
        <v>45348</v>
      </c>
      <c r="P4138" s="50">
        <v>249.32249999999999</v>
      </c>
    </row>
    <row r="4139" spans="4:16" x14ac:dyDescent="0.2">
      <c r="D4139">
        <v>100002461</v>
      </c>
      <c r="E4139" s="49">
        <v>44897</v>
      </c>
      <c r="F4139" t="s">
        <v>4150</v>
      </c>
      <c r="G4139" t="s">
        <v>2305</v>
      </c>
      <c r="H4139">
        <v>8</v>
      </c>
      <c r="I4139">
        <v>49.51</v>
      </c>
      <c r="J4139" s="50">
        <v>396.08</v>
      </c>
      <c r="K4139" t="s">
        <v>1618</v>
      </c>
      <c r="M4139" t="s">
        <v>1629</v>
      </c>
      <c r="N4139">
        <v>26.13</v>
      </c>
      <c r="O4139" s="49">
        <v>44902</v>
      </c>
      <c r="P4139" s="50">
        <v>178.23599999999999</v>
      </c>
    </row>
    <row r="4140" spans="4:16" x14ac:dyDescent="0.2">
      <c r="D4140">
        <v>100002461</v>
      </c>
      <c r="E4140" s="49">
        <v>44924</v>
      </c>
      <c r="F4140" t="s">
        <v>4150</v>
      </c>
      <c r="G4140" t="s">
        <v>1900</v>
      </c>
      <c r="H4140">
        <v>2</v>
      </c>
      <c r="I4140">
        <v>21.58</v>
      </c>
      <c r="J4140" s="50">
        <v>43.16</v>
      </c>
      <c r="K4140" t="s">
        <v>1618</v>
      </c>
      <c r="M4140" t="s">
        <v>1629</v>
      </c>
      <c r="N4140">
        <v>11.39</v>
      </c>
      <c r="O4140" s="49">
        <v>44925</v>
      </c>
      <c r="P4140" s="50">
        <v>19.422000000000001</v>
      </c>
    </row>
    <row r="4141" spans="4:16" x14ac:dyDescent="0.2">
      <c r="D4141">
        <v>100002461</v>
      </c>
      <c r="E4141" s="49">
        <v>45208</v>
      </c>
      <c r="F4141" t="s">
        <v>4150</v>
      </c>
      <c r="G4141" t="s">
        <v>2436</v>
      </c>
      <c r="H4141">
        <v>6</v>
      </c>
      <c r="I4141">
        <v>30.11</v>
      </c>
      <c r="J4141" s="50">
        <v>180.66</v>
      </c>
      <c r="K4141" t="s">
        <v>1618</v>
      </c>
      <c r="M4141" t="s">
        <v>1627</v>
      </c>
      <c r="N4141">
        <v>15.89</v>
      </c>
      <c r="O4141" s="49">
        <v>45209</v>
      </c>
      <c r="P4141" s="50">
        <v>81.296999999999997</v>
      </c>
    </row>
    <row r="4142" spans="4:16" x14ac:dyDescent="0.2">
      <c r="D4142">
        <v>100002461</v>
      </c>
      <c r="E4142" s="49">
        <v>44519</v>
      </c>
      <c r="F4142" t="s">
        <v>4150</v>
      </c>
      <c r="G4142" t="s">
        <v>1955</v>
      </c>
      <c r="H4142">
        <v>9</v>
      </c>
      <c r="I4142">
        <v>108.47</v>
      </c>
      <c r="J4142" s="50">
        <v>976.23</v>
      </c>
      <c r="K4142" t="s">
        <v>1618</v>
      </c>
      <c r="M4142" t="s">
        <v>1624</v>
      </c>
      <c r="N4142">
        <v>57.25</v>
      </c>
      <c r="O4142" s="49">
        <v>44520</v>
      </c>
      <c r="P4142" s="50">
        <v>439.30350000000004</v>
      </c>
    </row>
    <row r="4143" spans="4:16" x14ac:dyDescent="0.2">
      <c r="D4143">
        <v>100002462</v>
      </c>
      <c r="E4143" s="49">
        <v>45100</v>
      </c>
      <c r="F4143" t="s">
        <v>4151</v>
      </c>
      <c r="G4143" t="s">
        <v>1617</v>
      </c>
      <c r="H4143">
        <v>3</v>
      </c>
      <c r="I4143">
        <v>15.79</v>
      </c>
      <c r="J4143" s="50">
        <v>47.37</v>
      </c>
      <c r="K4143" t="s">
        <v>1618</v>
      </c>
      <c r="M4143" t="s">
        <v>1627</v>
      </c>
      <c r="N4143">
        <v>8.33</v>
      </c>
      <c r="O4143" s="49">
        <v>45101</v>
      </c>
      <c r="P4143" s="50">
        <v>21.316499999999998</v>
      </c>
    </row>
    <row r="4144" spans="4:16" x14ac:dyDescent="0.2">
      <c r="D4144">
        <v>100002463</v>
      </c>
      <c r="E4144" s="49">
        <v>45113</v>
      </c>
      <c r="F4144" t="s">
        <v>4152</v>
      </c>
      <c r="G4144" t="s">
        <v>1733</v>
      </c>
      <c r="H4144">
        <v>4</v>
      </c>
      <c r="I4144">
        <v>53.21</v>
      </c>
      <c r="J4144" s="50">
        <v>212.84</v>
      </c>
      <c r="K4144" t="s">
        <v>1618</v>
      </c>
      <c r="L4144" t="s">
        <v>4153</v>
      </c>
      <c r="M4144" t="s">
        <v>1619</v>
      </c>
      <c r="N4144">
        <v>28.08</v>
      </c>
      <c r="O4144" s="49">
        <v>45116</v>
      </c>
      <c r="P4144" s="50">
        <v>95.778000000000006</v>
      </c>
    </row>
    <row r="4145" spans="4:16" x14ac:dyDescent="0.2">
      <c r="D4145">
        <v>100002463</v>
      </c>
      <c r="E4145" s="49">
        <v>44919</v>
      </c>
      <c r="F4145" t="s">
        <v>4152</v>
      </c>
      <c r="G4145" t="s">
        <v>2151</v>
      </c>
      <c r="H4145">
        <v>1</v>
      </c>
      <c r="I4145">
        <v>57.38</v>
      </c>
      <c r="J4145" s="50">
        <v>57.38</v>
      </c>
      <c r="K4145" t="s">
        <v>1618</v>
      </c>
      <c r="L4145" t="s">
        <v>4153</v>
      </c>
      <c r="M4145" t="s">
        <v>1624</v>
      </c>
      <c r="N4145">
        <v>30.28</v>
      </c>
      <c r="O4145" s="49">
        <v>44921</v>
      </c>
      <c r="P4145" s="50">
        <v>25.821000000000002</v>
      </c>
    </row>
    <row r="4146" spans="4:16" x14ac:dyDescent="0.2">
      <c r="D4146">
        <v>100002463</v>
      </c>
      <c r="E4146" s="49">
        <v>45317</v>
      </c>
      <c r="F4146" t="s">
        <v>4152</v>
      </c>
      <c r="G4146" t="s">
        <v>1975</v>
      </c>
      <c r="H4146">
        <v>4</v>
      </c>
      <c r="I4146">
        <v>58.24</v>
      </c>
      <c r="J4146" s="50">
        <v>232.96</v>
      </c>
      <c r="K4146" t="s">
        <v>1618</v>
      </c>
      <c r="L4146" t="s">
        <v>4153</v>
      </c>
      <c r="M4146" t="s">
        <v>1627</v>
      </c>
      <c r="N4146">
        <v>30.74</v>
      </c>
      <c r="O4146" s="49">
        <v>45319</v>
      </c>
      <c r="P4146" s="50">
        <v>104.83200000000001</v>
      </c>
    </row>
    <row r="4147" spans="4:16" x14ac:dyDescent="0.2">
      <c r="D4147">
        <v>100002463</v>
      </c>
      <c r="E4147" s="49">
        <v>45088</v>
      </c>
      <c r="F4147" t="s">
        <v>4152</v>
      </c>
      <c r="G4147" t="s">
        <v>1848</v>
      </c>
      <c r="H4147">
        <v>4</v>
      </c>
      <c r="I4147">
        <v>68.55</v>
      </c>
      <c r="J4147" s="50">
        <v>274.2</v>
      </c>
      <c r="K4147" t="s">
        <v>1618</v>
      </c>
      <c r="L4147" t="s">
        <v>4153</v>
      </c>
      <c r="M4147" t="s">
        <v>1627</v>
      </c>
      <c r="N4147">
        <v>36.18</v>
      </c>
      <c r="O4147" s="49">
        <v>45090</v>
      </c>
      <c r="P4147" s="50">
        <v>123.39</v>
      </c>
    </row>
    <row r="4148" spans="4:16" x14ac:dyDescent="0.2">
      <c r="D4148">
        <v>100002463</v>
      </c>
      <c r="E4148" s="49">
        <v>45624</v>
      </c>
      <c r="F4148" t="s">
        <v>4152</v>
      </c>
      <c r="G4148" t="s">
        <v>1895</v>
      </c>
      <c r="H4148">
        <v>2</v>
      </c>
      <c r="I4148">
        <v>26.19</v>
      </c>
      <c r="J4148" s="50">
        <v>52.38</v>
      </c>
      <c r="K4148" t="s">
        <v>1618</v>
      </c>
      <c r="L4148" t="s">
        <v>4153</v>
      </c>
      <c r="M4148" t="s">
        <v>1621</v>
      </c>
      <c r="N4148">
        <v>13.82</v>
      </c>
      <c r="O4148" s="49">
        <v>45625</v>
      </c>
      <c r="P4148" s="50">
        <v>23.571000000000002</v>
      </c>
    </row>
    <row r="4149" spans="4:16" x14ac:dyDescent="0.2">
      <c r="D4149">
        <v>100002463</v>
      </c>
      <c r="E4149" s="49">
        <v>44858</v>
      </c>
      <c r="F4149" t="s">
        <v>4152</v>
      </c>
      <c r="G4149" t="s">
        <v>2420</v>
      </c>
      <c r="H4149">
        <v>1</v>
      </c>
      <c r="I4149">
        <v>78.7</v>
      </c>
      <c r="J4149" s="50">
        <v>78.7</v>
      </c>
      <c r="K4149" t="s">
        <v>1618</v>
      </c>
      <c r="L4149" t="s">
        <v>4153</v>
      </c>
      <c r="M4149" t="s">
        <v>1624</v>
      </c>
      <c r="N4149">
        <v>41.54</v>
      </c>
      <c r="O4149" s="49">
        <v>44863</v>
      </c>
      <c r="P4149" s="50">
        <v>35.414999999999999</v>
      </c>
    </row>
    <row r="4150" spans="4:16" x14ac:dyDescent="0.2">
      <c r="D4150">
        <v>100002465</v>
      </c>
      <c r="E4150" s="49">
        <v>44458</v>
      </c>
      <c r="F4150" t="s">
        <v>4154</v>
      </c>
      <c r="G4150" t="s">
        <v>1710</v>
      </c>
      <c r="H4150">
        <v>1</v>
      </c>
      <c r="I4150">
        <v>72.150000000000006</v>
      </c>
      <c r="J4150" s="50">
        <v>72.150000000000006</v>
      </c>
      <c r="K4150" t="s">
        <v>1618</v>
      </c>
      <c r="M4150" t="s">
        <v>1621</v>
      </c>
      <c r="N4150">
        <v>38.08</v>
      </c>
      <c r="O4150" s="49">
        <v>44463</v>
      </c>
      <c r="P4150" s="50">
        <v>32.467500000000001</v>
      </c>
    </row>
    <row r="4151" spans="4:16" x14ac:dyDescent="0.2">
      <c r="D4151">
        <v>100002465</v>
      </c>
      <c r="E4151" s="49">
        <v>44645</v>
      </c>
      <c r="F4151" t="s">
        <v>4154</v>
      </c>
      <c r="G4151" t="s">
        <v>2707</v>
      </c>
      <c r="H4151">
        <v>8</v>
      </c>
      <c r="I4151">
        <v>51.59</v>
      </c>
      <c r="J4151" s="50">
        <v>412.72</v>
      </c>
      <c r="K4151" t="s">
        <v>1618</v>
      </c>
      <c r="M4151" t="s">
        <v>1619</v>
      </c>
      <c r="N4151">
        <v>27.23</v>
      </c>
      <c r="O4151" s="49">
        <v>44648</v>
      </c>
      <c r="P4151" s="50">
        <v>185.72400000000002</v>
      </c>
    </row>
    <row r="4152" spans="4:16" x14ac:dyDescent="0.2">
      <c r="D4152">
        <v>100002465</v>
      </c>
      <c r="E4152" s="49">
        <v>45160</v>
      </c>
      <c r="F4152" t="s">
        <v>4154</v>
      </c>
      <c r="G4152" t="s">
        <v>2151</v>
      </c>
      <c r="H4152">
        <v>6</v>
      </c>
      <c r="I4152">
        <v>24.04</v>
      </c>
      <c r="J4152" s="50">
        <v>144.24</v>
      </c>
      <c r="K4152" t="s">
        <v>1618</v>
      </c>
      <c r="M4152" t="s">
        <v>1629</v>
      </c>
      <c r="N4152">
        <v>12.69</v>
      </c>
      <c r="O4152" s="49">
        <v>45165</v>
      </c>
      <c r="P4152" s="50">
        <v>64.908000000000001</v>
      </c>
    </row>
    <row r="4153" spans="4:16" x14ac:dyDescent="0.2">
      <c r="D4153">
        <v>100002465</v>
      </c>
      <c r="E4153" s="49">
        <v>44546</v>
      </c>
      <c r="F4153" t="s">
        <v>4154</v>
      </c>
      <c r="G4153" t="s">
        <v>2048</v>
      </c>
      <c r="H4153">
        <v>2</v>
      </c>
      <c r="I4153">
        <v>52.34</v>
      </c>
      <c r="J4153" s="50">
        <v>104.68</v>
      </c>
      <c r="K4153" t="s">
        <v>1618</v>
      </c>
      <c r="M4153" t="s">
        <v>1627</v>
      </c>
      <c r="N4153">
        <v>27.62</v>
      </c>
      <c r="O4153" s="49">
        <v>44549</v>
      </c>
      <c r="P4153" s="50">
        <v>47.106000000000002</v>
      </c>
    </row>
    <row r="4154" spans="4:16" x14ac:dyDescent="0.2">
      <c r="D4154">
        <v>100002466</v>
      </c>
      <c r="E4154" s="49">
        <v>45528</v>
      </c>
      <c r="F4154" t="s">
        <v>4155</v>
      </c>
      <c r="G4154" t="s">
        <v>1823</v>
      </c>
      <c r="H4154">
        <v>8</v>
      </c>
      <c r="I4154">
        <v>16.420000000000002</v>
      </c>
      <c r="J4154" s="50">
        <v>131.36000000000001</v>
      </c>
      <c r="K4154" t="s">
        <v>1618</v>
      </c>
      <c r="M4154" t="s">
        <v>1619</v>
      </c>
      <c r="N4154">
        <v>8.67</v>
      </c>
      <c r="O4154" s="49">
        <v>45533</v>
      </c>
      <c r="P4154" s="50">
        <v>59.112000000000009</v>
      </c>
    </row>
    <row r="4155" spans="4:16" x14ac:dyDescent="0.2">
      <c r="D4155">
        <v>100002466</v>
      </c>
      <c r="E4155" s="49">
        <v>45529</v>
      </c>
      <c r="F4155" t="s">
        <v>4155</v>
      </c>
      <c r="G4155" t="s">
        <v>2485</v>
      </c>
      <c r="H4155">
        <v>7</v>
      </c>
      <c r="I4155">
        <v>30.01</v>
      </c>
      <c r="J4155" s="50">
        <v>210.07</v>
      </c>
      <c r="K4155" t="s">
        <v>1618</v>
      </c>
      <c r="M4155" t="s">
        <v>1627</v>
      </c>
      <c r="N4155">
        <v>15.84</v>
      </c>
      <c r="O4155" s="49">
        <v>45530</v>
      </c>
      <c r="P4155" s="50">
        <v>94.531499999999994</v>
      </c>
    </row>
    <row r="4156" spans="4:16" x14ac:dyDescent="0.2">
      <c r="D4156">
        <v>100002468</v>
      </c>
      <c r="E4156" s="49">
        <v>45480</v>
      </c>
      <c r="F4156" t="s">
        <v>4156</v>
      </c>
      <c r="G4156" t="s">
        <v>1802</v>
      </c>
      <c r="H4156">
        <v>1</v>
      </c>
      <c r="I4156">
        <v>43.26</v>
      </c>
      <c r="J4156" s="50">
        <v>43.26</v>
      </c>
      <c r="K4156" t="s">
        <v>1618</v>
      </c>
      <c r="M4156" t="s">
        <v>1627</v>
      </c>
      <c r="N4156">
        <v>22.83</v>
      </c>
      <c r="O4156" s="49">
        <v>45485</v>
      </c>
      <c r="P4156" s="50">
        <v>19.466999999999999</v>
      </c>
    </row>
    <row r="4157" spans="4:16" x14ac:dyDescent="0.2">
      <c r="D4157">
        <v>100002468</v>
      </c>
      <c r="E4157" s="49">
        <v>44488</v>
      </c>
      <c r="F4157" t="s">
        <v>4156</v>
      </c>
      <c r="G4157" t="s">
        <v>2084</v>
      </c>
      <c r="H4157">
        <v>2</v>
      </c>
      <c r="I4157">
        <v>119.91</v>
      </c>
      <c r="J4157" s="50">
        <v>239.82</v>
      </c>
      <c r="K4157" t="s">
        <v>1618</v>
      </c>
      <c r="M4157" t="s">
        <v>1621</v>
      </c>
      <c r="N4157">
        <v>63.29</v>
      </c>
      <c r="O4157" s="49">
        <v>44489</v>
      </c>
      <c r="P4157" s="50">
        <v>107.919</v>
      </c>
    </row>
    <row r="4158" spans="4:16" x14ac:dyDescent="0.2">
      <c r="D4158">
        <v>100002468</v>
      </c>
      <c r="E4158" s="49">
        <v>44487</v>
      </c>
      <c r="F4158" t="s">
        <v>4156</v>
      </c>
      <c r="G4158" t="s">
        <v>2581</v>
      </c>
      <c r="H4158">
        <v>10</v>
      </c>
      <c r="I4158">
        <v>70.05</v>
      </c>
      <c r="J4158" s="50">
        <v>700.5</v>
      </c>
      <c r="K4158" t="s">
        <v>1618</v>
      </c>
      <c r="M4158" t="s">
        <v>1627</v>
      </c>
      <c r="N4158">
        <v>36.97</v>
      </c>
      <c r="O4158" s="49">
        <v>44492</v>
      </c>
      <c r="P4158" s="50">
        <v>315.22500000000002</v>
      </c>
    </row>
    <row r="4159" spans="4:16" x14ac:dyDescent="0.2">
      <c r="D4159">
        <v>100002468</v>
      </c>
      <c r="E4159" s="49">
        <v>45575</v>
      </c>
      <c r="F4159" t="s">
        <v>4156</v>
      </c>
      <c r="G4159" t="s">
        <v>1650</v>
      </c>
      <c r="H4159">
        <v>7</v>
      </c>
      <c r="I4159">
        <v>110.17</v>
      </c>
      <c r="J4159" s="50">
        <v>771.19</v>
      </c>
      <c r="K4159" t="s">
        <v>1618</v>
      </c>
      <c r="M4159" t="s">
        <v>1627</v>
      </c>
      <c r="N4159">
        <v>58.14</v>
      </c>
      <c r="O4159" s="49">
        <v>45578</v>
      </c>
      <c r="P4159" s="50">
        <v>347.03550000000001</v>
      </c>
    </row>
    <row r="4160" spans="4:16" x14ac:dyDescent="0.2">
      <c r="D4160">
        <v>100002469</v>
      </c>
      <c r="E4160" s="49">
        <v>44455</v>
      </c>
      <c r="F4160" t="s">
        <v>4157</v>
      </c>
      <c r="G4160" t="s">
        <v>2025</v>
      </c>
      <c r="H4160">
        <v>6</v>
      </c>
      <c r="I4160">
        <v>45.01</v>
      </c>
      <c r="J4160" s="50">
        <v>270.06</v>
      </c>
      <c r="K4160" t="s">
        <v>1618</v>
      </c>
      <c r="M4160" t="s">
        <v>1627</v>
      </c>
      <c r="N4160">
        <v>23.76</v>
      </c>
      <c r="O4160" s="49">
        <v>44457</v>
      </c>
      <c r="P4160" s="50">
        <v>121.527</v>
      </c>
    </row>
    <row r="4161" spans="4:16" x14ac:dyDescent="0.2">
      <c r="D4161">
        <v>100002469</v>
      </c>
      <c r="E4161" s="49">
        <v>45312</v>
      </c>
      <c r="F4161" t="s">
        <v>4157</v>
      </c>
      <c r="G4161" t="s">
        <v>1897</v>
      </c>
      <c r="H4161">
        <v>6</v>
      </c>
      <c r="I4161">
        <v>116.56</v>
      </c>
      <c r="J4161" s="50">
        <v>699.36</v>
      </c>
      <c r="K4161" t="s">
        <v>1618</v>
      </c>
      <c r="M4161" t="s">
        <v>1629</v>
      </c>
      <c r="N4161">
        <v>61.52</v>
      </c>
      <c r="O4161" s="49">
        <v>45314</v>
      </c>
      <c r="P4161" s="50">
        <v>314.71199999999999</v>
      </c>
    </row>
    <row r="4162" spans="4:16" x14ac:dyDescent="0.2">
      <c r="D4162">
        <v>100002469</v>
      </c>
      <c r="E4162" s="49">
        <v>44341</v>
      </c>
      <c r="F4162" t="s">
        <v>4157</v>
      </c>
      <c r="G4162" t="s">
        <v>1760</v>
      </c>
      <c r="H4162">
        <v>9</v>
      </c>
      <c r="I4162">
        <v>104.17</v>
      </c>
      <c r="J4162" s="50">
        <v>937.53</v>
      </c>
      <c r="K4162" t="s">
        <v>1618</v>
      </c>
      <c r="M4162" t="s">
        <v>1621</v>
      </c>
      <c r="N4162">
        <v>54.98</v>
      </c>
      <c r="O4162" s="49">
        <v>44345</v>
      </c>
      <c r="P4162" s="50">
        <v>421.88850000000002</v>
      </c>
    </row>
    <row r="4163" spans="4:16" x14ac:dyDescent="0.2">
      <c r="D4163">
        <v>100002469</v>
      </c>
      <c r="E4163" s="49">
        <v>45083</v>
      </c>
      <c r="F4163" t="s">
        <v>4157</v>
      </c>
      <c r="G4163" t="s">
        <v>1705</v>
      </c>
      <c r="H4163">
        <v>2</v>
      </c>
      <c r="I4163">
        <v>40.28</v>
      </c>
      <c r="J4163" s="50">
        <v>80.56</v>
      </c>
      <c r="K4163" t="s">
        <v>1618</v>
      </c>
      <c r="M4163" t="s">
        <v>1629</v>
      </c>
      <c r="N4163">
        <v>21.26</v>
      </c>
      <c r="O4163" s="49">
        <v>45087</v>
      </c>
      <c r="P4163" s="50">
        <v>36.252000000000002</v>
      </c>
    </row>
    <row r="4164" spans="4:16" x14ac:dyDescent="0.2">
      <c r="D4164">
        <v>100002469</v>
      </c>
      <c r="E4164" s="49">
        <v>44886</v>
      </c>
      <c r="F4164" t="s">
        <v>4157</v>
      </c>
      <c r="G4164" t="s">
        <v>2084</v>
      </c>
      <c r="H4164">
        <v>6</v>
      </c>
      <c r="I4164">
        <v>103.65</v>
      </c>
      <c r="J4164" s="50">
        <v>621.90000000000009</v>
      </c>
      <c r="K4164" t="s">
        <v>1618</v>
      </c>
      <c r="M4164" t="s">
        <v>1621</v>
      </c>
      <c r="N4164">
        <v>54.7</v>
      </c>
      <c r="O4164" s="49">
        <v>44887</v>
      </c>
      <c r="P4164" s="50">
        <v>279.85500000000008</v>
      </c>
    </row>
    <row r="4165" spans="4:16" x14ac:dyDescent="0.2">
      <c r="D4165">
        <v>100002470</v>
      </c>
      <c r="E4165" s="49">
        <v>45080</v>
      </c>
      <c r="F4165" t="s">
        <v>4158</v>
      </c>
      <c r="G4165" t="s">
        <v>1675</v>
      </c>
      <c r="H4165">
        <v>5</v>
      </c>
      <c r="I4165">
        <v>40.340000000000003</v>
      </c>
      <c r="J4165" s="50">
        <v>201.7</v>
      </c>
      <c r="K4165" t="s">
        <v>1618</v>
      </c>
      <c r="M4165" t="s">
        <v>1629</v>
      </c>
      <c r="N4165">
        <v>21.29</v>
      </c>
      <c r="O4165" s="49">
        <v>45085</v>
      </c>
      <c r="P4165" s="50">
        <v>90.765000000000001</v>
      </c>
    </row>
    <row r="4166" spans="4:16" x14ac:dyDescent="0.2">
      <c r="D4166">
        <v>100002471</v>
      </c>
      <c r="E4166" s="49">
        <v>44654</v>
      </c>
      <c r="F4166" t="s">
        <v>4159</v>
      </c>
      <c r="G4166" t="s">
        <v>2390</v>
      </c>
      <c r="H4166">
        <v>9</v>
      </c>
      <c r="I4166">
        <v>91.16</v>
      </c>
      <c r="J4166" s="50">
        <v>820.43999999999994</v>
      </c>
      <c r="K4166" t="s">
        <v>1618</v>
      </c>
      <c r="M4166" t="s">
        <v>1629</v>
      </c>
      <c r="N4166">
        <v>48.11</v>
      </c>
      <c r="O4166" s="49">
        <v>44659</v>
      </c>
      <c r="P4166" s="50">
        <v>369.19799999999998</v>
      </c>
    </row>
    <row r="4167" spans="4:16" x14ac:dyDescent="0.2">
      <c r="D4167">
        <v>100002472</v>
      </c>
      <c r="E4167" s="49">
        <v>44293</v>
      </c>
      <c r="F4167" t="s">
        <v>4160</v>
      </c>
      <c r="G4167" t="s">
        <v>1851</v>
      </c>
      <c r="H4167">
        <v>8</v>
      </c>
      <c r="I4167">
        <v>117.05</v>
      </c>
      <c r="J4167" s="50">
        <v>936.4</v>
      </c>
      <c r="K4167" t="s">
        <v>1618</v>
      </c>
      <c r="M4167" t="s">
        <v>1629</v>
      </c>
      <c r="N4167">
        <v>61.78</v>
      </c>
      <c r="O4167" s="49">
        <v>44295</v>
      </c>
      <c r="P4167" s="50">
        <v>421.38</v>
      </c>
    </row>
    <row r="4168" spans="4:16" x14ac:dyDescent="0.2">
      <c r="D4168">
        <v>100002472</v>
      </c>
      <c r="E4168" s="49">
        <v>44631</v>
      </c>
      <c r="F4168" t="s">
        <v>4160</v>
      </c>
      <c r="G4168" t="s">
        <v>2016</v>
      </c>
      <c r="H4168">
        <v>8</v>
      </c>
      <c r="I4168">
        <v>25.33</v>
      </c>
      <c r="J4168" s="50">
        <v>202.64</v>
      </c>
      <c r="K4168" t="s">
        <v>1618</v>
      </c>
      <c r="M4168" t="s">
        <v>1629</v>
      </c>
      <c r="N4168">
        <v>13.37</v>
      </c>
      <c r="O4168" s="49">
        <v>44633</v>
      </c>
      <c r="P4168" s="50">
        <v>91.188000000000002</v>
      </c>
    </row>
    <row r="4169" spans="4:16" x14ac:dyDescent="0.2">
      <c r="D4169">
        <v>100002472</v>
      </c>
      <c r="E4169" s="49">
        <v>45440</v>
      </c>
      <c r="F4169" t="s">
        <v>4160</v>
      </c>
      <c r="G4169" t="s">
        <v>1947</v>
      </c>
      <c r="H4169">
        <v>6</v>
      </c>
      <c r="I4169">
        <v>117.04</v>
      </c>
      <c r="J4169" s="50">
        <v>702.24</v>
      </c>
      <c r="K4169" t="s">
        <v>1618</v>
      </c>
      <c r="M4169" t="s">
        <v>1624</v>
      </c>
      <c r="N4169">
        <v>61.77</v>
      </c>
      <c r="O4169" s="49">
        <v>45441</v>
      </c>
      <c r="P4169" s="50">
        <v>316.00800000000004</v>
      </c>
    </row>
    <row r="4170" spans="4:16" x14ac:dyDescent="0.2">
      <c r="D4170">
        <v>100002472</v>
      </c>
      <c r="E4170" s="49">
        <v>45588</v>
      </c>
      <c r="F4170" t="s">
        <v>4160</v>
      </c>
      <c r="G4170" t="s">
        <v>1999</v>
      </c>
      <c r="H4170">
        <v>8</v>
      </c>
      <c r="I4170">
        <v>30.27</v>
      </c>
      <c r="J4170" s="50">
        <v>242.16</v>
      </c>
      <c r="K4170" t="s">
        <v>1618</v>
      </c>
      <c r="M4170" t="s">
        <v>1619</v>
      </c>
      <c r="N4170">
        <v>15.98</v>
      </c>
      <c r="O4170" s="49">
        <v>45589</v>
      </c>
      <c r="P4170" s="50">
        <v>108.97199999999999</v>
      </c>
    </row>
    <row r="4171" spans="4:16" x14ac:dyDescent="0.2">
      <c r="D4171">
        <v>100002472</v>
      </c>
      <c r="E4171" s="49">
        <v>45452</v>
      </c>
      <c r="F4171" t="s">
        <v>4160</v>
      </c>
      <c r="G4171" t="s">
        <v>1985</v>
      </c>
      <c r="H4171">
        <v>5</v>
      </c>
      <c r="I4171">
        <v>56.26</v>
      </c>
      <c r="J4171" s="50">
        <v>281.3</v>
      </c>
      <c r="K4171" t="s">
        <v>1618</v>
      </c>
      <c r="M4171" t="s">
        <v>1621</v>
      </c>
      <c r="N4171">
        <v>29.69</v>
      </c>
      <c r="O4171" s="49">
        <v>45454</v>
      </c>
      <c r="P4171" s="50">
        <v>126.58500000000001</v>
      </c>
    </row>
    <row r="4172" spans="4:16" x14ac:dyDescent="0.2">
      <c r="D4172">
        <v>100002474</v>
      </c>
      <c r="E4172" s="49">
        <v>44654</v>
      </c>
      <c r="F4172" t="s">
        <v>4161</v>
      </c>
      <c r="G4172" t="s">
        <v>2628</v>
      </c>
      <c r="H4172">
        <v>1</v>
      </c>
      <c r="I4172">
        <v>14.89</v>
      </c>
      <c r="J4172" s="50">
        <v>14.89</v>
      </c>
      <c r="K4172" t="s">
        <v>1618</v>
      </c>
      <c r="M4172" t="s">
        <v>1619</v>
      </c>
      <c r="N4172">
        <v>7.86</v>
      </c>
      <c r="O4172" s="49">
        <v>44659</v>
      </c>
      <c r="P4172" s="50">
        <v>6.7005000000000008</v>
      </c>
    </row>
    <row r="4173" spans="4:16" x14ac:dyDescent="0.2">
      <c r="D4173">
        <v>100002474</v>
      </c>
      <c r="E4173" s="49">
        <v>45279</v>
      </c>
      <c r="F4173" t="s">
        <v>4161</v>
      </c>
      <c r="G4173" t="s">
        <v>1937</v>
      </c>
      <c r="H4173">
        <v>4</v>
      </c>
      <c r="I4173">
        <v>41.35</v>
      </c>
      <c r="J4173" s="50">
        <v>165.4</v>
      </c>
      <c r="K4173" t="s">
        <v>1618</v>
      </c>
      <c r="M4173" t="s">
        <v>1624</v>
      </c>
      <c r="N4173">
        <v>21.82</v>
      </c>
      <c r="O4173" s="49">
        <v>45280</v>
      </c>
      <c r="P4173" s="50">
        <v>74.430000000000007</v>
      </c>
    </row>
    <row r="4174" spans="4:16" x14ac:dyDescent="0.2">
      <c r="D4174">
        <v>100002475</v>
      </c>
      <c r="E4174" s="49">
        <v>45498</v>
      </c>
      <c r="F4174" t="s">
        <v>4162</v>
      </c>
      <c r="G4174" t="s">
        <v>1642</v>
      </c>
      <c r="H4174">
        <v>7</v>
      </c>
      <c r="I4174">
        <v>70.06</v>
      </c>
      <c r="J4174" s="50">
        <v>490.42</v>
      </c>
      <c r="K4174" t="s">
        <v>1618</v>
      </c>
      <c r="M4174" t="s">
        <v>1624</v>
      </c>
      <c r="N4174">
        <v>36.979999999999997</v>
      </c>
      <c r="O4174" s="49">
        <v>45503</v>
      </c>
      <c r="P4174" s="50">
        <v>220.68900000000002</v>
      </c>
    </row>
    <row r="4175" spans="4:16" x14ac:dyDescent="0.2">
      <c r="D4175">
        <v>100002475</v>
      </c>
      <c r="E4175" s="49">
        <v>45160</v>
      </c>
      <c r="F4175" t="s">
        <v>4162</v>
      </c>
      <c r="G4175" t="s">
        <v>2412</v>
      </c>
      <c r="H4175">
        <v>9</v>
      </c>
      <c r="I4175">
        <v>118.8</v>
      </c>
      <c r="J4175" s="50">
        <v>1069.2</v>
      </c>
      <c r="K4175" t="s">
        <v>1618</v>
      </c>
      <c r="M4175" t="s">
        <v>1627</v>
      </c>
      <c r="N4175">
        <v>62.7</v>
      </c>
      <c r="O4175" s="49">
        <v>45162</v>
      </c>
      <c r="P4175" s="50">
        <v>481.14000000000004</v>
      </c>
    </row>
    <row r="4176" spans="4:16" x14ac:dyDescent="0.2">
      <c r="D4176">
        <v>100002475</v>
      </c>
      <c r="E4176" s="49">
        <v>44493</v>
      </c>
      <c r="F4176" t="s">
        <v>4162</v>
      </c>
      <c r="G4176" t="s">
        <v>1795</v>
      </c>
      <c r="H4176">
        <v>6</v>
      </c>
      <c r="I4176">
        <v>15.44</v>
      </c>
      <c r="J4176" s="50">
        <v>92.64</v>
      </c>
      <c r="K4176" t="s">
        <v>1618</v>
      </c>
      <c r="M4176" t="s">
        <v>1627</v>
      </c>
      <c r="N4176">
        <v>8.15</v>
      </c>
      <c r="O4176" s="49">
        <v>44497</v>
      </c>
      <c r="P4176" s="50">
        <v>41.688000000000002</v>
      </c>
    </row>
    <row r="4177" spans="4:16" x14ac:dyDescent="0.2">
      <c r="D4177">
        <v>100002475</v>
      </c>
      <c r="E4177" s="49">
        <v>44595</v>
      </c>
      <c r="F4177" t="s">
        <v>4162</v>
      </c>
      <c r="G4177" t="s">
        <v>1799</v>
      </c>
      <c r="H4177">
        <v>3</v>
      </c>
      <c r="I4177">
        <v>110.79</v>
      </c>
      <c r="J4177" s="50">
        <v>332.37</v>
      </c>
      <c r="K4177" t="s">
        <v>1618</v>
      </c>
      <c r="M4177" t="s">
        <v>1627</v>
      </c>
      <c r="N4177">
        <v>58.47</v>
      </c>
      <c r="O4177" s="49">
        <v>44596</v>
      </c>
      <c r="P4177" s="50">
        <v>149.56650000000002</v>
      </c>
    </row>
    <row r="4178" spans="4:16" x14ac:dyDescent="0.2">
      <c r="D4178">
        <v>100002475</v>
      </c>
      <c r="E4178" s="49">
        <v>45064</v>
      </c>
      <c r="F4178" t="s">
        <v>4162</v>
      </c>
      <c r="G4178" t="s">
        <v>1743</v>
      </c>
      <c r="H4178">
        <v>4</v>
      </c>
      <c r="I4178">
        <v>86.89</v>
      </c>
      <c r="J4178" s="50">
        <v>347.56</v>
      </c>
      <c r="K4178" t="s">
        <v>1618</v>
      </c>
      <c r="M4178" t="s">
        <v>1621</v>
      </c>
      <c r="N4178">
        <v>45.86</v>
      </c>
      <c r="O4178" s="49">
        <v>45067</v>
      </c>
      <c r="P4178" s="50">
        <v>156.40200000000002</v>
      </c>
    </row>
    <row r="4179" spans="4:16" x14ac:dyDescent="0.2">
      <c r="D4179">
        <v>100002475</v>
      </c>
      <c r="E4179" s="49">
        <v>44805</v>
      </c>
      <c r="F4179" t="s">
        <v>4162</v>
      </c>
      <c r="G4179" t="s">
        <v>1707</v>
      </c>
      <c r="H4179">
        <v>3</v>
      </c>
      <c r="I4179">
        <v>63.54</v>
      </c>
      <c r="J4179" s="50">
        <v>190.62</v>
      </c>
      <c r="K4179" t="s">
        <v>1618</v>
      </c>
      <c r="M4179" t="s">
        <v>1629</v>
      </c>
      <c r="N4179">
        <v>33.53</v>
      </c>
      <c r="O4179" s="49">
        <v>44806</v>
      </c>
      <c r="P4179" s="50">
        <v>85.779000000000011</v>
      </c>
    </row>
    <row r="4180" spans="4:16" x14ac:dyDescent="0.2">
      <c r="D4180">
        <v>100002475</v>
      </c>
      <c r="E4180" s="49">
        <v>44687</v>
      </c>
      <c r="F4180" t="s">
        <v>4162</v>
      </c>
      <c r="G4180" t="s">
        <v>1720</v>
      </c>
      <c r="H4180">
        <v>5</v>
      </c>
      <c r="I4180">
        <v>56.92</v>
      </c>
      <c r="J4180" s="50">
        <v>284.60000000000002</v>
      </c>
      <c r="K4180" t="s">
        <v>1618</v>
      </c>
      <c r="M4180" t="s">
        <v>1627</v>
      </c>
      <c r="N4180">
        <v>30.04</v>
      </c>
      <c r="O4180" s="49">
        <v>44688</v>
      </c>
      <c r="P4180" s="50">
        <v>128.07000000000002</v>
      </c>
    </row>
    <row r="4181" spans="4:16" x14ac:dyDescent="0.2">
      <c r="D4181">
        <v>100002476</v>
      </c>
      <c r="E4181" s="49">
        <v>44574</v>
      </c>
      <c r="F4181" t="s">
        <v>3837</v>
      </c>
      <c r="G4181" t="s">
        <v>1900</v>
      </c>
      <c r="H4181">
        <v>7</v>
      </c>
      <c r="I4181">
        <v>99.98</v>
      </c>
      <c r="J4181" s="50">
        <v>699.86</v>
      </c>
      <c r="K4181" t="s">
        <v>1618</v>
      </c>
      <c r="M4181" t="s">
        <v>1621</v>
      </c>
      <c r="N4181">
        <v>52.77</v>
      </c>
      <c r="O4181" s="49">
        <v>44576</v>
      </c>
      <c r="P4181" s="50">
        <v>314.93700000000001</v>
      </c>
    </row>
    <row r="4182" spans="4:16" x14ac:dyDescent="0.2">
      <c r="D4182">
        <v>100002477</v>
      </c>
      <c r="E4182" s="49">
        <v>44894</v>
      </c>
      <c r="F4182" t="s">
        <v>4163</v>
      </c>
      <c r="G4182" t="s">
        <v>1754</v>
      </c>
      <c r="H4182">
        <v>1</v>
      </c>
      <c r="I4182">
        <v>88.6</v>
      </c>
      <c r="J4182" s="50">
        <v>88.6</v>
      </c>
      <c r="K4182" t="s">
        <v>1618</v>
      </c>
      <c r="L4182" t="s">
        <v>4164</v>
      </c>
      <c r="M4182" t="s">
        <v>1629</v>
      </c>
      <c r="N4182">
        <v>46.76</v>
      </c>
      <c r="O4182" s="49">
        <v>44899</v>
      </c>
      <c r="P4182" s="50">
        <v>39.869999999999997</v>
      </c>
    </row>
    <row r="4183" spans="4:16" x14ac:dyDescent="0.2">
      <c r="D4183">
        <v>100002478</v>
      </c>
      <c r="E4183" s="49">
        <v>45345</v>
      </c>
      <c r="F4183" t="s">
        <v>4165</v>
      </c>
      <c r="G4183" t="s">
        <v>1765</v>
      </c>
      <c r="H4183">
        <v>1</v>
      </c>
      <c r="I4183">
        <v>105.24</v>
      </c>
      <c r="J4183" s="50">
        <v>105.24</v>
      </c>
      <c r="K4183" t="s">
        <v>1618</v>
      </c>
      <c r="L4183" t="s">
        <v>4166</v>
      </c>
      <c r="M4183" t="s">
        <v>1624</v>
      </c>
      <c r="N4183">
        <v>55.54</v>
      </c>
      <c r="O4183" s="49">
        <v>45348</v>
      </c>
      <c r="P4183" s="50">
        <v>47.357999999999997</v>
      </c>
    </row>
    <row r="4184" spans="4:16" x14ac:dyDescent="0.2">
      <c r="D4184">
        <v>100002479</v>
      </c>
      <c r="E4184" s="49">
        <v>44989</v>
      </c>
      <c r="F4184" t="s">
        <v>4167</v>
      </c>
      <c r="G4184" t="s">
        <v>1916</v>
      </c>
      <c r="H4184">
        <v>5</v>
      </c>
      <c r="I4184">
        <v>104.76</v>
      </c>
      <c r="J4184" s="50">
        <v>523.80000000000007</v>
      </c>
      <c r="K4184" t="s">
        <v>1618</v>
      </c>
      <c r="L4184" t="s">
        <v>4168</v>
      </c>
      <c r="M4184" t="s">
        <v>1627</v>
      </c>
      <c r="N4184">
        <v>55.29</v>
      </c>
      <c r="O4184" s="49">
        <v>44992</v>
      </c>
      <c r="P4184" s="50">
        <v>235.71000000000004</v>
      </c>
    </row>
    <row r="4185" spans="4:16" x14ac:dyDescent="0.2">
      <c r="D4185">
        <v>100002479</v>
      </c>
      <c r="E4185" s="49">
        <v>44890</v>
      </c>
      <c r="F4185" t="s">
        <v>4167</v>
      </c>
      <c r="G4185" t="s">
        <v>2372</v>
      </c>
      <c r="H4185">
        <v>6</v>
      </c>
      <c r="I4185">
        <v>23.29</v>
      </c>
      <c r="J4185" s="50">
        <v>139.74</v>
      </c>
      <c r="K4185" t="s">
        <v>1618</v>
      </c>
      <c r="L4185" t="s">
        <v>4168</v>
      </c>
      <c r="M4185" t="s">
        <v>1621</v>
      </c>
      <c r="N4185">
        <v>12.29</v>
      </c>
      <c r="O4185" s="49">
        <v>44893</v>
      </c>
      <c r="P4185" s="50">
        <v>62.883000000000003</v>
      </c>
    </row>
    <row r="4186" spans="4:16" x14ac:dyDescent="0.2">
      <c r="D4186">
        <v>100002480</v>
      </c>
      <c r="E4186" s="49">
        <v>44837</v>
      </c>
      <c r="F4186" t="s">
        <v>2812</v>
      </c>
      <c r="G4186" t="s">
        <v>2096</v>
      </c>
      <c r="H4186">
        <v>4</v>
      </c>
      <c r="I4186">
        <v>115.28</v>
      </c>
      <c r="J4186" s="50">
        <v>461.12</v>
      </c>
      <c r="K4186" t="s">
        <v>1618</v>
      </c>
      <c r="M4186" t="s">
        <v>1619</v>
      </c>
      <c r="N4186">
        <v>60.84</v>
      </c>
      <c r="O4186" s="49">
        <v>44841</v>
      </c>
      <c r="P4186" s="50">
        <v>207.50400000000002</v>
      </c>
    </row>
    <row r="4187" spans="4:16" x14ac:dyDescent="0.2">
      <c r="D4187">
        <v>100002480</v>
      </c>
      <c r="E4187" s="49">
        <v>44971</v>
      </c>
      <c r="F4187" t="s">
        <v>2812</v>
      </c>
      <c r="G4187" t="s">
        <v>2174</v>
      </c>
      <c r="H4187">
        <v>7</v>
      </c>
      <c r="I4187">
        <v>13.63</v>
      </c>
      <c r="J4187" s="50">
        <v>95.410000000000011</v>
      </c>
      <c r="K4187" t="s">
        <v>1618</v>
      </c>
      <c r="M4187" t="s">
        <v>1619</v>
      </c>
      <c r="N4187">
        <v>7.19</v>
      </c>
      <c r="O4187" s="49">
        <v>44973</v>
      </c>
      <c r="P4187" s="50">
        <v>42.934500000000007</v>
      </c>
    </row>
    <row r="4188" spans="4:16" x14ac:dyDescent="0.2">
      <c r="D4188">
        <v>100002480</v>
      </c>
      <c r="E4188" s="49">
        <v>44711</v>
      </c>
      <c r="F4188" t="s">
        <v>2812</v>
      </c>
      <c r="G4188" t="s">
        <v>2301</v>
      </c>
      <c r="H4188">
        <v>7</v>
      </c>
      <c r="I4188">
        <v>26.99</v>
      </c>
      <c r="J4188" s="50">
        <v>188.93</v>
      </c>
      <c r="K4188" t="s">
        <v>1618</v>
      </c>
      <c r="M4188" t="s">
        <v>1627</v>
      </c>
      <c r="N4188">
        <v>14.24</v>
      </c>
      <c r="O4188" s="49">
        <v>44715</v>
      </c>
      <c r="P4188" s="50">
        <v>85.018500000000003</v>
      </c>
    </row>
    <row r="4189" spans="4:16" x14ac:dyDescent="0.2">
      <c r="D4189">
        <v>100002480</v>
      </c>
      <c r="E4189" s="49">
        <v>45007</v>
      </c>
      <c r="F4189" t="s">
        <v>2812</v>
      </c>
      <c r="G4189" t="s">
        <v>1842</v>
      </c>
      <c r="H4189">
        <v>10</v>
      </c>
      <c r="I4189">
        <v>68.97</v>
      </c>
      <c r="J4189" s="50">
        <v>689.7</v>
      </c>
      <c r="K4189" t="s">
        <v>1618</v>
      </c>
      <c r="M4189" t="s">
        <v>1621</v>
      </c>
      <c r="N4189">
        <v>36.4</v>
      </c>
      <c r="O4189" s="49">
        <v>45010</v>
      </c>
      <c r="P4189" s="50">
        <v>310.36500000000001</v>
      </c>
    </row>
    <row r="4190" spans="4:16" x14ac:dyDescent="0.2">
      <c r="D4190">
        <v>100002481</v>
      </c>
      <c r="E4190" s="49">
        <v>44394</v>
      </c>
      <c r="F4190" t="s">
        <v>4169</v>
      </c>
      <c r="G4190" t="s">
        <v>2147</v>
      </c>
      <c r="H4190">
        <v>10</v>
      </c>
      <c r="I4190">
        <v>20.79</v>
      </c>
      <c r="J4190" s="50">
        <v>207.9</v>
      </c>
      <c r="K4190" t="s">
        <v>1618</v>
      </c>
      <c r="L4190" t="s">
        <v>4170</v>
      </c>
      <c r="M4190" t="s">
        <v>1619</v>
      </c>
      <c r="N4190">
        <v>10.97</v>
      </c>
      <c r="O4190" s="49">
        <v>44397</v>
      </c>
      <c r="P4190" s="50">
        <v>93.555000000000007</v>
      </c>
    </row>
    <row r="4191" spans="4:16" x14ac:dyDescent="0.2">
      <c r="D4191">
        <v>100002482</v>
      </c>
      <c r="E4191" s="49">
        <v>44694</v>
      </c>
      <c r="F4191" t="s">
        <v>4171</v>
      </c>
      <c r="G4191" t="s">
        <v>1823</v>
      </c>
      <c r="H4191">
        <v>8</v>
      </c>
      <c r="I4191">
        <v>41.16</v>
      </c>
      <c r="J4191" s="50">
        <v>329.28</v>
      </c>
      <c r="K4191" t="s">
        <v>1632</v>
      </c>
      <c r="M4191" t="s">
        <v>1619</v>
      </c>
      <c r="N4191">
        <v>21.72</v>
      </c>
      <c r="O4191" s="49">
        <v>44696</v>
      </c>
      <c r="P4191" s="50">
        <v>148.17599999999999</v>
      </c>
    </row>
    <row r="4192" spans="4:16" x14ac:dyDescent="0.2">
      <c r="D4192">
        <v>100002483</v>
      </c>
      <c r="E4192" s="49">
        <v>44576</v>
      </c>
      <c r="F4192" t="s">
        <v>4123</v>
      </c>
      <c r="G4192" t="s">
        <v>1980</v>
      </c>
      <c r="H4192">
        <v>1</v>
      </c>
      <c r="I4192">
        <v>31.92</v>
      </c>
      <c r="J4192" s="50">
        <v>31.92</v>
      </c>
      <c r="K4192" t="s">
        <v>1618</v>
      </c>
      <c r="M4192" t="s">
        <v>1624</v>
      </c>
      <c r="N4192">
        <v>16.850000000000001</v>
      </c>
      <c r="O4192" s="49">
        <v>44578</v>
      </c>
      <c r="P4192" s="50">
        <v>14.364000000000001</v>
      </c>
    </row>
    <row r="4193" spans="4:16" x14ac:dyDescent="0.2">
      <c r="D4193">
        <v>100002484</v>
      </c>
      <c r="E4193" s="49">
        <v>44956</v>
      </c>
      <c r="F4193" t="s">
        <v>4172</v>
      </c>
      <c r="G4193" t="s">
        <v>2132</v>
      </c>
      <c r="H4193">
        <v>9</v>
      </c>
      <c r="I4193">
        <v>70.86</v>
      </c>
      <c r="J4193" s="50">
        <v>637.74</v>
      </c>
      <c r="K4193" t="s">
        <v>1632</v>
      </c>
      <c r="M4193" t="s">
        <v>1621</v>
      </c>
      <c r="N4193">
        <v>37.4</v>
      </c>
      <c r="O4193" s="49">
        <v>44957</v>
      </c>
      <c r="P4193" s="50">
        <v>286.983</v>
      </c>
    </row>
    <row r="4194" spans="4:16" x14ac:dyDescent="0.2">
      <c r="D4194">
        <v>100002484</v>
      </c>
      <c r="E4194" s="49">
        <v>44842</v>
      </c>
      <c r="F4194" t="s">
        <v>4172</v>
      </c>
      <c r="G4194" t="s">
        <v>1872</v>
      </c>
      <c r="H4194">
        <v>5</v>
      </c>
      <c r="I4194">
        <v>103.87</v>
      </c>
      <c r="J4194" s="50">
        <v>519.35</v>
      </c>
      <c r="K4194" t="s">
        <v>1632</v>
      </c>
      <c r="M4194" t="s">
        <v>1621</v>
      </c>
      <c r="N4194">
        <v>54.82</v>
      </c>
      <c r="O4194" s="49">
        <v>44846</v>
      </c>
      <c r="P4194" s="50">
        <v>233.70750000000001</v>
      </c>
    </row>
    <row r="4195" spans="4:16" x14ac:dyDescent="0.2">
      <c r="D4195">
        <v>100002484</v>
      </c>
      <c r="E4195" s="49">
        <v>44563</v>
      </c>
      <c r="F4195" t="s">
        <v>4172</v>
      </c>
      <c r="G4195" t="s">
        <v>1985</v>
      </c>
      <c r="H4195">
        <v>3</v>
      </c>
      <c r="I4195">
        <v>68.56</v>
      </c>
      <c r="J4195" s="50">
        <v>205.68</v>
      </c>
      <c r="K4195" t="s">
        <v>1632</v>
      </c>
      <c r="M4195" t="s">
        <v>1629</v>
      </c>
      <c r="N4195">
        <v>36.18</v>
      </c>
      <c r="O4195" s="49">
        <v>44568</v>
      </c>
      <c r="P4195" s="50">
        <v>92.556000000000012</v>
      </c>
    </row>
    <row r="4196" spans="4:16" x14ac:dyDescent="0.2">
      <c r="D4196">
        <v>100002484</v>
      </c>
      <c r="E4196" s="49">
        <v>44917</v>
      </c>
      <c r="F4196" t="s">
        <v>4172</v>
      </c>
      <c r="G4196" t="s">
        <v>1830</v>
      </c>
      <c r="H4196">
        <v>2</v>
      </c>
      <c r="I4196">
        <v>12.61</v>
      </c>
      <c r="J4196" s="50">
        <v>25.22</v>
      </c>
      <c r="K4196" t="s">
        <v>1632</v>
      </c>
      <c r="M4196" t="s">
        <v>1621</v>
      </c>
      <c r="N4196">
        <v>6.66</v>
      </c>
      <c r="O4196" s="49">
        <v>44921</v>
      </c>
      <c r="P4196" s="50">
        <v>11.349</v>
      </c>
    </row>
    <row r="4197" spans="4:16" x14ac:dyDescent="0.2">
      <c r="D4197">
        <v>100002485</v>
      </c>
      <c r="E4197" s="49">
        <v>44916</v>
      </c>
      <c r="F4197" t="s">
        <v>4173</v>
      </c>
      <c r="G4197" t="s">
        <v>1672</v>
      </c>
      <c r="H4197">
        <v>10</v>
      </c>
      <c r="I4197">
        <v>46.42</v>
      </c>
      <c r="J4197" s="50">
        <v>464.2</v>
      </c>
      <c r="K4197" t="s">
        <v>1632</v>
      </c>
      <c r="M4197" t="s">
        <v>1621</v>
      </c>
      <c r="N4197">
        <v>24.5</v>
      </c>
      <c r="O4197" s="49">
        <v>44919</v>
      </c>
      <c r="P4197" s="50">
        <v>208.89</v>
      </c>
    </row>
    <row r="4198" spans="4:16" x14ac:dyDescent="0.2">
      <c r="D4198">
        <v>100002485</v>
      </c>
      <c r="E4198" s="49">
        <v>44452</v>
      </c>
      <c r="F4198" t="s">
        <v>4173</v>
      </c>
      <c r="G4198" t="s">
        <v>1637</v>
      </c>
      <c r="H4198">
        <v>6</v>
      </c>
      <c r="I4198">
        <v>46.47</v>
      </c>
      <c r="J4198" s="50">
        <v>278.82</v>
      </c>
      <c r="K4198" t="s">
        <v>1632</v>
      </c>
      <c r="M4198" t="s">
        <v>1627</v>
      </c>
      <c r="N4198">
        <v>24.53</v>
      </c>
      <c r="O4198" s="49">
        <v>44455</v>
      </c>
      <c r="P4198" s="50">
        <v>125.46899999999999</v>
      </c>
    </row>
    <row r="4199" spans="4:16" x14ac:dyDescent="0.2">
      <c r="D4199">
        <v>100002486</v>
      </c>
      <c r="E4199" s="49">
        <v>45439</v>
      </c>
      <c r="F4199" t="s">
        <v>4174</v>
      </c>
      <c r="G4199" t="s">
        <v>2088</v>
      </c>
      <c r="H4199">
        <v>10</v>
      </c>
      <c r="I4199">
        <v>30.34</v>
      </c>
      <c r="J4199" s="50">
        <v>303.39999999999998</v>
      </c>
      <c r="K4199" t="s">
        <v>1618</v>
      </c>
      <c r="M4199" t="s">
        <v>1619</v>
      </c>
      <c r="N4199">
        <v>16.010000000000002</v>
      </c>
      <c r="O4199" s="49">
        <v>45440</v>
      </c>
      <c r="P4199" s="50">
        <v>136.53</v>
      </c>
    </row>
    <row r="4200" spans="4:16" x14ac:dyDescent="0.2">
      <c r="D4200">
        <v>100002486</v>
      </c>
      <c r="E4200" s="49">
        <v>44623</v>
      </c>
      <c r="F4200" t="s">
        <v>4174</v>
      </c>
      <c r="G4200" t="s">
        <v>1639</v>
      </c>
      <c r="H4200">
        <v>9</v>
      </c>
      <c r="I4200">
        <v>79.42</v>
      </c>
      <c r="J4200" s="50">
        <v>714.78</v>
      </c>
      <c r="K4200" t="s">
        <v>1618</v>
      </c>
      <c r="M4200" t="s">
        <v>1629</v>
      </c>
      <c r="N4200">
        <v>41.92</v>
      </c>
      <c r="O4200" s="49">
        <v>44627</v>
      </c>
      <c r="P4200" s="50">
        <v>321.65100000000001</v>
      </c>
    </row>
    <row r="4201" spans="4:16" x14ac:dyDescent="0.2">
      <c r="D4201">
        <v>100002486</v>
      </c>
      <c r="E4201" s="49">
        <v>45165</v>
      </c>
      <c r="F4201" t="s">
        <v>4174</v>
      </c>
      <c r="G4201" t="s">
        <v>1688</v>
      </c>
      <c r="H4201">
        <v>9</v>
      </c>
      <c r="I4201">
        <v>112.96</v>
      </c>
      <c r="J4201" s="50">
        <v>1016.64</v>
      </c>
      <c r="K4201" t="s">
        <v>1618</v>
      </c>
      <c r="M4201" t="s">
        <v>1627</v>
      </c>
      <c r="N4201">
        <v>59.62</v>
      </c>
      <c r="O4201" s="49">
        <v>45167</v>
      </c>
      <c r="P4201" s="50">
        <v>457.488</v>
      </c>
    </row>
    <row r="4202" spans="4:16" x14ac:dyDescent="0.2">
      <c r="D4202">
        <v>100002486</v>
      </c>
      <c r="E4202" s="49">
        <v>44576</v>
      </c>
      <c r="F4202" t="s">
        <v>4174</v>
      </c>
      <c r="G4202" t="s">
        <v>1947</v>
      </c>
      <c r="H4202">
        <v>5</v>
      </c>
      <c r="I4202">
        <v>83.79</v>
      </c>
      <c r="J4202" s="50">
        <v>418.95</v>
      </c>
      <c r="K4202" t="s">
        <v>1618</v>
      </c>
      <c r="M4202" t="s">
        <v>1624</v>
      </c>
      <c r="N4202">
        <v>44.22</v>
      </c>
      <c r="O4202" s="49">
        <v>44578</v>
      </c>
      <c r="P4202" s="50">
        <v>188.5275</v>
      </c>
    </row>
    <row r="4203" spans="4:16" x14ac:dyDescent="0.2">
      <c r="D4203">
        <v>100002487</v>
      </c>
      <c r="E4203" s="49">
        <v>45217</v>
      </c>
      <c r="F4203" t="s">
        <v>4175</v>
      </c>
      <c r="G4203" t="s">
        <v>1733</v>
      </c>
      <c r="H4203">
        <v>8</v>
      </c>
      <c r="I4203">
        <v>88.11</v>
      </c>
      <c r="J4203" s="50">
        <v>704.88</v>
      </c>
      <c r="K4203" t="s">
        <v>1618</v>
      </c>
      <c r="M4203" t="s">
        <v>1629</v>
      </c>
      <c r="N4203">
        <v>46.5</v>
      </c>
      <c r="O4203" s="49">
        <v>45222</v>
      </c>
      <c r="P4203" s="50">
        <v>317.19600000000003</v>
      </c>
    </row>
    <row r="4204" spans="4:16" x14ac:dyDescent="0.2">
      <c r="D4204">
        <v>100002487</v>
      </c>
      <c r="E4204" s="49">
        <v>45370</v>
      </c>
      <c r="F4204" t="s">
        <v>4175</v>
      </c>
      <c r="G4204" t="s">
        <v>1681</v>
      </c>
      <c r="H4204">
        <v>10</v>
      </c>
      <c r="I4204">
        <v>87.63</v>
      </c>
      <c r="J4204" s="50">
        <v>876.3</v>
      </c>
      <c r="K4204" t="s">
        <v>1618</v>
      </c>
      <c r="M4204" t="s">
        <v>1629</v>
      </c>
      <c r="N4204">
        <v>46.25</v>
      </c>
      <c r="O4204" s="49">
        <v>45372</v>
      </c>
      <c r="P4204" s="50">
        <v>394.33499999999998</v>
      </c>
    </row>
    <row r="4205" spans="4:16" x14ac:dyDescent="0.2">
      <c r="D4205">
        <v>100002487</v>
      </c>
      <c r="E4205" s="49">
        <v>45273</v>
      </c>
      <c r="F4205" t="s">
        <v>4175</v>
      </c>
      <c r="G4205" t="s">
        <v>1727</v>
      </c>
      <c r="H4205">
        <v>8</v>
      </c>
      <c r="I4205">
        <v>14.05</v>
      </c>
      <c r="J4205" s="50">
        <v>112.4</v>
      </c>
      <c r="K4205" t="s">
        <v>1618</v>
      </c>
      <c r="M4205" t="s">
        <v>1624</v>
      </c>
      <c r="N4205">
        <v>7.42</v>
      </c>
      <c r="O4205" s="49">
        <v>45277</v>
      </c>
      <c r="P4205" s="50">
        <v>50.580000000000005</v>
      </c>
    </row>
    <row r="4206" spans="4:16" x14ac:dyDescent="0.2">
      <c r="D4206">
        <v>100002487</v>
      </c>
      <c r="E4206" s="49">
        <v>44326</v>
      </c>
      <c r="F4206" t="s">
        <v>4175</v>
      </c>
      <c r="G4206" t="s">
        <v>2328</v>
      </c>
      <c r="H4206">
        <v>10</v>
      </c>
      <c r="I4206">
        <v>21.77</v>
      </c>
      <c r="J4206" s="50">
        <v>217.7</v>
      </c>
      <c r="K4206" t="s">
        <v>1618</v>
      </c>
      <c r="M4206" t="s">
        <v>1624</v>
      </c>
      <c r="N4206">
        <v>11.49</v>
      </c>
      <c r="O4206" s="49">
        <v>44329</v>
      </c>
      <c r="P4206" s="50">
        <v>97.965000000000003</v>
      </c>
    </row>
    <row r="4207" spans="4:16" x14ac:dyDescent="0.2">
      <c r="D4207">
        <v>100002487</v>
      </c>
      <c r="E4207" s="49">
        <v>45633</v>
      </c>
      <c r="F4207" t="s">
        <v>4175</v>
      </c>
      <c r="G4207" t="s">
        <v>1766</v>
      </c>
      <c r="H4207">
        <v>6</v>
      </c>
      <c r="I4207">
        <v>106.27</v>
      </c>
      <c r="J4207" s="50">
        <v>637.62</v>
      </c>
      <c r="K4207" t="s">
        <v>1618</v>
      </c>
      <c r="M4207" t="s">
        <v>1627</v>
      </c>
      <c r="N4207">
        <v>56.09</v>
      </c>
      <c r="O4207" s="49">
        <v>45636</v>
      </c>
      <c r="P4207" s="50">
        <v>286.92900000000003</v>
      </c>
    </row>
    <row r="4208" spans="4:16" x14ac:dyDescent="0.2">
      <c r="D4208">
        <v>100002488</v>
      </c>
      <c r="E4208" s="49">
        <v>44598</v>
      </c>
      <c r="F4208" t="s">
        <v>4176</v>
      </c>
      <c r="G4208" t="s">
        <v>1697</v>
      </c>
      <c r="H4208">
        <v>6</v>
      </c>
      <c r="I4208">
        <v>86.79</v>
      </c>
      <c r="J4208" s="50">
        <v>520.74</v>
      </c>
      <c r="K4208" t="s">
        <v>1632</v>
      </c>
      <c r="M4208" t="s">
        <v>1627</v>
      </c>
      <c r="N4208">
        <v>45.81</v>
      </c>
      <c r="O4208" s="49">
        <v>44603</v>
      </c>
      <c r="P4208" s="50">
        <v>234.333</v>
      </c>
    </row>
    <row r="4209" spans="4:16" x14ac:dyDescent="0.2">
      <c r="D4209">
        <v>100002488</v>
      </c>
      <c r="E4209" s="49">
        <v>44853</v>
      </c>
      <c r="F4209" t="s">
        <v>4176</v>
      </c>
      <c r="G4209" t="s">
        <v>1664</v>
      </c>
      <c r="H4209">
        <v>2</v>
      </c>
      <c r="I4209">
        <v>23.87</v>
      </c>
      <c r="J4209" s="50">
        <v>47.74</v>
      </c>
      <c r="K4209" t="s">
        <v>1632</v>
      </c>
      <c r="M4209" t="s">
        <v>1627</v>
      </c>
      <c r="N4209">
        <v>12.6</v>
      </c>
      <c r="O4209" s="49">
        <v>44857</v>
      </c>
      <c r="P4209" s="50">
        <v>21.483000000000001</v>
      </c>
    </row>
    <row r="4210" spans="4:16" x14ac:dyDescent="0.2">
      <c r="D4210">
        <v>100002489</v>
      </c>
      <c r="E4210" s="49">
        <v>45386</v>
      </c>
      <c r="F4210" t="s">
        <v>4177</v>
      </c>
      <c r="G4210" t="s">
        <v>1631</v>
      </c>
      <c r="H4210">
        <v>2</v>
      </c>
      <c r="I4210">
        <v>57.76</v>
      </c>
      <c r="J4210" s="50">
        <v>115.52</v>
      </c>
      <c r="K4210" t="s">
        <v>1618</v>
      </c>
      <c r="M4210" t="s">
        <v>1619</v>
      </c>
      <c r="N4210">
        <v>30.48</v>
      </c>
      <c r="O4210" s="49">
        <v>45390</v>
      </c>
      <c r="P4210" s="50">
        <v>51.984000000000002</v>
      </c>
    </row>
    <row r="4211" spans="4:16" x14ac:dyDescent="0.2">
      <c r="D4211">
        <v>100002490</v>
      </c>
      <c r="E4211" s="49">
        <v>45136</v>
      </c>
      <c r="F4211" t="s">
        <v>4178</v>
      </c>
      <c r="G4211" t="s">
        <v>2121</v>
      </c>
      <c r="H4211">
        <v>7</v>
      </c>
      <c r="I4211">
        <v>62.44</v>
      </c>
      <c r="J4211" s="50">
        <v>437.08</v>
      </c>
      <c r="K4211" t="s">
        <v>1618</v>
      </c>
      <c r="M4211" t="s">
        <v>1619</v>
      </c>
      <c r="N4211">
        <v>32.950000000000003</v>
      </c>
      <c r="O4211" s="49">
        <v>45141</v>
      </c>
      <c r="P4211" s="50">
        <v>196.68600000000001</v>
      </c>
    </row>
    <row r="4212" spans="4:16" x14ac:dyDescent="0.2">
      <c r="D4212">
        <v>100002490</v>
      </c>
      <c r="E4212" s="49">
        <v>44264</v>
      </c>
      <c r="F4212" t="s">
        <v>4178</v>
      </c>
      <c r="G4212" t="s">
        <v>1705</v>
      </c>
      <c r="H4212">
        <v>6</v>
      </c>
      <c r="I4212">
        <v>107.38</v>
      </c>
      <c r="J4212" s="50">
        <v>644.28</v>
      </c>
      <c r="K4212" t="s">
        <v>1618</v>
      </c>
      <c r="M4212" t="s">
        <v>1621</v>
      </c>
      <c r="N4212">
        <v>56.67</v>
      </c>
      <c r="O4212" s="49">
        <v>44268</v>
      </c>
      <c r="P4212" s="50">
        <v>289.92599999999999</v>
      </c>
    </row>
    <row r="4213" spans="4:16" x14ac:dyDescent="0.2">
      <c r="D4213">
        <v>100002490</v>
      </c>
      <c r="E4213" s="49">
        <v>44784</v>
      </c>
      <c r="F4213" t="s">
        <v>4178</v>
      </c>
      <c r="G4213" t="s">
        <v>2375</v>
      </c>
      <c r="H4213">
        <v>6</v>
      </c>
      <c r="I4213">
        <v>43.83</v>
      </c>
      <c r="J4213" s="50">
        <v>262.98</v>
      </c>
      <c r="K4213" t="s">
        <v>1618</v>
      </c>
      <c r="M4213" t="s">
        <v>1624</v>
      </c>
      <c r="N4213">
        <v>23.13</v>
      </c>
      <c r="O4213" s="49">
        <v>44789</v>
      </c>
      <c r="P4213" s="50">
        <v>118.34100000000001</v>
      </c>
    </row>
    <row r="4214" spans="4:16" x14ac:dyDescent="0.2">
      <c r="D4214">
        <v>100002491</v>
      </c>
      <c r="E4214" s="49">
        <v>44615</v>
      </c>
      <c r="F4214" t="s">
        <v>4179</v>
      </c>
      <c r="G4214" t="s">
        <v>1985</v>
      </c>
      <c r="H4214">
        <v>4</v>
      </c>
      <c r="I4214">
        <v>70.19</v>
      </c>
      <c r="J4214" s="50">
        <v>280.76</v>
      </c>
      <c r="K4214" t="s">
        <v>1632</v>
      </c>
      <c r="M4214" t="s">
        <v>1621</v>
      </c>
      <c r="N4214">
        <v>37.04</v>
      </c>
      <c r="O4214" s="49">
        <v>44618</v>
      </c>
      <c r="P4214" s="50">
        <v>126.342</v>
      </c>
    </row>
    <row r="4215" spans="4:16" x14ac:dyDescent="0.2">
      <c r="D4215">
        <v>100002492</v>
      </c>
      <c r="E4215" s="49">
        <v>45278</v>
      </c>
      <c r="F4215" t="s">
        <v>4180</v>
      </c>
      <c r="G4215" t="s">
        <v>2050</v>
      </c>
      <c r="H4215">
        <v>6</v>
      </c>
      <c r="I4215">
        <v>35.85</v>
      </c>
      <c r="J4215" s="50">
        <v>215.1</v>
      </c>
      <c r="K4215" t="s">
        <v>1632</v>
      </c>
      <c r="M4215" t="s">
        <v>1629</v>
      </c>
      <c r="N4215">
        <v>18.920000000000002</v>
      </c>
      <c r="O4215" s="49">
        <v>45280</v>
      </c>
      <c r="P4215" s="50">
        <v>96.795000000000002</v>
      </c>
    </row>
    <row r="4216" spans="4:16" x14ac:dyDescent="0.2">
      <c r="D4216">
        <v>100002495</v>
      </c>
      <c r="E4216" s="49">
        <v>44587</v>
      </c>
      <c r="F4216" t="s">
        <v>4181</v>
      </c>
      <c r="G4216" t="s">
        <v>2427</v>
      </c>
      <c r="H4216">
        <v>4</v>
      </c>
      <c r="I4216">
        <v>92.48</v>
      </c>
      <c r="J4216" s="50">
        <v>369.92</v>
      </c>
      <c r="K4216" t="s">
        <v>1618</v>
      </c>
      <c r="M4216" t="s">
        <v>1621</v>
      </c>
      <c r="N4216">
        <v>48.81</v>
      </c>
      <c r="O4216" s="49">
        <v>44590</v>
      </c>
      <c r="P4216" s="50">
        <v>166.464</v>
      </c>
    </row>
    <row r="4217" spans="4:16" x14ac:dyDescent="0.2">
      <c r="D4217">
        <v>100002497</v>
      </c>
      <c r="E4217" s="49">
        <v>44691</v>
      </c>
      <c r="F4217" t="s">
        <v>4182</v>
      </c>
      <c r="G4217" t="s">
        <v>2692</v>
      </c>
      <c r="H4217">
        <v>3</v>
      </c>
      <c r="I4217">
        <v>83.99</v>
      </c>
      <c r="J4217" s="50">
        <v>251.97</v>
      </c>
      <c r="K4217" t="s">
        <v>1632</v>
      </c>
      <c r="M4217" t="s">
        <v>1619</v>
      </c>
      <c r="N4217">
        <v>44.33</v>
      </c>
      <c r="O4217" s="49">
        <v>44693</v>
      </c>
      <c r="P4217" s="50">
        <v>113.3865</v>
      </c>
    </row>
    <row r="4218" spans="4:16" x14ac:dyDescent="0.2">
      <c r="D4218">
        <v>100002497</v>
      </c>
      <c r="E4218" s="49">
        <v>45513</v>
      </c>
      <c r="F4218" t="s">
        <v>4182</v>
      </c>
      <c r="G4218" t="s">
        <v>1704</v>
      </c>
      <c r="H4218">
        <v>3</v>
      </c>
      <c r="I4218">
        <v>62.22</v>
      </c>
      <c r="J4218" s="50">
        <v>186.66</v>
      </c>
      <c r="K4218" t="s">
        <v>1632</v>
      </c>
      <c r="M4218" t="s">
        <v>1624</v>
      </c>
      <c r="N4218">
        <v>32.840000000000003</v>
      </c>
      <c r="O4218" s="49">
        <v>45514</v>
      </c>
      <c r="P4218" s="50">
        <v>83.997</v>
      </c>
    </row>
    <row r="4219" spans="4:16" x14ac:dyDescent="0.2">
      <c r="D4219">
        <v>100002497</v>
      </c>
      <c r="E4219" s="49">
        <v>44662</v>
      </c>
      <c r="F4219" t="s">
        <v>4182</v>
      </c>
      <c r="G4219" t="s">
        <v>1787</v>
      </c>
      <c r="H4219">
        <v>4</v>
      </c>
      <c r="I4219">
        <v>14.43</v>
      </c>
      <c r="J4219" s="50">
        <v>57.72</v>
      </c>
      <c r="K4219" t="s">
        <v>1632</v>
      </c>
      <c r="M4219" t="s">
        <v>1621</v>
      </c>
      <c r="N4219">
        <v>7.62</v>
      </c>
      <c r="O4219" s="49">
        <v>44665</v>
      </c>
      <c r="P4219" s="50">
        <v>25.974</v>
      </c>
    </row>
    <row r="4220" spans="4:16" x14ac:dyDescent="0.2">
      <c r="D4220">
        <v>100002498</v>
      </c>
      <c r="E4220" s="49">
        <v>45366</v>
      </c>
      <c r="F4220" t="s">
        <v>4183</v>
      </c>
      <c r="G4220" t="s">
        <v>1767</v>
      </c>
      <c r="H4220">
        <v>3</v>
      </c>
      <c r="I4220">
        <v>29.57</v>
      </c>
      <c r="J4220" s="50">
        <v>88.710000000000008</v>
      </c>
      <c r="K4220" t="s">
        <v>1632</v>
      </c>
      <c r="M4220" t="s">
        <v>1624</v>
      </c>
      <c r="N4220">
        <v>15.61</v>
      </c>
      <c r="O4220" s="49">
        <v>45370</v>
      </c>
      <c r="P4220" s="50">
        <v>39.919500000000006</v>
      </c>
    </row>
    <row r="4221" spans="4:16" x14ac:dyDescent="0.2">
      <c r="D4221">
        <v>100002499</v>
      </c>
      <c r="E4221" s="49">
        <v>45386</v>
      </c>
      <c r="F4221" t="s">
        <v>4184</v>
      </c>
      <c r="G4221" t="s">
        <v>1971</v>
      </c>
      <c r="H4221">
        <v>3</v>
      </c>
      <c r="I4221">
        <v>72.91</v>
      </c>
      <c r="J4221" s="50">
        <v>218.73</v>
      </c>
      <c r="K4221" t="s">
        <v>1618</v>
      </c>
      <c r="L4221" t="s">
        <v>4185</v>
      </c>
      <c r="M4221" t="s">
        <v>1621</v>
      </c>
      <c r="N4221">
        <v>38.479999999999997</v>
      </c>
      <c r="O4221" s="49">
        <v>45387</v>
      </c>
      <c r="P4221" s="50">
        <v>98.4285</v>
      </c>
    </row>
    <row r="4222" spans="4:16" x14ac:dyDescent="0.2">
      <c r="D4222">
        <v>100002500</v>
      </c>
      <c r="E4222" s="49">
        <v>44442</v>
      </c>
      <c r="F4222" t="s">
        <v>4186</v>
      </c>
      <c r="G4222" t="s">
        <v>2065</v>
      </c>
      <c r="H4222">
        <v>4</v>
      </c>
      <c r="I4222">
        <v>26.6</v>
      </c>
      <c r="J4222" s="50">
        <v>106.4</v>
      </c>
      <c r="K4222" t="s">
        <v>1618</v>
      </c>
      <c r="M4222" t="s">
        <v>1621</v>
      </c>
      <c r="N4222">
        <v>14.04</v>
      </c>
      <c r="O4222" s="49">
        <v>44445</v>
      </c>
      <c r="P4222" s="50">
        <v>47.88</v>
      </c>
    </row>
    <row r="4223" spans="4:16" x14ac:dyDescent="0.2">
      <c r="D4223">
        <v>100002500</v>
      </c>
      <c r="E4223" s="49">
        <v>44743</v>
      </c>
      <c r="F4223" t="s">
        <v>4186</v>
      </c>
      <c r="G4223" t="s">
        <v>1808</v>
      </c>
      <c r="H4223">
        <v>5</v>
      </c>
      <c r="I4223">
        <v>59.98</v>
      </c>
      <c r="J4223" s="50">
        <v>299.89999999999998</v>
      </c>
      <c r="K4223" t="s">
        <v>1618</v>
      </c>
      <c r="M4223" t="s">
        <v>1624</v>
      </c>
      <c r="N4223">
        <v>31.66</v>
      </c>
      <c r="O4223" s="49">
        <v>44746</v>
      </c>
      <c r="P4223" s="50">
        <v>134.95499999999998</v>
      </c>
    </row>
    <row r="4224" spans="4:16" x14ac:dyDescent="0.2">
      <c r="D4224">
        <v>100002500</v>
      </c>
      <c r="E4224" s="49">
        <v>45179</v>
      </c>
      <c r="F4224" t="s">
        <v>4186</v>
      </c>
      <c r="G4224" t="s">
        <v>1661</v>
      </c>
      <c r="H4224">
        <v>4</v>
      </c>
      <c r="I4224">
        <v>90.28</v>
      </c>
      <c r="J4224" s="50">
        <v>361.12</v>
      </c>
      <c r="K4224" t="s">
        <v>1618</v>
      </c>
      <c r="M4224" t="s">
        <v>1627</v>
      </c>
      <c r="N4224">
        <v>47.65</v>
      </c>
      <c r="O4224" s="49">
        <v>45184</v>
      </c>
      <c r="P4224" s="50">
        <v>162.50400000000002</v>
      </c>
    </row>
    <row r="4225" spans="4:16" x14ac:dyDescent="0.2">
      <c r="D4225">
        <v>100002500</v>
      </c>
      <c r="E4225" s="49">
        <v>45589</v>
      </c>
      <c r="F4225" t="s">
        <v>4186</v>
      </c>
      <c r="G4225" t="s">
        <v>2745</v>
      </c>
      <c r="H4225">
        <v>8</v>
      </c>
      <c r="I4225">
        <v>56.71</v>
      </c>
      <c r="J4225" s="50">
        <v>453.68</v>
      </c>
      <c r="K4225" t="s">
        <v>1618</v>
      </c>
      <c r="M4225" t="s">
        <v>1621</v>
      </c>
      <c r="N4225">
        <v>29.93</v>
      </c>
      <c r="O4225" s="49">
        <v>45591</v>
      </c>
      <c r="P4225" s="50">
        <v>204.15600000000001</v>
      </c>
    </row>
    <row r="4226" spans="4:16" x14ac:dyDescent="0.2">
      <c r="D4226">
        <v>100002500</v>
      </c>
      <c r="E4226" s="49">
        <v>44693</v>
      </c>
      <c r="F4226" t="s">
        <v>4186</v>
      </c>
      <c r="G4226" t="s">
        <v>1645</v>
      </c>
      <c r="H4226">
        <v>8</v>
      </c>
      <c r="I4226">
        <v>104.26</v>
      </c>
      <c r="J4226" s="50">
        <v>834.08</v>
      </c>
      <c r="K4226" t="s">
        <v>1618</v>
      </c>
      <c r="M4226" t="s">
        <v>1621</v>
      </c>
      <c r="N4226">
        <v>55.03</v>
      </c>
      <c r="O4226" s="49">
        <v>44694</v>
      </c>
      <c r="P4226" s="50">
        <v>375.33600000000001</v>
      </c>
    </row>
    <row r="4227" spans="4:16" x14ac:dyDescent="0.2">
      <c r="D4227">
        <v>100002500</v>
      </c>
      <c r="E4227" s="49">
        <v>44328</v>
      </c>
      <c r="F4227" t="s">
        <v>4186</v>
      </c>
      <c r="G4227" t="s">
        <v>1787</v>
      </c>
      <c r="H4227">
        <v>8</v>
      </c>
      <c r="I4227">
        <v>101.66</v>
      </c>
      <c r="J4227" s="50">
        <v>813.28</v>
      </c>
      <c r="K4227" t="s">
        <v>1618</v>
      </c>
      <c r="M4227" t="s">
        <v>1619</v>
      </c>
      <c r="N4227">
        <v>53.65</v>
      </c>
      <c r="O4227" s="49">
        <v>44331</v>
      </c>
      <c r="P4227" s="50">
        <v>365.976</v>
      </c>
    </row>
    <row r="4228" spans="4:16" x14ac:dyDescent="0.2">
      <c r="D4228">
        <v>100002500</v>
      </c>
      <c r="E4228" s="49">
        <v>44457</v>
      </c>
      <c r="F4228" t="s">
        <v>4186</v>
      </c>
      <c r="G4228" t="s">
        <v>1950</v>
      </c>
      <c r="H4228">
        <v>2</v>
      </c>
      <c r="I4228">
        <v>62.16</v>
      </c>
      <c r="J4228" s="50">
        <v>124.32</v>
      </c>
      <c r="K4228" t="s">
        <v>1618</v>
      </c>
      <c r="M4228" t="s">
        <v>1624</v>
      </c>
      <c r="N4228">
        <v>32.81</v>
      </c>
      <c r="O4228" s="49">
        <v>44462</v>
      </c>
      <c r="P4228" s="50">
        <v>55.943999999999996</v>
      </c>
    </row>
    <row r="4229" spans="4:16" x14ac:dyDescent="0.2">
      <c r="D4229">
        <v>100002500</v>
      </c>
      <c r="E4229" s="49">
        <v>45081</v>
      </c>
      <c r="F4229" t="s">
        <v>4186</v>
      </c>
      <c r="G4229" t="s">
        <v>2692</v>
      </c>
      <c r="H4229">
        <v>6</v>
      </c>
      <c r="I4229">
        <v>119.69</v>
      </c>
      <c r="J4229" s="50">
        <v>718.14</v>
      </c>
      <c r="K4229" t="s">
        <v>1618</v>
      </c>
      <c r="M4229" t="s">
        <v>1624</v>
      </c>
      <c r="N4229">
        <v>63.17</v>
      </c>
      <c r="O4229" s="49">
        <v>45082</v>
      </c>
      <c r="P4229" s="50">
        <v>323.16300000000001</v>
      </c>
    </row>
    <row r="4230" spans="4:16" x14ac:dyDescent="0.2">
      <c r="D4230">
        <v>100002500</v>
      </c>
      <c r="E4230" s="49">
        <v>44875</v>
      </c>
      <c r="F4230" t="s">
        <v>4186</v>
      </c>
      <c r="G4230" t="s">
        <v>2348</v>
      </c>
      <c r="H4230">
        <v>2</v>
      </c>
      <c r="I4230">
        <v>97.64</v>
      </c>
      <c r="J4230" s="50">
        <v>195.28</v>
      </c>
      <c r="K4230" t="s">
        <v>1618</v>
      </c>
      <c r="M4230" t="s">
        <v>1621</v>
      </c>
      <c r="N4230">
        <v>51.53</v>
      </c>
      <c r="O4230" s="49">
        <v>44878</v>
      </c>
      <c r="P4230" s="50">
        <v>87.876000000000005</v>
      </c>
    </row>
    <row r="4231" spans="4:16" x14ac:dyDescent="0.2">
      <c r="D4231">
        <v>100002500</v>
      </c>
      <c r="E4231" s="49">
        <v>44929</v>
      </c>
      <c r="F4231" t="s">
        <v>4186</v>
      </c>
      <c r="G4231" t="s">
        <v>2050</v>
      </c>
      <c r="H4231">
        <v>3</v>
      </c>
      <c r="I4231">
        <v>16.37</v>
      </c>
      <c r="J4231" s="50">
        <v>49.11</v>
      </c>
      <c r="K4231" t="s">
        <v>1618</v>
      </c>
      <c r="M4231" t="s">
        <v>1627</v>
      </c>
      <c r="N4231">
        <v>8.64</v>
      </c>
      <c r="O4231" s="49">
        <v>44932</v>
      </c>
      <c r="P4231" s="50">
        <v>22.099499999999999</v>
      </c>
    </row>
    <row r="4232" spans="4:16" x14ac:dyDescent="0.2">
      <c r="D4232">
        <v>100002502</v>
      </c>
      <c r="E4232" s="49">
        <v>45420</v>
      </c>
      <c r="F4232" t="s">
        <v>4187</v>
      </c>
      <c r="G4232" t="s">
        <v>1661</v>
      </c>
      <c r="H4232">
        <v>2</v>
      </c>
      <c r="I4232">
        <v>108.45</v>
      </c>
      <c r="J4232" s="50">
        <v>216.9</v>
      </c>
      <c r="K4232" t="s">
        <v>1618</v>
      </c>
      <c r="M4232" t="s">
        <v>1627</v>
      </c>
      <c r="N4232">
        <v>57.24</v>
      </c>
      <c r="O4232" s="49">
        <v>45424</v>
      </c>
      <c r="P4232" s="50">
        <v>97.605000000000004</v>
      </c>
    </row>
    <row r="4233" spans="4:16" x14ac:dyDescent="0.2">
      <c r="D4233">
        <v>100002503</v>
      </c>
      <c r="E4233" s="49">
        <v>44210</v>
      </c>
      <c r="F4233" t="s">
        <v>4188</v>
      </c>
      <c r="G4233" t="s">
        <v>1932</v>
      </c>
      <c r="H4233">
        <v>8</v>
      </c>
      <c r="I4233">
        <v>78.2</v>
      </c>
      <c r="J4233" s="50">
        <v>625.6</v>
      </c>
      <c r="K4233" t="s">
        <v>1618</v>
      </c>
      <c r="L4233" t="s">
        <v>1659</v>
      </c>
      <c r="M4233" t="s">
        <v>1624</v>
      </c>
      <c r="N4233">
        <v>41.27</v>
      </c>
      <c r="O4233" s="49">
        <v>44214</v>
      </c>
      <c r="P4233" s="50">
        <v>281.52000000000004</v>
      </c>
    </row>
    <row r="4234" spans="4:16" x14ac:dyDescent="0.2">
      <c r="D4234">
        <v>100002503</v>
      </c>
      <c r="E4234" s="49">
        <v>45180</v>
      </c>
      <c r="F4234" t="s">
        <v>4188</v>
      </c>
      <c r="G4234" t="s">
        <v>1865</v>
      </c>
      <c r="H4234">
        <v>5</v>
      </c>
      <c r="I4234">
        <v>14.78</v>
      </c>
      <c r="J4234" s="50">
        <v>73.899999999999991</v>
      </c>
      <c r="K4234" t="s">
        <v>1618</v>
      </c>
      <c r="L4234" t="s">
        <v>1659</v>
      </c>
      <c r="M4234" t="s">
        <v>1629</v>
      </c>
      <c r="N4234">
        <v>7.8</v>
      </c>
      <c r="O4234" s="49">
        <v>45185</v>
      </c>
      <c r="P4234" s="50">
        <v>33.254999999999995</v>
      </c>
    </row>
    <row r="4235" spans="4:16" x14ac:dyDescent="0.2">
      <c r="D4235">
        <v>100002504</v>
      </c>
      <c r="E4235" s="49">
        <v>45230</v>
      </c>
      <c r="F4235" t="s">
        <v>4189</v>
      </c>
      <c r="G4235" t="s">
        <v>2019</v>
      </c>
      <c r="H4235">
        <v>1</v>
      </c>
      <c r="I4235">
        <v>40.61</v>
      </c>
      <c r="J4235" s="50">
        <v>40.61</v>
      </c>
      <c r="K4235" t="s">
        <v>1618</v>
      </c>
      <c r="M4235" t="s">
        <v>1627</v>
      </c>
      <c r="N4235">
        <v>21.43</v>
      </c>
      <c r="O4235" s="49">
        <v>45232</v>
      </c>
      <c r="P4235" s="50">
        <v>18.2745</v>
      </c>
    </row>
    <row r="4236" spans="4:16" x14ac:dyDescent="0.2">
      <c r="D4236">
        <v>100002504</v>
      </c>
      <c r="E4236" s="49">
        <v>44238</v>
      </c>
      <c r="F4236" t="s">
        <v>4189</v>
      </c>
      <c r="G4236" t="s">
        <v>1958</v>
      </c>
      <c r="H4236">
        <v>5</v>
      </c>
      <c r="I4236">
        <v>75.41</v>
      </c>
      <c r="J4236" s="50">
        <v>377.05</v>
      </c>
      <c r="K4236" t="s">
        <v>1618</v>
      </c>
      <c r="M4236" t="s">
        <v>1619</v>
      </c>
      <c r="N4236">
        <v>39.799999999999997</v>
      </c>
      <c r="O4236" s="49">
        <v>44243</v>
      </c>
      <c r="P4236" s="50">
        <v>169.67250000000001</v>
      </c>
    </row>
    <row r="4237" spans="4:16" x14ac:dyDescent="0.2">
      <c r="D4237">
        <v>100002505</v>
      </c>
      <c r="E4237" s="49">
        <v>45296</v>
      </c>
      <c r="F4237" t="s">
        <v>4190</v>
      </c>
      <c r="G4237" t="s">
        <v>1737</v>
      </c>
      <c r="H4237">
        <v>8</v>
      </c>
      <c r="I4237">
        <v>54.22</v>
      </c>
      <c r="J4237" s="50">
        <v>433.76</v>
      </c>
      <c r="K4237" t="s">
        <v>1618</v>
      </c>
      <c r="M4237" t="s">
        <v>1621</v>
      </c>
      <c r="N4237">
        <v>28.62</v>
      </c>
      <c r="O4237" s="49">
        <v>45299</v>
      </c>
      <c r="P4237" s="50">
        <v>195.19200000000001</v>
      </c>
    </row>
    <row r="4238" spans="4:16" x14ac:dyDescent="0.2">
      <c r="D4238">
        <v>100002505</v>
      </c>
      <c r="E4238" s="49">
        <v>44513</v>
      </c>
      <c r="F4238" t="s">
        <v>4190</v>
      </c>
      <c r="G4238" t="s">
        <v>2301</v>
      </c>
      <c r="H4238">
        <v>1</v>
      </c>
      <c r="I4238">
        <v>68.22</v>
      </c>
      <c r="J4238" s="50">
        <v>68.22</v>
      </c>
      <c r="K4238" t="s">
        <v>1618</v>
      </c>
      <c r="M4238" t="s">
        <v>1621</v>
      </c>
      <c r="N4238">
        <v>36</v>
      </c>
      <c r="O4238" s="49">
        <v>44516</v>
      </c>
      <c r="P4238" s="50">
        <v>30.699000000000002</v>
      </c>
    </row>
    <row r="4239" spans="4:16" x14ac:dyDescent="0.2">
      <c r="D4239">
        <v>100002506</v>
      </c>
      <c r="E4239" s="49">
        <v>45333</v>
      </c>
      <c r="F4239" t="s">
        <v>4191</v>
      </c>
      <c r="G4239" t="s">
        <v>1715</v>
      </c>
      <c r="H4239">
        <v>4</v>
      </c>
      <c r="I4239">
        <v>88.64</v>
      </c>
      <c r="J4239" s="50">
        <v>354.56</v>
      </c>
      <c r="K4239" t="s">
        <v>1632</v>
      </c>
      <c r="M4239" t="s">
        <v>1629</v>
      </c>
      <c r="N4239">
        <v>46.78</v>
      </c>
      <c r="O4239" s="49">
        <v>45338</v>
      </c>
      <c r="P4239" s="50">
        <v>159.55199999999999</v>
      </c>
    </row>
    <row r="4240" spans="4:16" x14ac:dyDescent="0.2">
      <c r="D4240">
        <v>100002506</v>
      </c>
      <c r="E4240" s="49">
        <v>44278</v>
      </c>
      <c r="F4240" t="s">
        <v>4191</v>
      </c>
      <c r="G4240" t="s">
        <v>2132</v>
      </c>
      <c r="H4240">
        <v>2</v>
      </c>
      <c r="I4240">
        <v>76.16</v>
      </c>
      <c r="J4240" s="50">
        <v>152.32</v>
      </c>
      <c r="K4240" t="s">
        <v>1632</v>
      </c>
      <c r="M4240" t="s">
        <v>1624</v>
      </c>
      <c r="N4240">
        <v>40.200000000000003</v>
      </c>
      <c r="O4240" s="49">
        <v>44279</v>
      </c>
      <c r="P4240" s="50">
        <v>68.543999999999997</v>
      </c>
    </row>
    <row r="4241" spans="4:16" x14ac:dyDescent="0.2">
      <c r="D4241">
        <v>100002506</v>
      </c>
      <c r="E4241" s="49">
        <v>44594</v>
      </c>
      <c r="F4241" t="s">
        <v>4191</v>
      </c>
      <c r="G4241" t="s">
        <v>1827</v>
      </c>
      <c r="H4241">
        <v>1</v>
      </c>
      <c r="I4241">
        <v>40.78</v>
      </c>
      <c r="J4241" s="50">
        <v>40.78</v>
      </c>
      <c r="K4241" t="s">
        <v>1632</v>
      </c>
      <c r="M4241" t="s">
        <v>1627</v>
      </c>
      <c r="N4241">
        <v>21.52</v>
      </c>
      <c r="O4241" s="49">
        <v>44597</v>
      </c>
      <c r="P4241" s="50">
        <v>18.351000000000003</v>
      </c>
    </row>
    <row r="4242" spans="4:16" x14ac:dyDescent="0.2">
      <c r="D4242">
        <v>100002506</v>
      </c>
      <c r="E4242" s="49">
        <v>44325</v>
      </c>
      <c r="F4242" t="s">
        <v>4191</v>
      </c>
      <c r="G4242" t="s">
        <v>1856</v>
      </c>
      <c r="H4242">
        <v>3</v>
      </c>
      <c r="I4242">
        <v>83.79</v>
      </c>
      <c r="J4242" s="50">
        <v>251.37</v>
      </c>
      <c r="K4242" t="s">
        <v>1632</v>
      </c>
      <c r="M4242" t="s">
        <v>1621</v>
      </c>
      <c r="N4242">
        <v>44.22</v>
      </c>
      <c r="O4242" s="49">
        <v>44329</v>
      </c>
      <c r="P4242" s="50">
        <v>113.1165</v>
      </c>
    </row>
    <row r="4243" spans="4:16" x14ac:dyDescent="0.2">
      <c r="D4243">
        <v>100002507</v>
      </c>
      <c r="E4243" s="49">
        <v>45361</v>
      </c>
      <c r="F4243" t="s">
        <v>4192</v>
      </c>
      <c r="G4243" t="s">
        <v>2762</v>
      </c>
      <c r="H4243">
        <v>1</v>
      </c>
      <c r="I4243">
        <v>58.53</v>
      </c>
      <c r="J4243" s="50">
        <v>58.53</v>
      </c>
      <c r="K4243" t="s">
        <v>1618</v>
      </c>
      <c r="M4243" t="s">
        <v>1619</v>
      </c>
      <c r="N4243">
        <v>30.89</v>
      </c>
      <c r="O4243" s="49">
        <v>45362</v>
      </c>
      <c r="P4243" s="50">
        <v>26.3385</v>
      </c>
    </row>
    <row r="4244" spans="4:16" x14ac:dyDescent="0.2">
      <c r="D4244">
        <v>100002508</v>
      </c>
      <c r="E4244" s="49">
        <v>45404</v>
      </c>
      <c r="F4244" t="s">
        <v>4193</v>
      </c>
      <c r="G4244" t="s">
        <v>1958</v>
      </c>
      <c r="H4244">
        <v>5</v>
      </c>
      <c r="I4244">
        <v>59.57</v>
      </c>
      <c r="J4244" s="50">
        <v>297.85000000000002</v>
      </c>
      <c r="K4244" t="s">
        <v>1618</v>
      </c>
      <c r="M4244" t="s">
        <v>1624</v>
      </c>
      <c r="N4244">
        <v>31.44</v>
      </c>
      <c r="O4244" s="49">
        <v>45405</v>
      </c>
      <c r="P4244" s="50">
        <v>134.03250000000003</v>
      </c>
    </row>
    <row r="4245" spans="4:16" x14ac:dyDescent="0.2">
      <c r="D4245">
        <v>100002510</v>
      </c>
      <c r="E4245" s="49">
        <v>44380</v>
      </c>
      <c r="F4245" t="s">
        <v>4194</v>
      </c>
      <c r="G4245" t="s">
        <v>1751</v>
      </c>
      <c r="H4245">
        <v>1</v>
      </c>
      <c r="I4245">
        <v>101.99</v>
      </c>
      <c r="J4245" s="50">
        <v>101.99</v>
      </c>
      <c r="K4245" t="s">
        <v>1618</v>
      </c>
      <c r="M4245" t="s">
        <v>1621</v>
      </c>
      <c r="N4245">
        <v>53.83</v>
      </c>
      <c r="O4245" s="49">
        <v>44383</v>
      </c>
      <c r="P4245" s="50">
        <v>45.895499999999998</v>
      </c>
    </row>
    <row r="4246" spans="4:16" x14ac:dyDescent="0.2">
      <c r="D4246">
        <v>100002510</v>
      </c>
      <c r="E4246" s="49">
        <v>45297</v>
      </c>
      <c r="F4246" t="s">
        <v>4194</v>
      </c>
      <c r="G4246" t="s">
        <v>1922</v>
      </c>
      <c r="H4246">
        <v>10</v>
      </c>
      <c r="I4246">
        <v>94.17</v>
      </c>
      <c r="J4246" s="50">
        <v>941.7</v>
      </c>
      <c r="K4246" t="s">
        <v>1618</v>
      </c>
      <c r="M4246" t="s">
        <v>1621</v>
      </c>
      <c r="N4246">
        <v>49.7</v>
      </c>
      <c r="O4246" s="49">
        <v>45302</v>
      </c>
      <c r="P4246" s="50">
        <v>423.76500000000004</v>
      </c>
    </row>
    <row r="4247" spans="4:16" x14ac:dyDescent="0.2">
      <c r="D4247">
        <v>100002511</v>
      </c>
      <c r="E4247" s="49">
        <v>44913</v>
      </c>
      <c r="F4247" t="s">
        <v>4195</v>
      </c>
      <c r="G4247" t="s">
        <v>1768</v>
      </c>
      <c r="H4247">
        <v>1</v>
      </c>
      <c r="I4247">
        <v>66.53</v>
      </c>
      <c r="J4247" s="50">
        <v>66.53</v>
      </c>
      <c r="K4247" t="s">
        <v>1618</v>
      </c>
      <c r="M4247" t="s">
        <v>1624</v>
      </c>
      <c r="N4247">
        <v>35.11</v>
      </c>
      <c r="O4247" s="49">
        <v>44916</v>
      </c>
      <c r="P4247" s="50">
        <v>29.938500000000001</v>
      </c>
    </row>
    <row r="4248" spans="4:16" x14ac:dyDescent="0.2">
      <c r="D4248">
        <v>100002511</v>
      </c>
      <c r="E4248" s="49">
        <v>44210</v>
      </c>
      <c r="F4248" t="s">
        <v>4195</v>
      </c>
      <c r="G4248" t="s">
        <v>2436</v>
      </c>
      <c r="H4248">
        <v>8</v>
      </c>
      <c r="I4248">
        <v>21.31</v>
      </c>
      <c r="J4248" s="50">
        <v>170.48</v>
      </c>
      <c r="K4248" t="s">
        <v>1618</v>
      </c>
      <c r="M4248" t="s">
        <v>1627</v>
      </c>
      <c r="N4248">
        <v>11.25</v>
      </c>
      <c r="O4248" s="49">
        <v>44211</v>
      </c>
      <c r="P4248" s="50">
        <v>76.715999999999994</v>
      </c>
    </row>
    <row r="4249" spans="4:16" x14ac:dyDescent="0.2">
      <c r="D4249">
        <v>100002512</v>
      </c>
      <c r="E4249" s="49">
        <v>44334</v>
      </c>
      <c r="F4249" t="s">
        <v>4196</v>
      </c>
      <c r="G4249" t="s">
        <v>2161</v>
      </c>
      <c r="H4249">
        <v>2</v>
      </c>
      <c r="I4249">
        <v>55.14</v>
      </c>
      <c r="J4249" s="50">
        <v>110.28</v>
      </c>
      <c r="K4249" t="s">
        <v>1618</v>
      </c>
      <c r="M4249" t="s">
        <v>1629</v>
      </c>
      <c r="N4249">
        <v>29.1</v>
      </c>
      <c r="O4249" s="49">
        <v>44339</v>
      </c>
      <c r="P4249" s="50">
        <v>49.626000000000005</v>
      </c>
    </row>
    <row r="4250" spans="4:16" x14ac:dyDescent="0.2">
      <c r="D4250">
        <v>100002512</v>
      </c>
      <c r="E4250" s="49">
        <v>44431</v>
      </c>
      <c r="F4250" t="s">
        <v>4196</v>
      </c>
      <c r="G4250" t="s">
        <v>1721</v>
      </c>
      <c r="H4250">
        <v>8</v>
      </c>
      <c r="I4250">
        <v>78.67</v>
      </c>
      <c r="J4250" s="50">
        <v>629.36</v>
      </c>
      <c r="K4250" t="s">
        <v>1618</v>
      </c>
      <c r="M4250" t="s">
        <v>1621</v>
      </c>
      <c r="N4250">
        <v>41.52</v>
      </c>
      <c r="O4250" s="49">
        <v>44436</v>
      </c>
      <c r="P4250" s="50">
        <v>283.21199999999999</v>
      </c>
    </row>
    <row r="4251" spans="4:16" x14ac:dyDescent="0.2">
      <c r="D4251">
        <v>100002513</v>
      </c>
      <c r="E4251" s="49">
        <v>44725</v>
      </c>
      <c r="F4251" t="s">
        <v>4197</v>
      </c>
      <c r="G4251" t="s">
        <v>1749</v>
      </c>
      <c r="H4251">
        <v>9</v>
      </c>
      <c r="I4251">
        <v>73.39</v>
      </c>
      <c r="J4251" s="50">
        <v>660.51</v>
      </c>
      <c r="K4251" t="s">
        <v>1618</v>
      </c>
      <c r="L4251" t="s">
        <v>4198</v>
      </c>
      <c r="M4251" t="s">
        <v>1629</v>
      </c>
      <c r="N4251">
        <v>38.729999999999997</v>
      </c>
      <c r="O4251" s="49">
        <v>44726</v>
      </c>
      <c r="P4251" s="50">
        <v>297.22950000000003</v>
      </c>
    </row>
    <row r="4252" spans="4:16" x14ac:dyDescent="0.2">
      <c r="D4252">
        <v>100002513</v>
      </c>
      <c r="E4252" s="49">
        <v>44307</v>
      </c>
      <c r="F4252" t="s">
        <v>4197</v>
      </c>
      <c r="G4252" t="s">
        <v>2163</v>
      </c>
      <c r="H4252">
        <v>9</v>
      </c>
      <c r="I4252">
        <v>114.65</v>
      </c>
      <c r="J4252" s="50">
        <v>1031.8499999999999</v>
      </c>
      <c r="K4252" t="s">
        <v>1618</v>
      </c>
      <c r="L4252" t="s">
        <v>4198</v>
      </c>
      <c r="M4252" t="s">
        <v>1624</v>
      </c>
      <c r="N4252">
        <v>60.51</v>
      </c>
      <c r="O4252" s="49">
        <v>44312</v>
      </c>
      <c r="P4252" s="50">
        <v>464.33249999999998</v>
      </c>
    </row>
    <row r="4253" spans="4:16" x14ac:dyDescent="0.2">
      <c r="D4253">
        <v>100002515</v>
      </c>
      <c r="E4253" s="49">
        <v>45009</v>
      </c>
      <c r="F4253" t="s">
        <v>2543</v>
      </c>
      <c r="G4253" t="s">
        <v>2427</v>
      </c>
      <c r="H4253">
        <v>5</v>
      </c>
      <c r="I4253">
        <v>65.650000000000006</v>
      </c>
      <c r="J4253" s="50">
        <v>328.25</v>
      </c>
      <c r="K4253" t="s">
        <v>1618</v>
      </c>
      <c r="M4253" t="s">
        <v>1627</v>
      </c>
      <c r="N4253">
        <v>34.65</v>
      </c>
      <c r="O4253" s="49">
        <v>45010</v>
      </c>
      <c r="P4253" s="50">
        <v>147.71250000000001</v>
      </c>
    </row>
    <row r="4254" spans="4:16" x14ac:dyDescent="0.2">
      <c r="D4254">
        <v>100002515</v>
      </c>
      <c r="E4254" s="49">
        <v>45112</v>
      </c>
      <c r="F4254" t="s">
        <v>2543</v>
      </c>
      <c r="G4254" t="s">
        <v>2017</v>
      </c>
      <c r="H4254">
        <v>2</v>
      </c>
      <c r="I4254">
        <v>95.68</v>
      </c>
      <c r="J4254" s="50">
        <v>191.36</v>
      </c>
      <c r="K4254" t="s">
        <v>1618</v>
      </c>
      <c r="M4254" t="s">
        <v>1629</v>
      </c>
      <c r="N4254">
        <v>50.5</v>
      </c>
      <c r="O4254" s="49">
        <v>45113</v>
      </c>
      <c r="P4254" s="50">
        <v>86.112000000000009</v>
      </c>
    </row>
    <row r="4255" spans="4:16" x14ac:dyDescent="0.2">
      <c r="D4255">
        <v>100002516</v>
      </c>
      <c r="E4255" s="49">
        <v>44566</v>
      </c>
      <c r="F4255" t="s">
        <v>4199</v>
      </c>
      <c r="G4255" t="s">
        <v>1865</v>
      </c>
      <c r="H4255">
        <v>9</v>
      </c>
      <c r="I4255">
        <v>75.92</v>
      </c>
      <c r="J4255" s="50">
        <v>683.28</v>
      </c>
      <c r="K4255" t="s">
        <v>1618</v>
      </c>
      <c r="L4255" t="s">
        <v>4200</v>
      </c>
      <c r="M4255" t="s">
        <v>1621</v>
      </c>
      <c r="N4255">
        <v>40.07</v>
      </c>
      <c r="O4255" s="49">
        <v>44568</v>
      </c>
      <c r="P4255" s="50">
        <v>307.476</v>
      </c>
    </row>
    <row r="4256" spans="4:16" x14ac:dyDescent="0.2">
      <c r="D4256">
        <v>100002516</v>
      </c>
      <c r="E4256" s="49">
        <v>44797</v>
      </c>
      <c r="F4256" t="s">
        <v>4199</v>
      </c>
      <c r="G4256" t="s">
        <v>2016</v>
      </c>
      <c r="H4256">
        <v>1</v>
      </c>
      <c r="I4256">
        <v>40.619999999999997</v>
      </c>
      <c r="J4256" s="50">
        <v>40.619999999999997</v>
      </c>
      <c r="K4256" t="s">
        <v>1618</v>
      </c>
      <c r="L4256" t="s">
        <v>4200</v>
      </c>
      <c r="M4256" t="s">
        <v>1621</v>
      </c>
      <c r="N4256">
        <v>21.44</v>
      </c>
      <c r="O4256" s="49">
        <v>44800</v>
      </c>
      <c r="P4256" s="50">
        <v>18.279</v>
      </c>
    </row>
    <row r="4257" spans="4:16" x14ac:dyDescent="0.2">
      <c r="D4257">
        <v>100002516</v>
      </c>
      <c r="E4257" s="49">
        <v>44197</v>
      </c>
      <c r="F4257" t="s">
        <v>4199</v>
      </c>
      <c r="G4257" t="s">
        <v>1744</v>
      </c>
      <c r="H4257">
        <v>10</v>
      </c>
      <c r="I4257">
        <v>65.89</v>
      </c>
      <c r="J4257" s="50">
        <v>658.9</v>
      </c>
      <c r="K4257" t="s">
        <v>1618</v>
      </c>
      <c r="L4257" t="s">
        <v>4200</v>
      </c>
      <c r="M4257" t="s">
        <v>1619</v>
      </c>
      <c r="N4257">
        <v>34.78</v>
      </c>
      <c r="O4257" s="49">
        <v>44202</v>
      </c>
      <c r="P4257" s="50">
        <v>296.505</v>
      </c>
    </row>
    <row r="4258" spans="4:16" x14ac:dyDescent="0.2">
      <c r="D4258">
        <v>100002516</v>
      </c>
      <c r="E4258" s="49">
        <v>44655</v>
      </c>
      <c r="F4258" t="s">
        <v>4199</v>
      </c>
      <c r="G4258" t="s">
        <v>2121</v>
      </c>
      <c r="H4258">
        <v>2</v>
      </c>
      <c r="I4258">
        <v>88.97</v>
      </c>
      <c r="J4258" s="50">
        <v>177.94</v>
      </c>
      <c r="K4258" t="s">
        <v>1618</v>
      </c>
      <c r="L4258" t="s">
        <v>4200</v>
      </c>
      <c r="M4258" t="s">
        <v>1627</v>
      </c>
      <c r="N4258">
        <v>46.96</v>
      </c>
      <c r="O4258" s="49">
        <v>44657</v>
      </c>
      <c r="P4258" s="50">
        <v>80.073000000000008</v>
      </c>
    </row>
    <row r="4259" spans="4:16" x14ac:dyDescent="0.2">
      <c r="D4259">
        <v>100002518</v>
      </c>
      <c r="E4259" s="49">
        <v>44514</v>
      </c>
      <c r="F4259" t="s">
        <v>4201</v>
      </c>
      <c r="G4259" t="s">
        <v>1765</v>
      </c>
      <c r="H4259">
        <v>9</v>
      </c>
      <c r="I4259">
        <v>107.49</v>
      </c>
      <c r="J4259" s="50">
        <v>967.41</v>
      </c>
      <c r="K4259" t="s">
        <v>1618</v>
      </c>
      <c r="L4259" t="s">
        <v>4202</v>
      </c>
      <c r="M4259" t="s">
        <v>1624</v>
      </c>
      <c r="N4259">
        <v>56.73</v>
      </c>
      <c r="O4259" s="49">
        <v>44519</v>
      </c>
      <c r="P4259" s="50">
        <v>435.33449999999999</v>
      </c>
    </row>
    <row r="4260" spans="4:16" x14ac:dyDescent="0.2">
      <c r="D4260">
        <v>100002521</v>
      </c>
      <c r="E4260" s="49">
        <v>44494</v>
      </c>
      <c r="F4260" t="s">
        <v>4203</v>
      </c>
      <c r="G4260" t="s">
        <v>1924</v>
      </c>
      <c r="H4260">
        <v>1</v>
      </c>
      <c r="I4260">
        <v>70.83</v>
      </c>
      <c r="J4260" s="50">
        <v>70.83</v>
      </c>
      <c r="K4260" t="s">
        <v>1618</v>
      </c>
      <c r="M4260" t="s">
        <v>1619</v>
      </c>
      <c r="N4260">
        <v>37.380000000000003</v>
      </c>
      <c r="O4260" s="49">
        <v>44496</v>
      </c>
      <c r="P4260" s="50">
        <v>31.8735</v>
      </c>
    </row>
    <row r="4261" spans="4:16" x14ac:dyDescent="0.2">
      <c r="D4261">
        <v>100002522</v>
      </c>
      <c r="E4261" s="49">
        <v>44740</v>
      </c>
      <c r="F4261" t="s">
        <v>4204</v>
      </c>
      <c r="G4261" t="s">
        <v>1943</v>
      </c>
      <c r="H4261">
        <v>7</v>
      </c>
      <c r="I4261">
        <v>24.5</v>
      </c>
      <c r="J4261" s="50">
        <v>171.5</v>
      </c>
      <c r="K4261" t="s">
        <v>1632</v>
      </c>
      <c r="M4261" t="s">
        <v>1619</v>
      </c>
      <c r="N4261">
        <v>12.93</v>
      </c>
      <c r="O4261" s="49">
        <v>44742</v>
      </c>
      <c r="P4261" s="50">
        <v>77.174999999999997</v>
      </c>
    </row>
    <row r="4262" spans="4:16" x14ac:dyDescent="0.2">
      <c r="D4262">
        <v>100002523</v>
      </c>
      <c r="E4262" s="49">
        <v>44402</v>
      </c>
      <c r="F4262" t="s">
        <v>4205</v>
      </c>
      <c r="G4262" t="s">
        <v>2232</v>
      </c>
      <c r="H4262">
        <v>3</v>
      </c>
      <c r="I4262">
        <v>19.09</v>
      </c>
      <c r="J4262" s="50">
        <v>57.27</v>
      </c>
      <c r="K4262" t="s">
        <v>1618</v>
      </c>
      <c r="M4262" t="s">
        <v>1624</v>
      </c>
      <c r="N4262">
        <v>10.08</v>
      </c>
      <c r="O4262" s="49">
        <v>44406</v>
      </c>
      <c r="P4262" s="50">
        <v>25.771500000000003</v>
      </c>
    </row>
    <row r="4263" spans="4:16" x14ac:dyDescent="0.2">
      <c r="D4263">
        <v>100002523</v>
      </c>
      <c r="E4263" s="49">
        <v>45525</v>
      </c>
      <c r="F4263" t="s">
        <v>4205</v>
      </c>
      <c r="G4263" t="s">
        <v>1691</v>
      </c>
      <c r="H4263">
        <v>7</v>
      </c>
      <c r="I4263">
        <v>33.92</v>
      </c>
      <c r="J4263" s="50">
        <v>237.44</v>
      </c>
      <c r="K4263" t="s">
        <v>1618</v>
      </c>
      <c r="M4263" t="s">
        <v>1627</v>
      </c>
      <c r="N4263">
        <v>17.899999999999999</v>
      </c>
      <c r="O4263" s="49">
        <v>45529</v>
      </c>
      <c r="P4263" s="50">
        <v>106.848</v>
      </c>
    </row>
    <row r="4264" spans="4:16" x14ac:dyDescent="0.2">
      <c r="D4264">
        <v>100002523</v>
      </c>
      <c r="E4264" s="49">
        <v>45622</v>
      </c>
      <c r="F4264" t="s">
        <v>4205</v>
      </c>
      <c r="G4264" t="s">
        <v>1646</v>
      </c>
      <c r="H4264">
        <v>6</v>
      </c>
      <c r="I4264">
        <v>66.819999999999993</v>
      </c>
      <c r="J4264" s="50">
        <v>400.92</v>
      </c>
      <c r="K4264" t="s">
        <v>1618</v>
      </c>
      <c r="M4264" t="s">
        <v>1621</v>
      </c>
      <c r="N4264">
        <v>35.270000000000003</v>
      </c>
      <c r="O4264" s="49">
        <v>45624</v>
      </c>
      <c r="P4264" s="50">
        <v>180.41400000000002</v>
      </c>
    </row>
    <row r="4265" spans="4:16" x14ac:dyDescent="0.2">
      <c r="D4265">
        <v>100002524</v>
      </c>
      <c r="E4265" s="49">
        <v>45327</v>
      </c>
      <c r="F4265" t="s">
        <v>4206</v>
      </c>
      <c r="G4265" t="s">
        <v>2460</v>
      </c>
      <c r="H4265">
        <v>6</v>
      </c>
      <c r="I4265">
        <v>76.25</v>
      </c>
      <c r="J4265" s="50">
        <v>457.5</v>
      </c>
      <c r="K4265" t="s">
        <v>1618</v>
      </c>
      <c r="M4265" t="s">
        <v>1619</v>
      </c>
      <c r="N4265">
        <v>40.24</v>
      </c>
      <c r="O4265" s="49">
        <v>45328</v>
      </c>
      <c r="P4265" s="50">
        <v>205.875</v>
      </c>
    </row>
    <row r="4266" spans="4:16" x14ac:dyDescent="0.2">
      <c r="D4266">
        <v>100002526</v>
      </c>
      <c r="E4266" s="49">
        <v>44291</v>
      </c>
      <c r="F4266" t="s">
        <v>4207</v>
      </c>
      <c r="G4266" t="s">
        <v>1801</v>
      </c>
      <c r="H4266">
        <v>4</v>
      </c>
      <c r="I4266">
        <v>27.37</v>
      </c>
      <c r="J4266" s="50">
        <v>109.48</v>
      </c>
      <c r="K4266" t="s">
        <v>1618</v>
      </c>
      <c r="M4266" t="s">
        <v>1624</v>
      </c>
      <c r="N4266">
        <v>14.45</v>
      </c>
      <c r="O4266" s="49">
        <v>44296</v>
      </c>
      <c r="P4266" s="50">
        <v>49.266000000000005</v>
      </c>
    </row>
    <row r="4267" spans="4:16" x14ac:dyDescent="0.2">
      <c r="D4267">
        <v>100002526</v>
      </c>
      <c r="E4267" s="49">
        <v>45620</v>
      </c>
      <c r="F4267" t="s">
        <v>4207</v>
      </c>
      <c r="G4267" t="s">
        <v>2707</v>
      </c>
      <c r="H4267">
        <v>1</v>
      </c>
      <c r="I4267">
        <v>32.270000000000003</v>
      </c>
      <c r="J4267" s="50">
        <v>32.270000000000003</v>
      </c>
      <c r="K4267" t="s">
        <v>1618</v>
      </c>
      <c r="M4267" t="s">
        <v>1619</v>
      </c>
      <c r="N4267">
        <v>17.03</v>
      </c>
      <c r="O4267" s="49">
        <v>45623</v>
      </c>
      <c r="P4267" s="50">
        <v>14.521500000000001</v>
      </c>
    </row>
    <row r="4268" spans="4:16" x14ac:dyDescent="0.2">
      <c r="D4268">
        <v>100002527</v>
      </c>
      <c r="E4268" s="49">
        <v>45394</v>
      </c>
      <c r="F4268" t="s">
        <v>4208</v>
      </c>
      <c r="G4268" t="s">
        <v>2269</v>
      </c>
      <c r="H4268">
        <v>2</v>
      </c>
      <c r="I4268">
        <v>60.7</v>
      </c>
      <c r="J4268" s="50">
        <v>121.4</v>
      </c>
      <c r="K4268" t="s">
        <v>1618</v>
      </c>
      <c r="M4268" t="s">
        <v>1619</v>
      </c>
      <c r="N4268">
        <v>32.04</v>
      </c>
      <c r="O4268" s="49">
        <v>45399</v>
      </c>
      <c r="P4268" s="50">
        <v>54.63</v>
      </c>
    </row>
    <row r="4269" spans="4:16" x14ac:dyDescent="0.2">
      <c r="D4269">
        <v>100002528</v>
      </c>
      <c r="E4269" s="49">
        <v>44820</v>
      </c>
      <c r="F4269" t="s">
        <v>4209</v>
      </c>
      <c r="G4269" t="s">
        <v>1799</v>
      </c>
      <c r="H4269">
        <v>3</v>
      </c>
      <c r="I4269">
        <v>97.48</v>
      </c>
      <c r="J4269" s="50">
        <v>292.44</v>
      </c>
      <c r="K4269" t="s">
        <v>1632</v>
      </c>
      <c r="M4269" t="s">
        <v>1627</v>
      </c>
      <c r="N4269">
        <v>51.45</v>
      </c>
      <c r="O4269" s="49">
        <v>44823</v>
      </c>
      <c r="P4269" s="50">
        <v>131.59800000000001</v>
      </c>
    </row>
    <row r="4270" spans="4:16" x14ac:dyDescent="0.2">
      <c r="D4270">
        <v>100002529</v>
      </c>
      <c r="E4270" s="49">
        <v>44276</v>
      </c>
      <c r="F4270" t="s">
        <v>4210</v>
      </c>
      <c r="G4270" t="s">
        <v>3075</v>
      </c>
      <c r="H4270">
        <v>3</v>
      </c>
      <c r="I4270">
        <v>10.39</v>
      </c>
      <c r="J4270" s="50">
        <v>31.17</v>
      </c>
      <c r="K4270" t="s">
        <v>1632</v>
      </c>
      <c r="M4270" t="s">
        <v>1627</v>
      </c>
      <c r="N4270">
        <v>5.48</v>
      </c>
      <c r="O4270" s="49">
        <v>44277</v>
      </c>
      <c r="P4270" s="50">
        <v>14.0265</v>
      </c>
    </row>
    <row r="4271" spans="4:16" x14ac:dyDescent="0.2">
      <c r="D4271">
        <v>100002529</v>
      </c>
      <c r="E4271" s="49">
        <v>44345</v>
      </c>
      <c r="F4271" t="s">
        <v>4210</v>
      </c>
      <c r="G4271" t="s">
        <v>1756</v>
      </c>
      <c r="H4271">
        <v>6</v>
      </c>
      <c r="I4271">
        <v>43.52</v>
      </c>
      <c r="J4271" s="50">
        <v>261.12</v>
      </c>
      <c r="K4271" t="s">
        <v>1632</v>
      </c>
      <c r="M4271" t="s">
        <v>1621</v>
      </c>
      <c r="N4271">
        <v>22.97</v>
      </c>
      <c r="O4271" s="49">
        <v>44346</v>
      </c>
      <c r="P4271" s="50">
        <v>117.504</v>
      </c>
    </row>
    <row r="4272" spans="4:16" x14ac:dyDescent="0.2">
      <c r="D4272">
        <v>100002530</v>
      </c>
      <c r="E4272" s="49">
        <v>45562</v>
      </c>
      <c r="F4272" t="s">
        <v>3255</v>
      </c>
      <c r="G4272" t="s">
        <v>2213</v>
      </c>
      <c r="H4272">
        <v>6</v>
      </c>
      <c r="I4272">
        <v>96.87</v>
      </c>
      <c r="J4272" s="50">
        <v>581.22</v>
      </c>
      <c r="K4272" t="s">
        <v>1618</v>
      </c>
      <c r="M4272" t="s">
        <v>1627</v>
      </c>
      <c r="N4272">
        <v>51.13</v>
      </c>
      <c r="O4272" s="49">
        <v>45566</v>
      </c>
      <c r="P4272" s="50">
        <v>261.54900000000004</v>
      </c>
    </row>
    <row r="4273" spans="4:16" x14ac:dyDescent="0.2">
      <c r="D4273">
        <v>100002532</v>
      </c>
      <c r="E4273" s="49">
        <v>45395</v>
      </c>
      <c r="F4273" t="s">
        <v>4211</v>
      </c>
      <c r="G4273" t="s">
        <v>2550</v>
      </c>
      <c r="H4273">
        <v>8</v>
      </c>
      <c r="I4273">
        <v>111.53</v>
      </c>
      <c r="J4273" s="50">
        <v>892.24</v>
      </c>
      <c r="K4273" t="s">
        <v>1632</v>
      </c>
      <c r="M4273" t="s">
        <v>1627</v>
      </c>
      <c r="N4273">
        <v>58.86</v>
      </c>
      <c r="O4273" s="49">
        <v>45396</v>
      </c>
      <c r="P4273" s="50">
        <v>401.50800000000004</v>
      </c>
    </row>
    <row r="4274" spans="4:16" x14ac:dyDescent="0.2">
      <c r="D4274">
        <v>100002532</v>
      </c>
      <c r="E4274" s="49">
        <v>45645</v>
      </c>
      <c r="F4274" t="s">
        <v>4211</v>
      </c>
      <c r="G4274" t="s">
        <v>1652</v>
      </c>
      <c r="H4274">
        <v>9</v>
      </c>
      <c r="I4274">
        <v>42.9</v>
      </c>
      <c r="J4274" s="50">
        <v>386.1</v>
      </c>
      <c r="K4274" t="s">
        <v>1632</v>
      </c>
      <c r="M4274" t="s">
        <v>1629</v>
      </c>
      <c r="N4274">
        <v>22.64</v>
      </c>
      <c r="O4274" s="49">
        <v>45646</v>
      </c>
      <c r="P4274" s="50">
        <v>173.745</v>
      </c>
    </row>
    <row r="4275" spans="4:16" x14ac:dyDescent="0.2">
      <c r="D4275">
        <v>100002533</v>
      </c>
      <c r="E4275" s="49">
        <v>45215</v>
      </c>
      <c r="F4275" t="s">
        <v>4212</v>
      </c>
      <c r="G4275" t="s">
        <v>3135</v>
      </c>
      <c r="H4275">
        <v>7</v>
      </c>
      <c r="I4275">
        <v>26.53</v>
      </c>
      <c r="J4275" s="50">
        <v>185.71</v>
      </c>
      <c r="K4275" t="s">
        <v>1632</v>
      </c>
      <c r="M4275" t="s">
        <v>1624</v>
      </c>
      <c r="N4275">
        <v>14</v>
      </c>
      <c r="O4275" s="49">
        <v>45216</v>
      </c>
      <c r="P4275" s="50">
        <v>83.569500000000005</v>
      </c>
    </row>
    <row r="4276" spans="4:16" x14ac:dyDescent="0.2">
      <c r="D4276">
        <v>100002533</v>
      </c>
      <c r="E4276" s="49">
        <v>44368</v>
      </c>
      <c r="F4276" t="s">
        <v>4212</v>
      </c>
      <c r="G4276" t="s">
        <v>1687</v>
      </c>
      <c r="H4276">
        <v>7</v>
      </c>
      <c r="I4276">
        <v>112.07</v>
      </c>
      <c r="J4276" s="50">
        <v>784.49</v>
      </c>
      <c r="K4276" t="s">
        <v>1632</v>
      </c>
      <c r="M4276" t="s">
        <v>1624</v>
      </c>
      <c r="N4276">
        <v>59.15</v>
      </c>
      <c r="O4276" s="49">
        <v>44372</v>
      </c>
      <c r="P4276" s="50">
        <v>353.02050000000003</v>
      </c>
    </row>
    <row r="4277" spans="4:16" x14ac:dyDescent="0.2">
      <c r="D4277">
        <v>100002533</v>
      </c>
      <c r="E4277" s="49">
        <v>44418</v>
      </c>
      <c r="F4277" t="s">
        <v>4212</v>
      </c>
      <c r="G4277" t="s">
        <v>2158</v>
      </c>
      <c r="H4277">
        <v>9</v>
      </c>
      <c r="I4277">
        <v>72.84</v>
      </c>
      <c r="J4277" s="50">
        <v>655.56000000000006</v>
      </c>
      <c r="K4277" t="s">
        <v>1632</v>
      </c>
      <c r="M4277" t="s">
        <v>1627</v>
      </c>
      <c r="N4277">
        <v>38.44</v>
      </c>
      <c r="O4277" s="49">
        <v>44419</v>
      </c>
      <c r="P4277" s="50">
        <v>295.00200000000001</v>
      </c>
    </row>
    <row r="4278" spans="4:16" x14ac:dyDescent="0.2">
      <c r="D4278">
        <v>100002533</v>
      </c>
      <c r="E4278" s="49">
        <v>45146</v>
      </c>
      <c r="F4278" t="s">
        <v>4212</v>
      </c>
      <c r="G4278" t="s">
        <v>1792</v>
      </c>
      <c r="H4278">
        <v>3</v>
      </c>
      <c r="I4278">
        <v>110.9</v>
      </c>
      <c r="J4278" s="50">
        <v>332.7</v>
      </c>
      <c r="K4278" t="s">
        <v>1632</v>
      </c>
      <c r="M4278" t="s">
        <v>1621</v>
      </c>
      <c r="N4278">
        <v>58.53</v>
      </c>
      <c r="O4278" s="49">
        <v>45151</v>
      </c>
      <c r="P4278" s="50">
        <v>149.715</v>
      </c>
    </row>
    <row r="4279" spans="4:16" x14ac:dyDescent="0.2">
      <c r="D4279">
        <v>100002534</v>
      </c>
      <c r="E4279" s="49">
        <v>44442</v>
      </c>
      <c r="F4279" t="s">
        <v>4213</v>
      </c>
      <c r="G4279" t="s">
        <v>1647</v>
      </c>
      <c r="H4279">
        <v>5</v>
      </c>
      <c r="I4279">
        <v>53.37</v>
      </c>
      <c r="J4279" s="50">
        <v>266.85000000000002</v>
      </c>
      <c r="K4279" t="s">
        <v>1618</v>
      </c>
      <c r="L4279" t="s">
        <v>3234</v>
      </c>
      <c r="M4279" t="s">
        <v>1621</v>
      </c>
      <c r="N4279">
        <v>28.17</v>
      </c>
      <c r="O4279" s="49">
        <v>44443</v>
      </c>
      <c r="P4279" s="50">
        <v>120.08250000000001</v>
      </c>
    </row>
    <row r="4280" spans="4:16" x14ac:dyDescent="0.2">
      <c r="D4280">
        <v>100002534</v>
      </c>
      <c r="E4280" s="49">
        <v>44572</v>
      </c>
      <c r="F4280" t="s">
        <v>4213</v>
      </c>
      <c r="G4280" t="s">
        <v>1647</v>
      </c>
      <c r="H4280">
        <v>6</v>
      </c>
      <c r="I4280">
        <v>57.5</v>
      </c>
      <c r="J4280" s="50">
        <v>345</v>
      </c>
      <c r="K4280" t="s">
        <v>1618</v>
      </c>
      <c r="L4280" t="s">
        <v>3234</v>
      </c>
      <c r="M4280" t="s">
        <v>1629</v>
      </c>
      <c r="N4280">
        <v>30.35</v>
      </c>
      <c r="O4280" s="49">
        <v>44573</v>
      </c>
      <c r="P4280" s="50">
        <v>155.25</v>
      </c>
    </row>
    <row r="4281" spans="4:16" x14ac:dyDescent="0.2">
      <c r="D4281">
        <v>100002535</v>
      </c>
      <c r="E4281" s="49">
        <v>44480</v>
      </c>
      <c r="F4281" t="s">
        <v>4214</v>
      </c>
      <c r="G4281" t="s">
        <v>3075</v>
      </c>
      <c r="H4281">
        <v>2</v>
      </c>
      <c r="I4281">
        <v>110.65</v>
      </c>
      <c r="J4281" s="50">
        <v>221.3</v>
      </c>
      <c r="K4281" t="s">
        <v>1618</v>
      </c>
      <c r="L4281" t="s">
        <v>2795</v>
      </c>
      <c r="M4281" t="s">
        <v>1621</v>
      </c>
      <c r="N4281">
        <v>58.4</v>
      </c>
      <c r="O4281" s="49">
        <v>44483</v>
      </c>
      <c r="P4281" s="50">
        <v>99.585000000000008</v>
      </c>
    </row>
    <row r="4282" spans="4:16" x14ac:dyDescent="0.2">
      <c r="D4282">
        <v>100002537</v>
      </c>
      <c r="E4282" s="49">
        <v>44966</v>
      </c>
      <c r="F4282" t="s">
        <v>4215</v>
      </c>
      <c r="G4282" t="s">
        <v>2603</v>
      </c>
      <c r="H4282">
        <v>4</v>
      </c>
      <c r="I4282">
        <v>70.16</v>
      </c>
      <c r="J4282" s="50">
        <v>280.64</v>
      </c>
      <c r="K4282" t="s">
        <v>1618</v>
      </c>
      <c r="M4282" t="s">
        <v>1621</v>
      </c>
      <c r="N4282">
        <v>37.03</v>
      </c>
      <c r="O4282" s="49">
        <v>44969</v>
      </c>
      <c r="P4282" s="50">
        <v>126.288</v>
      </c>
    </row>
    <row r="4283" spans="4:16" x14ac:dyDescent="0.2">
      <c r="D4283">
        <v>100002539</v>
      </c>
      <c r="E4283" s="49">
        <v>44527</v>
      </c>
      <c r="F4283" t="s">
        <v>4216</v>
      </c>
      <c r="G4283" t="s">
        <v>1701</v>
      </c>
      <c r="H4283">
        <v>7</v>
      </c>
      <c r="I4283">
        <v>45.42</v>
      </c>
      <c r="J4283" s="50">
        <v>317.94</v>
      </c>
      <c r="K4283" t="s">
        <v>1632</v>
      </c>
      <c r="M4283" t="s">
        <v>1627</v>
      </c>
      <c r="N4283">
        <v>23.97</v>
      </c>
      <c r="O4283" s="49">
        <v>44528</v>
      </c>
      <c r="P4283" s="50">
        <v>143.07300000000001</v>
      </c>
    </row>
    <row r="4284" spans="4:16" x14ac:dyDescent="0.2">
      <c r="D4284">
        <v>100002540</v>
      </c>
      <c r="E4284" s="49">
        <v>45172</v>
      </c>
      <c r="F4284" t="s">
        <v>4217</v>
      </c>
      <c r="G4284" t="s">
        <v>1699</v>
      </c>
      <c r="H4284">
        <v>4</v>
      </c>
      <c r="I4284">
        <v>108.05</v>
      </c>
      <c r="J4284" s="50">
        <v>432.2</v>
      </c>
      <c r="K4284" t="s">
        <v>1618</v>
      </c>
      <c r="M4284" t="s">
        <v>1624</v>
      </c>
      <c r="N4284">
        <v>57.03</v>
      </c>
      <c r="O4284" s="49">
        <v>45173</v>
      </c>
      <c r="P4284" s="50">
        <v>194.49</v>
      </c>
    </row>
    <row r="4285" spans="4:16" x14ac:dyDescent="0.2">
      <c r="D4285">
        <v>100002540</v>
      </c>
      <c r="E4285" s="49">
        <v>45451</v>
      </c>
      <c r="F4285" t="s">
        <v>4217</v>
      </c>
      <c r="G4285" t="s">
        <v>1669</v>
      </c>
      <c r="H4285">
        <v>1</v>
      </c>
      <c r="I4285">
        <v>43.1</v>
      </c>
      <c r="J4285" s="50">
        <v>43.1</v>
      </c>
      <c r="K4285" t="s">
        <v>1618</v>
      </c>
      <c r="M4285" t="s">
        <v>1627</v>
      </c>
      <c r="N4285">
        <v>22.75</v>
      </c>
      <c r="O4285" s="49">
        <v>45453</v>
      </c>
      <c r="P4285" s="50">
        <v>19.395</v>
      </c>
    </row>
    <row r="4286" spans="4:16" x14ac:dyDescent="0.2">
      <c r="D4286">
        <v>100002541</v>
      </c>
      <c r="E4286" s="49">
        <v>45563</v>
      </c>
      <c r="F4286" t="s">
        <v>4218</v>
      </c>
      <c r="G4286" t="s">
        <v>2005</v>
      </c>
      <c r="H4286">
        <v>10</v>
      </c>
      <c r="I4286">
        <v>105.06</v>
      </c>
      <c r="J4286" s="50">
        <v>1050.5999999999999</v>
      </c>
      <c r="K4286" t="s">
        <v>1618</v>
      </c>
      <c r="L4286" t="s">
        <v>4219</v>
      </c>
      <c r="M4286" t="s">
        <v>1621</v>
      </c>
      <c r="N4286">
        <v>55.45</v>
      </c>
      <c r="O4286" s="49">
        <v>45567</v>
      </c>
      <c r="P4286" s="50">
        <v>472.77</v>
      </c>
    </row>
    <row r="4287" spans="4:16" x14ac:dyDescent="0.2">
      <c r="D4287">
        <v>100002542</v>
      </c>
      <c r="E4287" s="49">
        <v>45060</v>
      </c>
      <c r="F4287" t="s">
        <v>4220</v>
      </c>
      <c r="G4287" t="s">
        <v>2263</v>
      </c>
      <c r="H4287">
        <v>7</v>
      </c>
      <c r="I4287">
        <v>81.010000000000005</v>
      </c>
      <c r="J4287" s="50">
        <v>567.07000000000005</v>
      </c>
      <c r="K4287" t="s">
        <v>1618</v>
      </c>
      <c r="L4287" t="s">
        <v>4221</v>
      </c>
      <c r="M4287" t="s">
        <v>1627</v>
      </c>
      <c r="N4287">
        <v>42.75</v>
      </c>
      <c r="O4287" s="49">
        <v>45063</v>
      </c>
      <c r="P4287" s="50">
        <v>255.18150000000003</v>
      </c>
    </row>
    <row r="4288" spans="4:16" x14ac:dyDescent="0.2">
      <c r="D4288">
        <v>100002542</v>
      </c>
      <c r="E4288" s="49">
        <v>44205</v>
      </c>
      <c r="F4288" t="s">
        <v>4220</v>
      </c>
      <c r="G4288" t="s">
        <v>1844</v>
      </c>
      <c r="H4288">
        <v>5</v>
      </c>
      <c r="I4288">
        <v>38.03</v>
      </c>
      <c r="J4288" s="50">
        <v>190.15</v>
      </c>
      <c r="K4288" t="s">
        <v>1618</v>
      </c>
      <c r="L4288" t="s">
        <v>4221</v>
      </c>
      <c r="M4288" t="s">
        <v>1629</v>
      </c>
      <c r="N4288">
        <v>20.07</v>
      </c>
      <c r="O4288" s="49">
        <v>44206</v>
      </c>
      <c r="P4288" s="50">
        <v>85.56750000000001</v>
      </c>
    </row>
    <row r="4289" spans="4:16" x14ac:dyDescent="0.2">
      <c r="D4289">
        <v>100002543</v>
      </c>
      <c r="E4289" s="49">
        <v>44389</v>
      </c>
      <c r="F4289" t="s">
        <v>4222</v>
      </c>
      <c r="G4289" t="s">
        <v>2065</v>
      </c>
      <c r="H4289">
        <v>5</v>
      </c>
      <c r="I4289">
        <v>26.01</v>
      </c>
      <c r="J4289" s="50">
        <v>130.05000000000001</v>
      </c>
      <c r="K4289" t="s">
        <v>1618</v>
      </c>
      <c r="L4289" t="s">
        <v>4223</v>
      </c>
      <c r="M4289" t="s">
        <v>1627</v>
      </c>
      <c r="N4289">
        <v>13.73</v>
      </c>
      <c r="O4289" s="49">
        <v>44391</v>
      </c>
      <c r="P4289" s="50">
        <v>58.522500000000008</v>
      </c>
    </row>
    <row r="4290" spans="4:16" x14ac:dyDescent="0.2">
      <c r="D4290">
        <v>100002543</v>
      </c>
      <c r="E4290" s="49">
        <v>45230</v>
      </c>
      <c r="F4290" t="s">
        <v>4222</v>
      </c>
      <c r="G4290" t="s">
        <v>1693</v>
      </c>
      <c r="H4290">
        <v>8</v>
      </c>
      <c r="I4290">
        <v>73.13</v>
      </c>
      <c r="J4290" s="50">
        <v>585.04</v>
      </c>
      <c r="K4290" t="s">
        <v>1618</v>
      </c>
      <c r="L4290" t="s">
        <v>4223</v>
      </c>
      <c r="M4290" t="s">
        <v>1624</v>
      </c>
      <c r="N4290">
        <v>38.6</v>
      </c>
      <c r="O4290" s="49">
        <v>45232</v>
      </c>
      <c r="P4290" s="50">
        <v>263.26799999999997</v>
      </c>
    </row>
    <row r="4291" spans="4:16" x14ac:dyDescent="0.2">
      <c r="D4291">
        <v>100002544</v>
      </c>
      <c r="E4291" s="49">
        <v>45071</v>
      </c>
      <c r="F4291" t="s">
        <v>4224</v>
      </c>
      <c r="G4291" t="s">
        <v>2158</v>
      </c>
      <c r="H4291">
        <v>1</v>
      </c>
      <c r="I4291">
        <v>54.95</v>
      </c>
      <c r="J4291" s="50">
        <v>54.95</v>
      </c>
      <c r="K4291" t="s">
        <v>1618</v>
      </c>
      <c r="M4291" t="s">
        <v>1624</v>
      </c>
      <c r="N4291">
        <v>29</v>
      </c>
      <c r="O4291" s="49">
        <v>45072</v>
      </c>
      <c r="P4291" s="50">
        <v>24.727500000000003</v>
      </c>
    </row>
    <row r="4292" spans="4:16" x14ac:dyDescent="0.2">
      <c r="D4292">
        <v>100002544</v>
      </c>
      <c r="E4292" s="49">
        <v>45068</v>
      </c>
      <c r="F4292" t="s">
        <v>4224</v>
      </c>
      <c r="G4292" t="s">
        <v>1782</v>
      </c>
      <c r="H4292">
        <v>1</v>
      </c>
      <c r="I4292">
        <v>47.89</v>
      </c>
      <c r="J4292" s="50">
        <v>47.89</v>
      </c>
      <c r="K4292" t="s">
        <v>1618</v>
      </c>
      <c r="M4292" t="s">
        <v>1624</v>
      </c>
      <c r="N4292">
        <v>25.28</v>
      </c>
      <c r="O4292" s="49">
        <v>45073</v>
      </c>
      <c r="P4292" s="50">
        <v>21.5505</v>
      </c>
    </row>
    <row r="4293" spans="4:16" x14ac:dyDescent="0.2">
      <c r="D4293">
        <v>100002544</v>
      </c>
      <c r="E4293" s="49">
        <v>45077</v>
      </c>
      <c r="F4293" t="s">
        <v>4224</v>
      </c>
      <c r="G4293" t="s">
        <v>1770</v>
      </c>
      <c r="H4293">
        <v>5</v>
      </c>
      <c r="I4293">
        <v>13.84</v>
      </c>
      <c r="J4293" s="50">
        <v>69.2</v>
      </c>
      <c r="K4293" t="s">
        <v>1618</v>
      </c>
      <c r="M4293" t="s">
        <v>1624</v>
      </c>
      <c r="N4293">
        <v>7.3</v>
      </c>
      <c r="O4293" s="49">
        <v>45078</v>
      </c>
      <c r="P4293" s="50">
        <v>31.14</v>
      </c>
    </row>
    <row r="4294" spans="4:16" x14ac:dyDescent="0.2">
      <c r="D4294">
        <v>100002546</v>
      </c>
      <c r="E4294" s="49">
        <v>44861</v>
      </c>
      <c r="F4294" t="s">
        <v>4225</v>
      </c>
      <c r="G4294" t="s">
        <v>2416</v>
      </c>
      <c r="H4294">
        <v>10</v>
      </c>
      <c r="I4294">
        <v>65.680000000000007</v>
      </c>
      <c r="J4294" s="50">
        <v>656.80000000000007</v>
      </c>
      <c r="K4294" t="s">
        <v>1632</v>
      </c>
      <c r="M4294" t="s">
        <v>1619</v>
      </c>
      <c r="N4294">
        <v>34.659999999999997</v>
      </c>
      <c r="O4294" s="49">
        <v>44865</v>
      </c>
      <c r="P4294" s="50">
        <v>295.56000000000006</v>
      </c>
    </row>
    <row r="4295" spans="4:16" x14ac:dyDescent="0.2">
      <c r="D4295">
        <v>100002549</v>
      </c>
      <c r="E4295" s="49">
        <v>44636</v>
      </c>
      <c r="F4295" t="s">
        <v>4226</v>
      </c>
      <c r="G4295" t="s">
        <v>2007</v>
      </c>
      <c r="H4295">
        <v>5</v>
      </c>
      <c r="I4295">
        <v>23.74</v>
      </c>
      <c r="J4295" s="50">
        <v>118.7</v>
      </c>
      <c r="K4295" t="s">
        <v>1618</v>
      </c>
      <c r="M4295" t="s">
        <v>1627</v>
      </c>
      <c r="N4295">
        <v>12.53</v>
      </c>
      <c r="O4295" s="49">
        <v>44637</v>
      </c>
      <c r="P4295" s="50">
        <v>53.414999999999999</v>
      </c>
    </row>
    <row r="4296" spans="4:16" x14ac:dyDescent="0.2">
      <c r="D4296">
        <v>100002550</v>
      </c>
      <c r="E4296" s="49">
        <v>44276</v>
      </c>
      <c r="F4296" t="s">
        <v>3318</v>
      </c>
      <c r="G4296" t="s">
        <v>1631</v>
      </c>
      <c r="H4296">
        <v>8</v>
      </c>
      <c r="I4296">
        <v>96.01</v>
      </c>
      <c r="J4296" s="50">
        <v>768.08</v>
      </c>
      <c r="K4296" t="s">
        <v>1632</v>
      </c>
      <c r="M4296" t="s">
        <v>1619</v>
      </c>
      <c r="N4296">
        <v>50.67</v>
      </c>
      <c r="O4296" s="49">
        <v>44277</v>
      </c>
      <c r="P4296" s="50">
        <v>345.63600000000002</v>
      </c>
    </row>
    <row r="4297" spans="4:16" x14ac:dyDescent="0.2">
      <c r="D4297">
        <v>100002551</v>
      </c>
      <c r="E4297" s="49">
        <v>44910</v>
      </c>
      <c r="F4297" t="s">
        <v>4227</v>
      </c>
      <c r="G4297" t="s">
        <v>1877</v>
      </c>
      <c r="H4297">
        <v>10</v>
      </c>
      <c r="I4297">
        <v>119.83</v>
      </c>
      <c r="J4297" s="50">
        <v>1198.3</v>
      </c>
      <c r="K4297" t="s">
        <v>1632</v>
      </c>
      <c r="M4297" t="s">
        <v>1621</v>
      </c>
      <c r="N4297">
        <v>63.24</v>
      </c>
      <c r="O4297" s="49">
        <v>44911</v>
      </c>
      <c r="P4297" s="50">
        <v>539.23500000000001</v>
      </c>
    </row>
    <row r="4298" spans="4:16" x14ac:dyDescent="0.2">
      <c r="D4298">
        <v>100002552</v>
      </c>
      <c r="E4298" s="49">
        <v>44620</v>
      </c>
      <c r="F4298" t="s">
        <v>4228</v>
      </c>
      <c r="G4298" t="s">
        <v>2138</v>
      </c>
      <c r="H4298">
        <v>5</v>
      </c>
      <c r="I4298">
        <v>52.85</v>
      </c>
      <c r="J4298" s="50">
        <v>264.25</v>
      </c>
      <c r="K4298" t="s">
        <v>1632</v>
      </c>
      <c r="M4298" t="s">
        <v>1621</v>
      </c>
      <c r="N4298">
        <v>27.89</v>
      </c>
      <c r="O4298" s="49">
        <v>44624</v>
      </c>
      <c r="P4298" s="50">
        <v>118.91250000000001</v>
      </c>
    </row>
    <row r="4299" spans="4:16" x14ac:dyDescent="0.2">
      <c r="D4299">
        <v>100002552</v>
      </c>
      <c r="E4299" s="49">
        <v>44387</v>
      </c>
      <c r="F4299" t="s">
        <v>4228</v>
      </c>
      <c r="G4299" t="s">
        <v>1950</v>
      </c>
      <c r="H4299">
        <v>3</v>
      </c>
      <c r="I4299">
        <v>54.81</v>
      </c>
      <c r="J4299" s="50">
        <v>164.43</v>
      </c>
      <c r="K4299" t="s">
        <v>1632</v>
      </c>
      <c r="M4299" t="s">
        <v>1629</v>
      </c>
      <c r="N4299">
        <v>28.93</v>
      </c>
      <c r="O4299" s="49">
        <v>44391</v>
      </c>
      <c r="P4299" s="50">
        <v>73.993500000000012</v>
      </c>
    </row>
    <row r="4300" spans="4:16" x14ac:dyDescent="0.2">
      <c r="D4300">
        <v>100002553</v>
      </c>
      <c r="E4300" s="49">
        <v>44410</v>
      </c>
      <c r="F4300" t="s">
        <v>4229</v>
      </c>
      <c r="G4300" t="s">
        <v>1797</v>
      </c>
      <c r="H4300">
        <v>1</v>
      </c>
      <c r="I4300">
        <v>53.94</v>
      </c>
      <c r="J4300" s="50">
        <v>53.94</v>
      </c>
      <c r="K4300" t="s">
        <v>1632</v>
      </c>
      <c r="M4300" t="s">
        <v>1619</v>
      </c>
      <c r="N4300">
        <v>28.47</v>
      </c>
      <c r="O4300" s="49">
        <v>44414</v>
      </c>
      <c r="P4300" s="50">
        <v>24.273</v>
      </c>
    </row>
    <row r="4301" spans="4:16" x14ac:dyDescent="0.2">
      <c r="D4301">
        <v>100002553</v>
      </c>
      <c r="E4301" s="49">
        <v>45463</v>
      </c>
      <c r="F4301" t="s">
        <v>4229</v>
      </c>
      <c r="G4301" t="s">
        <v>2074</v>
      </c>
      <c r="H4301">
        <v>1</v>
      </c>
      <c r="I4301">
        <v>19.82</v>
      </c>
      <c r="J4301" s="50">
        <v>19.82</v>
      </c>
      <c r="K4301" t="s">
        <v>1632</v>
      </c>
      <c r="M4301" t="s">
        <v>1621</v>
      </c>
      <c r="N4301">
        <v>10.46</v>
      </c>
      <c r="O4301" s="49">
        <v>45464</v>
      </c>
      <c r="P4301" s="50">
        <v>8.9190000000000005</v>
      </c>
    </row>
    <row r="4302" spans="4:16" x14ac:dyDescent="0.2">
      <c r="D4302">
        <v>100002553</v>
      </c>
      <c r="E4302" s="49">
        <v>45118</v>
      </c>
      <c r="F4302" t="s">
        <v>4229</v>
      </c>
      <c r="G4302" t="s">
        <v>1975</v>
      </c>
      <c r="H4302">
        <v>10</v>
      </c>
      <c r="I4302">
        <v>59.9</v>
      </c>
      <c r="J4302" s="50">
        <v>599</v>
      </c>
      <c r="K4302" t="s">
        <v>1632</v>
      </c>
      <c r="M4302" t="s">
        <v>1621</v>
      </c>
      <c r="N4302">
        <v>31.61</v>
      </c>
      <c r="O4302" s="49">
        <v>45120</v>
      </c>
      <c r="P4302" s="50">
        <v>269.55</v>
      </c>
    </row>
    <row r="4303" spans="4:16" x14ac:dyDescent="0.2">
      <c r="D4303">
        <v>100002554</v>
      </c>
      <c r="E4303" s="49">
        <v>45296</v>
      </c>
      <c r="F4303" t="s">
        <v>4230</v>
      </c>
      <c r="G4303" t="s">
        <v>2343</v>
      </c>
      <c r="H4303">
        <v>5</v>
      </c>
      <c r="I4303">
        <v>88.71</v>
      </c>
      <c r="J4303" s="50">
        <v>443.55</v>
      </c>
      <c r="K4303" t="s">
        <v>1618</v>
      </c>
      <c r="M4303" t="s">
        <v>1621</v>
      </c>
      <c r="N4303">
        <v>46.82</v>
      </c>
      <c r="O4303" s="49">
        <v>45300</v>
      </c>
      <c r="P4303" s="50">
        <v>199.5975</v>
      </c>
    </row>
    <row r="4304" spans="4:16" x14ac:dyDescent="0.2">
      <c r="D4304">
        <v>100002556</v>
      </c>
      <c r="E4304" s="49">
        <v>44540</v>
      </c>
      <c r="F4304" t="s">
        <v>4231</v>
      </c>
      <c r="G4304" t="s">
        <v>1880</v>
      </c>
      <c r="H4304">
        <v>10</v>
      </c>
      <c r="I4304">
        <v>99.76</v>
      </c>
      <c r="J4304" s="50">
        <v>997.6</v>
      </c>
      <c r="K4304" t="s">
        <v>1632</v>
      </c>
      <c r="M4304" t="s">
        <v>1619</v>
      </c>
      <c r="N4304">
        <v>52.65</v>
      </c>
      <c r="O4304" s="49">
        <v>44541</v>
      </c>
      <c r="P4304" s="50">
        <v>448.92</v>
      </c>
    </row>
    <row r="4305" spans="4:16" x14ac:dyDescent="0.2">
      <c r="D4305">
        <v>100002557</v>
      </c>
      <c r="E4305" s="49">
        <v>45267</v>
      </c>
      <c r="F4305" t="s">
        <v>4232</v>
      </c>
      <c r="G4305" t="s">
        <v>1695</v>
      </c>
      <c r="H4305">
        <v>2</v>
      </c>
      <c r="I4305">
        <v>59.23</v>
      </c>
      <c r="J4305" s="50">
        <v>118.46</v>
      </c>
      <c r="K4305" t="s">
        <v>1632</v>
      </c>
      <c r="M4305" t="s">
        <v>1619</v>
      </c>
      <c r="N4305">
        <v>31.26</v>
      </c>
      <c r="O4305" s="49">
        <v>45270</v>
      </c>
      <c r="P4305" s="50">
        <v>53.306999999999995</v>
      </c>
    </row>
    <row r="4306" spans="4:16" x14ac:dyDescent="0.2">
      <c r="D4306">
        <v>100002557</v>
      </c>
      <c r="E4306" s="49">
        <v>44841</v>
      </c>
      <c r="F4306" t="s">
        <v>4232</v>
      </c>
      <c r="G4306" t="s">
        <v>1718</v>
      </c>
      <c r="H4306">
        <v>6</v>
      </c>
      <c r="I4306">
        <v>35.71</v>
      </c>
      <c r="J4306" s="50">
        <v>214.26</v>
      </c>
      <c r="K4306" t="s">
        <v>1632</v>
      </c>
      <c r="M4306" t="s">
        <v>1627</v>
      </c>
      <c r="N4306">
        <v>18.850000000000001</v>
      </c>
      <c r="O4306" s="49">
        <v>44845</v>
      </c>
      <c r="P4306" s="50">
        <v>96.417000000000002</v>
      </c>
    </row>
    <row r="4307" spans="4:16" x14ac:dyDescent="0.2">
      <c r="D4307">
        <v>100002559</v>
      </c>
      <c r="E4307" s="49">
        <v>44922</v>
      </c>
      <c r="F4307" t="s">
        <v>4233</v>
      </c>
      <c r="G4307" t="s">
        <v>1691</v>
      </c>
      <c r="H4307">
        <v>2</v>
      </c>
      <c r="I4307">
        <v>110.37</v>
      </c>
      <c r="J4307" s="50">
        <v>220.74</v>
      </c>
      <c r="K4307" t="s">
        <v>1618</v>
      </c>
      <c r="M4307" t="s">
        <v>1621</v>
      </c>
      <c r="N4307">
        <v>58.25</v>
      </c>
      <c r="O4307" s="49">
        <v>44927</v>
      </c>
      <c r="P4307" s="50">
        <v>99.333000000000013</v>
      </c>
    </row>
    <row r="4308" spans="4:16" x14ac:dyDescent="0.2">
      <c r="D4308">
        <v>100002559</v>
      </c>
      <c r="E4308" s="49">
        <v>45024</v>
      </c>
      <c r="F4308" t="s">
        <v>4233</v>
      </c>
      <c r="G4308" t="s">
        <v>1918</v>
      </c>
      <c r="H4308">
        <v>1</v>
      </c>
      <c r="I4308">
        <v>17.350000000000001</v>
      </c>
      <c r="J4308" s="50">
        <v>17.350000000000001</v>
      </c>
      <c r="K4308" t="s">
        <v>1618</v>
      </c>
      <c r="M4308" t="s">
        <v>1624</v>
      </c>
      <c r="N4308">
        <v>9.16</v>
      </c>
      <c r="O4308" s="49">
        <v>45025</v>
      </c>
      <c r="P4308" s="50">
        <v>7.807500000000001</v>
      </c>
    </row>
    <row r="4309" spans="4:16" x14ac:dyDescent="0.2">
      <c r="D4309">
        <v>100002561</v>
      </c>
      <c r="E4309" s="49">
        <v>45432</v>
      </c>
      <c r="F4309" t="s">
        <v>4234</v>
      </c>
      <c r="G4309" t="s">
        <v>2096</v>
      </c>
      <c r="H4309">
        <v>1</v>
      </c>
      <c r="I4309">
        <v>94.08</v>
      </c>
      <c r="J4309" s="50">
        <v>94.08</v>
      </c>
      <c r="K4309" t="s">
        <v>1632</v>
      </c>
      <c r="M4309" t="s">
        <v>1629</v>
      </c>
      <c r="N4309">
        <v>49.65</v>
      </c>
      <c r="O4309" s="49">
        <v>45436</v>
      </c>
      <c r="P4309" s="50">
        <v>42.335999999999999</v>
      </c>
    </row>
    <row r="4310" spans="4:16" x14ac:dyDescent="0.2">
      <c r="D4310">
        <v>100002561</v>
      </c>
      <c r="E4310" s="49">
        <v>44899</v>
      </c>
      <c r="F4310" t="s">
        <v>4234</v>
      </c>
      <c r="G4310" t="s">
        <v>2145</v>
      </c>
      <c r="H4310">
        <v>5</v>
      </c>
      <c r="I4310">
        <v>23.9</v>
      </c>
      <c r="J4310" s="50">
        <v>119.5</v>
      </c>
      <c r="K4310" t="s">
        <v>1632</v>
      </c>
      <c r="M4310" t="s">
        <v>1621</v>
      </c>
      <c r="N4310">
        <v>12.61</v>
      </c>
      <c r="O4310" s="49">
        <v>44903</v>
      </c>
      <c r="P4310" s="50">
        <v>53.774999999999999</v>
      </c>
    </row>
    <row r="4311" spans="4:16" x14ac:dyDescent="0.2">
      <c r="D4311">
        <v>100002561</v>
      </c>
      <c r="E4311" s="49">
        <v>44902</v>
      </c>
      <c r="F4311" t="s">
        <v>4234</v>
      </c>
      <c r="G4311" t="s">
        <v>1885</v>
      </c>
      <c r="H4311">
        <v>10</v>
      </c>
      <c r="I4311">
        <v>65.94</v>
      </c>
      <c r="J4311" s="50">
        <v>659.4</v>
      </c>
      <c r="K4311" t="s">
        <v>1632</v>
      </c>
      <c r="M4311" t="s">
        <v>1629</v>
      </c>
      <c r="N4311">
        <v>34.799999999999997</v>
      </c>
      <c r="O4311" s="49">
        <v>44904</v>
      </c>
      <c r="P4311" s="50">
        <v>296.73</v>
      </c>
    </row>
    <row r="4312" spans="4:16" x14ac:dyDescent="0.2">
      <c r="D4312">
        <v>100002561</v>
      </c>
      <c r="E4312" s="49">
        <v>44929</v>
      </c>
      <c r="F4312" t="s">
        <v>4234</v>
      </c>
      <c r="G4312" t="s">
        <v>2337</v>
      </c>
      <c r="H4312">
        <v>8</v>
      </c>
      <c r="I4312">
        <v>105.08</v>
      </c>
      <c r="J4312" s="50">
        <v>840.64</v>
      </c>
      <c r="K4312" t="s">
        <v>1632</v>
      </c>
      <c r="M4312" t="s">
        <v>1627</v>
      </c>
      <c r="N4312">
        <v>55.46</v>
      </c>
      <c r="O4312" s="49">
        <v>44930</v>
      </c>
      <c r="P4312" s="50">
        <v>378.28800000000001</v>
      </c>
    </row>
    <row r="4313" spans="4:16" x14ac:dyDescent="0.2">
      <c r="D4313">
        <v>100002561</v>
      </c>
      <c r="E4313" s="49">
        <v>44674</v>
      </c>
      <c r="F4313" t="s">
        <v>4234</v>
      </c>
      <c r="G4313" t="s">
        <v>2278</v>
      </c>
      <c r="H4313">
        <v>8</v>
      </c>
      <c r="I4313">
        <v>111.32</v>
      </c>
      <c r="J4313" s="50">
        <v>890.56</v>
      </c>
      <c r="K4313" t="s">
        <v>1632</v>
      </c>
      <c r="M4313" t="s">
        <v>1619</v>
      </c>
      <c r="N4313">
        <v>58.75</v>
      </c>
      <c r="O4313" s="49">
        <v>44677</v>
      </c>
      <c r="P4313" s="50">
        <v>400.75200000000001</v>
      </c>
    </row>
    <row r="4314" spans="4:16" x14ac:dyDescent="0.2">
      <c r="D4314">
        <v>100002562</v>
      </c>
      <c r="E4314" s="49">
        <v>45509</v>
      </c>
      <c r="F4314" t="s">
        <v>4235</v>
      </c>
      <c r="G4314" t="s">
        <v>1672</v>
      </c>
      <c r="H4314">
        <v>4</v>
      </c>
      <c r="I4314">
        <v>79.87</v>
      </c>
      <c r="J4314" s="50">
        <v>319.48</v>
      </c>
      <c r="K4314" t="s">
        <v>1632</v>
      </c>
      <c r="M4314" t="s">
        <v>1627</v>
      </c>
      <c r="N4314">
        <v>42.15</v>
      </c>
      <c r="O4314" s="49">
        <v>45510</v>
      </c>
      <c r="P4314" s="50">
        <v>143.76600000000002</v>
      </c>
    </row>
    <row r="4315" spans="4:16" x14ac:dyDescent="0.2">
      <c r="D4315">
        <v>100002563</v>
      </c>
      <c r="E4315" s="49">
        <v>44235</v>
      </c>
      <c r="F4315" t="s">
        <v>4236</v>
      </c>
      <c r="G4315" t="s">
        <v>1710</v>
      </c>
      <c r="H4315">
        <v>4</v>
      </c>
      <c r="I4315">
        <v>72.48</v>
      </c>
      <c r="J4315" s="50">
        <v>289.92</v>
      </c>
      <c r="K4315" t="s">
        <v>1618</v>
      </c>
      <c r="M4315" t="s">
        <v>1629</v>
      </c>
      <c r="N4315">
        <v>38.25</v>
      </c>
      <c r="O4315" s="49">
        <v>44239</v>
      </c>
      <c r="P4315" s="50">
        <v>130.464</v>
      </c>
    </row>
    <row r="4316" spans="4:16" x14ac:dyDescent="0.2">
      <c r="D4316">
        <v>100002564</v>
      </c>
      <c r="E4316" s="49">
        <v>45277</v>
      </c>
      <c r="F4316" t="s">
        <v>4237</v>
      </c>
      <c r="G4316" t="s">
        <v>1787</v>
      </c>
      <c r="H4316">
        <v>9</v>
      </c>
      <c r="I4316">
        <v>51.04</v>
      </c>
      <c r="J4316" s="50">
        <v>459.36</v>
      </c>
      <c r="K4316" t="s">
        <v>1632</v>
      </c>
      <c r="M4316" t="s">
        <v>1619</v>
      </c>
      <c r="N4316">
        <v>26.94</v>
      </c>
      <c r="O4316" s="49">
        <v>45278</v>
      </c>
      <c r="P4316" s="50">
        <v>206.71200000000002</v>
      </c>
    </row>
    <row r="4317" spans="4:16" x14ac:dyDescent="0.2">
      <c r="D4317">
        <v>100002565</v>
      </c>
      <c r="E4317" s="49">
        <v>44677</v>
      </c>
      <c r="F4317" t="s">
        <v>4238</v>
      </c>
      <c r="G4317" t="s">
        <v>1721</v>
      </c>
      <c r="H4317">
        <v>5</v>
      </c>
      <c r="I4317">
        <v>73.069999999999993</v>
      </c>
      <c r="J4317" s="50">
        <v>365.35</v>
      </c>
      <c r="K4317" t="s">
        <v>1618</v>
      </c>
      <c r="L4317" t="s">
        <v>1891</v>
      </c>
      <c r="M4317" t="s">
        <v>1619</v>
      </c>
      <c r="N4317">
        <v>38.56</v>
      </c>
      <c r="O4317" s="49">
        <v>44681</v>
      </c>
      <c r="P4317" s="50">
        <v>164.40750000000003</v>
      </c>
    </row>
    <row r="4318" spans="4:16" x14ac:dyDescent="0.2">
      <c r="D4318">
        <v>100002566</v>
      </c>
      <c r="E4318" s="49">
        <v>44681</v>
      </c>
      <c r="F4318" t="s">
        <v>4239</v>
      </c>
      <c r="G4318" t="s">
        <v>2121</v>
      </c>
      <c r="H4318">
        <v>5</v>
      </c>
      <c r="I4318">
        <v>92.03</v>
      </c>
      <c r="J4318" s="50">
        <v>460.15</v>
      </c>
      <c r="K4318" t="s">
        <v>1632</v>
      </c>
      <c r="M4318" t="s">
        <v>1629</v>
      </c>
      <c r="N4318">
        <v>48.57</v>
      </c>
      <c r="O4318" s="49">
        <v>44684</v>
      </c>
      <c r="P4318" s="50">
        <v>207.0675</v>
      </c>
    </row>
    <row r="4319" spans="4:16" x14ac:dyDescent="0.2">
      <c r="D4319">
        <v>100002566</v>
      </c>
      <c r="E4319" s="49">
        <v>45612</v>
      </c>
      <c r="F4319" t="s">
        <v>4239</v>
      </c>
      <c r="G4319" t="s">
        <v>2658</v>
      </c>
      <c r="H4319">
        <v>9</v>
      </c>
      <c r="I4319">
        <v>99.24</v>
      </c>
      <c r="J4319" s="50">
        <v>893.16</v>
      </c>
      <c r="K4319" t="s">
        <v>1632</v>
      </c>
      <c r="M4319" t="s">
        <v>1629</v>
      </c>
      <c r="N4319">
        <v>52.38</v>
      </c>
      <c r="O4319" s="49">
        <v>45616</v>
      </c>
      <c r="P4319" s="50">
        <v>401.92199999999997</v>
      </c>
    </row>
    <row r="4320" spans="4:16" x14ac:dyDescent="0.2">
      <c r="D4320">
        <v>100002566</v>
      </c>
      <c r="E4320" s="49">
        <v>44422</v>
      </c>
      <c r="F4320" t="s">
        <v>4239</v>
      </c>
      <c r="G4320" t="s">
        <v>1823</v>
      </c>
      <c r="H4320">
        <v>7</v>
      </c>
      <c r="I4320">
        <v>19.079999999999998</v>
      </c>
      <c r="J4320" s="50">
        <v>133.56</v>
      </c>
      <c r="K4320" t="s">
        <v>1632</v>
      </c>
      <c r="M4320" t="s">
        <v>1627</v>
      </c>
      <c r="N4320">
        <v>10.07</v>
      </c>
      <c r="O4320" s="49">
        <v>44426</v>
      </c>
      <c r="P4320" s="50">
        <v>60.102000000000004</v>
      </c>
    </row>
    <row r="4321" spans="4:16" x14ac:dyDescent="0.2">
      <c r="D4321">
        <v>100002566</v>
      </c>
      <c r="E4321" s="49">
        <v>45070</v>
      </c>
      <c r="F4321" t="s">
        <v>4239</v>
      </c>
      <c r="G4321" t="s">
        <v>1700</v>
      </c>
      <c r="H4321">
        <v>8</v>
      </c>
      <c r="I4321">
        <v>53.7</v>
      </c>
      <c r="J4321" s="50">
        <v>429.6</v>
      </c>
      <c r="K4321" t="s">
        <v>1632</v>
      </c>
      <c r="M4321" t="s">
        <v>1621</v>
      </c>
      <c r="N4321">
        <v>28.34</v>
      </c>
      <c r="O4321" s="49">
        <v>45073</v>
      </c>
      <c r="P4321" s="50">
        <v>193.32000000000002</v>
      </c>
    </row>
    <row r="4322" spans="4:16" x14ac:dyDescent="0.2">
      <c r="D4322">
        <v>100002566</v>
      </c>
      <c r="E4322" s="49">
        <v>45271</v>
      </c>
      <c r="F4322" t="s">
        <v>4239</v>
      </c>
      <c r="G4322" t="s">
        <v>1937</v>
      </c>
      <c r="H4322">
        <v>5</v>
      </c>
      <c r="I4322">
        <v>106.35</v>
      </c>
      <c r="J4322" s="50">
        <v>531.75</v>
      </c>
      <c r="K4322" t="s">
        <v>1632</v>
      </c>
      <c r="M4322" t="s">
        <v>1624</v>
      </c>
      <c r="N4322">
        <v>56.13</v>
      </c>
      <c r="O4322" s="49">
        <v>45275</v>
      </c>
      <c r="P4322" s="50">
        <v>239.28749999999999</v>
      </c>
    </row>
    <row r="4323" spans="4:16" x14ac:dyDescent="0.2">
      <c r="D4323">
        <v>100002566</v>
      </c>
      <c r="E4323" s="49">
        <v>45143</v>
      </c>
      <c r="F4323" t="s">
        <v>4239</v>
      </c>
      <c r="G4323" t="s">
        <v>1705</v>
      </c>
      <c r="H4323">
        <v>9</v>
      </c>
      <c r="I4323">
        <v>44.98</v>
      </c>
      <c r="J4323" s="50">
        <v>404.82</v>
      </c>
      <c r="K4323" t="s">
        <v>1632</v>
      </c>
      <c r="M4323" t="s">
        <v>1621</v>
      </c>
      <c r="N4323">
        <v>23.74</v>
      </c>
      <c r="O4323" s="49">
        <v>45145</v>
      </c>
      <c r="P4323" s="50">
        <v>182.16900000000001</v>
      </c>
    </row>
    <row r="4324" spans="4:16" x14ac:dyDescent="0.2">
      <c r="D4324">
        <v>100002566</v>
      </c>
      <c r="E4324" s="49">
        <v>45403</v>
      </c>
      <c r="F4324" t="s">
        <v>4239</v>
      </c>
      <c r="G4324" t="s">
        <v>1728</v>
      </c>
      <c r="H4324">
        <v>2</v>
      </c>
      <c r="I4324">
        <v>119.01</v>
      </c>
      <c r="J4324" s="50">
        <v>238.02</v>
      </c>
      <c r="K4324" t="s">
        <v>1632</v>
      </c>
      <c r="M4324" t="s">
        <v>1629</v>
      </c>
      <c r="N4324">
        <v>62.81</v>
      </c>
      <c r="O4324" s="49">
        <v>45407</v>
      </c>
      <c r="P4324" s="50">
        <v>107.10900000000001</v>
      </c>
    </row>
    <row r="4325" spans="4:16" x14ac:dyDescent="0.2">
      <c r="D4325">
        <v>100002566</v>
      </c>
      <c r="E4325" s="49">
        <v>44708</v>
      </c>
      <c r="F4325" t="s">
        <v>4239</v>
      </c>
      <c r="G4325" t="s">
        <v>1932</v>
      </c>
      <c r="H4325">
        <v>2</v>
      </c>
      <c r="I4325">
        <v>63.86</v>
      </c>
      <c r="J4325" s="50">
        <v>127.72</v>
      </c>
      <c r="K4325" t="s">
        <v>1632</v>
      </c>
      <c r="M4325" t="s">
        <v>1619</v>
      </c>
      <c r="N4325">
        <v>33.700000000000003</v>
      </c>
      <c r="O4325" s="49">
        <v>44710</v>
      </c>
      <c r="P4325" s="50">
        <v>57.474000000000004</v>
      </c>
    </row>
    <row r="4326" spans="4:16" x14ac:dyDescent="0.2">
      <c r="D4326">
        <v>100002566</v>
      </c>
      <c r="E4326" s="49">
        <v>44215</v>
      </c>
      <c r="F4326" t="s">
        <v>4239</v>
      </c>
      <c r="G4326" t="s">
        <v>1877</v>
      </c>
      <c r="H4326">
        <v>9</v>
      </c>
      <c r="I4326">
        <v>92.04</v>
      </c>
      <c r="J4326" s="50">
        <v>828.36</v>
      </c>
      <c r="K4326" t="s">
        <v>1632</v>
      </c>
      <c r="M4326" t="s">
        <v>1629</v>
      </c>
      <c r="N4326">
        <v>48.58</v>
      </c>
      <c r="O4326" s="49">
        <v>44216</v>
      </c>
      <c r="P4326" s="50">
        <v>372.762</v>
      </c>
    </row>
    <row r="4327" spans="4:16" x14ac:dyDescent="0.2">
      <c r="D4327">
        <v>100002566</v>
      </c>
      <c r="E4327" s="49">
        <v>44636</v>
      </c>
      <c r="F4327" t="s">
        <v>4239</v>
      </c>
      <c r="G4327" t="s">
        <v>2571</v>
      </c>
      <c r="H4327">
        <v>9</v>
      </c>
      <c r="I4327">
        <v>78.37</v>
      </c>
      <c r="J4327" s="50">
        <v>705.33</v>
      </c>
      <c r="K4327" t="s">
        <v>1632</v>
      </c>
      <c r="M4327" t="s">
        <v>1624</v>
      </c>
      <c r="N4327">
        <v>41.36</v>
      </c>
      <c r="O4327" s="49">
        <v>44639</v>
      </c>
      <c r="P4327" s="50">
        <v>317.39850000000001</v>
      </c>
    </row>
    <row r="4328" spans="4:16" x14ac:dyDescent="0.2">
      <c r="D4328">
        <v>100002566</v>
      </c>
      <c r="E4328" s="49">
        <v>44459</v>
      </c>
      <c r="F4328" t="s">
        <v>4239</v>
      </c>
      <c r="G4328" t="s">
        <v>1758</v>
      </c>
      <c r="H4328">
        <v>9</v>
      </c>
      <c r="I4328">
        <v>47.55</v>
      </c>
      <c r="J4328" s="50">
        <v>427.95</v>
      </c>
      <c r="K4328" t="s">
        <v>1632</v>
      </c>
      <c r="M4328" t="s">
        <v>1627</v>
      </c>
      <c r="N4328">
        <v>25.1</v>
      </c>
      <c r="O4328" s="49">
        <v>44464</v>
      </c>
      <c r="P4328" s="50">
        <v>192.57749999999999</v>
      </c>
    </row>
    <row r="4329" spans="4:16" x14ac:dyDescent="0.2">
      <c r="D4329">
        <v>100002567</v>
      </c>
      <c r="E4329" s="49">
        <v>45632</v>
      </c>
      <c r="F4329" t="s">
        <v>4240</v>
      </c>
      <c r="G4329" t="s">
        <v>1733</v>
      </c>
      <c r="H4329">
        <v>3</v>
      </c>
      <c r="I4329">
        <v>50.58</v>
      </c>
      <c r="J4329" s="50">
        <v>151.74</v>
      </c>
      <c r="K4329" t="s">
        <v>1618</v>
      </c>
      <c r="M4329" t="s">
        <v>1619</v>
      </c>
      <c r="N4329">
        <v>26.69</v>
      </c>
      <c r="O4329" s="49">
        <v>45637</v>
      </c>
      <c r="P4329" s="50">
        <v>68.283000000000001</v>
      </c>
    </row>
    <row r="4330" spans="4:16" x14ac:dyDescent="0.2">
      <c r="D4330">
        <v>100002567</v>
      </c>
      <c r="E4330" s="49">
        <v>44355</v>
      </c>
      <c r="F4330" t="s">
        <v>4240</v>
      </c>
      <c r="G4330" t="s">
        <v>1971</v>
      </c>
      <c r="H4330">
        <v>8</v>
      </c>
      <c r="I4330">
        <v>85</v>
      </c>
      <c r="J4330" s="50">
        <v>680</v>
      </c>
      <c r="K4330" t="s">
        <v>1618</v>
      </c>
      <c r="M4330" t="s">
        <v>1624</v>
      </c>
      <c r="N4330">
        <v>44.86</v>
      </c>
      <c r="O4330" s="49">
        <v>44359</v>
      </c>
      <c r="P4330" s="50">
        <v>306</v>
      </c>
    </row>
    <row r="4331" spans="4:16" x14ac:dyDescent="0.2">
      <c r="D4331">
        <v>100002567</v>
      </c>
      <c r="E4331" s="49">
        <v>44585</v>
      </c>
      <c r="F4331" t="s">
        <v>4240</v>
      </c>
      <c r="G4331" t="s">
        <v>1730</v>
      </c>
      <c r="H4331">
        <v>1</v>
      </c>
      <c r="I4331">
        <v>38.700000000000003</v>
      </c>
      <c r="J4331" s="50">
        <v>38.700000000000003</v>
      </c>
      <c r="K4331" t="s">
        <v>1618</v>
      </c>
      <c r="M4331" t="s">
        <v>1621</v>
      </c>
      <c r="N4331">
        <v>20.420000000000002</v>
      </c>
      <c r="O4331" s="49">
        <v>44590</v>
      </c>
      <c r="P4331" s="50">
        <v>17.415000000000003</v>
      </c>
    </row>
    <row r="4332" spans="4:16" x14ac:dyDescent="0.2">
      <c r="D4332">
        <v>100002567</v>
      </c>
      <c r="E4332" s="49">
        <v>44246</v>
      </c>
      <c r="F4332" t="s">
        <v>4240</v>
      </c>
      <c r="G4332" t="s">
        <v>1676</v>
      </c>
      <c r="H4332">
        <v>10</v>
      </c>
      <c r="I4332">
        <v>69.41</v>
      </c>
      <c r="J4332" s="50">
        <v>694.09999999999991</v>
      </c>
      <c r="K4332" t="s">
        <v>1618</v>
      </c>
      <c r="M4332" t="s">
        <v>1624</v>
      </c>
      <c r="N4332">
        <v>36.630000000000003</v>
      </c>
      <c r="O4332" s="49">
        <v>44248</v>
      </c>
      <c r="P4332" s="50">
        <v>312.34499999999997</v>
      </c>
    </row>
    <row r="4333" spans="4:16" x14ac:dyDescent="0.2">
      <c r="D4333">
        <v>100002569</v>
      </c>
      <c r="E4333" s="49">
        <v>44448</v>
      </c>
      <c r="F4333" t="s">
        <v>4241</v>
      </c>
      <c r="G4333" t="s">
        <v>1853</v>
      </c>
      <c r="H4333">
        <v>10</v>
      </c>
      <c r="I4333">
        <v>71.02</v>
      </c>
      <c r="J4333" s="50">
        <v>710.19999999999993</v>
      </c>
      <c r="K4333" t="s">
        <v>1618</v>
      </c>
      <c r="M4333" t="s">
        <v>1619</v>
      </c>
      <c r="N4333">
        <v>37.479999999999997</v>
      </c>
      <c r="O4333" s="49">
        <v>44453</v>
      </c>
      <c r="P4333" s="50">
        <v>319.58999999999997</v>
      </c>
    </row>
    <row r="4334" spans="4:16" x14ac:dyDescent="0.2">
      <c r="D4334">
        <v>100002569</v>
      </c>
      <c r="E4334" s="49">
        <v>45457</v>
      </c>
      <c r="F4334" t="s">
        <v>4241</v>
      </c>
      <c r="G4334" t="s">
        <v>1739</v>
      </c>
      <c r="H4334">
        <v>3</v>
      </c>
      <c r="I4334">
        <v>110.43</v>
      </c>
      <c r="J4334" s="50">
        <v>331.29</v>
      </c>
      <c r="K4334" t="s">
        <v>1618</v>
      </c>
      <c r="M4334" t="s">
        <v>1629</v>
      </c>
      <c r="N4334">
        <v>58.28</v>
      </c>
      <c r="O4334" s="49">
        <v>45459</v>
      </c>
      <c r="P4334" s="50">
        <v>149.0805</v>
      </c>
    </row>
    <row r="4335" spans="4:16" x14ac:dyDescent="0.2">
      <c r="D4335">
        <v>100002570</v>
      </c>
      <c r="E4335" s="49">
        <v>44844</v>
      </c>
      <c r="F4335" t="s">
        <v>4242</v>
      </c>
      <c r="G4335" t="s">
        <v>2138</v>
      </c>
      <c r="H4335">
        <v>2</v>
      </c>
      <c r="I4335">
        <v>84.02</v>
      </c>
      <c r="J4335" s="50">
        <v>168.04</v>
      </c>
      <c r="K4335" t="s">
        <v>1618</v>
      </c>
      <c r="M4335" t="s">
        <v>1629</v>
      </c>
      <c r="N4335">
        <v>44.34</v>
      </c>
      <c r="O4335" s="49">
        <v>44847</v>
      </c>
      <c r="P4335" s="50">
        <v>75.617999999999995</v>
      </c>
    </row>
    <row r="4336" spans="4:16" x14ac:dyDescent="0.2">
      <c r="D4336">
        <v>100002570</v>
      </c>
      <c r="E4336" s="49">
        <v>45603</v>
      </c>
      <c r="F4336" t="s">
        <v>4242</v>
      </c>
      <c r="G4336" t="s">
        <v>1620</v>
      </c>
      <c r="H4336">
        <v>2</v>
      </c>
      <c r="I4336">
        <v>117.73</v>
      </c>
      <c r="J4336" s="50">
        <v>235.46</v>
      </c>
      <c r="K4336" t="s">
        <v>1618</v>
      </c>
      <c r="M4336" t="s">
        <v>1629</v>
      </c>
      <c r="N4336">
        <v>62.13</v>
      </c>
      <c r="O4336" s="49">
        <v>45607</v>
      </c>
      <c r="P4336" s="50">
        <v>105.95700000000001</v>
      </c>
    </row>
    <row r="4337" spans="4:16" x14ac:dyDescent="0.2">
      <c r="D4337">
        <v>100002570</v>
      </c>
      <c r="E4337" s="49">
        <v>45387</v>
      </c>
      <c r="F4337" t="s">
        <v>4242</v>
      </c>
      <c r="G4337" t="s">
        <v>2330</v>
      </c>
      <c r="H4337">
        <v>1</v>
      </c>
      <c r="I4337">
        <v>112.31</v>
      </c>
      <c r="J4337" s="50">
        <v>112.31</v>
      </c>
      <c r="K4337" t="s">
        <v>1618</v>
      </c>
      <c r="M4337" t="s">
        <v>1621</v>
      </c>
      <c r="N4337">
        <v>59.27</v>
      </c>
      <c r="O4337" s="49">
        <v>45392</v>
      </c>
      <c r="P4337" s="50">
        <v>50.539500000000004</v>
      </c>
    </row>
    <row r="4338" spans="4:16" x14ac:dyDescent="0.2">
      <c r="D4338">
        <v>100002571</v>
      </c>
      <c r="E4338" s="49">
        <v>45264</v>
      </c>
      <c r="F4338" t="s">
        <v>4243</v>
      </c>
      <c r="G4338" t="s">
        <v>1939</v>
      </c>
      <c r="H4338">
        <v>2</v>
      </c>
      <c r="I4338">
        <v>92.84</v>
      </c>
      <c r="J4338" s="50">
        <v>185.68</v>
      </c>
      <c r="K4338" t="s">
        <v>1618</v>
      </c>
      <c r="M4338" t="s">
        <v>1619</v>
      </c>
      <c r="N4338">
        <v>49</v>
      </c>
      <c r="O4338" s="49">
        <v>45268</v>
      </c>
      <c r="P4338" s="50">
        <v>83.556000000000012</v>
      </c>
    </row>
    <row r="4339" spans="4:16" x14ac:dyDescent="0.2">
      <c r="D4339">
        <v>100002572</v>
      </c>
      <c r="E4339" s="49">
        <v>45389</v>
      </c>
      <c r="F4339" t="s">
        <v>4244</v>
      </c>
      <c r="G4339" t="s">
        <v>2093</v>
      </c>
      <c r="H4339">
        <v>10</v>
      </c>
      <c r="I4339">
        <v>78.09</v>
      </c>
      <c r="J4339" s="50">
        <v>780.90000000000009</v>
      </c>
      <c r="K4339" t="s">
        <v>1618</v>
      </c>
      <c r="M4339" t="s">
        <v>1619</v>
      </c>
      <c r="N4339">
        <v>41.21</v>
      </c>
      <c r="O4339" s="49">
        <v>45390</v>
      </c>
      <c r="P4339" s="50">
        <v>351.40500000000003</v>
      </c>
    </row>
    <row r="4340" spans="4:16" x14ac:dyDescent="0.2">
      <c r="D4340">
        <v>100002573</v>
      </c>
      <c r="E4340" s="49">
        <v>44782</v>
      </c>
      <c r="F4340" t="s">
        <v>4245</v>
      </c>
      <c r="G4340" t="s">
        <v>2302</v>
      </c>
      <c r="H4340">
        <v>1</v>
      </c>
      <c r="I4340">
        <v>84.65</v>
      </c>
      <c r="J4340" s="50">
        <v>84.65</v>
      </c>
      <c r="K4340" t="s">
        <v>1618</v>
      </c>
      <c r="M4340" t="s">
        <v>1621</v>
      </c>
      <c r="N4340">
        <v>44.68</v>
      </c>
      <c r="O4340" s="49">
        <v>44784</v>
      </c>
      <c r="P4340" s="50">
        <v>38.092500000000001</v>
      </c>
    </row>
    <row r="4341" spans="4:16" x14ac:dyDescent="0.2">
      <c r="D4341">
        <v>100002574</v>
      </c>
      <c r="E4341" s="49">
        <v>45046</v>
      </c>
      <c r="F4341" t="s">
        <v>4246</v>
      </c>
      <c r="G4341" t="s">
        <v>1902</v>
      </c>
      <c r="H4341">
        <v>4</v>
      </c>
      <c r="I4341">
        <v>66.12</v>
      </c>
      <c r="J4341" s="50">
        <v>264.48</v>
      </c>
      <c r="K4341" t="s">
        <v>1618</v>
      </c>
      <c r="M4341" t="s">
        <v>1624</v>
      </c>
      <c r="N4341">
        <v>34.9</v>
      </c>
      <c r="O4341" s="49">
        <v>45050</v>
      </c>
      <c r="P4341" s="50">
        <v>119.01600000000001</v>
      </c>
    </row>
    <row r="4342" spans="4:16" x14ac:dyDescent="0.2">
      <c r="D4342">
        <v>100002575</v>
      </c>
      <c r="E4342" s="49">
        <v>45474</v>
      </c>
      <c r="F4342" t="s">
        <v>4247</v>
      </c>
      <c r="G4342" t="s">
        <v>2174</v>
      </c>
      <c r="H4342">
        <v>2</v>
      </c>
      <c r="I4342">
        <v>87.81</v>
      </c>
      <c r="J4342" s="50">
        <v>175.62</v>
      </c>
      <c r="K4342" t="s">
        <v>1632</v>
      </c>
      <c r="L4342" t="s">
        <v>4248</v>
      </c>
      <c r="M4342" t="s">
        <v>1621</v>
      </c>
      <c r="N4342">
        <v>46.34</v>
      </c>
      <c r="O4342" s="49">
        <v>45478</v>
      </c>
      <c r="P4342" s="50">
        <v>79.029000000000011</v>
      </c>
    </row>
    <row r="4343" spans="4:16" x14ac:dyDescent="0.2">
      <c r="D4343">
        <v>100002576</v>
      </c>
      <c r="E4343" s="49">
        <v>44964</v>
      </c>
      <c r="F4343" t="s">
        <v>4249</v>
      </c>
      <c r="G4343" t="s">
        <v>2357</v>
      </c>
      <c r="H4343">
        <v>6</v>
      </c>
      <c r="I4343">
        <v>41.91</v>
      </c>
      <c r="J4343" s="50">
        <v>251.46</v>
      </c>
      <c r="K4343" t="s">
        <v>1618</v>
      </c>
      <c r="M4343" t="s">
        <v>1619</v>
      </c>
      <c r="N4343">
        <v>22.12</v>
      </c>
      <c r="O4343" s="49">
        <v>44969</v>
      </c>
      <c r="P4343" s="50">
        <v>113.15700000000001</v>
      </c>
    </row>
    <row r="4344" spans="4:16" x14ac:dyDescent="0.2">
      <c r="D4344">
        <v>100002576</v>
      </c>
      <c r="E4344" s="49">
        <v>44426</v>
      </c>
      <c r="F4344" t="s">
        <v>4249</v>
      </c>
      <c r="G4344" t="s">
        <v>1844</v>
      </c>
      <c r="H4344">
        <v>6</v>
      </c>
      <c r="I4344">
        <v>96.47</v>
      </c>
      <c r="J4344" s="50">
        <v>578.81999999999994</v>
      </c>
      <c r="K4344" t="s">
        <v>1618</v>
      </c>
      <c r="M4344" t="s">
        <v>1629</v>
      </c>
      <c r="N4344">
        <v>50.91</v>
      </c>
      <c r="O4344" s="49">
        <v>44428</v>
      </c>
      <c r="P4344" s="50">
        <v>260.46899999999999</v>
      </c>
    </row>
    <row r="4345" spans="4:16" x14ac:dyDescent="0.2">
      <c r="D4345">
        <v>100002577</v>
      </c>
      <c r="E4345" s="49">
        <v>45490</v>
      </c>
      <c r="F4345" t="s">
        <v>4250</v>
      </c>
      <c r="G4345" t="s">
        <v>1748</v>
      </c>
      <c r="H4345">
        <v>5</v>
      </c>
      <c r="I4345">
        <v>98.19</v>
      </c>
      <c r="J4345" s="50">
        <v>490.95</v>
      </c>
      <c r="K4345" t="s">
        <v>1632</v>
      </c>
      <c r="M4345" t="s">
        <v>1621</v>
      </c>
      <c r="N4345">
        <v>51.82</v>
      </c>
      <c r="O4345" s="49">
        <v>45495</v>
      </c>
      <c r="P4345" s="50">
        <v>220.92750000000001</v>
      </c>
    </row>
    <row r="4346" spans="4:16" x14ac:dyDescent="0.2">
      <c r="D4346">
        <v>100002577</v>
      </c>
      <c r="E4346" s="49">
        <v>45526</v>
      </c>
      <c r="F4346" t="s">
        <v>4250</v>
      </c>
      <c r="G4346" t="s">
        <v>2420</v>
      </c>
      <c r="H4346">
        <v>6</v>
      </c>
      <c r="I4346">
        <v>74.12</v>
      </c>
      <c r="J4346" s="50">
        <v>444.72</v>
      </c>
      <c r="K4346" t="s">
        <v>1632</v>
      </c>
      <c r="M4346" t="s">
        <v>1627</v>
      </c>
      <c r="N4346">
        <v>39.119999999999997</v>
      </c>
      <c r="O4346" s="49">
        <v>45531</v>
      </c>
      <c r="P4346" s="50">
        <v>200.12400000000002</v>
      </c>
    </row>
    <row r="4347" spans="4:16" x14ac:dyDescent="0.2">
      <c r="D4347">
        <v>100002577</v>
      </c>
      <c r="E4347" s="49">
        <v>44395</v>
      </c>
      <c r="F4347" t="s">
        <v>4250</v>
      </c>
      <c r="G4347" t="s">
        <v>1848</v>
      </c>
      <c r="H4347">
        <v>6</v>
      </c>
      <c r="I4347">
        <v>79.28</v>
      </c>
      <c r="J4347" s="50">
        <v>475.68</v>
      </c>
      <c r="K4347" t="s">
        <v>1632</v>
      </c>
      <c r="M4347" t="s">
        <v>1619</v>
      </c>
      <c r="N4347">
        <v>41.84</v>
      </c>
      <c r="O4347" s="49">
        <v>44399</v>
      </c>
      <c r="P4347" s="50">
        <v>214.05600000000001</v>
      </c>
    </row>
    <row r="4348" spans="4:16" x14ac:dyDescent="0.2">
      <c r="D4348">
        <v>100002577</v>
      </c>
      <c r="E4348" s="49">
        <v>44767</v>
      </c>
      <c r="F4348" t="s">
        <v>4250</v>
      </c>
      <c r="G4348" t="s">
        <v>2158</v>
      </c>
      <c r="H4348">
        <v>8</v>
      </c>
      <c r="I4348">
        <v>80.03</v>
      </c>
      <c r="J4348" s="50">
        <v>640.24</v>
      </c>
      <c r="K4348" t="s">
        <v>1632</v>
      </c>
      <c r="M4348" t="s">
        <v>1629</v>
      </c>
      <c r="N4348">
        <v>42.24</v>
      </c>
      <c r="O4348" s="49">
        <v>44770</v>
      </c>
      <c r="P4348" s="50">
        <v>288.108</v>
      </c>
    </row>
    <row r="4349" spans="4:16" x14ac:dyDescent="0.2">
      <c r="D4349">
        <v>100002577</v>
      </c>
      <c r="E4349" s="49">
        <v>45007</v>
      </c>
      <c r="F4349" t="s">
        <v>4250</v>
      </c>
      <c r="G4349" t="s">
        <v>2017</v>
      </c>
      <c r="H4349">
        <v>7</v>
      </c>
      <c r="I4349">
        <v>105.47</v>
      </c>
      <c r="J4349" s="50">
        <v>738.29</v>
      </c>
      <c r="K4349" t="s">
        <v>1632</v>
      </c>
      <c r="M4349" t="s">
        <v>1624</v>
      </c>
      <c r="N4349">
        <v>55.66</v>
      </c>
      <c r="O4349" s="49">
        <v>45011</v>
      </c>
      <c r="P4349" s="50">
        <v>332.23050000000001</v>
      </c>
    </row>
    <row r="4350" spans="4:16" x14ac:dyDescent="0.2">
      <c r="D4350">
        <v>100002578</v>
      </c>
      <c r="E4350" s="49">
        <v>45006</v>
      </c>
      <c r="F4350" t="s">
        <v>4251</v>
      </c>
      <c r="G4350" t="s">
        <v>1700</v>
      </c>
      <c r="H4350">
        <v>7</v>
      </c>
      <c r="I4350">
        <v>60.78</v>
      </c>
      <c r="J4350" s="50">
        <v>425.46</v>
      </c>
      <c r="K4350" t="s">
        <v>1618</v>
      </c>
      <c r="M4350" t="s">
        <v>1621</v>
      </c>
      <c r="N4350">
        <v>32.08</v>
      </c>
      <c r="O4350" s="49">
        <v>45008</v>
      </c>
      <c r="P4350" s="50">
        <v>191.45699999999999</v>
      </c>
    </row>
    <row r="4351" spans="4:16" x14ac:dyDescent="0.2">
      <c r="D4351">
        <v>100002578</v>
      </c>
      <c r="E4351" s="49">
        <v>44385</v>
      </c>
      <c r="F4351" t="s">
        <v>4251</v>
      </c>
      <c r="G4351" t="s">
        <v>1710</v>
      </c>
      <c r="H4351">
        <v>10</v>
      </c>
      <c r="I4351">
        <v>79.94</v>
      </c>
      <c r="J4351" s="50">
        <v>799.4</v>
      </c>
      <c r="K4351" t="s">
        <v>1618</v>
      </c>
      <c r="M4351" t="s">
        <v>1619</v>
      </c>
      <c r="N4351">
        <v>42.19</v>
      </c>
      <c r="O4351" s="49">
        <v>44389</v>
      </c>
      <c r="P4351" s="50">
        <v>359.73</v>
      </c>
    </row>
    <row r="4352" spans="4:16" x14ac:dyDescent="0.2">
      <c r="D4352">
        <v>100002578</v>
      </c>
      <c r="E4352" s="49">
        <v>45326</v>
      </c>
      <c r="F4352" t="s">
        <v>4251</v>
      </c>
      <c r="G4352" t="s">
        <v>2571</v>
      </c>
      <c r="H4352">
        <v>8</v>
      </c>
      <c r="I4352">
        <v>86.69</v>
      </c>
      <c r="J4352" s="50">
        <v>693.52</v>
      </c>
      <c r="K4352" t="s">
        <v>1618</v>
      </c>
      <c r="M4352" t="s">
        <v>1624</v>
      </c>
      <c r="N4352">
        <v>45.75</v>
      </c>
      <c r="O4352" s="49">
        <v>45327</v>
      </c>
      <c r="P4352" s="50">
        <v>312.084</v>
      </c>
    </row>
    <row r="4353" spans="4:16" x14ac:dyDescent="0.2">
      <c r="D4353">
        <v>100002578</v>
      </c>
      <c r="E4353" s="49">
        <v>44486</v>
      </c>
      <c r="F4353" t="s">
        <v>4251</v>
      </c>
      <c r="G4353" t="s">
        <v>1749</v>
      </c>
      <c r="H4353">
        <v>1</v>
      </c>
      <c r="I4353">
        <v>54.97</v>
      </c>
      <c r="J4353" s="50">
        <v>54.97</v>
      </c>
      <c r="K4353" t="s">
        <v>1618</v>
      </c>
      <c r="M4353" t="s">
        <v>1621</v>
      </c>
      <c r="N4353">
        <v>29.01</v>
      </c>
      <c r="O4353" s="49">
        <v>44487</v>
      </c>
      <c r="P4353" s="50">
        <v>24.736499999999999</v>
      </c>
    </row>
    <row r="4354" spans="4:16" x14ac:dyDescent="0.2">
      <c r="D4354">
        <v>100002579</v>
      </c>
      <c r="E4354" s="49">
        <v>44693</v>
      </c>
      <c r="F4354" t="s">
        <v>4252</v>
      </c>
      <c r="G4354" t="s">
        <v>1990</v>
      </c>
      <c r="H4354">
        <v>2</v>
      </c>
      <c r="I4354">
        <v>80.61</v>
      </c>
      <c r="J4354" s="50">
        <v>161.22</v>
      </c>
      <c r="K4354" t="s">
        <v>1618</v>
      </c>
      <c r="L4354" t="s">
        <v>4253</v>
      </c>
      <c r="M4354" t="s">
        <v>1621</v>
      </c>
      <c r="N4354">
        <v>42.54</v>
      </c>
      <c r="O4354" s="49">
        <v>44697</v>
      </c>
      <c r="P4354" s="50">
        <v>72.549000000000007</v>
      </c>
    </row>
    <row r="4355" spans="4:16" x14ac:dyDescent="0.2">
      <c r="D4355">
        <v>100002579</v>
      </c>
      <c r="E4355" s="49">
        <v>45552</v>
      </c>
      <c r="F4355" t="s">
        <v>4252</v>
      </c>
      <c r="G4355" t="s">
        <v>1947</v>
      </c>
      <c r="H4355">
        <v>7</v>
      </c>
      <c r="I4355">
        <v>26.66</v>
      </c>
      <c r="J4355" s="50">
        <v>186.62</v>
      </c>
      <c r="K4355" t="s">
        <v>1618</v>
      </c>
      <c r="L4355" t="s">
        <v>4253</v>
      </c>
      <c r="M4355" t="s">
        <v>1629</v>
      </c>
      <c r="N4355">
        <v>14.07</v>
      </c>
      <c r="O4355" s="49">
        <v>45553</v>
      </c>
      <c r="P4355" s="50">
        <v>83.978999999999999</v>
      </c>
    </row>
    <row r="4356" spans="4:16" x14ac:dyDescent="0.2">
      <c r="D4356">
        <v>100002580</v>
      </c>
      <c r="E4356" s="49">
        <v>45546</v>
      </c>
      <c r="F4356" t="s">
        <v>2223</v>
      </c>
      <c r="G4356" t="s">
        <v>1982</v>
      </c>
      <c r="H4356">
        <v>5</v>
      </c>
      <c r="I4356">
        <v>115.7</v>
      </c>
      <c r="J4356" s="50">
        <v>578.5</v>
      </c>
      <c r="K4356" t="s">
        <v>1618</v>
      </c>
      <c r="M4356" t="s">
        <v>1621</v>
      </c>
      <c r="N4356">
        <v>61.06</v>
      </c>
      <c r="O4356" s="49">
        <v>45550</v>
      </c>
      <c r="P4356" s="50">
        <v>260.32499999999999</v>
      </c>
    </row>
    <row r="4357" spans="4:16" x14ac:dyDescent="0.2">
      <c r="D4357">
        <v>100002580</v>
      </c>
      <c r="E4357" s="49">
        <v>45118</v>
      </c>
      <c r="F4357" t="s">
        <v>2223</v>
      </c>
      <c r="G4357" t="s">
        <v>2733</v>
      </c>
      <c r="H4357">
        <v>2</v>
      </c>
      <c r="I4357">
        <v>118.48</v>
      </c>
      <c r="J4357" s="50">
        <v>236.96</v>
      </c>
      <c r="K4357" t="s">
        <v>1618</v>
      </c>
      <c r="M4357" t="s">
        <v>1619</v>
      </c>
      <c r="N4357">
        <v>62.53</v>
      </c>
      <c r="O4357" s="49">
        <v>45122</v>
      </c>
      <c r="P4357" s="50">
        <v>106.63200000000001</v>
      </c>
    </row>
    <row r="4358" spans="4:16" x14ac:dyDescent="0.2">
      <c r="D4358">
        <v>100002581</v>
      </c>
      <c r="E4358" s="49">
        <v>44198</v>
      </c>
      <c r="F4358" t="s">
        <v>4254</v>
      </c>
      <c r="G4358" t="s">
        <v>1655</v>
      </c>
      <c r="H4358">
        <v>9</v>
      </c>
      <c r="I4358">
        <v>55.84</v>
      </c>
      <c r="J4358" s="50">
        <v>502.56000000000012</v>
      </c>
      <c r="K4358" t="s">
        <v>1632</v>
      </c>
      <c r="M4358" t="s">
        <v>1627</v>
      </c>
      <c r="N4358">
        <v>29.47</v>
      </c>
      <c r="O4358" s="49">
        <v>44201</v>
      </c>
      <c r="P4358" s="50">
        <v>226.15200000000004</v>
      </c>
    </row>
    <row r="4359" spans="4:16" x14ac:dyDescent="0.2">
      <c r="D4359">
        <v>100002581</v>
      </c>
      <c r="E4359" s="49">
        <v>44483</v>
      </c>
      <c r="F4359" t="s">
        <v>4254</v>
      </c>
      <c r="G4359" t="s">
        <v>2099</v>
      </c>
      <c r="H4359">
        <v>10</v>
      </c>
      <c r="I4359">
        <v>60.66</v>
      </c>
      <c r="J4359" s="50">
        <v>606.59999999999991</v>
      </c>
      <c r="K4359" t="s">
        <v>1632</v>
      </c>
      <c r="M4359" t="s">
        <v>1629</v>
      </c>
      <c r="N4359">
        <v>32.01</v>
      </c>
      <c r="O4359" s="49">
        <v>44486</v>
      </c>
      <c r="P4359" s="50">
        <v>272.96999999999997</v>
      </c>
    </row>
    <row r="4360" spans="4:16" x14ac:dyDescent="0.2">
      <c r="D4360">
        <v>100002582</v>
      </c>
      <c r="E4360" s="49">
        <v>45204</v>
      </c>
      <c r="F4360" t="s">
        <v>4255</v>
      </c>
      <c r="G4360" t="s">
        <v>1797</v>
      </c>
      <c r="H4360">
        <v>10</v>
      </c>
      <c r="I4360">
        <v>58.6</v>
      </c>
      <c r="J4360" s="50">
        <v>586</v>
      </c>
      <c r="K4360" t="s">
        <v>1618</v>
      </c>
      <c r="M4360" t="s">
        <v>1621</v>
      </c>
      <c r="N4360">
        <v>30.93</v>
      </c>
      <c r="O4360" s="49">
        <v>45206</v>
      </c>
      <c r="P4360" s="50">
        <v>263.7</v>
      </c>
    </row>
    <row r="4361" spans="4:16" x14ac:dyDescent="0.2">
      <c r="D4361">
        <v>100002583</v>
      </c>
      <c r="E4361" s="49">
        <v>44441</v>
      </c>
      <c r="F4361" t="s">
        <v>4256</v>
      </c>
      <c r="G4361" t="s">
        <v>1754</v>
      </c>
      <c r="H4361">
        <v>2</v>
      </c>
      <c r="I4361">
        <v>63.52</v>
      </c>
      <c r="J4361" s="50">
        <v>127.04</v>
      </c>
      <c r="K4361" t="s">
        <v>1618</v>
      </c>
      <c r="L4361" t="s">
        <v>4257</v>
      </c>
      <c r="M4361" t="s">
        <v>1619</v>
      </c>
      <c r="N4361">
        <v>33.520000000000003</v>
      </c>
      <c r="O4361" s="49">
        <v>44443</v>
      </c>
      <c r="P4361" s="50">
        <v>57.168000000000006</v>
      </c>
    </row>
    <row r="4362" spans="4:16" x14ac:dyDescent="0.2">
      <c r="D4362">
        <v>100002583</v>
      </c>
      <c r="E4362" s="49">
        <v>45229</v>
      </c>
      <c r="F4362" t="s">
        <v>4256</v>
      </c>
      <c r="G4362" t="s">
        <v>2585</v>
      </c>
      <c r="H4362">
        <v>10</v>
      </c>
      <c r="I4362">
        <v>56.76</v>
      </c>
      <c r="J4362" s="50">
        <v>567.6</v>
      </c>
      <c r="K4362" t="s">
        <v>1618</v>
      </c>
      <c r="L4362" t="s">
        <v>4257</v>
      </c>
      <c r="M4362" t="s">
        <v>1629</v>
      </c>
      <c r="N4362">
        <v>29.96</v>
      </c>
      <c r="O4362" s="49">
        <v>45232</v>
      </c>
      <c r="P4362" s="50">
        <v>255.42000000000002</v>
      </c>
    </row>
    <row r="4363" spans="4:16" x14ac:dyDescent="0.2">
      <c r="D4363">
        <v>100002583</v>
      </c>
      <c r="E4363" s="49">
        <v>44868</v>
      </c>
      <c r="F4363" t="s">
        <v>4256</v>
      </c>
      <c r="G4363" t="s">
        <v>1733</v>
      </c>
      <c r="H4363">
        <v>6</v>
      </c>
      <c r="I4363">
        <v>56.97</v>
      </c>
      <c r="J4363" s="50">
        <v>341.82</v>
      </c>
      <c r="K4363" t="s">
        <v>1618</v>
      </c>
      <c r="L4363" t="s">
        <v>4257</v>
      </c>
      <c r="M4363" t="s">
        <v>1619</v>
      </c>
      <c r="N4363">
        <v>30.07</v>
      </c>
      <c r="O4363" s="49">
        <v>44869</v>
      </c>
      <c r="P4363" s="50">
        <v>153.81899999999999</v>
      </c>
    </row>
    <row r="4364" spans="4:16" x14ac:dyDescent="0.2">
      <c r="D4364">
        <v>100002583</v>
      </c>
      <c r="E4364" s="49">
        <v>45061</v>
      </c>
      <c r="F4364" t="s">
        <v>4256</v>
      </c>
      <c r="G4364" t="s">
        <v>2088</v>
      </c>
      <c r="H4364">
        <v>4</v>
      </c>
      <c r="I4364">
        <v>27.26</v>
      </c>
      <c r="J4364" s="50">
        <v>109.04</v>
      </c>
      <c r="K4364" t="s">
        <v>1618</v>
      </c>
      <c r="L4364" t="s">
        <v>4257</v>
      </c>
      <c r="M4364" t="s">
        <v>1619</v>
      </c>
      <c r="N4364">
        <v>14.39</v>
      </c>
      <c r="O4364" s="49">
        <v>45064</v>
      </c>
      <c r="P4364" s="50">
        <v>49.068000000000005</v>
      </c>
    </row>
    <row r="4365" spans="4:16" x14ac:dyDescent="0.2">
      <c r="D4365">
        <v>100002584</v>
      </c>
      <c r="E4365" s="49">
        <v>45149</v>
      </c>
      <c r="F4365" t="s">
        <v>4258</v>
      </c>
      <c r="G4365" t="s">
        <v>2291</v>
      </c>
      <c r="H4365">
        <v>8</v>
      </c>
      <c r="I4365">
        <v>91.55</v>
      </c>
      <c r="J4365" s="50">
        <v>732.4</v>
      </c>
      <c r="K4365" t="s">
        <v>1632</v>
      </c>
      <c r="M4365" t="s">
        <v>1624</v>
      </c>
      <c r="N4365">
        <v>48.32</v>
      </c>
      <c r="O4365" s="49">
        <v>45152</v>
      </c>
      <c r="P4365" s="50">
        <v>329.58</v>
      </c>
    </row>
    <row r="4366" spans="4:16" x14ac:dyDescent="0.2">
      <c r="D4366">
        <v>100002584</v>
      </c>
      <c r="E4366" s="49">
        <v>44507</v>
      </c>
      <c r="F4366" t="s">
        <v>4258</v>
      </c>
      <c r="G4366" t="s">
        <v>2093</v>
      </c>
      <c r="H4366">
        <v>9</v>
      </c>
      <c r="I4366">
        <v>73.81</v>
      </c>
      <c r="J4366" s="50">
        <v>664.29</v>
      </c>
      <c r="K4366" t="s">
        <v>1632</v>
      </c>
      <c r="M4366" t="s">
        <v>1627</v>
      </c>
      <c r="N4366">
        <v>38.950000000000003</v>
      </c>
      <c r="O4366" s="49">
        <v>44510</v>
      </c>
      <c r="P4366" s="50">
        <v>298.93049999999999</v>
      </c>
    </row>
    <row r="4367" spans="4:16" x14ac:dyDescent="0.2">
      <c r="D4367">
        <v>100002584</v>
      </c>
      <c r="E4367" s="49">
        <v>44793</v>
      </c>
      <c r="F4367" t="s">
        <v>4258</v>
      </c>
      <c r="G4367" t="s">
        <v>2375</v>
      </c>
      <c r="H4367">
        <v>1</v>
      </c>
      <c r="I4367">
        <v>95.45</v>
      </c>
      <c r="J4367" s="50">
        <v>95.45</v>
      </c>
      <c r="K4367" t="s">
        <v>1632</v>
      </c>
      <c r="M4367" t="s">
        <v>1624</v>
      </c>
      <c r="N4367">
        <v>50.38</v>
      </c>
      <c r="O4367" s="49">
        <v>44794</v>
      </c>
      <c r="P4367" s="50">
        <v>42.952500000000001</v>
      </c>
    </row>
    <row r="4368" spans="4:16" x14ac:dyDescent="0.2">
      <c r="D4368">
        <v>100002584</v>
      </c>
      <c r="E4368" s="49">
        <v>45387</v>
      </c>
      <c r="F4368" t="s">
        <v>4258</v>
      </c>
      <c r="G4368" t="s">
        <v>1939</v>
      </c>
      <c r="H4368">
        <v>9</v>
      </c>
      <c r="I4368">
        <v>64.849999999999994</v>
      </c>
      <c r="J4368" s="50">
        <v>583.65</v>
      </c>
      <c r="K4368" t="s">
        <v>1632</v>
      </c>
      <c r="M4368" t="s">
        <v>1627</v>
      </c>
      <c r="N4368">
        <v>34.229999999999997</v>
      </c>
      <c r="O4368" s="49">
        <v>45392</v>
      </c>
      <c r="P4368" s="50">
        <v>262.64249999999998</v>
      </c>
    </row>
    <row r="4369" spans="4:16" x14ac:dyDescent="0.2">
      <c r="D4369">
        <v>100002587</v>
      </c>
      <c r="E4369" s="49">
        <v>45027</v>
      </c>
      <c r="F4369" t="s">
        <v>4259</v>
      </c>
      <c r="G4369" t="s">
        <v>1831</v>
      </c>
      <c r="H4369">
        <v>2</v>
      </c>
      <c r="I4369">
        <v>11.01</v>
      </c>
      <c r="J4369" s="50">
        <v>22.02</v>
      </c>
      <c r="K4369" t="s">
        <v>1632</v>
      </c>
      <c r="L4369" t="s">
        <v>4260</v>
      </c>
      <c r="M4369" t="s">
        <v>1621</v>
      </c>
      <c r="N4369">
        <v>5.81</v>
      </c>
      <c r="O4369" s="49">
        <v>45030</v>
      </c>
      <c r="P4369" s="50">
        <v>9.9090000000000007</v>
      </c>
    </row>
    <row r="4370" spans="4:16" x14ac:dyDescent="0.2">
      <c r="D4370">
        <v>100002588</v>
      </c>
      <c r="E4370" s="49">
        <v>44619</v>
      </c>
      <c r="F4370" t="s">
        <v>4261</v>
      </c>
      <c r="G4370" t="s">
        <v>2147</v>
      </c>
      <c r="H4370">
        <v>1</v>
      </c>
      <c r="I4370">
        <v>90.95</v>
      </c>
      <c r="J4370" s="50">
        <v>90.95</v>
      </c>
      <c r="K4370" t="s">
        <v>1618</v>
      </c>
      <c r="M4370" t="s">
        <v>1629</v>
      </c>
      <c r="N4370">
        <v>48</v>
      </c>
      <c r="O4370" s="49">
        <v>44623</v>
      </c>
      <c r="P4370" s="50">
        <v>40.927500000000002</v>
      </c>
    </row>
    <row r="4371" spans="4:16" x14ac:dyDescent="0.2">
      <c r="D4371">
        <v>100002588</v>
      </c>
      <c r="E4371" s="49">
        <v>44457</v>
      </c>
      <c r="F4371" t="s">
        <v>4261</v>
      </c>
      <c r="G4371" t="s">
        <v>2416</v>
      </c>
      <c r="H4371">
        <v>5</v>
      </c>
      <c r="I4371">
        <v>17.350000000000001</v>
      </c>
      <c r="J4371" s="50">
        <v>86.75</v>
      </c>
      <c r="K4371" t="s">
        <v>1618</v>
      </c>
      <c r="M4371" t="s">
        <v>1621</v>
      </c>
      <c r="N4371">
        <v>9.16</v>
      </c>
      <c r="O4371" s="49">
        <v>44462</v>
      </c>
      <c r="P4371" s="50">
        <v>39.037500000000001</v>
      </c>
    </row>
    <row r="4372" spans="4:16" x14ac:dyDescent="0.2">
      <c r="D4372">
        <v>100002588</v>
      </c>
      <c r="E4372" s="49">
        <v>44607</v>
      </c>
      <c r="F4372" t="s">
        <v>4261</v>
      </c>
      <c r="G4372" t="s">
        <v>1978</v>
      </c>
      <c r="H4372">
        <v>10</v>
      </c>
      <c r="I4372">
        <v>54.45</v>
      </c>
      <c r="J4372" s="50">
        <v>544.5</v>
      </c>
      <c r="K4372" t="s">
        <v>1618</v>
      </c>
      <c r="M4372" t="s">
        <v>1629</v>
      </c>
      <c r="N4372">
        <v>28.74</v>
      </c>
      <c r="O4372" s="49">
        <v>44612</v>
      </c>
      <c r="P4372" s="50">
        <v>245.02500000000001</v>
      </c>
    </row>
    <row r="4373" spans="4:16" x14ac:dyDescent="0.2">
      <c r="D4373">
        <v>100002589</v>
      </c>
      <c r="E4373" s="49">
        <v>44502</v>
      </c>
      <c r="F4373" t="s">
        <v>4262</v>
      </c>
      <c r="G4373" t="s">
        <v>1724</v>
      </c>
      <c r="H4373">
        <v>3</v>
      </c>
      <c r="I4373">
        <v>15.36</v>
      </c>
      <c r="J4373" s="50">
        <v>46.08</v>
      </c>
      <c r="K4373" t="s">
        <v>1632</v>
      </c>
      <c r="M4373" t="s">
        <v>1627</v>
      </c>
      <c r="N4373">
        <v>8.11</v>
      </c>
      <c r="O4373" s="49">
        <v>44504</v>
      </c>
      <c r="P4373" s="50">
        <v>20.736000000000001</v>
      </c>
    </row>
    <row r="4374" spans="4:16" x14ac:dyDescent="0.2">
      <c r="D4374">
        <v>100002589</v>
      </c>
      <c r="E4374" s="49">
        <v>45424</v>
      </c>
      <c r="F4374" t="s">
        <v>4262</v>
      </c>
      <c r="G4374" t="s">
        <v>1688</v>
      </c>
      <c r="H4374">
        <v>10</v>
      </c>
      <c r="I4374">
        <v>41.01</v>
      </c>
      <c r="J4374" s="50">
        <v>410.1</v>
      </c>
      <c r="K4374" t="s">
        <v>1632</v>
      </c>
      <c r="M4374" t="s">
        <v>1624</v>
      </c>
      <c r="N4374">
        <v>21.64</v>
      </c>
      <c r="O4374" s="49">
        <v>45425</v>
      </c>
      <c r="P4374" s="50">
        <v>184.54500000000002</v>
      </c>
    </row>
    <row r="4375" spans="4:16" x14ac:dyDescent="0.2">
      <c r="D4375">
        <v>100002589</v>
      </c>
      <c r="E4375" s="49">
        <v>45136</v>
      </c>
      <c r="F4375" t="s">
        <v>4262</v>
      </c>
      <c r="G4375" t="s">
        <v>1834</v>
      </c>
      <c r="H4375">
        <v>2</v>
      </c>
      <c r="I4375">
        <v>94.68</v>
      </c>
      <c r="J4375" s="50">
        <v>189.36</v>
      </c>
      <c r="K4375" t="s">
        <v>1632</v>
      </c>
      <c r="M4375" t="s">
        <v>1627</v>
      </c>
      <c r="N4375">
        <v>49.97</v>
      </c>
      <c r="O4375" s="49">
        <v>45137</v>
      </c>
      <c r="P4375" s="50">
        <v>85.212000000000003</v>
      </c>
    </row>
    <row r="4376" spans="4:16" x14ac:dyDescent="0.2">
      <c r="D4376">
        <v>100002589</v>
      </c>
      <c r="E4376" s="49">
        <v>44474</v>
      </c>
      <c r="F4376" t="s">
        <v>4262</v>
      </c>
      <c r="G4376" t="s">
        <v>2242</v>
      </c>
      <c r="H4376">
        <v>3</v>
      </c>
      <c r="I4376">
        <v>51.09</v>
      </c>
      <c r="J4376" s="50">
        <v>153.27000000000001</v>
      </c>
      <c r="K4376" t="s">
        <v>1632</v>
      </c>
      <c r="M4376" t="s">
        <v>1629</v>
      </c>
      <c r="N4376">
        <v>26.96</v>
      </c>
      <c r="O4376" s="49">
        <v>44476</v>
      </c>
      <c r="P4376" s="50">
        <v>68.971500000000006</v>
      </c>
    </row>
    <row r="4377" spans="4:16" x14ac:dyDescent="0.2">
      <c r="D4377">
        <v>100002589</v>
      </c>
      <c r="E4377" s="49">
        <v>45514</v>
      </c>
      <c r="F4377" t="s">
        <v>4262</v>
      </c>
      <c r="G4377" t="s">
        <v>2380</v>
      </c>
      <c r="H4377">
        <v>2</v>
      </c>
      <c r="I4377">
        <v>56.29</v>
      </c>
      <c r="J4377" s="50">
        <v>112.58</v>
      </c>
      <c r="K4377" t="s">
        <v>1632</v>
      </c>
      <c r="M4377" t="s">
        <v>1629</v>
      </c>
      <c r="N4377">
        <v>29.71</v>
      </c>
      <c r="O4377" s="49">
        <v>45516</v>
      </c>
      <c r="P4377" s="50">
        <v>50.661000000000001</v>
      </c>
    </row>
    <row r="4378" spans="4:16" x14ac:dyDescent="0.2">
      <c r="D4378">
        <v>100002590</v>
      </c>
      <c r="E4378" s="49">
        <v>44369</v>
      </c>
      <c r="F4378" t="s">
        <v>4263</v>
      </c>
      <c r="G4378" t="s">
        <v>1742</v>
      </c>
      <c r="H4378">
        <v>7</v>
      </c>
      <c r="I4378">
        <v>89.27</v>
      </c>
      <c r="J4378" s="50">
        <v>624.89</v>
      </c>
      <c r="K4378" t="s">
        <v>1632</v>
      </c>
      <c r="M4378" t="s">
        <v>1624</v>
      </c>
      <c r="N4378">
        <v>47.11</v>
      </c>
      <c r="O4378" s="49">
        <v>44371</v>
      </c>
      <c r="P4378" s="50">
        <v>281.20049999999998</v>
      </c>
    </row>
    <row r="4379" spans="4:16" x14ac:dyDescent="0.2">
      <c r="D4379">
        <v>100002590</v>
      </c>
      <c r="E4379" s="49">
        <v>44276</v>
      </c>
      <c r="F4379" t="s">
        <v>4263</v>
      </c>
      <c r="G4379" t="s">
        <v>2198</v>
      </c>
      <c r="H4379">
        <v>10</v>
      </c>
      <c r="I4379">
        <v>60.94</v>
      </c>
      <c r="J4379" s="50">
        <v>609.4</v>
      </c>
      <c r="K4379" t="s">
        <v>1632</v>
      </c>
      <c r="M4379" t="s">
        <v>1624</v>
      </c>
      <c r="N4379">
        <v>32.159999999999997</v>
      </c>
      <c r="O4379" s="49">
        <v>44281</v>
      </c>
      <c r="P4379" s="50">
        <v>274.23</v>
      </c>
    </row>
    <row r="4380" spans="4:16" x14ac:dyDescent="0.2">
      <c r="D4380">
        <v>100002591</v>
      </c>
      <c r="E4380" s="49">
        <v>44689</v>
      </c>
      <c r="F4380" t="s">
        <v>4264</v>
      </c>
      <c r="G4380" t="s">
        <v>2084</v>
      </c>
      <c r="H4380">
        <v>1</v>
      </c>
      <c r="I4380">
        <v>113.03</v>
      </c>
      <c r="J4380" s="50">
        <v>113.03</v>
      </c>
      <c r="K4380" t="s">
        <v>1618</v>
      </c>
      <c r="L4380" t="s">
        <v>4265</v>
      </c>
      <c r="M4380" t="s">
        <v>1619</v>
      </c>
      <c r="N4380">
        <v>59.65</v>
      </c>
      <c r="O4380" s="49">
        <v>44690</v>
      </c>
      <c r="P4380" s="50">
        <v>50.863500000000002</v>
      </c>
    </row>
    <row r="4381" spans="4:16" x14ac:dyDescent="0.2">
      <c r="D4381">
        <v>100002591</v>
      </c>
      <c r="E4381" s="49">
        <v>45494</v>
      </c>
      <c r="F4381" t="s">
        <v>4264</v>
      </c>
      <c r="G4381" t="s">
        <v>1677</v>
      </c>
      <c r="H4381">
        <v>1</v>
      </c>
      <c r="I4381">
        <v>28.4</v>
      </c>
      <c r="J4381" s="50">
        <v>28.4</v>
      </c>
      <c r="K4381" t="s">
        <v>1618</v>
      </c>
      <c r="L4381" t="s">
        <v>4265</v>
      </c>
      <c r="M4381" t="s">
        <v>1629</v>
      </c>
      <c r="N4381">
        <v>14.99</v>
      </c>
      <c r="O4381" s="49">
        <v>45498</v>
      </c>
      <c r="P4381" s="50">
        <v>12.78</v>
      </c>
    </row>
    <row r="4382" spans="4:16" x14ac:dyDescent="0.2">
      <c r="D4382">
        <v>100002593</v>
      </c>
      <c r="E4382" s="49">
        <v>45652</v>
      </c>
      <c r="F4382" t="s">
        <v>4266</v>
      </c>
      <c r="G4382" t="s">
        <v>2016</v>
      </c>
      <c r="H4382">
        <v>6</v>
      </c>
      <c r="I4382">
        <v>75.739999999999995</v>
      </c>
      <c r="J4382" s="50">
        <v>454.43999999999988</v>
      </c>
      <c r="K4382" t="s">
        <v>1632</v>
      </c>
      <c r="M4382" t="s">
        <v>1627</v>
      </c>
      <c r="N4382">
        <v>39.97</v>
      </c>
      <c r="O4382" s="49">
        <v>45655</v>
      </c>
      <c r="P4382" s="50">
        <v>204.49799999999996</v>
      </c>
    </row>
    <row r="4383" spans="4:16" x14ac:dyDescent="0.2">
      <c r="D4383">
        <v>100002593</v>
      </c>
      <c r="E4383" s="49">
        <v>45626</v>
      </c>
      <c r="F4383" t="s">
        <v>4266</v>
      </c>
      <c r="G4383" t="s">
        <v>2213</v>
      </c>
      <c r="H4383">
        <v>5</v>
      </c>
      <c r="I4383">
        <v>60.44</v>
      </c>
      <c r="J4383" s="50">
        <v>302.2</v>
      </c>
      <c r="K4383" t="s">
        <v>1632</v>
      </c>
      <c r="M4383" t="s">
        <v>1624</v>
      </c>
      <c r="N4383">
        <v>31.9</v>
      </c>
      <c r="O4383" s="49">
        <v>45630</v>
      </c>
      <c r="P4383" s="50">
        <v>135.99</v>
      </c>
    </row>
    <row r="4384" spans="4:16" x14ac:dyDescent="0.2">
      <c r="D4384">
        <v>100002593</v>
      </c>
      <c r="E4384" s="49">
        <v>44938</v>
      </c>
      <c r="F4384" t="s">
        <v>4266</v>
      </c>
      <c r="G4384" t="s">
        <v>1636</v>
      </c>
      <c r="H4384">
        <v>9</v>
      </c>
      <c r="I4384">
        <v>85</v>
      </c>
      <c r="J4384" s="50">
        <v>765</v>
      </c>
      <c r="K4384" t="s">
        <v>1632</v>
      </c>
      <c r="M4384" t="s">
        <v>1621</v>
      </c>
      <c r="N4384">
        <v>44.86</v>
      </c>
      <c r="O4384" s="49">
        <v>44941</v>
      </c>
      <c r="P4384" s="50">
        <v>344.25</v>
      </c>
    </row>
    <row r="4385" spans="4:16" x14ac:dyDescent="0.2">
      <c r="D4385">
        <v>100002593</v>
      </c>
      <c r="E4385" s="49">
        <v>45234</v>
      </c>
      <c r="F4385" t="s">
        <v>4266</v>
      </c>
      <c r="G4385" t="s">
        <v>2204</v>
      </c>
      <c r="H4385">
        <v>3</v>
      </c>
      <c r="I4385">
        <v>72.19</v>
      </c>
      <c r="J4385" s="50">
        <v>216.57</v>
      </c>
      <c r="K4385" t="s">
        <v>1632</v>
      </c>
      <c r="M4385" t="s">
        <v>1621</v>
      </c>
      <c r="N4385">
        <v>38.1</v>
      </c>
      <c r="O4385" s="49">
        <v>45237</v>
      </c>
      <c r="P4385" s="50">
        <v>97.456500000000005</v>
      </c>
    </row>
    <row r="4386" spans="4:16" x14ac:dyDescent="0.2">
      <c r="D4386">
        <v>100002593</v>
      </c>
      <c r="E4386" s="49">
        <v>45359</v>
      </c>
      <c r="F4386" t="s">
        <v>4266</v>
      </c>
      <c r="G4386" t="s">
        <v>2134</v>
      </c>
      <c r="H4386">
        <v>5</v>
      </c>
      <c r="I4386">
        <v>23.67</v>
      </c>
      <c r="J4386" s="50">
        <v>118.35</v>
      </c>
      <c r="K4386" t="s">
        <v>1632</v>
      </c>
      <c r="M4386" t="s">
        <v>1619</v>
      </c>
      <c r="N4386">
        <v>12.49</v>
      </c>
      <c r="O4386" s="49">
        <v>45362</v>
      </c>
      <c r="P4386" s="50">
        <v>53.2575</v>
      </c>
    </row>
    <row r="4387" spans="4:16" x14ac:dyDescent="0.2">
      <c r="D4387">
        <v>100002594</v>
      </c>
      <c r="E4387" s="49">
        <v>44426</v>
      </c>
      <c r="F4387" t="s">
        <v>4267</v>
      </c>
      <c r="G4387" t="s">
        <v>2628</v>
      </c>
      <c r="H4387">
        <v>10</v>
      </c>
      <c r="I4387">
        <v>74.08</v>
      </c>
      <c r="J4387" s="50">
        <v>740.8</v>
      </c>
      <c r="K4387" t="s">
        <v>1618</v>
      </c>
      <c r="M4387" t="s">
        <v>1627</v>
      </c>
      <c r="N4387">
        <v>39.1</v>
      </c>
      <c r="O4387" s="49">
        <v>44428</v>
      </c>
      <c r="P4387" s="50">
        <v>333.36</v>
      </c>
    </row>
    <row r="4388" spans="4:16" x14ac:dyDescent="0.2">
      <c r="D4388">
        <v>100002594</v>
      </c>
      <c r="E4388" s="49">
        <v>45040</v>
      </c>
      <c r="F4388" t="s">
        <v>4267</v>
      </c>
      <c r="G4388" t="s">
        <v>2302</v>
      </c>
      <c r="H4388">
        <v>2</v>
      </c>
      <c r="I4388">
        <v>70.53</v>
      </c>
      <c r="J4388" s="50">
        <v>141.06</v>
      </c>
      <c r="K4388" t="s">
        <v>1618</v>
      </c>
      <c r="M4388" t="s">
        <v>1619</v>
      </c>
      <c r="N4388">
        <v>37.22</v>
      </c>
      <c r="O4388" s="49">
        <v>45045</v>
      </c>
      <c r="P4388" s="50">
        <v>63.477000000000004</v>
      </c>
    </row>
    <row r="4389" spans="4:16" x14ac:dyDescent="0.2">
      <c r="D4389">
        <v>100002594</v>
      </c>
      <c r="E4389" s="49">
        <v>45591</v>
      </c>
      <c r="F4389" t="s">
        <v>4267</v>
      </c>
      <c r="G4389" t="s">
        <v>2071</v>
      </c>
      <c r="H4389">
        <v>3</v>
      </c>
      <c r="I4389">
        <v>41.63</v>
      </c>
      <c r="J4389" s="50">
        <v>124.89</v>
      </c>
      <c r="K4389" t="s">
        <v>1618</v>
      </c>
      <c r="M4389" t="s">
        <v>1621</v>
      </c>
      <c r="N4389">
        <v>21.97</v>
      </c>
      <c r="O4389" s="49">
        <v>45594</v>
      </c>
      <c r="P4389" s="50">
        <v>56.200499999999998</v>
      </c>
    </row>
    <row r="4390" spans="4:16" x14ac:dyDescent="0.2">
      <c r="D4390">
        <v>100002594</v>
      </c>
      <c r="E4390" s="49">
        <v>44425</v>
      </c>
      <c r="F4390" t="s">
        <v>4267</v>
      </c>
      <c r="G4390" t="s">
        <v>1820</v>
      </c>
      <c r="H4390">
        <v>6</v>
      </c>
      <c r="I4390">
        <v>43.06</v>
      </c>
      <c r="J4390" s="50">
        <v>258.36</v>
      </c>
      <c r="K4390" t="s">
        <v>1618</v>
      </c>
      <c r="M4390" t="s">
        <v>1624</v>
      </c>
      <c r="N4390">
        <v>22.73</v>
      </c>
      <c r="O4390" s="49">
        <v>44428</v>
      </c>
      <c r="P4390" s="50">
        <v>116.26200000000001</v>
      </c>
    </row>
    <row r="4391" spans="4:16" x14ac:dyDescent="0.2">
      <c r="D4391">
        <v>100002595</v>
      </c>
      <c r="E4391" s="49">
        <v>44681</v>
      </c>
      <c r="F4391" t="s">
        <v>4268</v>
      </c>
      <c r="G4391" t="s">
        <v>2571</v>
      </c>
      <c r="H4391">
        <v>3</v>
      </c>
      <c r="I4391">
        <v>14.9</v>
      </c>
      <c r="J4391" s="50">
        <v>44.7</v>
      </c>
      <c r="K4391" t="s">
        <v>1618</v>
      </c>
      <c r="M4391" t="s">
        <v>1629</v>
      </c>
      <c r="N4391">
        <v>7.86</v>
      </c>
      <c r="O4391" s="49">
        <v>44685</v>
      </c>
      <c r="P4391" s="50">
        <v>20.115000000000002</v>
      </c>
    </row>
    <row r="4392" spans="4:16" x14ac:dyDescent="0.2">
      <c r="D4392">
        <v>100002596</v>
      </c>
      <c r="E4392" s="49">
        <v>44969</v>
      </c>
      <c r="F4392" t="s">
        <v>4269</v>
      </c>
      <c r="G4392" t="s">
        <v>1628</v>
      </c>
      <c r="H4392">
        <v>6</v>
      </c>
      <c r="I4392">
        <v>68.86</v>
      </c>
      <c r="J4392" s="50">
        <v>413.16</v>
      </c>
      <c r="K4392" t="s">
        <v>1618</v>
      </c>
      <c r="M4392" t="s">
        <v>1629</v>
      </c>
      <c r="N4392">
        <v>36.340000000000003</v>
      </c>
      <c r="O4392" s="49">
        <v>44973</v>
      </c>
      <c r="P4392" s="50">
        <v>185.92200000000003</v>
      </c>
    </row>
    <row r="4393" spans="4:16" x14ac:dyDescent="0.2">
      <c r="D4393">
        <v>100002596</v>
      </c>
      <c r="E4393" s="49">
        <v>44482</v>
      </c>
      <c r="F4393" t="s">
        <v>4269</v>
      </c>
      <c r="G4393" t="s">
        <v>2079</v>
      </c>
      <c r="H4393">
        <v>4</v>
      </c>
      <c r="I4393">
        <v>49</v>
      </c>
      <c r="J4393" s="50">
        <v>196</v>
      </c>
      <c r="K4393" t="s">
        <v>1618</v>
      </c>
      <c r="M4393" t="s">
        <v>1624</v>
      </c>
      <c r="N4393">
        <v>25.86</v>
      </c>
      <c r="O4393" s="49">
        <v>44483</v>
      </c>
      <c r="P4393" s="50">
        <v>88.2</v>
      </c>
    </row>
    <row r="4394" spans="4:16" x14ac:dyDescent="0.2">
      <c r="D4394">
        <v>100002597</v>
      </c>
      <c r="E4394" s="49">
        <v>44946</v>
      </c>
      <c r="F4394" t="s">
        <v>4270</v>
      </c>
      <c r="G4394" t="s">
        <v>2707</v>
      </c>
      <c r="H4394">
        <v>9</v>
      </c>
      <c r="I4394">
        <v>68.81</v>
      </c>
      <c r="J4394" s="50">
        <v>619.29</v>
      </c>
      <c r="K4394" t="s">
        <v>1618</v>
      </c>
      <c r="M4394" t="s">
        <v>1621</v>
      </c>
      <c r="N4394">
        <v>36.32</v>
      </c>
      <c r="O4394" s="49">
        <v>44948</v>
      </c>
      <c r="P4394" s="50">
        <v>278.68049999999999</v>
      </c>
    </row>
    <row r="4395" spans="4:16" x14ac:dyDescent="0.2">
      <c r="D4395">
        <v>100002597</v>
      </c>
      <c r="E4395" s="49">
        <v>45524</v>
      </c>
      <c r="F4395" t="s">
        <v>4270</v>
      </c>
      <c r="G4395" t="s">
        <v>2418</v>
      </c>
      <c r="H4395">
        <v>10</v>
      </c>
      <c r="I4395">
        <v>11.45</v>
      </c>
      <c r="J4395" s="50">
        <v>114.5</v>
      </c>
      <c r="K4395" t="s">
        <v>1618</v>
      </c>
      <c r="M4395" t="s">
        <v>1621</v>
      </c>
      <c r="N4395">
        <v>6.04</v>
      </c>
      <c r="O4395" s="49">
        <v>45528</v>
      </c>
      <c r="P4395" s="50">
        <v>51.524999999999999</v>
      </c>
    </row>
    <row r="4396" spans="4:16" x14ac:dyDescent="0.2">
      <c r="D4396">
        <v>100002597</v>
      </c>
      <c r="E4396" s="49">
        <v>45113</v>
      </c>
      <c r="F4396" t="s">
        <v>4270</v>
      </c>
      <c r="G4396" t="s">
        <v>1801</v>
      </c>
      <c r="H4396">
        <v>7</v>
      </c>
      <c r="I4396">
        <v>36.93</v>
      </c>
      <c r="J4396" s="50">
        <v>258.51</v>
      </c>
      <c r="K4396" t="s">
        <v>1618</v>
      </c>
      <c r="M4396" t="s">
        <v>1627</v>
      </c>
      <c r="N4396">
        <v>19.489999999999998</v>
      </c>
      <c r="O4396" s="49">
        <v>45115</v>
      </c>
      <c r="P4396" s="50">
        <v>116.3295</v>
      </c>
    </row>
    <row r="4397" spans="4:16" x14ac:dyDescent="0.2">
      <c r="D4397">
        <v>100002598</v>
      </c>
      <c r="E4397" s="49">
        <v>44711</v>
      </c>
      <c r="F4397" t="s">
        <v>4271</v>
      </c>
      <c r="G4397" t="s">
        <v>1943</v>
      </c>
      <c r="H4397">
        <v>7</v>
      </c>
      <c r="I4397">
        <v>75.34</v>
      </c>
      <c r="J4397" s="50">
        <v>527.38</v>
      </c>
      <c r="K4397" t="s">
        <v>1618</v>
      </c>
      <c r="M4397" t="s">
        <v>1619</v>
      </c>
      <c r="N4397">
        <v>39.76</v>
      </c>
      <c r="O4397" s="49">
        <v>44715</v>
      </c>
      <c r="P4397" s="50">
        <v>237.321</v>
      </c>
    </row>
    <row r="4398" spans="4:16" x14ac:dyDescent="0.2">
      <c r="D4398">
        <v>100002599</v>
      </c>
      <c r="E4398" s="49">
        <v>45624</v>
      </c>
      <c r="F4398" t="s">
        <v>4272</v>
      </c>
      <c r="G4398" t="s">
        <v>2024</v>
      </c>
      <c r="H4398">
        <v>4</v>
      </c>
      <c r="I4398">
        <v>69.17</v>
      </c>
      <c r="J4398" s="50">
        <v>276.68</v>
      </c>
      <c r="K4398" t="s">
        <v>1618</v>
      </c>
      <c r="M4398" t="s">
        <v>1629</v>
      </c>
      <c r="N4398">
        <v>36.51</v>
      </c>
      <c r="O4398" s="49">
        <v>45625</v>
      </c>
      <c r="P4398" s="50">
        <v>124.506</v>
      </c>
    </row>
    <row r="4399" spans="4:16" x14ac:dyDescent="0.2">
      <c r="D4399">
        <v>100002600</v>
      </c>
      <c r="E4399" s="49">
        <v>44520</v>
      </c>
      <c r="F4399" t="s">
        <v>4273</v>
      </c>
      <c r="G4399" t="s">
        <v>1953</v>
      </c>
      <c r="H4399">
        <v>7</v>
      </c>
      <c r="I4399">
        <v>17.63</v>
      </c>
      <c r="J4399" s="50">
        <v>123.41</v>
      </c>
      <c r="K4399" t="s">
        <v>1618</v>
      </c>
      <c r="L4399" t="s">
        <v>3571</v>
      </c>
      <c r="M4399" t="s">
        <v>1619</v>
      </c>
      <c r="N4399">
        <v>9.3000000000000007</v>
      </c>
      <c r="O4399" s="49">
        <v>44525</v>
      </c>
      <c r="P4399" s="50">
        <v>55.534500000000001</v>
      </c>
    </row>
    <row r="4400" spans="4:16" x14ac:dyDescent="0.2">
      <c r="D4400">
        <v>100002601</v>
      </c>
      <c r="E4400" s="49">
        <v>44264</v>
      </c>
      <c r="F4400" t="s">
        <v>4274</v>
      </c>
      <c r="G4400" t="s">
        <v>1626</v>
      </c>
      <c r="H4400">
        <v>6</v>
      </c>
      <c r="I4400">
        <v>54.66</v>
      </c>
      <c r="J4400" s="50">
        <v>327.96</v>
      </c>
      <c r="K4400" t="s">
        <v>1632</v>
      </c>
      <c r="M4400" t="s">
        <v>1621</v>
      </c>
      <c r="N4400">
        <v>28.85</v>
      </c>
      <c r="O4400" s="49">
        <v>44269</v>
      </c>
      <c r="P4400" s="50">
        <v>147.58199999999999</v>
      </c>
    </row>
    <row r="4401" spans="4:16" x14ac:dyDescent="0.2">
      <c r="D4401">
        <v>100002602</v>
      </c>
      <c r="E4401" s="49">
        <v>45562</v>
      </c>
      <c r="F4401" t="s">
        <v>4275</v>
      </c>
      <c r="G4401" t="s">
        <v>1707</v>
      </c>
      <c r="H4401">
        <v>8</v>
      </c>
      <c r="I4401">
        <v>27.46</v>
      </c>
      <c r="J4401" s="50">
        <v>219.68</v>
      </c>
      <c r="K4401" t="s">
        <v>1618</v>
      </c>
      <c r="M4401" t="s">
        <v>1621</v>
      </c>
      <c r="N4401">
        <v>14.49</v>
      </c>
      <c r="O4401" s="49">
        <v>45563</v>
      </c>
      <c r="P4401" s="50">
        <v>98.856000000000009</v>
      </c>
    </row>
    <row r="4402" spans="4:16" x14ac:dyDescent="0.2">
      <c r="D4402">
        <v>100002602</v>
      </c>
      <c r="E4402" s="49">
        <v>45606</v>
      </c>
      <c r="F4402" t="s">
        <v>4275</v>
      </c>
      <c r="G4402" t="s">
        <v>2086</v>
      </c>
      <c r="H4402">
        <v>10</v>
      </c>
      <c r="I4402">
        <v>107.04</v>
      </c>
      <c r="J4402" s="50">
        <v>1070.4000000000001</v>
      </c>
      <c r="K4402" t="s">
        <v>1618</v>
      </c>
      <c r="M4402" t="s">
        <v>1624</v>
      </c>
      <c r="N4402">
        <v>56.49</v>
      </c>
      <c r="O4402" s="49">
        <v>45608</v>
      </c>
      <c r="P4402" s="50">
        <v>481.68000000000006</v>
      </c>
    </row>
    <row r="4403" spans="4:16" x14ac:dyDescent="0.2">
      <c r="D4403">
        <v>100002603</v>
      </c>
      <c r="E4403" s="49">
        <v>44841</v>
      </c>
      <c r="F4403" t="s">
        <v>4276</v>
      </c>
      <c r="G4403" t="s">
        <v>1975</v>
      </c>
      <c r="H4403">
        <v>9</v>
      </c>
      <c r="I4403">
        <v>100.76</v>
      </c>
      <c r="J4403" s="50">
        <v>906.84</v>
      </c>
      <c r="K4403" t="s">
        <v>1618</v>
      </c>
      <c r="M4403" t="s">
        <v>1629</v>
      </c>
      <c r="N4403">
        <v>53.18</v>
      </c>
      <c r="O4403" s="49">
        <v>44843</v>
      </c>
      <c r="P4403" s="50">
        <v>408.07800000000003</v>
      </c>
    </row>
    <row r="4404" spans="4:16" x14ac:dyDescent="0.2">
      <c r="D4404">
        <v>100002604</v>
      </c>
      <c r="E4404" s="49">
        <v>44487</v>
      </c>
      <c r="F4404" t="s">
        <v>4277</v>
      </c>
      <c r="G4404" t="s">
        <v>1978</v>
      </c>
      <c r="H4404">
        <v>7</v>
      </c>
      <c r="I4404">
        <v>96.8</v>
      </c>
      <c r="J4404" s="50">
        <v>677.6</v>
      </c>
      <c r="K4404" t="s">
        <v>1618</v>
      </c>
      <c r="M4404" t="s">
        <v>1627</v>
      </c>
      <c r="N4404">
        <v>51.09</v>
      </c>
      <c r="O4404" s="49">
        <v>44488</v>
      </c>
      <c r="P4404" s="50">
        <v>304.92</v>
      </c>
    </row>
    <row r="4405" spans="4:16" x14ac:dyDescent="0.2">
      <c r="D4405">
        <v>100002604</v>
      </c>
      <c r="E4405" s="49">
        <v>44355</v>
      </c>
      <c r="F4405" t="s">
        <v>4277</v>
      </c>
      <c r="G4405" t="s">
        <v>2121</v>
      </c>
      <c r="H4405">
        <v>10</v>
      </c>
      <c r="I4405">
        <v>16.39</v>
      </c>
      <c r="J4405" s="50">
        <v>163.9</v>
      </c>
      <c r="K4405" t="s">
        <v>1618</v>
      </c>
      <c r="M4405" t="s">
        <v>1629</v>
      </c>
      <c r="N4405">
        <v>8.65</v>
      </c>
      <c r="O4405" s="49">
        <v>44358</v>
      </c>
      <c r="P4405" s="50">
        <v>73.75500000000001</v>
      </c>
    </row>
    <row r="4406" spans="4:16" x14ac:dyDescent="0.2">
      <c r="D4406">
        <v>100002604</v>
      </c>
      <c r="E4406" s="49">
        <v>45039</v>
      </c>
      <c r="F4406" t="s">
        <v>4277</v>
      </c>
      <c r="G4406" t="s">
        <v>2050</v>
      </c>
      <c r="H4406">
        <v>9</v>
      </c>
      <c r="I4406">
        <v>53.61</v>
      </c>
      <c r="J4406" s="50">
        <v>482.49</v>
      </c>
      <c r="K4406" t="s">
        <v>1618</v>
      </c>
      <c r="M4406" t="s">
        <v>1624</v>
      </c>
      <c r="N4406">
        <v>28.29</v>
      </c>
      <c r="O4406" s="49">
        <v>45041</v>
      </c>
      <c r="P4406" s="50">
        <v>217.12050000000002</v>
      </c>
    </row>
    <row r="4407" spans="4:16" x14ac:dyDescent="0.2">
      <c r="D4407">
        <v>100002605</v>
      </c>
      <c r="E4407" s="49">
        <v>45645</v>
      </c>
      <c r="F4407" t="s">
        <v>4278</v>
      </c>
      <c r="G4407" t="s">
        <v>1666</v>
      </c>
      <c r="H4407">
        <v>2</v>
      </c>
      <c r="I4407">
        <v>84.25</v>
      </c>
      <c r="J4407" s="50">
        <v>168.5</v>
      </c>
      <c r="K4407" t="s">
        <v>1618</v>
      </c>
      <c r="L4407" t="s">
        <v>4279</v>
      </c>
      <c r="M4407" t="s">
        <v>1627</v>
      </c>
      <c r="N4407">
        <v>44.46</v>
      </c>
      <c r="O4407" s="49">
        <v>45650</v>
      </c>
      <c r="P4407" s="50">
        <v>75.825000000000003</v>
      </c>
    </row>
    <row r="4408" spans="4:16" x14ac:dyDescent="0.2">
      <c r="D4408">
        <v>100002606</v>
      </c>
      <c r="E4408" s="49">
        <v>44761</v>
      </c>
      <c r="F4408" t="s">
        <v>4280</v>
      </c>
      <c r="G4408" t="s">
        <v>2063</v>
      </c>
      <c r="H4408">
        <v>2</v>
      </c>
      <c r="I4408">
        <v>77.77</v>
      </c>
      <c r="J4408" s="50">
        <v>155.54</v>
      </c>
      <c r="K4408" t="s">
        <v>1618</v>
      </c>
      <c r="M4408" t="s">
        <v>1619</v>
      </c>
      <c r="N4408">
        <v>41.04</v>
      </c>
      <c r="O4408" s="49">
        <v>44766</v>
      </c>
      <c r="P4408" s="50">
        <v>69.992999999999995</v>
      </c>
    </row>
    <row r="4409" spans="4:16" x14ac:dyDescent="0.2">
      <c r="D4409">
        <v>100002606</v>
      </c>
      <c r="E4409" s="49">
        <v>45357</v>
      </c>
      <c r="F4409" t="s">
        <v>4280</v>
      </c>
      <c r="G4409" t="s">
        <v>2065</v>
      </c>
      <c r="H4409">
        <v>9</v>
      </c>
      <c r="I4409">
        <v>100.32</v>
      </c>
      <c r="J4409" s="50">
        <v>902.87999999999988</v>
      </c>
      <c r="K4409" t="s">
        <v>1618</v>
      </c>
      <c r="M4409" t="s">
        <v>1629</v>
      </c>
      <c r="N4409">
        <v>52.95</v>
      </c>
      <c r="O4409" s="49">
        <v>45362</v>
      </c>
      <c r="P4409" s="50">
        <v>406.29599999999994</v>
      </c>
    </row>
    <row r="4410" spans="4:16" x14ac:dyDescent="0.2">
      <c r="D4410">
        <v>100002606</v>
      </c>
      <c r="E4410" s="49">
        <v>45553</v>
      </c>
      <c r="F4410" t="s">
        <v>4280</v>
      </c>
      <c r="G4410" t="s">
        <v>1688</v>
      </c>
      <c r="H4410">
        <v>5</v>
      </c>
      <c r="I4410">
        <v>72.290000000000006</v>
      </c>
      <c r="J4410" s="50">
        <v>361.45</v>
      </c>
      <c r="K4410" t="s">
        <v>1618</v>
      </c>
      <c r="M4410" t="s">
        <v>1624</v>
      </c>
      <c r="N4410">
        <v>38.15</v>
      </c>
      <c r="O4410" s="49">
        <v>45556</v>
      </c>
      <c r="P4410" s="50">
        <v>162.6525</v>
      </c>
    </row>
    <row r="4411" spans="4:16" x14ac:dyDescent="0.2">
      <c r="D4411">
        <v>100002606</v>
      </c>
      <c r="E4411" s="49">
        <v>45643</v>
      </c>
      <c r="F4411" t="s">
        <v>4280</v>
      </c>
      <c r="G4411" t="s">
        <v>2613</v>
      </c>
      <c r="H4411">
        <v>6</v>
      </c>
      <c r="I4411">
        <v>39.49</v>
      </c>
      <c r="J4411" s="50">
        <v>236.94</v>
      </c>
      <c r="K4411" t="s">
        <v>1618</v>
      </c>
      <c r="M4411" t="s">
        <v>1621</v>
      </c>
      <c r="N4411">
        <v>20.84</v>
      </c>
      <c r="O4411" s="49">
        <v>45646</v>
      </c>
      <c r="P4411" s="50">
        <v>106.623</v>
      </c>
    </row>
    <row r="4412" spans="4:16" x14ac:dyDescent="0.2">
      <c r="D4412">
        <v>100002606</v>
      </c>
      <c r="E4412" s="49">
        <v>45066</v>
      </c>
      <c r="F4412" t="s">
        <v>4280</v>
      </c>
      <c r="G4412" t="s">
        <v>1893</v>
      </c>
      <c r="H4412">
        <v>9</v>
      </c>
      <c r="I4412">
        <v>47.17</v>
      </c>
      <c r="J4412" s="50">
        <v>424.53</v>
      </c>
      <c r="K4412" t="s">
        <v>1618</v>
      </c>
      <c r="M4412" t="s">
        <v>1629</v>
      </c>
      <c r="N4412">
        <v>24.9</v>
      </c>
      <c r="O4412" s="49">
        <v>45070</v>
      </c>
      <c r="P4412" s="50">
        <v>191.0385</v>
      </c>
    </row>
    <row r="4413" spans="4:16" x14ac:dyDescent="0.2">
      <c r="D4413">
        <v>100002606</v>
      </c>
      <c r="E4413" s="49">
        <v>44308</v>
      </c>
      <c r="F4413" t="s">
        <v>4280</v>
      </c>
      <c r="G4413" t="s">
        <v>2346</v>
      </c>
      <c r="H4413">
        <v>5</v>
      </c>
      <c r="I4413">
        <v>73.92</v>
      </c>
      <c r="J4413" s="50">
        <v>369.6</v>
      </c>
      <c r="K4413" t="s">
        <v>1618</v>
      </c>
      <c r="M4413" t="s">
        <v>1619</v>
      </c>
      <c r="N4413">
        <v>39.01</v>
      </c>
      <c r="O4413" s="49">
        <v>44309</v>
      </c>
      <c r="P4413" s="50">
        <v>166.32000000000002</v>
      </c>
    </row>
    <row r="4414" spans="4:16" x14ac:dyDescent="0.2">
      <c r="D4414">
        <v>100002606</v>
      </c>
      <c r="E4414" s="49">
        <v>45601</v>
      </c>
      <c r="F4414" t="s">
        <v>4280</v>
      </c>
      <c r="G4414" t="s">
        <v>2048</v>
      </c>
      <c r="H4414">
        <v>1</v>
      </c>
      <c r="I4414">
        <v>24.87</v>
      </c>
      <c r="J4414" s="50">
        <v>24.87</v>
      </c>
      <c r="K4414" t="s">
        <v>1618</v>
      </c>
      <c r="M4414" t="s">
        <v>1619</v>
      </c>
      <c r="N4414">
        <v>13.13</v>
      </c>
      <c r="O4414" s="49">
        <v>45604</v>
      </c>
      <c r="P4414" s="50">
        <v>11.191500000000001</v>
      </c>
    </row>
    <row r="4415" spans="4:16" x14ac:dyDescent="0.2">
      <c r="D4415">
        <v>100002606</v>
      </c>
      <c r="E4415" s="49">
        <v>44940</v>
      </c>
      <c r="F4415" t="s">
        <v>4280</v>
      </c>
      <c r="G4415" t="s">
        <v>1812</v>
      </c>
      <c r="H4415">
        <v>7</v>
      </c>
      <c r="I4415">
        <v>90.18</v>
      </c>
      <c r="J4415" s="50">
        <v>631.26</v>
      </c>
      <c r="K4415" t="s">
        <v>1618</v>
      </c>
      <c r="M4415" t="s">
        <v>1624</v>
      </c>
      <c r="N4415">
        <v>47.59</v>
      </c>
      <c r="O4415" s="49">
        <v>44943</v>
      </c>
      <c r="P4415" s="50">
        <v>284.06700000000001</v>
      </c>
    </row>
    <row r="4416" spans="4:16" x14ac:dyDescent="0.2">
      <c r="D4416">
        <v>100002606</v>
      </c>
      <c r="E4416" s="49">
        <v>45649</v>
      </c>
      <c r="F4416" t="s">
        <v>4280</v>
      </c>
      <c r="G4416" t="s">
        <v>2151</v>
      </c>
      <c r="H4416">
        <v>10</v>
      </c>
      <c r="I4416">
        <v>44.38</v>
      </c>
      <c r="J4416" s="50">
        <v>443.8</v>
      </c>
      <c r="K4416" t="s">
        <v>1618</v>
      </c>
      <c r="M4416" t="s">
        <v>1621</v>
      </c>
      <c r="N4416">
        <v>23.42</v>
      </c>
      <c r="O4416" s="49">
        <v>45650</v>
      </c>
      <c r="P4416" s="50">
        <v>199.71</v>
      </c>
    </row>
    <row r="4417" spans="4:16" x14ac:dyDescent="0.2">
      <c r="D4417">
        <v>100002606</v>
      </c>
      <c r="E4417" s="49">
        <v>44577</v>
      </c>
      <c r="F4417" t="s">
        <v>4280</v>
      </c>
      <c r="G4417" t="s">
        <v>2064</v>
      </c>
      <c r="H4417">
        <v>4</v>
      </c>
      <c r="I4417">
        <v>108.75</v>
      </c>
      <c r="J4417" s="50">
        <v>435</v>
      </c>
      <c r="K4417" t="s">
        <v>1618</v>
      </c>
      <c r="M4417" t="s">
        <v>1629</v>
      </c>
      <c r="N4417">
        <v>57.4</v>
      </c>
      <c r="O4417" s="49">
        <v>44581</v>
      </c>
      <c r="P4417" s="50">
        <v>195.75</v>
      </c>
    </row>
    <row r="4418" spans="4:16" x14ac:dyDescent="0.2">
      <c r="D4418">
        <v>100002606</v>
      </c>
      <c r="E4418" s="49">
        <v>44808</v>
      </c>
      <c r="F4418" t="s">
        <v>4280</v>
      </c>
      <c r="G4418" t="s">
        <v>1704</v>
      </c>
      <c r="H4418">
        <v>7</v>
      </c>
      <c r="I4418">
        <v>17.84</v>
      </c>
      <c r="J4418" s="50">
        <v>124.88</v>
      </c>
      <c r="K4418" t="s">
        <v>1618</v>
      </c>
      <c r="M4418" t="s">
        <v>1627</v>
      </c>
      <c r="N4418">
        <v>9.42</v>
      </c>
      <c r="O4418" s="49">
        <v>44812</v>
      </c>
      <c r="P4418" s="50">
        <v>56.195999999999998</v>
      </c>
    </row>
    <row r="4419" spans="4:16" x14ac:dyDescent="0.2">
      <c r="D4419">
        <v>100002607</v>
      </c>
      <c r="E4419" s="49">
        <v>44490</v>
      </c>
      <c r="F4419" t="s">
        <v>4281</v>
      </c>
      <c r="G4419" t="s">
        <v>2390</v>
      </c>
      <c r="H4419">
        <v>6</v>
      </c>
      <c r="I4419">
        <v>89.71</v>
      </c>
      <c r="J4419" s="50">
        <v>538.26</v>
      </c>
      <c r="K4419" t="s">
        <v>1618</v>
      </c>
      <c r="M4419" t="s">
        <v>1627</v>
      </c>
      <c r="N4419">
        <v>47.35</v>
      </c>
      <c r="O4419" s="49">
        <v>44493</v>
      </c>
      <c r="P4419" s="50">
        <v>242.21700000000001</v>
      </c>
    </row>
    <row r="4420" spans="4:16" x14ac:dyDescent="0.2">
      <c r="D4420">
        <v>100002607</v>
      </c>
      <c r="E4420" s="49">
        <v>44249</v>
      </c>
      <c r="F4420" t="s">
        <v>4281</v>
      </c>
      <c r="G4420" t="s">
        <v>1950</v>
      </c>
      <c r="H4420">
        <v>4</v>
      </c>
      <c r="I4420">
        <v>38.04</v>
      </c>
      <c r="J4420" s="50">
        <v>152.16</v>
      </c>
      <c r="K4420" t="s">
        <v>1618</v>
      </c>
      <c r="M4420" t="s">
        <v>1624</v>
      </c>
      <c r="N4420">
        <v>20.079999999999998</v>
      </c>
      <c r="O4420" s="49">
        <v>44254</v>
      </c>
      <c r="P4420" s="50">
        <v>68.471999999999994</v>
      </c>
    </row>
    <row r="4421" spans="4:16" x14ac:dyDescent="0.2">
      <c r="D4421">
        <v>100002608</v>
      </c>
      <c r="E4421" s="49">
        <v>44877</v>
      </c>
      <c r="F4421" t="s">
        <v>4282</v>
      </c>
      <c r="G4421" t="s">
        <v>2116</v>
      </c>
      <c r="H4421">
        <v>3</v>
      </c>
      <c r="I4421">
        <v>83.7</v>
      </c>
      <c r="J4421" s="50">
        <v>251.1</v>
      </c>
      <c r="K4421" t="s">
        <v>1618</v>
      </c>
      <c r="M4421" t="s">
        <v>1627</v>
      </c>
      <c r="N4421">
        <v>44.17</v>
      </c>
      <c r="O4421" s="49">
        <v>44879</v>
      </c>
      <c r="P4421" s="50">
        <v>112.995</v>
      </c>
    </row>
    <row r="4422" spans="4:16" x14ac:dyDescent="0.2">
      <c r="D4422">
        <v>100002609</v>
      </c>
      <c r="E4422" s="49">
        <v>44856</v>
      </c>
      <c r="F4422" t="s">
        <v>4283</v>
      </c>
      <c r="G4422" t="s">
        <v>1664</v>
      </c>
      <c r="H4422">
        <v>3</v>
      </c>
      <c r="I4422">
        <v>21.65</v>
      </c>
      <c r="J4422" s="50">
        <v>64.949999999999989</v>
      </c>
      <c r="K4422" t="s">
        <v>1618</v>
      </c>
      <c r="M4422" t="s">
        <v>1624</v>
      </c>
      <c r="N4422">
        <v>11.43</v>
      </c>
      <c r="O4422" s="49">
        <v>44859</v>
      </c>
      <c r="P4422" s="50">
        <v>29.227499999999996</v>
      </c>
    </row>
    <row r="4423" spans="4:16" x14ac:dyDescent="0.2">
      <c r="D4423">
        <v>100002609</v>
      </c>
      <c r="E4423" s="49">
        <v>45613</v>
      </c>
      <c r="F4423" t="s">
        <v>4283</v>
      </c>
      <c r="G4423" t="s">
        <v>1756</v>
      </c>
      <c r="H4423">
        <v>5</v>
      </c>
      <c r="I4423">
        <v>118.58</v>
      </c>
      <c r="J4423" s="50">
        <v>592.9</v>
      </c>
      <c r="K4423" t="s">
        <v>1618</v>
      </c>
      <c r="M4423" t="s">
        <v>1627</v>
      </c>
      <c r="N4423">
        <v>62.58</v>
      </c>
      <c r="O4423" s="49">
        <v>45614</v>
      </c>
      <c r="P4423" s="50">
        <v>266.80500000000001</v>
      </c>
    </row>
    <row r="4424" spans="4:16" x14ac:dyDescent="0.2">
      <c r="D4424">
        <v>100002610</v>
      </c>
      <c r="E4424" s="49">
        <v>44893</v>
      </c>
      <c r="F4424" t="s">
        <v>4284</v>
      </c>
      <c r="G4424" t="s">
        <v>2057</v>
      </c>
      <c r="H4424">
        <v>4</v>
      </c>
      <c r="I4424">
        <v>86.45</v>
      </c>
      <c r="J4424" s="50">
        <v>345.8</v>
      </c>
      <c r="K4424" t="s">
        <v>1632</v>
      </c>
      <c r="M4424" t="s">
        <v>1621</v>
      </c>
      <c r="N4424">
        <v>45.63</v>
      </c>
      <c r="O4424" s="49">
        <v>44894</v>
      </c>
      <c r="P4424" s="50">
        <v>155.61000000000001</v>
      </c>
    </row>
    <row r="4425" spans="4:16" x14ac:dyDescent="0.2">
      <c r="D4425">
        <v>100002611</v>
      </c>
      <c r="E4425" s="49">
        <v>44500</v>
      </c>
      <c r="F4425" t="s">
        <v>4285</v>
      </c>
      <c r="G4425" t="s">
        <v>2062</v>
      </c>
      <c r="H4425">
        <v>6</v>
      </c>
      <c r="I4425">
        <v>85.82</v>
      </c>
      <c r="J4425" s="50">
        <v>514.91999999999996</v>
      </c>
      <c r="K4425" t="s">
        <v>1618</v>
      </c>
      <c r="L4425" t="s">
        <v>4286</v>
      </c>
      <c r="M4425" t="s">
        <v>1627</v>
      </c>
      <c r="N4425">
        <v>45.29</v>
      </c>
      <c r="O4425" s="49">
        <v>44504</v>
      </c>
      <c r="P4425" s="50">
        <v>231.714</v>
      </c>
    </row>
    <row r="4426" spans="4:16" x14ac:dyDescent="0.2">
      <c r="D4426">
        <v>100002612</v>
      </c>
      <c r="E4426" s="49">
        <v>45389</v>
      </c>
      <c r="F4426" t="s">
        <v>4287</v>
      </c>
      <c r="G4426" t="s">
        <v>2628</v>
      </c>
      <c r="H4426">
        <v>6</v>
      </c>
      <c r="I4426">
        <v>50.66</v>
      </c>
      <c r="J4426" s="50">
        <v>303.95999999999998</v>
      </c>
      <c r="K4426" t="s">
        <v>1632</v>
      </c>
      <c r="M4426" t="s">
        <v>1619</v>
      </c>
      <c r="N4426">
        <v>26.74</v>
      </c>
      <c r="O4426" s="49">
        <v>45392</v>
      </c>
      <c r="P4426" s="50">
        <v>136.78199999999998</v>
      </c>
    </row>
    <row r="4427" spans="4:16" x14ac:dyDescent="0.2">
      <c r="D4427">
        <v>100002613</v>
      </c>
      <c r="E4427" s="49">
        <v>45357</v>
      </c>
      <c r="F4427" t="s">
        <v>4288</v>
      </c>
      <c r="G4427" t="s">
        <v>2465</v>
      </c>
      <c r="H4427">
        <v>10</v>
      </c>
      <c r="I4427">
        <v>45.56</v>
      </c>
      <c r="J4427" s="50">
        <v>455.6</v>
      </c>
      <c r="K4427" t="s">
        <v>1632</v>
      </c>
      <c r="M4427" t="s">
        <v>1624</v>
      </c>
      <c r="N4427">
        <v>24.05</v>
      </c>
      <c r="O4427" s="49">
        <v>45360</v>
      </c>
      <c r="P4427" s="50">
        <v>205.02</v>
      </c>
    </row>
    <row r="4428" spans="4:16" x14ac:dyDescent="0.2">
      <c r="D4428">
        <v>100002613</v>
      </c>
      <c r="E4428" s="49">
        <v>45245</v>
      </c>
      <c r="F4428" t="s">
        <v>4288</v>
      </c>
      <c r="G4428" t="s">
        <v>2465</v>
      </c>
      <c r="H4428">
        <v>9</v>
      </c>
      <c r="I4428">
        <v>12.64</v>
      </c>
      <c r="J4428" s="50">
        <v>113.76</v>
      </c>
      <c r="K4428" t="s">
        <v>1632</v>
      </c>
      <c r="M4428" t="s">
        <v>1621</v>
      </c>
      <c r="N4428">
        <v>6.67</v>
      </c>
      <c r="O4428" s="49">
        <v>45249</v>
      </c>
      <c r="P4428" s="50">
        <v>51.192</v>
      </c>
    </row>
    <row r="4429" spans="4:16" x14ac:dyDescent="0.2">
      <c r="D4429">
        <v>100002613</v>
      </c>
      <c r="E4429" s="49">
        <v>44227</v>
      </c>
      <c r="F4429" t="s">
        <v>4288</v>
      </c>
      <c r="G4429" t="s">
        <v>1777</v>
      </c>
      <c r="H4429">
        <v>4</v>
      </c>
      <c r="I4429">
        <v>66.36</v>
      </c>
      <c r="J4429" s="50">
        <v>265.44</v>
      </c>
      <c r="K4429" t="s">
        <v>1632</v>
      </c>
      <c r="M4429" t="s">
        <v>1621</v>
      </c>
      <c r="N4429">
        <v>35.020000000000003</v>
      </c>
      <c r="O4429" s="49">
        <v>44231</v>
      </c>
      <c r="P4429" s="50">
        <v>119.44800000000001</v>
      </c>
    </row>
    <row r="4430" spans="4:16" x14ac:dyDescent="0.2">
      <c r="D4430">
        <v>100002614</v>
      </c>
      <c r="E4430" s="49">
        <v>45346</v>
      </c>
      <c r="F4430" t="s">
        <v>4289</v>
      </c>
      <c r="G4430" t="s">
        <v>1916</v>
      </c>
      <c r="H4430">
        <v>8</v>
      </c>
      <c r="I4430">
        <v>73.790000000000006</v>
      </c>
      <c r="J4430" s="50">
        <v>590.32000000000005</v>
      </c>
      <c r="K4430" t="s">
        <v>1618</v>
      </c>
      <c r="M4430" t="s">
        <v>1621</v>
      </c>
      <c r="N4430">
        <v>38.94</v>
      </c>
      <c r="O4430" s="49">
        <v>45348</v>
      </c>
      <c r="P4430" s="50">
        <v>265.64400000000001</v>
      </c>
    </row>
    <row r="4431" spans="4:16" x14ac:dyDescent="0.2">
      <c r="D4431">
        <v>100002616</v>
      </c>
      <c r="E4431" s="49">
        <v>44545</v>
      </c>
      <c r="F4431" t="s">
        <v>4290</v>
      </c>
      <c r="G4431" t="s">
        <v>2004</v>
      </c>
      <c r="H4431">
        <v>6</v>
      </c>
      <c r="I4431">
        <v>80.400000000000006</v>
      </c>
      <c r="J4431" s="50">
        <v>482.4</v>
      </c>
      <c r="K4431" t="s">
        <v>1618</v>
      </c>
      <c r="M4431" t="s">
        <v>1627</v>
      </c>
      <c r="N4431">
        <v>42.43</v>
      </c>
      <c r="O4431" s="49">
        <v>44550</v>
      </c>
      <c r="P4431" s="50">
        <v>217.07999999999998</v>
      </c>
    </row>
    <row r="4432" spans="4:16" x14ac:dyDescent="0.2">
      <c r="D4432">
        <v>100002616</v>
      </c>
      <c r="E4432" s="49">
        <v>44401</v>
      </c>
      <c r="F4432" t="s">
        <v>4290</v>
      </c>
      <c r="G4432" t="s">
        <v>1717</v>
      </c>
      <c r="H4432">
        <v>4</v>
      </c>
      <c r="I4432">
        <v>28.43</v>
      </c>
      <c r="J4432" s="50">
        <v>113.72</v>
      </c>
      <c r="K4432" t="s">
        <v>1618</v>
      </c>
      <c r="M4432" t="s">
        <v>1619</v>
      </c>
      <c r="N4432">
        <v>15</v>
      </c>
      <c r="O4432" s="49">
        <v>44404</v>
      </c>
      <c r="P4432" s="50">
        <v>51.173999999999999</v>
      </c>
    </row>
    <row r="4433" spans="4:16" x14ac:dyDescent="0.2">
      <c r="D4433">
        <v>100002616</v>
      </c>
      <c r="E4433" s="49">
        <v>44444</v>
      </c>
      <c r="F4433" t="s">
        <v>4290</v>
      </c>
      <c r="G4433" t="s">
        <v>2553</v>
      </c>
      <c r="H4433">
        <v>2</v>
      </c>
      <c r="I4433">
        <v>31.51</v>
      </c>
      <c r="J4433" s="50">
        <v>63.02</v>
      </c>
      <c r="K4433" t="s">
        <v>1618</v>
      </c>
      <c r="M4433" t="s">
        <v>1619</v>
      </c>
      <c r="N4433">
        <v>16.63</v>
      </c>
      <c r="O4433" s="49">
        <v>44448</v>
      </c>
      <c r="P4433" s="50">
        <v>28.359000000000002</v>
      </c>
    </row>
    <row r="4434" spans="4:16" x14ac:dyDescent="0.2">
      <c r="D4434">
        <v>100002617</v>
      </c>
      <c r="E4434" s="49">
        <v>45613</v>
      </c>
      <c r="F4434" t="s">
        <v>4291</v>
      </c>
      <c r="G4434" t="s">
        <v>1830</v>
      </c>
      <c r="H4434">
        <v>3</v>
      </c>
      <c r="I4434">
        <v>14.79</v>
      </c>
      <c r="J4434" s="50">
        <v>44.37</v>
      </c>
      <c r="K4434" t="s">
        <v>1632</v>
      </c>
      <c r="M4434" t="s">
        <v>1629</v>
      </c>
      <c r="N4434">
        <v>7.81</v>
      </c>
      <c r="O4434" s="49">
        <v>45615</v>
      </c>
      <c r="P4434" s="50">
        <v>19.9665</v>
      </c>
    </row>
    <row r="4435" spans="4:16" x14ac:dyDescent="0.2">
      <c r="D4435">
        <v>100002617</v>
      </c>
      <c r="E4435" s="49">
        <v>44845</v>
      </c>
      <c r="F4435" t="s">
        <v>4291</v>
      </c>
      <c r="G4435" t="s">
        <v>1648</v>
      </c>
      <c r="H4435">
        <v>5</v>
      </c>
      <c r="I4435">
        <v>113.91</v>
      </c>
      <c r="J4435" s="50">
        <v>569.54999999999995</v>
      </c>
      <c r="K4435" t="s">
        <v>1632</v>
      </c>
      <c r="M4435" t="s">
        <v>1619</v>
      </c>
      <c r="N4435">
        <v>60.12</v>
      </c>
      <c r="O4435" s="49">
        <v>44846</v>
      </c>
      <c r="P4435" s="50">
        <v>256.29750000000001</v>
      </c>
    </row>
    <row r="4436" spans="4:16" x14ac:dyDescent="0.2">
      <c r="D4436">
        <v>100002617</v>
      </c>
      <c r="E4436" s="49">
        <v>45283</v>
      </c>
      <c r="F4436" t="s">
        <v>4291</v>
      </c>
      <c r="G4436" t="s">
        <v>3075</v>
      </c>
      <c r="H4436">
        <v>10</v>
      </c>
      <c r="I4436">
        <v>118.27</v>
      </c>
      <c r="J4436" s="50">
        <v>1182.7</v>
      </c>
      <c r="K4436" t="s">
        <v>1632</v>
      </c>
      <c r="M4436" t="s">
        <v>1619</v>
      </c>
      <c r="N4436">
        <v>62.42</v>
      </c>
      <c r="O4436" s="49">
        <v>45285</v>
      </c>
      <c r="P4436" s="50">
        <v>532.21500000000003</v>
      </c>
    </row>
    <row r="4437" spans="4:16" x14ac:dyDescent="0.2">
      <c r="D4437">
        <v>100002617</v>
      </c>
      <c r="E4437" s="49">
        <v>45591</v>
      </c>
      <c r="F4437" t="s">
        <v>4291</v>
      </c>
      <c r="G4437" t="s">
        <v>1669</v>
      </c>
      <c r="H4437">
        <v>2</v>
      </c>
      <c r="I4437">
        <v>59.22</v>
      </c>
      <c r="J4437" s="50">
        <v>118.44</v>
      </c>
      <c r="K4437" t="s">
        <v>1632</v>
      </c>
      <c r="M4437" t="s">
        <v>1624</v>
      </c>
      <c r="N4437">
        <v>31.25</v>
      </c>
      <c r="O4437" s="49">
        <v>45592</v>
      </c>
      <c r="P4437" s="50">
        <v>53.298000000000002</v>
      </c>
    </row>
    <row r="4438" spans="4:16" x14ac:dyDescent="0.2">
      <c r="D4438">
        <v>100002618</v>
      </c>
      <c r="E4438" s="49">
        <v>44211</v>
      </c>
      <c r="F4438" t="s">
        <v>4292</v>
      </c>
      <c r="G4438" t="s">
        <v>1890</v>
      </c>
      <c r="H4438">
        <v>1</v>
      </c>
      <c r="I4438">
        <v>26.41</v>
      </c>
      <c r="J4438" s="50">
        <v>26.41</v>
      </c>
      <c r="K4438" t="s">
        <v>1618</v>
      </c>
      <c r="M4438" t="s">
        <v>1627</v>
      </c>
      <c r="N4438">
        <v>13.94</v>
      </c>
      <c r="O4438" s="49">
        <v>44215</v>
      </c>
      <c r="P4438" s="50">
        <v>11.884500000000001</v>
      </c>
    </row>
    <row r="4439" spans="4:16" x14ac:dyDescent="0.2">
      <c r="D4439">
        <v>100002619</v>
      </c>
      <c r="E4439" s="49">
        <v>44397</v>
      </c>
      <c r="F4439" t="s">
        <v>4293</v>
      </c>
      <c r="G4439" t="s">
        <v>1844</v>
      </c>
      <c r="H4439">
        <v>3</v>
      </c>
      <c r="I4439">
        <v>117.1</v>
      </c>
      <c r="J4439" s="50">
        <v>351.3</v>
      </c>
      <c r="K4439" t="s">
        <v>1618</v>
      </c>
      <c r="M4439" t="s">
        <v>1621</v>
      </c>
      <c r="N4439">
        <v>61.8</v>
      </c>
      <c r="O4439" s="49">
        <v>44398</v>
      </c>
      <c r="P4439" s="50">
        <v>158.08500000000001</v>
      </c>
    </row>
    <row r="4440" spans="4:16" x14ac:dyDescent="0.2">
      <c r="D4440">
        <v>100002619</v>
      </c>
      <c r="E4440" s="49">
        <v>44321</v>
      </c>
      <c r="F4440" t="s">
        <v>4293</v>
      </c>
      <c r="G4440" t="s">
        <v>1639</v>
      </c>
      <c r="H4440">
        <v>9</v>
      </c>
      <c r="I4440">
        <v>34.81</v>
      </c>
      <c r="J4440" s="50">
        <v>313.29000000000002</v>
      </c>
      <c r="K4440" t="s">
        <v>1618</v>
      </c>
      <c r="M4440" t="s">
        <v>1624</v>
      </c>
      <c r="N4440">
        <v>18.37</v>
      </c>
      <c r="O4440" s="49">
        <v>44324</v>
      </c>
      <c r="P4440" s="50">
        <v>140.98050000000001</v>
      </c>
    </row>
    <row r="4441" spans="4:16" x14ac:dyDescent="0.2">
      <c r="D4441">
        <v>100002619</v>
      </c>
      <c r="E4441" s="49">
        <v>44554</v>
      </c>
      <c r="F4441" t="s">
        <v>4293</v>
      </c>
      <c r="G4441" t="s">
        <v>2145</v>
      </c>
      <c r="H4441">
        <v>1</v>
      </c>
      <c r="I4441">
        <v>93.03</v>
      </c>
      <c r="J4441" s="50">
        <v>93.03</v>
      </c>
      <c r="K4441" t="s">
        <v>1618</v>
      </c>
      <c r="M4441" t="s">
        <v>1627</v>
      </c>
      <c r="N4441">
        <v>49.1</v>
      </c>
      <c r="O4441" s="49">
        <v>44558</v>
      </c>
      <c r="P4441" s="50">
        <v>41.863500000000002</v>
      </c>
    </row>
    <row r="4442" spans="4:16" x14ac:dyDescent="0.2">
      <c r="D4442">
        <v>100002620</v>
      </c>
      <c r="E4442" s="49">
        <v>45272</v>
      </c>
      <c r="F4442" t="s">
        <v>4294</v>
      </c>
      <c r="G4442" t="s">
        <v>1715</v>
      </c>
      <c r="H4442">
        <v>1</v>
      </c>
      <c r="I4442">
        <v>41.11</v>
      </c>
      <c r="J4442" s="50">
        <v>41.11</v>
      </c>
      <c r="K4442" t="s">
        <v>1618</v>
      </c>
      <c r="M4442" t="s">
        <v>1621</v>
      </c>
      <c r="N4442">
        <v>21.7</v>
      </c>
      <c r="O4442" s="49">
        <v>45274</v>
      </c>
      <c r="P4442" s="50">
        <v>18.499500000000001</v>
      </c>
    </row>
    <row r="4443" spans="4:16" x14ac:dyDescent="0.2">
      <c r="D4443">
        <v>100002621</v>
      </c>
      <c r="E4443" s="49">
        <v>44995</v>
      </c>
      <c r="F4443" t="s">
        <v>4295</v>
      </c>
      <c r="G4443" t="s">
        <v>1642</v>
      </c>
      <c r="H4443">
        <v>7</v>
      </c>
      <c r="I4443">
        <v>55.51</v>
      </c>
      <c r="J4443" s="50">
        <v>388.57</v>
      </c>
      <c r="K4443" t="s">
        <v>1618</v>
      </c>
      <c r="M4443" t="s">
        <v>1621</v>
      </c>
      <c r="N4443">
        <v>29.3</v>
      </c>
      <c r="O4443" s="49">
        <v>45000</v>
      </c>
      <c r="P4443" s="50">
        <v>174.85650000000001</v>
      </c>
    </row>
    <row r="4444" spans="4:16" x14ac:dyDescent="0.2">
      <c r="D4444">
        <v>100002622</v>
      </c>
      <c r="E4444" s="49">
        <v>45169</v>
      </c>
      <c r="F4444" t="s">
        <v>4296</v>
      </c>
      <c r="G4444" t="s">
        <v>1733</v>
      </c>
      <c r="H4444">
        <v>5</v>
      </c>
      <c r="I4444">
        <v>14.97</v>
      </c>
      <c r="J4444" s="50">
        <v>74.850000000000009</v>
      </c>
      <c r="K4444" t="s">
        <v>1618</v>
      </c>
      <c r="L4444" t="s">
        <v>2939</v>
      </c>
      <c r="M4444" t="s">
        <v>1629</v>
      </c>
      <c r="N4444">
        <v>7.9</v>
      </c>
      <c r="O4444" s="49">
        <v>45172</v>
      </c>
      <c r="P4444" s="50">
        <v>33.682500000000005</v>
      </c>
    </row>
    <row r="4445" spans="4:16" x14ac:dyDescent="0.2">
      <c r="D4445">
        <v>100002622</v>
      </c>
      <c r="E4445" s="49">
        <v>45566</v>
      </c>
      <c r="F4445" t="s">
        <v>4296</v>
      </c>
      <c r="G4445" t="s">
        <v>2628</v>
      </c>
      <c r="H4445">
        <v>7</v>
      </c>
      <c r="I4445">
        <v>14.02</v>
      </c>
      <c r="J4445" s="50">
        <v>98.14</v>
      </c>
      <c r="K4445" t="s">
        <v>1618</v>
      </c>
      <c r="L4445" t="s">
        <v>2939</v>
      </c>
      <c r="M4445" t="s">
        <v>1621</v>
      </c>
      <c r="N4445">
        <v>7.4</v>
      </c>
      <c r="O4445" s="49">
        <v>45568</v>
      </c>
      <c r="P4445" s="50">
        <v>44.163000000000004</v>
      </c>
    </row>
    <row r="4446" spans="4:16" x14ac:dyDescent="0.2">
      <c r="D4446">
        <v>100002623</v>
      </c>
      <c r="E4446" s="49">
        <v>45604</v>
      </c>
      <c r="F4446" t="s">
        <v>4297</v>
      </c>
      <c r="G4446" t="s">
        <v>1792</v>
      </c>
      <c r="H4446">
        <v>1</v>
      </c>
      <c r="I4446">
        <v>79.62</v>
      </c>
      <c r="J4446" s="50">
        <v>79.62</v>
      </c>
      <c r="K4446" t="s">
        <v>1632</v>
      </c>
      <c r="L4446" t="s">
        <v>4298</v>
      </c>
      <c r="M4446" t="s">
        <v>1624</v>
      </c>
      <c r="N4446">
        <v>42.02</v>
      </c>
      <c r="O4446" s="49">
        <v>45605</v>
      </c>
      <c r="P4446" s="50">
        <v>35.829000000000001</v>
      </c>
    </row>
    <row r="4447" spans="4:16" x14ac:dyDescent="0.2">
      <c r="D4447">
        <v>100002623</v>
      </c>
      <c r="E4447" s="49">
        <v>44738</v>
      </c>
      <c r="F4447" t="s">
        <v>4297</v>
      </c>
      <c r="G4447" t="s">
        <v>2633</v>
      </c>
      <c r="H4447">
        <v>9</v>
      </c>
      <c r="I4447">
        <v>15.83</v>
      </c>
      <c r="J4447" s="50">
        <v>142.47</v>
      </c>
      <c r="K4447" t="s">
        <v>1632</v>
      </c>
      <c r="L4447" t="s">
        <v>4298</v>
      </c>
      <c r="M4447" t="s">
        <v>1621</v>
      </c>
      <c r="N4447">
        <v>8.35</v>
      </c>
      <c r="O4447" s="49">
        <v>44741</v>
      </c>
      <c r="P4447" s="50">
        <v>64.111500000000007</v>
      </c>
    </row>
    <row r="4448" spans="4:16" x14ac:dyDescent="0.2">
      <c r="D4448">
        <v>100002623</v>
      </c>
      <c r="E4448" s="49">
        <v>45097</v>
      </c>
      <c r="F4448" t="s">
        <v>4297</v>
      </c>
      <c r="G4448" t="s">
        <v>1636</v>
      </c>
      <c r="H4448">
        <v>5</v>
      </c>
      <c r="I4448">
        <v>15.99</v>
      </c>
      <c r="J4448" s="50">
        <v>79.95</v>
      </c>
      <c r="K4448" t="s">
        <v>1632</v>
      </c>
      <c r="L4448" t="s">
        <v>4298</v>
      </c>
      <c r="M4448" t="s">
        <v>1624</v>
      </c>
      <c r="N4448">
        <v>8.44</v>
      </c>
      <c r="O4448" s="49">
        <v>45101</v>
      </c>
      <c r="P4448" s="50">
        <v>35.977499999999999</v>
      </c>
    </row>
    <row r="4449" spans="4:16" x14ac:dyDescent="0.2">
      <c r="D4449">
        <v>100002624</v>
      </c>
      <c r="E4449" s="49">
        <v>44657</v>
      </c>
      <c r="F4449" t="s">
        <v>4299</v>
      </c>
      <c r="G4449" t="s">
        <v>2161</v>
      </c>
      <c r="H4449">
        <v>4</v>
      </c>
      <c r="I4449">
        <v>111.41</v>
      </c>
      <c r="J4449" s="50">
        <v>445.64</v>
      </c>
      <c r="K4449" t="s">
        <v>1618</v>
      </c>
      <c r="M4449" t="s">
        <v>1621</v>
      </c>
      <c r="N4449">
        <v>58.8</v>
      </c>
      <c r="O4449" s="49">
        <v>44658</v>
      </c>
      <c r="P4449" s="50">
        <v>200.53800000000001</v>
      </c>
    </row>
    <row r="4450" spans="4:16" x14ac:dyDescent="0.2">
      <c r="D4450">
        <v>100002624</v>
      </c>
      <c r="E4450" s="49">
        <v>45196</v>
      </c>
      <c r="F4450" t="s">
        <v>4299</v>
      </c>
      <c r="G4450" t="s">
        <v>1699</v>
      </c>
      <c r="H4450">
        <v>5</v>
      </c>
      <c r="I4450">
        <v>87.09</v>
      </c>
      <c r="J4450" s="50">
        <v>435.45</v>
      </c>
      <c r="K4450" t="s">
        <v>1618</v>
      </c>
      <c r="M4450" t="s">
        <v>1627</v>
      </c>
      <c r="N4450">
        <v>45.96</v>
      </c>
      <c r="O4450" s="49">
        <v>45197</v>
      </c>
      <c r="P4450" s="50">
        <v>195.95249999999999</v>
      </c>
    </row>
    <row r="4451" spans="4:16" x14ac:dyDescent="0.2">
      <c r="D4451">
        <v>100002624</v>
      </c>
      <c r="E4451" s="49">
        <v>45364</v>
      </c>
      <c r="F4451" t="s">
        <v>4299</v>
      </c>
      <c r="G4451" t="s">
        <v>1944</v>
      </c>
      <c r="H4451">
        <v>5</v>
      </c>
      <c r="I4451">
        <v>45.77</v>
      </c>
      <c r="J4451" s="50">
        <v>228.85</v>
      </c>
      <c r="K4451" t="s">
        <v>1618</v>
      </c>
      <c r="M4451" t="s">
        <v>1624</v>
      </c>
      <c r="N4451">
        <v>24.16</v>
      </c>
      <c r="O4451" s="49">
        <v>45369</v>
      </c>
      <c r="P4451" s="50">
        <v>102.9825</v>
      </c>
    </row>
    <row r="4452" spans="4:16" x14ac:dyDescent="0.2">
      <c r="D4452">
        <v>100002624</v>
      </c>
      <c r="E4452" s="49">
        <v>45333</v>
      </c>
      <c r="F4452" t="s">
        <v>4299</v>
      </c>
      <c r="G4452" t="s">
        <v>1825</v>
      </c>
      <c r="H4452">
        <v>2</v>
      </c>
      <c r="I4452">
        <v>59.39</v>
      </c>
      <c r="J4452" s="50">
        <v>118.78</v>
      </c>
      <c r="K4452" t="s">
        <v>1618</v>
      </c>
      <c r="M4452" t="s">
        <v>1621</v>
      </c>
      <c r="N4452">
        <v>31.34</v>
      </c>
      <c r="O4452" s="49">
        <v>45338</v>
      </c>
      <c r="P4452" s="50">
        <v>53.451000000000001</v>
      </c>
    </row>
    <row r="4453" spans="4:16" x14ac:dyDescent="0.2">
      <c r="D4453">
        <v>100002627</v>
      </c>
      <c r="E4453" s="49">
        <v>45175</v>
      </c>
      <c r="F4453" t="s">
        <v>4300</v>
      </c>
      <c r="G4453" t="s">
        <v>1714</v>
      </c>
      <c r="H4453">
        <v>4</v>
      </c>
      <c r="I4453">
        <v>34.03</v>
      </c>
      <c r="J4453" s="50">
        <v>136.12</v>
      </c>
      <c r="K4453" t="s">
        <v>1618</v>
      </c>
      <c r="M4453" t="s">
        <v>1621</v>
      </c>
      <c r="N4453">
        <v>17.96</v>
      </c>
      <c r="O4453" s="49">
        <v>45177</v>
      </c>
      <c r="P4453" s="50">
        <v>61.254000000000005</v>
      </c>
    </row>
    <row r="4454" spans="4:16" x14ac:dyDescent="0.2">
      <c r="D4454">
        <v>100002627</v>
      </c>
      <c r="E4454" s="49">
        <v>44279</v>
      </c>
      <c r="F4454" t="s">
        <v>4300</v>
      </c>
      <c r="G4454" t="s">
        <v>2145</v>
      </c>
      <c r="H4454">
        <v>9</v>
      </c>
      <c r="I4454">
        <v>83.59</v>
      </c>
      <c r="J4454" s="50">
        <v>752.31000000000006</v>
      </c>
      <c r="K4454" t="s">
        <v>1618</v>
      </c>
      <c r="M4454" t="s">
        <v>1627</v>
      </c>
      <c r="N4454">
        <v>44.12</v>
      </c>
      <c r="O4454" s="49">
        <v>44281</v>
      </c>
      <c r="P4454" s="50">
        <v>338.53950000000003</v>
      </c>
    </row>
    <row r="4455" spans="4:16" x14ac:dyDescent="0.2">
      <c r="D4455">
        <v>100002627</v>
      </c>
      <c r="E4455" s="49">
        <v>44655</v>
      </c>
      <c r="F4455" t="s">
        <v>4300</v>
      </c>
      <c r="G4455" t="s">
        <v>2101</v>
      </c>
      <c r="H4455">
        <v>1</v>
      </c>
      <c r="I4455">
        <v>45.35</v>
      </c>
      <c r="J4455" s="50">
        <v>45.35</v>
      </c>
      <c r="K4455" t="s">
        <v>1618</v>
      </c>
      <c r="M4455" t="s">
        <v>1619</v>
      </c>
      <c r="N4455">
        <v>23.93</v>
      </c>
      <c r="O4455" s="49">
        <v>44659</v>
      </c>
      <c r="P4455" s="50">
        <v>20.407500000000002</v>
      </c>
    </row>
    <row r="4456" spans="4:16" x14ac:dyDescent="0.2">
      <c r="D4456">
        <v>100002628</v>
      </c>
      <c r="E4456" s="49">
        <v>44454</v>
      </c>
      <c r="F4456" t="s">
        <v>4301</v>
      </c>
      <c r="G4456" t="s">
        <v>1787</v>
      </c>
      <c r="H4456">
        <v>2</v>
      </c>
      <c r="I4456">
        <v>118.45</v>
      </c>
      <c r="J4456" s="50">
        <v>236.9</v>
      </c>
      <c r="K4456" t="s">
        <v>1618</v>
      </c>
      <c r="M4456" t="s">
        <v>1624</v>
      </c>
      <c r="N4456">
        <v>62.51</v>
      </c>
      <c r="O4456" s="49">
        <v>44459</v>
      </c>
      <c r="P4456" s="50">
        <v>106.605</v>
      </c>
    </row>
    <row r="4457" spans="4:16" x14ac:dyDescent="0.2">
      <c r="D4457">
        <v>100002629</v>
      </c>
      <c r="E4457" s="49">
        <v>45280</v>
      </c>
      <c r="F4457" t="s">
        <v>4302</v>
      </c>
      <c r="G4457" t="s">
        <v>2263</v>
      </c>
      <c r="H4457">
        <v>5</v>
      </c>
      <c r="I4457">
        <v>64.040000000000006</v>
      </c>
      <c r="J4457" s="50">
        <v>320.2</v>
      </c>
      <c r="K4457" t="s">
        <v>1618</v>
      </c>
      <c r="M4457" t="s">
        <v>1619</v>
      </c>
      <c r="N4457">
        <v>33.799999999999997</v>
      </c>
      <c r="O4457" s="49">
        <v>45284</v>
      </c>
      <c r="P4457" s="50">
        <v>144.09</v>
      </c>
    </row>
    <row r="4458" spans="4:16" x14ac:dyDescent="0.2">
      <c r="D4458">
        <v>100002629</v>
      </c>
      <c r="E4458" s="49">
        <v>45353</v>
      </c>
      <c r="F4458" t="s">
        <v>4302</v>
      </c>
      <c r="G4458" t="s">
        <v>1676</v>
      </c>
      <c r="H4458">
        <v>6</v>
      </c>
      <c r="I4458">
        <v>111.14</v>
      </c>
      <c r="J4458" s="50">
        <v>666.84</v>
      </c>
      <c r="K4458" t="s">
        <v>1618</v>
      </c>
      <c r="M4458" t="s">
        <v>1627</v>
      </c>
      <c r="N4458">
        <v>58.66</v>
      </c>
      <c r="O4458" s="49">
        <v>45356</v>
      </c>
      <c r="P4458" s="50">
        <v>300.07800000000003</v>
      </c>
    </row>
    <row r="4459" spans="4:16" x14ac:dyDescent="0.2">
      <c r="D4459">
        <v>100002629</v>
      </c>
      <c r="E4459" s="49">
        <v>45547</v>
      </c>
      <c r="F4459" t="s">
        <v>4302</v>
      </c>
      <c r="G4459" t="s">
        <v>1801</v>
      </c>
      <c r="H4459">
        <v>4</v>
      </c>
      <c r="I4459">
        <v>76.290000000000006</v>
      </c>
      <c r="J4459" s="50">
        <v>305.16000000000003</v>
      </c>
      <c r="K4459" t="s">
        <v>1618</v>
      </c>
      <c r="M4459" t="s">
        <v>1627</v>
      </c>
      <c r="N4459">
        <v>40.26</v>
      </c>
      <c r="O4459" s="49">
        <v>45552</v>
      </c>
      <c r="P4459" s="50">
        <v>137.322</v>
      </c>
    </row>
    <row r="4460" spans="4:16" x14ac:dyDescent="0.2">
      <c r="D4460">
        <v>100002630</v>
      </c>
      <c r="E4460" s="49">
        <v>44294</v>
      </c>
      <c r="F4460" t="s">
        <v>4303</v>
      </c>
      <c r="G4460" t="s">
        <v>2431</v>
      </c>
      <c r="H4460">
        <v>2</v>
      </c>
      <c r="I4460">
        <v>52.13</v>
      </c>
      <c r="J4460" s="50">
        <v>104.26</v>
      </c>
      <c r="K4460" t="s">
        <v>1632</v>
      </c>
      <c r="M4460" t="s">
        <v>1619</v>
      </c>
      <c r="N4460">
        <v>27.51</v>
      </c>
      <c r="O4460" s="49">
        <v>44296</v>
      </c>
      <c r="P4460" s="50">
        <v>46.917000000000002</v>
      </c>
    </row>
    <row r="4461" spans="4:16" x14ac:dyDescent="0.2">
      <c r="D4461">
        <v>100002631</v>
      </c>
      <c r="E4461" s="49">
        <v>45548</v>
      </c>
      <c r="F4461" t="s">
        <v>4304</v>
      </c>
      <c r="G4461" t="s">
        <v>2306</v>
      </c>
      <c r="H4461">
        <v>10</v>
      </c>
      <c r="I4461">
        <v>17.71</v>
      </c>
      <c r="J4461" s="50">
        <v>177.1</v>
      </c>
      <c r="K4461" t="s">
        <v>1632</v>
      </c>
      <c r="M4461" t="s">
        <v>1629</v>
      </c>
      <c r="N4461">
        <v>9.35</v>
      </c>
      <c r="O4461" s="49">
        <v>45553</v>
      </c>
      <c r="P4461" s="50">
        <v>79.694999999999993</v>
      </c>
    </row>
    <row r="4462" spans="4:16" x14ac:dyDescent="0.2">
      <c r="D4462">
        <v>100002632</v>
      </c>
      <c r="E4462" s="49">
        <v>45303</v>
      </c>
      <c r="F4462" t="s">
        <v>4305</v>
      </c>
      <c r="G4462" t="s">
        <v>1777</v>
      </c>
      <c r="H4462">
        <v>10</v>
      </c>
      <c r="I4462">
        <v>78.58</v>
      </c>
      <c r="J4462" s="50">
        <v>785.8</v>
      </c>
      <c r="K4462" t="s">
        <v>1632</v>
      </c>
      <c r="M4462" t="s">
        <v>1624</v>
      </c>
      <c r="N4462">
        <v>41.47</v>
      </c>
      <c r="O4462" s="49">
        <v>45308</v>
      </c>
      <c r="P4462" s="50">
        <v>353.61</v>
      </c>
    </row>
    <row r="4463" spans="4:16" x14ac:dyDescent="0.2">
      <c r="D4463">
        <v>100002632</v>
      </c>
      <c r="E4463" s="49">
        <v>45047</v>
      </c>
      <c r="F4463" t="s">
        <v>4305</v>
      </c>
      <c r="G4463" t="s">
        <v>2447</v>
      </c>
      <c r="H4463">
        <v>7</v>
      </c>
      <c r="I4463">
        <v>42.47</v>
      </c>
      <c r="J4463" s="50">
        <v>297.29000000000002</v>
      </c>
      <c r="K4463" t="s">
        <v>1632</v>
      </c>
      <c r="M4463" t="s">
        <v>1627</v>
      </c>
      <c r="N4463">
        <v>22.41</v>
      </c>
      <c r="O4463" s="49">
        <v>45052</v>
      </c>
      <c r="P4463" s="50">
        <v>133.78050000000002</v>
      </c>
    </row>
    <row r="4464" spans="4:16" x14ac:dyDescent="0.2">
      <c r="D4464">
        <v>100002633</v>
      </c>
      <c r="E4464" s="49">
        <v>44210</v>
      </c>
      <c r="F4464" t="s">
        <v>4306</v>
      </c>
      <c r="G4464" t="s">
        <v>1777</v>
      </c>
      <c r="H4464">
        <v>9</v>
      </c>
      <c r="I4464">
        <v>36.67</v>
      </c>
      <c r="J4464" s="50">
        <v>330.03</v>
      </c>
      <c r="K4464" t="s">
        <v>1618</v>
      </c>
      <c r="L4464" t="s">
        <v>3506</v>
      </c>
      <c r="M4464" t="s">
        <v>1621</v>
      </c>
      <c r="N4464">
        <v>19.350000000000001</v>
      </c>
      <c r="O4464" s="49">
        <v>44211</v>
      </c>
      <c r="P4464" s="50">
        <v>148.51349999999999</v>
      </c>
    </row>
    <row r="4465" spans="4:16" x14ac:dyDescent="0.2">
      <c r="D4465">
        <v>100002634</v>
      </c>
      <c r="E4465" s="49">
        <v>44632</v>
      </c>
      <c r="F4465" t="s">
        <v>4307</v>
      </c>
      <c r="G4465" t="s">
        <v>2150</v>
      </c>
      <c r="H4465">
        <v>8</v>
      </c>
      <c r="I4465">
        <v>38.369999999999997</v>
      </c>
      <c r="J4465" s="50">
        <v>306.95999999999998</v>
      </c>
      <c r="K4465" t="s">
        <v>1618</v>
      </c>
      <c r="M4465" t="s">
        <v>1619</v>
      </c>
      <c r="N4465">
        <v>20.25</v>
      </c>
      <c r="O4465" s="49">
        <v>44634</v>
      </c>
      <c r="P4465" s="50">
        <v>138.13200000000001</v>
      </c>
    </row>
    <row r="4466" spans="4:16" x14ac:dyDescent="0.2">
      <c r="D4466">
        <v>100002634</v>
      </c>
      <c r="E4466" s="49">
        <v>44252</v>
      </c>
      <c r="F4466" t="s">
        <v>4307</v>
      </c>
      <c r="G4466" t="s">
        <v>1787</v>
      </c>
      <c r="H4466">
        <v>10</v>
      </c>
      <c r="I4466">
        <v>55.66</v>
      </c>
      <c r="J4466" s="50">
        <v>556.59999999999991</v>
      </c>
      <c r="K4466" t="s">
        <v>1618</v>
      </c>
      <c r="M4466" t="s">
        <v>1621</v>
      </c>
      <c r="N4466">
        <v>29.38</v>
      </c>
      <c r="O4466" s="49">
        <v>44257</v>
      </c>
      <c r="P4466" s="50">
        <v>250.46999999999997</v>
      </c>
    </row>
    <row r="4467" spans="4:16" x14ac:dyDescent="0.2">
      <c r="D4467">
        <v>100002634</v>
      </c>
      <c r="E4467" s="49">
        <v>45346</v>
      </c>
      <c r="F4467" t="s">
        <v>4307</v>
      </c>
      <c r="G4467" t="s">
        <v>1777</v>
      </c>
      <c r="H4467">
        <v>4</v>
      </c>
      <c r="I4467">
        <v>119.09</v>
      </c>
      <c r="J4467" s="50">
        <v>476.36</v>
      </c>
      <c r="K4467" t="s">
        <v>1618</v>
      </c>
      <c r="M4467" t="s">
        <v>1621</v>
      </c>
      <c r="N4467">
        <v>62.85</v>
      </c>
      <c r="O4467" s="49">
        <v>45349</v>
      </c>
      <c r="P4467" s="50">
        <v>214.36200000000002</v>
      </c>
    </row>
    <row r="4468" spans="4:16" x14ac:dyDescent="0.2">
      <c r="D4468">
        <v>100002635</v>
      </c>
      <c r="E4468" s="49">
        <v>44386</v>
      </c>
      <c r="F4468" t="s">
        <v>4308</v>
      </c>
      <c r="G4468" t="s">
        <v>1890</v>
      </c>
      <c r="H4468">
        <v>7</v>
      </c>
      <c r="I4468">
        <v>96.33</v>
      </c>
      <c r="J4468" s="50">
        <v>674.31</v>
      </c>
      <c r="K4468" t="s">
        <v>1618</v>
      </c>
      <c r="M4468" t="s">
        <v>1619</v>
      </c>
      <c r="N4468">
        <v>50.84</v>
      </c>
      <c r="O4468" s="49">
        <v>44390</v>
      </c>
      <c r="P4468" s="50">
        <v>303.43950000000001</v>
      </c>
    </row>
    <row r="4469" spans="4:16" x14ac:dyDescent="0.2">
      <c r="D4469">
        <v>100002635</v>
      </c>
      <c r="E4469" s="49">
        <v>44939</v>
      </c>
      <c r="F4469" t="s">
        <v>4308</v>
      </c>
      <c r="G4469" t="s">
        <v>2158</v>
      </c>
      <c r="H4469">
        <v>4</v>
      </c>
      <c r="I4469">
        <v>23.31</v>
      </c>
      <c r="J4469" s="50">
        <v>93.24</v>
      </c>
      <c r="K4469" t="s">
        <v>1618</v>
      </c>
      <c r="M4469" t="s">
        <v>1624</v>
      </c>
      <c r="N4469">
        <v>12.3</v>
      </c>
      <c r="O4469" s="49">
        <v>44942</v>
      </c>
      <c r="P4469" s="50">
        <v>41.957999999999998</v>
      </c>
    </row>
    <row r="4470" spans="4:16" x14ac:dyDescent="0.2">
      <c r="D4470">
        <v>100002636</v>
      </c>
      <c r="E4470" s="49">
        <v>44273</v>
      </c>
      <c r="F4470" t="s">
        <v>4309</v>
      </c>
      <c r="G4470" t="s">
        <v>1823</v>
      </c>
      <c r="H4470">
        <v>5</v>
      </c>
      <c r="I4470">
        <v>63.79</v>
      </c>
      <c r="J4470" s="50">
        <v>318.95</v>
      </c>
      <c r="K4470" t="s">
        <v>1632</v>
      </c>
      <c r="L4470" t="s">
        <v>2425</v>
      </c>
      <c r="M4470" t="s">
        <v>1629</v>
      </c>
      <c r="N4470">
        <v>33.67</v>
      </c>
      <c r="O4470" s="49">
        <v>44276</v>
      </c>
      <c r="P4470" s="50">
        <v>143.5275</v>
      </c>
    </row>
    <row r="4471" spans="4:16" x14ac:dyDescent="0.2">
      <c r="D4471">
        <v>100002636</v>
      </c>
      <c r="E4471" s="49">
        <v>45190</v>
      </c>
      <c r="F4471" t="s">
        <v>4309</v>
      </c>
      <c r="G4471" t="s">
        <v>1913</v>
      </c>
      <c r="H4471">
        <v>1</v>
      </c>
      <c r="I4471">
        <v>99.16</v>
      </c>
      <c r="J4471" s="50">
        <v>99.16</v>
      </c>
      <c r="K4471" t="s">
        <v>1632</v>
      </c>
      <c r="L4471" t="s">
        <v>2425</v>
      </c>
      <c r="M4471" t="s">
        <v>1621</v>
      </c>
      <c r="N4471">
        <v>52.33</v>
      </c>
      <c r="O4471" s="49">
        <v>45193</v>
      </c>
      <c r="P4471" s="50">
        <v>44.622</v>
      </c>
    </row>
    <row r="4472" spans="4:16" x14ac:dyDescent="0.2">
      <c r="D4472">
        <v>100002637</v>
      </c>
      <c r="E4472" s="49">
        <v>45470</v>
      </c>
      <c r="F4472" t="s">
        <v>4310</v>
      </c>
      <c r="G4472" t="s">
        <v>1990</v>
      </c>
      <c r="H4472">
        <v>10</v>
      </c>
      <c r="I4472">
        <v>116.73</v>
      </c>
      <c r="J4472" s="50">
        <v>1167.3</v>
      </c>
      <c r="K4472" t="s">
        <v>1632</v>
      </c>
      <c r="M4472" t="s">
        <v>1624</v>
      </c>
      <c r="N4472">
        <v>61.61</v>
      </c>
      <c r="O4472" s="49">
        <v>45473</v>
      </c>
      <c r="P4472" s="50">
        <v>525.28499999999997</v>
      </c>
    </row>
    <row r="4473" spans="4:16" x14ac:dyDescent="0.2">
      <c r="D4473">
        <v>100002637</v>
      </c>
      <c r="E4473" s="49">
        <v>45106</v>
      </c>
      <c r="F4473" t="s">
        <v>4310</v>
      </c>
      <c r="G4473" t="s">
        <v>1937</v>
      </c>
      <c r="H4473">
        <v>4</v>
      </c>
      <c r="I4473">
        <v>43.66</v>
      </c>
      <c r="J4473" s="50">
        <v>174.64</v>
      </c>
      <c r="K4473" t="s">
        <v>1632</v>
      </c>
      <c r="M4473" t="s">
        <v>1619</v>
      </c>
      <c r="N4473">
        <v>23.04</v>
      </c>
      <c r="O4473" s="49">
        <v>45109</v>
      </c>
      <c r="P4473" s="50">
        <v>78.587999999999994</v>
      </c>
    </row>
    <row r="4474" spans="4:16" x14ac:dyDescent="0.2">
      <c r="D4474">
        <v>100002638</v>
      </c>
      <c r="E4474" s="49">
        <v>45184</v>
      </c>
      <c r="F4474" t="s">
        <v>4311</v>
      </c>
      <c r="G4474" t="s">
        <v>1712</v>
      </c>
      <c r="H4474">
        <v>2</v>
      </c>
      <c r="I4474">
        <v>86.86</v>
      </c>
      <c r="J4474" s="50">
        <v>173.72</v>
      </c>
      <c r="K4474" t="s">
        <v>1632</v>
      </c>
      <c r="M4474" t="s">
        <v>1619</v>
      </c>
      <c r="N4474">
        <v>45.84</v>
      </c>
      <c r="O4474" s="49">
        <v>45189</v>
      </c>
      <c r="P4474" s="50">
        <v>78.174000000000007</v>
      </c>
    </row>
    <row r="4475" spans="4:16" x14ac:dyDescent="0.2">
      <c r="D4475">
        <v>100002639</v>
      </c>
      <c r="E4475" s="49">
        <v>45310</v>
      </c>
      <c r="F4475" t="s">
        <v>4312</v>
      </c>
      <c r="G4475" t="s">
        <v>1696</v>
      </c>
      <c r="H4475">
        <v>8</v>
      </c>
      <c r="I4475">
        <v>14.28</v>
      </c>
      <c r="J4475" s="50">
        <v>114.24</v>
      </c>
      <c r="K4475" t="s">
        <v>1618</v>
      </c>
      <c r="M4475" t="s">
        <v>1621</v>
      </c>
      <c r="N4475">
        <v>7.54</v>
      </c>
      <c r="O4475" s="49">
        <v>45312</v>
      </c>
      <c r="P4475" s="50">
        <v>51.408000000000001</v>
      </c>
    </row>
    <row r="4476" spans="4:16" x14ac:dyDescent="0.2">
      <c r="D4476">
        <v>100002639</v>
      </c>
      <c r="E4476" s="49">
        <v>44578</v>
      </c>
      <c r="F4476" t="s">
        <v>4312</v>
      </c>
      <c r="G4476" t="s">
        <v>2168</v>
      </c>
      <c r="H4476">
        <v>4</v>
      </c>
      <c r="I4476">
        <v>109.88</v>
      </c>
      <c r="J4476" s="50">
        <v>439.52</v>
      </c>
      <c r="K4476" t="s">
        <v>1618</v>
      </c>
      <c r="M4476" t="s">
        <v>1624</v>
      </c>
      <c r="N4476">
        <v>57.99</v>
      </c>
      <c r="O4476" s="49">
        <v>44580</v>
      </c>
      <c r="P4476" s="50">
        <v>197.78399999999999</v>
      </c>
    </row>
    <row r="4477" spans="4:16" x14ac:dyDescent="0.2">
      <c r="D4477">
        <v>100002639</v>
      </c>
      <c r="E4477" s="49">
        <v>44589</v>
      </c>
      <c r="F4477" t="s">
        <v>4312</v>
      </c>
      <c r="G4477" t="s">
        <v>1667</v>
      </c>
      <c r="H4477">
        <v>2</v>
      </c>
      <c r="I4477">
        <v>15.83</v>
      </c>
      <c r="J4477" s="50">
        <v>31.66</v>
      </c>
      <c r="K4477" t="s">
        <v>1618</v>
      </c>
      <c r="M4477" t="s">
        <v>1627</v>
      </c>
      <c r="N4477">
        <v>8.35</v>
      </c>
      <c r="O4477" s="49">
        <v>44590</v>
      </c>
      <c r="P4477" s="50">
        <v>14.247</v>
      </c>
    </row>
    <row r="4478" spans="4:16" x14ac:dyDescent="0.2">
      <c r="D4478">
        <v>100002639</v>
      </c>
      <c r="E4478" s="49">
        <v>44519</v>
      </c>
      <c r="F4478" t="s">
        <v>4312</v>
      </c>
      <c r="G4478" t="s">
        <v>1955</v>
      </c>
      <c r="H4478">
        <v>9</v>
      </c>
      <c r="I4478">
        <v>31.99</v>
      </c>
      <c r="J4478" s="50">
        <v>287.91000000000003</v>
      </c>
      <c r="K4478" t="s">
        <v>1618</v>
      </c>
      <c r="M4478" t="s">
        <v>1624</v>
      </c>
      <c r="N4478">
        <v>16.88</v>
      </c>
      <c r="O4478" s="49">
        <v>44523</v>
      </c>
      <c r="P4478" s="50">
        <v>129.55950000000001</v>
      </c>
    </row>
    <row r="4479" spans="4:16" x14ac:dyDescent="0.2">
      <c r="D4479">
        <v>100002640</v>
      </c>
      <c r="E4479" s="49">
        <v>44914</v>
      </c>
      <c r="F4479" t="s">
        <v>4313</v>
      </c>
      <c r="G4479" t="s">
        <v>2098</v>
      </c>
      <c r="H4479">
        <v>7</v>
      </c>
      <c r="I4479">
        <v>108</v>
      </c>
      <c r="J4479" s="50">
        <v>756</v>
      </c>
      <c r="K4479" t="s">
        <v>1632</v>
      </c>
      <c r="M4479" t="s">
        <v>1624</v>
      </c>
      <c r="N4479">
        <v>57</v>
      </c>
      <c r="O4479" s="49">
        <v>44917</v>
      </c>
      <c r="P4479" s="50">
        <v>340.2</v>
      </c>
    </row>
    <row r="4480" spans="4:16" x14ac:dyDescent="0.2">
      <c r="D4480">
        <v>100002640</v>
      </c>
      <c r="E4480" s="49">
        <v>44711</v>
      </c>
      <c r="F4480" t="s">
        <v>4313</v>
      </c>
      <c r="G4480" t="s">
        <v>2174</v>
      </c>
      <c r="H4480">
        <v>4</v>
      </c>
      <c r="I4480">
        <v>110.65</v>
      </c>
      <c r="J4480" s="50">
        <v>442.6</v>
      </c>
      <c r="K4480" t="s">
        <v>1632</v>
      </c>
      <c r="M4480" t="s">
        <v>1619</v>
      </c>
      <c r="N4480">
        <v>58.4</v>
      </c>
      <c r="O4480" s="49">
        <v>44713</v>
      </c>
      <c r="P4480" s="50">
        <v>199.17000000000002</v>
      </c>
    </row>
    <row r="4481" spans="4:16" x14ac:dyDescent="0.2">
      <c r="D4481">
        <v>100002642</v>
      </c>
      <c r="E4481" s="49">
        <v>45626</v>
      </c>
      <c r="F4481" t="s">
        <v>4314</v>
      </c>
      <c r="G4481" t="s">
        <v>1670</v>
      </c>
      <c r="H4481">
        <v>2</v>
      </c>
      <c r="I4481">
        <v>35.1</v>
      </c>
      <c r="J4481" s="50">
        <v>70.2</v>
      </c>
      <c r="K4481" t="s">
        <v>1618</v>
      </c>
      <c r="L4481" t="s">
        <v>2645</v>
      </c>
      <c r="M4481" t="s">
        <v>1621</v>
      </c>
      <c r="N4481">
        <v>18.52</v>
      </c>
      <c r="O4481" s="49">
        <v>45629</v>
      </c>
      <c r="P4481" s="50">
        <v>31.590000000000003</v>
      </c>
    </row>
    <row r="4482" spans="4:16" x14ac:dyDescent="0.2">
      <c r="D4482">
        <v>100002643</v>
      </c>
      <c r="E4482" s="49">
        <v>45410</v>
      </c>
      <c r="F4482" t="s">
        <v>4315</v>
      </c>
      <c r="G4482" t="s">
        <v>2269</v>
      </c>
      <c r="H4482">
        <v>8</v>
      </c>
      <c r="I4482">
        <v>81.260000000000005</v>
      </c>
      <c r="J4482" s="50">
        <v>650.08000000000004</v>
      </c>
      <c r="K4482" t="s">
        <v>1632</v>
      </c>
      <c r="M4482" t="s">
        <v>1627</v>
      </c>
      <c r="N4482">
        <v>42.89</v>
      </c>
      <c r="O4482" s="49">
        <v>45414</v>
      </c>
      <c r="P4482" s="50">
        <v>292.536</v>
      </c>
    </row>
    <row r="4483" spans="4:16" x14ac:dyDescent="0.2">
      <c r="D4483">
        <v>100002644</v>
      </c>
      <c r="E4483" s="49">
        <v>44951</v>
      </c>
      <c r="F4483" t="s">
        <v>4316</v>
      </c>
      <c r="G4483" t="s">
        <v>2096</v>
      </c>
      <c r="H4483">
        <v>9</v>
      </c>
      <c r="I4483">
        <v>110.16</v>
      </c>
      <c r="J4483" s="50">
        <v>991.43999999999994</v>
      </c>
      <c r="K4483" t="s">
        <v>1618</v>
      </c>
      <c r="M4483" t="s">
        <v>1627</v>
      </c>
      <c r="N4483">
        <v>58.14</v>
      </c>
      <c r="O4483" s="49">
        <v>44955</v>
      </c>
      <c r="P4483" s="50">
        <v>446.14799999999997</v>
      </c>
    </row>
    <row r="4484" spans="4:16" x14ac:dyDescent="0.2">
      <c r="D4484">
        <v>100002644</v>
      </c>
      <c r="E4484" s="49">
        <v>45083</v>
      </c>
      <c r="F4484" t="s">
        <v>4316</v>
      </c>
      <c r="G4484" t="s">
        <v>2147</v>
      </c>
      <c r="H4484">
        <v>7</v>
      </c>
      <c r="I4484">
        <v>64.09</v>
      </c>
      <c r="J4484" s="50">
        <v>448.63</v>
      </c>
      <c r="K4484" t="s">
        <v>1618</v>
      </c>
      <c r="M4484" t="s">
        <v>1619</v>
      </c>
      <c r="N4484">
        <v>33.83</v>
      </c>
      <c r="O4484" s="49">
        <v>45084</v>
      </c>
      <c r="P4484" s="50">
        <v>201.8835</v>
      </c>
    </row>
    <row r="4485" spans="4:16" x14ac:dyDescent="0.2">
      <c r="D4485">
        <v>100002644</v>
      </c>
      <c r="E4485" s="49">
        <v>45440</v>
      </c>
      <c r="F4485" t="s">
        <v>4316</v>
      </c>
      <c r="G4485" t="s">
        <v>2063</v>
      </c>
      <c r="H4485">
        <v>1</v>
      </c>
      <c r="I4485">
        <v>48.51</v>
      </c>
      <c r="J4485" s="50">
        <v>48.51</v>
      </c>
      <c r="K4485" t="s">
        <v>1618</v>
      </c>
      <c r="M4485" t="s">
        <v>1624</v>
      </c>
      <c r="N4485">
        <v>25.6</v>
      </c>
      <c r="O4485" s="49">
        <v>45441</v>
      </c>
      <c r="P4485" s="50">
        <v>21.829499999999999</v>
      </c>
    </row>
    <row r="4486" spans="4:16" x14ac:dyDescent="0.2">
      <c r="D4486">
        <v>100002645</v>
      </c>
      <c r="E4486" s="49">
        <v>45539</v>
      </c>
      <c r="F4486" t="s">
        <v>4317</v>
      </c>
      <c r="G4486" t="s">
        <v>1688</v>
      </c>
      <c r="H4486">
        <v>5</v>
      </c>
      <c r="I4486">
        <v>33.86</v>
      </c>
      <c r="J4486" s="50">
        <v>169.3</v>
      </c>
      <c r="K4486" t="s">
        <v>1618</v>
      </c>
      <c r="L4486" t="s">
        <v>4318</v>
      </c>
      <c r="M4486" t="s">
        <v>1624</v>
      </c>
      <c r="N4486">
        <v>17.87</v>
      </c>
      <c r="O4486" s="49">
        <v>45544</v>
      </c>
      <c r="P4486" s="50">
        <v>76.185000000000002</v>
      </c>
    </row>
    <row r="4487" spans="4:16" x14ac:dyDescent="0.2">
      <c r="D4487">
        <v>100002645</v>
      </c>
      <c r="E4487" s="49">
        <v>45483</v>
      </c>
      <c r="F4487" t="s">
        <v>4317</v>
      </c>
      <c r="G4487" t="s">
        <v>2278</v>
      </c>
      <c r="H4487">
        <v>8</v>
      </c>
      <c r="I4487">
        <v>55.21</v>
      </c>
      <c r="J4487" s="50">
        <v>441.68</v>
      </c>
      <c r="K4487" t="s">
        <v>1618</v>
      </c>
      <c r="L4487" t="s">
        <v>4318</v>
      </c>
      <c r="M4487" t="s">
        <v>1627</v>
      </c>
      <c r="N4487">
        <v>29.14</v>
      </c>
      <c r="O4487" s="49">
        <v>45486</v>
      </c>
      <c r="P4487" s="50">
        <v>198.756</v>
      </c>
    </row>
    <row r="4488" spans="4:16" x14ac:dyDescent="0.2">
      <c r="D4488">
        <v>100002646</v>
      </c>
      <c r="E4488" s="49">
        <v>45237</v>
      </c>
      <c r="F4488" t="s">
        <v>4319</v>
      </c>
      <c r="G4488" t="s">
        <v>2261</v>
      </c>
      <c r="H4488">
        <v>7</v>
      </c>
      <c r="I4488">
        <v>58.25</v>
      </c>
      <c r="J4488" s="50">
        <v>407.75</v>
      </c>
      <c r="K4488" t="s">
        <v>1618</v>
      </c>
      <c r="M4488" t="s">
        <v>1629</v>
      </c>
      <c r="N4488">
        <v>30.74</v>
      </c>
      <c r="O4488" s="49">
        <v>45238</v>
      </c>
      <c r="P4488" s="50">
        <v>183.48750000000001</v>
      </c>
    </row>
    <row r="4489" spans="4:16" x14ac:dyDescent="0.2">
      <c r="D4489">
        <v>100002646</v>
      </c>
      <c r="E4489" s="49">
        <v>44410</v>
      </c>
      <c r="F4489" t="s">
        <v>4319</v>
      </c>
      <c r="G4489" t="s">
        <v>2733</v>
      </c>
      <c r="H4489">
        <v>9</v>
      </c>
      <c r="I4489">
        <v>22.35</v>
      </c>
      <c r="J4489" s="50">
        <v>201.15</v>
      </c>
      <c r="K4489" t="s">
        <v>1618</v>
      </c>
      <c r="M4489" t="s">
        <v>1624</v>
      </c>
      <c r="N4489">
        <v>11.8</v>
      </c>
      <c r="O4489" s="49">
        <v>44412</v>
      </c>
      <c r="P4489" s="50">
        <v>90.517499999999998</v>
      </c>
    </row>
    <row r="4490" spans="4:16" x14ac:dyDescent="0.2">
      <c r="D4490">
        <v>100002647</v>
      </c>
      <c r="E4490" s="49">
        <v>45610</v>
      </c>
      <c r="F4490" t="s">
        <v>4320</v>
      </c>
      <c r="G4490" t="s">
        <v>1802</v>
      </c>
      <c r="H4490">
        <v>9</v>
      </c>
      <c r="I4490">
        <v>117.73</v>
      </c>
      <c r="J4490" s="50">
        <v>1059.57</v>
      </c>
      <c r="K4490" t="s">
        <v>1618</v>
      </c>
      <c r="M4490" t="s">
        <v>1629</v>
      </c>
      <c r="N4490">
        <v>62.13</v>
      </c>
      <c r="O4490" s="49">
        <v>45615</v>
      </c>
      <c r="P4490" s="50">
        <v>476.80649999999997</v>
      </c>
    </row>
    <row r="4491" spans="4:16" x14ac:dyDescent="0.2">
      <c r="D4491">
        <v>100002648</v>
      </c>
      <c r="E4491" s="49">
        <v>44526</v>
      </c>
      <c r="F4491" t="s">
        <v>4321</v>
      </c>
      <c r="G4491" t="s">
        <v>1669</v>
      </c>
      <c r="H4491">
        <v>10</v>
      </c>
      <c r="I4491">
        <v>36.39</v>
      </c>
      <c r="J4491" s="50">
        <v>363.9</v>
      </c>
      <c r="K4491" t="s">
        <v>1632</v>
      </c>
      <c r="L4491" t="s">
        <v>1656</v>
      </c>
      <c r="M4491" t="s">
        <v>1627</v>
      </c>
      <c r="N4491">
        <v>19.21</v>
      </c>
      <c r="O4491" s="49">
        <v>44528</v>
      </c>
      <c r="P4491" s="50">
        <v>163.755</v>
      </c>
    </row>
    <row r="4492" spans="4:16" x14ac:dyDescent="0.2">
      <c r="D4492">
        <v>100002649</v>
      </c>
      <c r="E4492" s="49">
        <v>45256</v>
      </c>
      <c r="F4492" t="s">
        <v>4322</v>
      </c>
      <c r="G4492" t="s">
        <v>1651</v>
      </c>
      <c r="H4492">
        <v>2</v>
      </c>
      <c r="I4492">
        <v>54.51</v>
      </c>
      <c r="J4492" s="50">
        <v>109.02</v>
      </c>
      <c r="K4492" t="s">
        <v>1632</v>
      </c>
      <c r="M4492" t="s">
        <v>1619</v>
      </c>
      <c r="N4492">
        <v>28.77</v>
      </c>
      <c r="O4492" s="49">
        <v>45261</v>
      </c>
      <c r="P4492" s="50">
        <v>49.058999999999997</v>
      </c>
    </row>
    <row r="4493" spans="4:16" x14ac:dyDescent="0.2">
      <c r="D4493">
        <v>100002650</v>
      </c>
      <c r="E4493" s="49">
        <v>44699</v>
      </c>
      <c r="F4493" t="s">
        <v>4323</v>
      </c>
      <c r="G4493" t="s">
        <v>2427</v>
      </c>
      <c r="H4493">
        <v>5</v>
      </c>
      <c r="I4493">
        <v>67.540000000000006</v>
      </c>
      <c r="J4493" s="50">
        <v>337.7</v>
      </c>
      <c r="K4493" t="s">
        <v>1618</v>
      </c>
      <c r="M4493" t="s">
        <v>1621</v>
      </c>
      <c r="N4493">
        <v>35.65</v>
      </c>
      <c r="O4493" s="49">
        <v>44703</v>
      </c>
      <c r="P4493" s="50">
        <v>151.965</v>
      </c>
    </row>
    <row r="4494" spans="4:16" x14ac:dyDescent="0.2">
      <c r="D4494">
        <v>100002650</v>
      </c>
      <c r="E4494" s="49">
        <v>44383</v>
      </c>
      <c r="F4494" t="s">
        <v>4323</v>
      </c>
      <c r="G4494" t="s">
        <v>1679</v>
      </c>
      <c r="H4494">
        <v>3</v>
      </c>
      <c r="I4494">
        <v>98.99</v>
      </c>
      <c r="J4494" s="50">
        <v>296.97000000000003</v>
      </c>
      <c r="K4494" t="s">
        <v>1618</v>
      </c>
      <c r="M4494" t="s">
        <v>1619</v>
      </c>
      <c r="N4494">
        <v>52.24</v>
      </c>
      <c r="O4494" s="49">
        <v>44385</v>
      </c>
      <c r="P4494" s="50">
        <v>133.63650000000001</v>
      </c>
    </row>
    <row r="4495" spans="4:16" x14ac:dyDescent="0.2">
      <c r="D4495">
        <v>100002651</v>
      </c>
      <c r="E4495" s="49">
        <v>44656</v>
      </c>
      <c r="F4495" t="s">
        <v>4324</v>
      </c>
      <c r="G4495" t="s">
        <v>1628</v>
      </c>
      <c r="H4495">
        <v>6</v>
      </c>
      <c r="I4495">
        <v>57.09</v>
      </c>
      <c r="J4495" s="50">
        <v>342.54</v>
      </c>
      <c r="K4495" t="s">
        <v>1632</v>
      </c>
      <c r="L4495" t="s">
        <v>4325</v>
      </c>
      <c r="M4495" t="s">
        <v>1619</v>
      </c>
      <c r="N4495">
        <v>30.13</v>
      </c>
      <c r="O4495" s="49">
        <v>44658</v>
      </c>
      <c r="P4495" s="50">
        <v>154.143</v>
      </c>
    </row>
    <row r="4496" spans="4:16" x14ac:dyDescent="0.2">
      <c r="D4496">
        <v>100002653</v>
      </c>
      <c r="E4496" s="49">
        <v>44926</v>
      </c>
      <c r="F4496" t="s">
        <v>4326</v>
      </c>
      <c r="G4496" t="s">
        <v>1647</v>
      </c>
      <c r="H4496">
        <v>6</v>
      </c>
      <c r="I4496">
        <v>47.34</v>
      </c>
      <c r="J4496" s="50">
        <v>284.04000000000002</v>
      </c>
      <c r="K4496" t="s">
        <v>1632</v>
      </c>
      <c r="M4496" t="s">
        <v>1624</v>
      </c>
      <c r="N4496">
        <v>24.98</v>
      </c>
      <c r="O4496" s="49">
        <v>44929</v>
      </c>
      <c r="P4496" s="50">
        <v>127.81800000000001</v>
      </c>
    </row>
    <row r="4497" spans="4:16" x14ac:dyDescent="0.2">
      <c r="D4497">
        <v>100002655</v>
      </c>
      <c r="E4497" s="49">
        <v>45265</v>
      </c>
      <c r="F4497" t="s">
        <v>4327</v>
      </c>
      <c r="G4497" t="s">
        <v>1921</v>
      </c>
      <c r="H4497">
        <v>8</v>
      </c>
      <c r="I4497">
        <v>101.22</v>
      </c>
      <c r="J4497" s="50">
        <v>809.76</v>
      </c>
      <c r="K4497" t="s">
        <v>1632</v>
      </c>
      <c r="L4497" t="s">
        <v>4328</v>
      </c>
      <c r="M4497" t="s">
        <v>1621</v>
      </c>
      <c r="N4497">
        <v>53.42</v>
      </c>
      <c r="O4497" s="49">
        <v>45269</v>
      </c>
      <c r="P4497" s="50">
        <v>364.392</v>
      </c>
    </row>
    <row r="4498" spans="4:16" x14ac:dyDescent="0.2">
      <c r="D4498">
        <v>100002656</v>
      </c>
      <c r="E4498" s="49">
        <v>45389</v>
      </c>
      <c r="F4498" t="s">
        <v>4329</v>
      </c>
      <c r="G4498" t="s">
        <v>2088</v>
      </c>
      <c r="H4498">
        <v>8</v>
      </c>
      <c r="I4498">
        <v>78.61</v>
      </c>
      <c r="J4498" s="50">
        <v>628.88</v>
      </c>
      <c r="K4498" t="s">
        <v>1618</v>
      </c>
      <c r="M4498" t="s">
        <v>1621</v>
      </c>
      <c r="N4498">
        <v>41.49</v>
      </c>
      <c r="O4498" s="49">
        <v>45391</v>
      </c>
      <c r="P4498" s="50">
        <v>282.99599999999998</v>
      </c>
    </row>
    <row r="4499" spans="4:16" x14ac:dyDescent="0.2">
      <c r="D4499">
        <v>100002656</v>
      </c>
      <c r="E4499" s="49">
        <v>44354</v>
      </c>
      <c r="F4499" t="s">
        <v>4329</v>
      </c>
      <c r="G4499" t="s">
        <v>1658</v>
      </c>
      <c r="H4499">
        <v>10</v>
      </c>
      <c r="I4499">
        <v>67.61</v>
      </c>
      <c r="J4499" s="50">
        <v>676.1</v>
      </c>
      <c r="K4499" t="s">
        <v>1618</v>
      </c>
      <c r="M4499" t="s">
        <v>1627</v>
      </c>
      <c r="N4499">
        <v>35.68</v>
      </c>
      <c r="O4499" s="49">
        <v>44359</v>
      </c>
      <c r="P4499" s="50">
        <v>304.245</v>
      </c>
    </row>
    <row r="4500" spans="4:16" x14ac:dyDescent="0.2">
      <c r="D4500">
        <v>100002657</v>
      </c>
      <c r="E4500" s="49">
        <v>45146</v>
      </c>
      <c r="F4500" t="s">
        <v>4330</v>
      </c>
      <c r="G4500" t="s">
        <v>1956</v>
      </c>
      <c r="H4500">
        <v>4</v>
      </c>
      <c r="I4500">
        <v>16.489999999999998</v>
      </c>
      <c r="J4500" s="50">
        <v>65.959999999999994</v>
      </c>
      <c r="K4500" t="s">
        <v>1632</v>
      </c>
      <c r="M4500" t="s">
        <v>1619</v>
      </c>
      <c r="N4500">
        <v>8.6999999999999993</v>
      </c>
      <c r="O4500" s="49">
        <v>45151</v>
      </c>
      <c r="P4500" s="50">
        <v>29.681999999999999</v>
      </c>
    </row>
    <row r="4501" spans="4:16" x14ac:dyDescent="0.2">
      <c r="D4501">
        <v>100002658</v>
      </c>
      <c r="E4501" s="49">
        <v>44415</v>
      </c>
      <c r="F4501" t="s">
        <v>4331</v>
      </c>
      <c r="G4501" t="s">
        <v>1751</v>
      </c>
      <c r="H4501">
        <v>3</v>
      </c>
      <c r="I4501">
        <v>94.77</v>
      </c>
      <c r="J4501" s="50">
        <v>284.31</v>
      </c>
      <c r="K4501" t="s">
        <v>1632</v>
      </c>
      <c r="M4501" t="s">
        <v>1624</v>
      </c>
      <c r="N4501">
        <v>50.02</v>
      </c>
      <c r="O4501" s="49">
        <v>44417</v>
      </c>
      <c r="P4501" s="50">
        <v>127.93950000000001</v>
      </c>
    </row>
    <row r="4502" spans="4:16" x14ac:dyDescent="0.2">
      <c r="D4502">
        <v>100002658</v>
      </c>
      <c r="E4502" s="49">
        <v>45181</v>
      </c>
      <c r="F4502" t="s">
        <v>4331</v>
      </c>
      <c r="G4502" t="s">
        <v>2088</v>
      </c>
      <c r="H4502">
        <v>2</v>
      </c>
      <c r="I4502">
        <v>117.41</v>
      </c>
      <c r="J4502" s="50">
        <v>234.82</v>
      </c>
      <c r="K4502" t="s">
        <v>1632</v>
      </c>
      <c r="M4502" t="s">
        <v>1619</v>
      </c>
      <c r="N4502">
        <v>61.97</v>
      </c>
      <c r="O4502" s="49">
        <v>45184</v>
      </c>
      <c r="P4502" s="50">
        <v>105.669</v>
      </c>
    </row>
    <row r="4503" spans="4:16" x14ac:dyDescent="0.2">
      <c r="D4503">
        <v>100002658</v>
      </c>
      <c r="E4503" s="49">
        <v>44272</v>
      </c>
      <c r="F4503" t="s">
        <v>4331</v>
      </c>
      <c r="G4503" t="s">
        <v>1637</v>
      </c>
      <c r="H4503">
        <v>8</v>
      </c>
      <c r="I4503">
        <v>42.98</v>
      </c>
      <c r="J4503" s="50">
        <v>343.84</v>
      </c>
      <c r="K4503" t="s">
        <v>1632</v>
      </c>
      <c r="M4503" t="s">
        <v>1627</v>
      </c>
      <c r="N4503">
        <v>22.68</v>
      </c>
      <c r="O4503" s="49">
        <v>44274</v>
      </c>
      <c r="P4503" s="50">
        <v>154.72799999999998</v>
      </c>
    </row>
    <row r="4504" spans="4:16" x14ac:dyDescent="0.2">
      <c r="D4504">
        <v>100002659</v>
      </c>
      <c r="E4504" s="49">
        <v>45393</v>
      </c>
      <c r="F4504" t="s">
        <v>4332</v>
      </c>
      <c r="G4504" t="s">
        <v>2163</v>
      </c>
      <c r="H4504">
        <v>3</v>
      </c>
      <c r="I4504">
        <v>60.32</v>
      </c>
      <c r="J4504" s="50">
        <v>180.96</v>
      </c>
      <c r="K4504" t="s">
        <v>1632</v>
      </c>
      <c r="L4504" t="s">
        <v>4333</v>
      </c>
      <c r="M4504" t="s">
        <v>1624</v>
      </c>
      <c r="N4504">
        <v>31.84</v>
      </c>
      <c r="O4504" s="49">
        <v>45396</v>
      </c>
      <c r="P4504" s="50">
        <v>81.432000000000002</v>
      </c>
    </row>
    <row r="4505" spans="4:16" x14ac:dyDescent="0.2">
      <c r="D4505">
        <v>100002660</v>
      </c>
      <c r="E4505" s="49">
        <v>44312</v>
      </c>
      <c r="F4505" t="s">
        <v>4334</v>
      </c>
      <c r="G4505" t="s">
        <v>2343</v>
      </c>
      <c r="H4505">
        <v>5</v>
      </c>
      <c r="I4505">
        <v>91.83</v>
      </c>
      <c r="J4505" s="50">
        <v>459.15</v>
      </c>
      <c r="K4505" t="s">
        <v>1618</v>
      </c>
      <c r="L4505" t="s">
        <v>2645</v>
      </c>
      <c r="M4505" t="s">
        <v>1624</v>
      </c>
      <c r="N4505">
        <v>48.47</v>
      </c>
      <c r="O4505" s="49">
        <v>44317</v>
      </c>
      <c r="P4505" s="50">
        <v>206.61750000000001</v>
      </c>
    </row>
    <row r="4506" spans="4:16" x14ac:dyDescent="0.2">
      <c r="D4506">
        <v>100002661</v>
      </c>
      <c r="E4506" s="49">
        <v>44510</v>
      </c>
      <c r="F4506" t="s">
        <v>4335</v>
      </c>
      <c r="G4506" t="s">
        <v>2465</v>
      </c>
      <c r="H4506">
        <v>5</v>
      </c>
      <c r="I4506">
        <v>91.89</v>
      </c>
      <c r="J4506" s="50">
        <v>459.45</v>
      </c>
      <c r="K4506" t="s">
        <v>1632</v>
      </c>
      <c r="M4506" t="s">
        <v>1624</v>
      </c>
      <c r="N4506">
        <v>48.5</v>
      </c>
      <c r="O4506" s="49">
        <v>44515</v>
      </c>
      <c r="P4506" s="50">
        <v>206.7525</v>
      </c>
    </row>
    <row r="4507" spans="4:16" x14ac:dyDescent="0.2">
      <c r="D4507">
        <v>100002662</v>
      </c>
      <c r="E4507" s="49">
        <v>45170</v>
      </c>
      <c r="F4507" t="s">
        <v>4336</v>
      </c>
      <c r="G4507" t="s">
        <v>1975</v>
      </c>
      <c r="H4507">
        <v>3</v>
      </c>
      <c r="I4507">
        <v>96.97</v>
      </c>
      <c r="J4507" s="50">
        <v>290.91000000000003</v>
      </c>
      <c r="K4507" t="s">
        <v>1618</v>
      </c>
      <c r="M4507" t="s">
        <v>1624</v>
      </c>
      <c r="N4507">
        <v>51.18</v>
      </c>
      <c r="O4507" s="49">
        <v>45173</v>
      </c>
      <c r="P4507" s="50">
        <v>130.90950000000001</v>
      </c>
    </row>
    <row r="4508" spans="4:16" x14ac:dyDescent="0.2">
      <c r="D4508">
        <v>100002663</v>
      </c>
      <c r="E4508" s="49">
        <v>44875</v>
      </c>
      <c r="F4508" t="s">
        <v>4337</v>
      </c>
      <c r="G4508" t="s">
        <v>1828</v>
      </c>
      <c r="H4508">
        <v>1</v>
      </c>
      <c r="I4508">
        <v>44.3</v>
      </c>
      <c r="J4508" s="50">
        <v>44.3</v>
      </c>
      <c r="K4508" t="s">
        <v>1618</v>
      </c>
      <c r="M4508" t="s">
        <v>1624</v>
      </c>
      <c r="N4508">
        <v>23.38</v>
      </c>
      <c r="O4508" s="49">
        <v>44878</v>
      </c>
      <c r="P4508" s="50">
        <v>19.934999999999999</v>
      </c>
    </row>
    <row r="4509" spans="4:16" x14ac:dyDescent="0.2">
      <c r="D4509">
        <v>100002663</v>
      </c>
      <c r="E4509" s="49">
        <v>44603</v>
      </c>
      <c r="F4509" t="s">
        <v>4337</v>
      </c>
      <c r="G4509" t="s">
        <v>2465</v>
      </c>
      <c r="H4509">
        <v>4</v>
      </c>
      <c r="I4509">
        <v>31.61</v>
      </c>
      <c r="J4509" s="50">
        <v>126.44</v>
      </c>
      <c r="K4509" t="s">
        <v>1618</v>
      </c>
      <c r="M4509" t="s">
        <v>1619</v>
      </c>
      <c r="N4509">
        <v>16.68</v>
      </c>
      <c r="O4509" s="49">
        <v>44608</v>
      </c>
      <c r="P4509" s="50">
        <v>56.898000000000003</v>
      </c>
    </row>
    <row r="4510" spans="4:16" x14ac:dyDescent="0.2">
      <c r="D4510">
        <v>100002664</v>
      </c>
      <c r="E4510" s="49">
        <v>45373</v>
      </c>
      <c r="F4510" t="s">
        <v>4338</v>
      </c>
      <c r="G4510" t="s">
        <v>1718</v>
      </c>
      <c r="H4510">
        <v>4</v>
      </c>
      <c r="I4510">
        <v>103.76</v>
      </c>
      <c r="J4510" s="50">
        <v>415.04</v>
      </c>
      <c r="K4510" t="s">
        <v>1632</v>
      </c>
      <c r="M4510" t="s">
        <v>1629</v>
      </c>
      <c r="N4510">
        <v>54.76</v>
      </c>
      <c r="O4510" s="49">
        <v>45374</v>
      </c>
      <c r="P4510" s="50">
        <v>186.768</v>
      </c>
    </row>
    <row r="4511" spans="4:16" x14ac:dyDescent="0.2">
      <c r="D4511">
        <v>100002665</v>
      </c>
      <c r="E4511" s="49">
        <v>45460</v>
      </c>
      <c r="F4511" t="s">
        <v>4339</v>
      </c>
      <c r="G4511" t="s">
        <v>2093</v>
      </c>
      <c r="H4511">
        <v>5</v>
      </c>
      <c r="I4511">
        <v>53.07</v>
      </c>
      <c r="J4511" s="50">
        <v>265.35000000000002</v>
      </c>
      <c r="K4511" t="s">
        <v>1632</v>
      </c>
      <c r="M4511" t="s">
        <v>1624</v>
      </c>
      <c r="N4511">
        <v>28.01</v>
      </c>
      <c r="O4511" s="49">
        <v>45462</v>
      </c>
      <c r="P4511" s="50">
        <v>119.40750000000001</v>
      </c>
    </row>
    <row r="4512" spans="4:16" x14ac:dyDescent="0.2">
      <c r="D4512">
        <v>100002665</v>
      </c>
      <c r="E4512" s="49">
        <v>45352</v>
      </c>
      <c r="F4512" t="s">
        <v>4339</v>
      </c>
      <c r="G4512" t="s">
        <v>1943</v>
      </c>
      <c r="H4512">
        <v>9</v>
      </c>
      <c r="I4512">
        <v>90.47</v>
      </c>
      <c r="J4512" s="50">
        <v>814.23</v>
      </c>
      <c r="K4512" t="s">
        <v>1632</v>
      </c>
      <c r="M4512" t="s">
        <v>1624</v>
      </c>
      <c r="N4512">
        <v>47.75</v>
      </c>
      <c r="O4512" s="49">
        <v>45355</v>
      </c>
      <c r="P4512" s="50">
        <v>366.40350000000001</v>
      </c>
    </row>
    <row r="4513" spans="4:16" x14ac:dyDescent="0.2">
      <c r="D4513">
        <v>100002666</v>
      </c>
      <c r="E4513" s="49">
        <v>45341</v>
      </c>
      <c r="F4513" t="s">
        <v>4340</v>
      </c>
      <c r="G4513" t="s">
        <v>2017</v>
      </c>
      <c r="H4513">
        <v>5</v>
      </c>
      <c r="I4513">
        <v>19.73</v>
      </c>
      <c r="J4513" s="50">
        <v>98.65</v>
      </c>
      <c r="K4513" t="s">
        <v>1618</v>
      </c>
      <c r="L4513" t="s">
        <v>4341</v>
      </c>
      <c r="M4513" t="s">
        <v>1619</v>
      </c>
      <c r="N4513">
        <v>10.41</v>
      </c>
      <c r="O4513" s="49">
        <v>45345</v>
      </c>
      <c r="P4513" s="50">
        <v>44.392500000000005</v>
      </c>
    </row>
    <row r="4514" spans="4:16" x14ac:dyDescent="0.2">
      <c r="D4514">
        <v>100002667</v>
      </c>
      <c r="E4514" s="49">
        <v>44898</v>
      </c>
      <c r="F4514" t="s">
        <v>3492</v>
      </c>
      <c r="G4514" t="s">
        <v>1709</v>
      </c>
      <c r="H4514">
        <v>1</v>
      </c>
      <c r="I4514">
        <v>31.46</v>
      </c>
      <c r="J4514" s="50">
        <v>31.46</v>
      </c>
      <c r="K4514" t="s">
        <v>1632</v>
      </c>
      <c r="M4514" t="s">
        <v>1619</v>
      </c>
      <c r="N4514">
        <v>16.600000000000001</v>
      </c>
      <c r="O4514" s="49">
        <v>44899</v>
      </c>
      <c r="P4514" s="50">
        <v>14.157</v>
      </c>
    </row>
    <row r="4515" spans="4:16" x14ac:dyDescent="0.2">
      <c r="D4515">
        <v>100002667</v>
      </c>
      <c r="E4515" s="49">
        <v>45171</v>
      </c>
      <c r="F4515" t="s">
        <v>3492</v>
      </c>
      <c r="G4515" t="s">
        <v>1626</v>
      </c>
      <c r="H4515">
        <v>1</v>
      </c>
      <c r="I4515">
        <v>74.569999999999993</v>
      </c>
      <c r="J4515" s="50">
        <v>74.569999999999993</v>
      </c>
      <c r="K4515" t="s">
        <v>1632</v>
      </c>
      <c r="M4515" t="s">
        <v>1619</v>
      </c>
      <c r="N4515">
        <v>39.36</v>
      </c>
      <c r="O4515" s="49">
        <v>45174</v>
      </c>
      <c r="P4515" s="50">
        <v>33.5565</v>
      </c>
    </row>
    <row r="4516" spans="4:16" x14ac:dyDescent="0.2">
      <c r="D4516">
        <v>100002667</v>
      </c>
      <c r="E4516" s="49">
        <v>44619</v>
      </c>
      <c r="F4516" t="s">
        <v>3492</v>
      </c>
      <c r="G4516" t="s">
        <v>2331</v>
      </c>
      <c r="H4516">
        <v>5</v>
      </c>
      <c r="I4516">
        <v>82.71</v>
      </c>
      <c r="J4516" s="50">
        <v>413.55</v>
      </c>
      <c r="K4516" t="s">
        <v>1632</v>
      </c>
      <c r="M4516" t="s">
        <v>1624</v>
      </c>
      <c r="N4516">
        <v>43.65</v>
      </c>
      <c r="O4516" s="49">
        <v>44620</v>
      </c>
      <c r="P4516" s="50">
        <v>186.0975</v>
      </c>
    </row>
    <row r="4517" spans="4:16" x14ac:dyDescent="0.2">
      <c r="D4517">
        <v>100002668</v>
      </c>
      <c r="E4517" s="49">
        <v>44555</v>
      </c>
      <c r="F4517" t="s">
        <v>4342</v>
      </c>
      <c r="G4517" t="s">
        <v>2302</v>
      </c>
      <c r="H4517">
        <v>6</v>
      </c>
      <c r="I4517">
        <v>108.19</v>
      </c>
      <c r="J4517" s="50">
        <v>649.14</v>
      </c>
      <c r="K4517" t="s">
        <v>1618</v>
      </c>
      <c r="L4517" t="s">
        <v>4343</v>
      </c>
      <c r="M4517" t="s">
        <v>1621</v>
      </c>
      <c r="N4517">
        <v>57.1</v>
      </c>
      <c r="O4517" s="49">
        <v>44559</v>
      </c>
      <c r="P4517" s="50">
        <v>292.113</v>
      </c>
    </row>
    <row r="4518" spans="4:16" x14ac:dyDescent="0.2">
      <c r="D4518">
        <v>100002668</v>
      </c>
      <c r="E4518" s="49">
        <v>45060</v>
      </c>
      <c r="F4518" t="s">
        <v>4342</v>
      </c>
      <c r="G4518" t="s">
        <v>2460</v>
      </c>
      <c r="H4518">
        <v>10</v>
      </c>
      <c r="I4518">
        <v>36.520000000000003</v>
      </c>
      <c r="J4518" s="50">
        <v>365.2</v>
      </c>
      <c r="K4518" t="s">
        <v>1618</v>
      </c>
      <c r="L4518" t="s">
        <v>4343</v>
      </c>
      <c r="M4518" t="s">
        <v>1629</v>
      </c>
      <c r="N4518">
        <v>19.27</v>
      </c>
      <c r="O4518" s="49">
        <v>45061</v>
      </c>
      <c r="P4518" s="50">
        <v>164.34</v>
      </c>
    </row>
    <row r="4519" spans="4:16" x14ac:dyDescent="0.2">
      <c r="D4519">
        <v>100002668</v>
      </c>
      <c r="E4519" s="49">
        <v>44364</v>
      </c>
      <c r="F4519" t="s">
        <v>4342</v>
      </c>
      <c r="G4519" t="s">
        <v>1999</v>
      </c>
      <c r="H4519">
        <v>6</v>
      </c>
      <c r="I4519">
        <v>103</v>
      </c>
      <c r="J4519" s="50">
        <v>618</v>
      </c>
      <c r="K4519" t="s">
        <v>1618</v>
      </c>
      <c r="L4519" t="s">
        <v>4343</v>
      </c>
      <c r="M4519" t="s">
        <v>1629</v>
      </c>
      <c r="N4519">
        <v>54.36</v>
      </c>
      <c r="O4519" s="49">
        <v>44365</v>
      </c>
      <c r="P4519" s="50">
        <v>278.10000000000002</v>
      </c>
    </row>
    <row r="4520" spans="4:16" x14ac:dyDescent="0.2">
      <c r="D4520">
        <v>100002668</v>
      </c>
      <c r="E4520" s="49">
        <v>45062</v>
      </c>
      <c r="F4520" t="s">
        <v>4342</v>
      </c>
      <c r="G4520" t="s">
        <v>2071</v>
      </c>
      <c r="H4520">
        <v>2</v>
      </c>
      <c r="I4520">
        <v>11.69</v>
      </c>
      <c r="J4520" s="50">
        <v>23.38</v>
      </c>
      <c r="K4520" t="s">
        <v>1618</v>
      </c>
      <c r="L4520" t="s">
        <v>4343</v>
      </c>
      <c r="M4520" t="s">
        <v>1629</v>
      </c>
      <c r="N4520">
        <v>6.17</v>
      </c>
      <c r="O4520" s="49">
        <v>45067</v>
      </c>
      <c r="P4520" s="50">
        <v>10.520999999999999</v>
      </c>
    </row>
    <row r="4521" spans="4:16" x14ac:dyDescent="0.2">
      <c r="D4521">
        <v>100002669</v>
      </c>
      <c r="E4521" s="49">
        <v>45348</v>
      </c>
      <c r="F4521" t="s">
        <v>4344</v>
      </c>
      <c r="G4521" t="s">
        <v>1825</v>
      </c>
      <c r="H4521">
        <v>3</v>
      </c>
      <c r="I4521">
        <v>45.16</v>
      </c>
      <c r="J4521" s="50">
        <v>135.47999999999999</v>
      </c>
      <c r="K4521" t="s">
        <v>1618</v>
      </c>
      <c r="L4521" t="s">
        <v>4345</v>
      </c>
      <c r="M4521" t="s">
        <v>1629</v>
      </c>
      <c r="N4521">
        <v>23.83</v>
      </c>
      <c r="O4521" s="49">
        <v>45351</v>
      </c>
      <c r="P4521" s="50">
        <v>60.965999999999994</v>
      </c>
    </row>
    <row r="4522" spans="4:16" x14ac:dyDescent="0.2">
      <c r="D4522">
        <v>100002669</v>
      </c>
      <c r="E4522" s="49">
        <v>44685</v>
      </c>
      <c r="F4522" t="s">
        <v>4344</v>
      </c>
      <c r="G4522" t="s">
        <v>2039</v>
      </c>
      <c r="H4522">
        <v>4</v>
      </c>
      <c r="I4522">
        <v>40.630000000000003</v>
      </c>
      <c r="J4522" s="50">
        <v>162.52000000000001</v>
      </c>
      <c r="K4522" t="s">
        <v>1618</v>
      </c>
      <c r="L4522" t="s">
        <v>4345</v>
      </c>
      <c r="M4522" t="s">
        <v>1619</v>
      </c>
      <c r="N4522">
        <v>21.44</v>
      </c>
      <c r="O4522" s="49">
        <v>44690</v>
      </c>
      <c r="P4522" s="50">
        <v>73.134</v>
      </c>
    </row>
    <row r="4523" spans="4:16" x14ac:dyDescent="0.2">
      <c r="D4523">
        <v>100002669</v>
      </c>
      <c r="E4523" s="49">
        <v>44506</v>
      </c>
      <c r="F4523" t="s">
        <v>4344</v>
      </c>
      <c r="G4523" t="s">
        <v>1855</v>
      </c>
      <c r="H4523">
        <v>3</v>
      </c>
      <c r="I4523">
        <v>116.58</v>
      </c>
      <c r="J4523" s="50">
        <v>349.74</v>
      </c>
      <c r="K4523" t="s">
        <v>1618</v>
      </c>
      <c r="L4523" t="s">
        <v>4345</v>
      </c>
      <c r="M4523" t="s">
        <v>1627</v>
      </c>
      <c r="N4523">
        <v>61.53</v>
      </c>
      <c r="O4523" s="49">
        <v>44511</v>
      </c>
      <c r="P4523" s="50">
        <v>157.38300000000001</v>
      </c>
    </row>
    <row r="4524" spans="4:16" x14ac:dyDescent="0.2">
      <c r="D4524">
        <v>100002669</v>
      </c>
      <c r="E4524" s="49">
        <v>44659</v>
      </c>
      <c r="F4524" t="s">
        <v>4344</v>
      </c>
      <c r="G4524" t="s">
        <v>2125</v>
      </c>
      <c r="H4524">
        <v>3</v>
      </c>
      <c r="I4524">
        <v>35.75</v>
      </c>
      <c r="J4524" s="50">
        <v>107.25</v>
      </c>
      <c r="K4524" t="s">
        <v>1618</v>
      </c>
      <c r="L4524" t="s">
        <v>4345</v>
      </c>
      <c r="M4524" t="s">
        <v>1627</v>
      </c>
      <c r="N4524">
        <v>18.87</v>
      </c>
      <c r="O4524" s="49">
        <v>44664</v>
      </c>
      <c r="P4524" s="50">
        <v>48.262500000000003</v>
      </c>
    </row>
    <row r="4525" spans="4:16" x14ac:dyDescent="0.2">
      <c r="D4525">
        <v>100002670</v>
      </c>
      <c r="E4525" s="49">
        <v>44600</v>
      </c>
      <c r="F4525" t="s">
        <v>4346</v>
      </c>
      <c r="G4525" t="s">
        <v>1675</v>
      </c>
      <c r="H4525">
        <v>1</v>
      </c>
      <c r="I4525">
        <v>40.700000000000003</v>
      </c>
      <c r="J4525" s="50">
        <v>40.700000000000003</v>
      </c>
      <c r="K4525" t="s">
        <v>1618</v>
      </c>
      <c r="M4525" t="s">
        <v>1619</v>
      </c>
      <c r="N4525">
        <v>21.48</v>
      </c>
      <c r="O4525" s="49">
        <v>44605</v>
      </c>
      <c r="P4525" s="50">
        <v>18.315000000000001</v>
      </c>
    </row>
    <row r="4526" spans="4:16" x14ac:dyDescent="0.2">
      <c r="D4526">
        <v>100002670</v>
      </c>
      <c r="E4526" s="49">
        <v>44786</v>
      </c>
      <c r="F4526" t="s">
        <v>4346</v>
      </c>
      <c r="G4526" t="s">
        <v>1748</v>
      </c>
      <c r="H4526">
        <v>8</v>
      </c>
      <c r="I4526">
        <v>113.03</v>
      </c>
      <c r="J4526" s="50">
        <v>904.24</v>
      </c>
      <c r="K4526" t="s">
        <v>1618</v>
      </c>
      <c r="M4526" t="s">
        <v>1627</v>
      </c>
      <c r="N4526">
        <v>59.65</v>
      </c>
      <c r="O4526" s="49">
        <v>44788</v>
      </c>
      <c r="P4526" s="50">
        <v>406.90800000000002</v>
      </c>
    </row>
    <row r="4527" spans="4:16" x14ac:dyDescent="0.2">
      <c r="D4527">
        <v>100002672</v>
      </c>
      <c r="E4527" s="49">
        <v>44887</v>
      </c>
      <c r="F4527" t="s">
        <v>4347</v>
      </c>
      <c r="G4527" t="s">
        <v>1950</v>
      </c>
      <c r="H4527">
        <v>5</v>
      </c>
      <c r="I4527">
        <v>94.67</v>
      </c>
      <c r="J4527" s="50">
        <v>473.35</v>
      </c>
      <c r="K4527" t="s">
        <v>1618</v>
      </c>
      <c r="M4527" t="s">
        <v>1624</v>
      </c>
      <c r="N4527">
        <v>49.96</v>
      </c>
      <c r="O4527" s="49">
        <v>44892</v>
      </c>
      <c r="P4527" s="50">
        <v>213.00750000000002</v>
      </c>
    </row>
    <row r="4528" spans="4:16" x14ac:dyDescent="0.2">
      <c r="D4528">
        <v>100002673</v>
      </c>
      <c r="E4528" s="49">
        <v>45480</v>
      </c>
      <c r="F4528" t="s">
        <v>4348</v>
      </c>
      <c r="G4528" t="s">
        <v>1782</v>
      </c>
      <c r="H4528">
        <v>3</v>
      </c>
      <c r="I4528">
        <v>99.3</v>
      </c>
      <c r="J4528" s="50">
        <v>297.89999999999998</v>
      </c>
      <c r="K4528" t="s">
        <v>1632</v>
      </c>
      <c r="M4528" t="s">
        <v>1627</v>
      </c>
      <c r="N4528">
        <v>52.41</v>
      </c>
      <c r="O4528" s="49">
        <v>45484</v>
      </c>
      <c r="P4528" s="50">
        <v>134.05500000000001</v>
      </c>
    </row>
    <row r="4529" spans="4:16" x14ac:dyDescent="0.2">
      <c r="D4529">
        <v>100002673</v>
      </c>
      <c r="E4529" s="49">
        <v>44597</v>
      </c>
      <c r="F4529" t="s">
        <v>4348</v>
      </c>
      <c r="G4529" t="s">
        <v>2064</v>
      </c>
      <c r="H4529">
        <v>9</v>
      </c>
      <c r="I4529">
        <v>63.7</v>
      </c>
      <c r="J4529" s="50">
        <v>573.30000000000007</v>
      </c>
      <c r="K4529" t="s">
        <v>1632</v>
      </c>
      <c r="M4529" t="s">
        <v>1621</v>
      </c>
      <c r="N4529">
        <v>33.619999999999997</v>
      </c>
      <c r="O4529" s="49">
        <v>44600</v>
      </c>
      <c r="P4529" s="50">
        <v>257.98500000000001</v>
      </c>
    </row>
    <row r="4530" spans="4:16" x14ac:dyDescent="0.2">
      <c r="D4530">
        <v>100002673</v>
      </c>
      <c r="E4530" s="49">
        <v>44305</v>
      </c>
      <c r="F4530" t="s">
        <v>4348</v>
      </c>
      <c r="G4530" t="s">
        <v>2168</v>
      </c>
      <c r="H4530">
        <v>9</v>
      </c>
      <c r="I4530">
        <v>37.58</v>
      </c>
      <c r="J4530" s="50">
        <v>338.22</v>
      </c>
      <c r="K4530" t="s">
        <v>1632</v>
      </c>
      <c r="M4530" t="s">
        <v>1627</v>
      </c>
      <c r="N4530">
        <v>19.829999999999998</v>
      </c>
      <c r="O4530" s="49">
        <v>44306</v>
      </c>
      <c r="P4530" s="50">
        <v>152.19900000000001</v>
      </c>
    </row>
    <row r="4531" spans="4:16" x14ac:dyDescent="0.2">
      <c r="D4531">
        <v>100002673</v>
      </c>
      <c r="E4531" s="49">
        <v>45410</v>
      </c>
      <c r="F4531" t="s">
        <v>4348</v>
      </c>
      <c r="G4531" t="s">
        <v>2393</v>
      </c>
      <c r="H4531">
        <v>10</v>
      </c>
      <c r="I4531">
        <v>56.59</v>
      </c>
      <c r="J4531" s="50">
        <v>565.90000000000009</v>
      </c>
      <c r="K4531" t="s">
        <v>1632</v>
      </c>
      <c r="M4531" t="s">
        <v>1624</v>
      </c>
      <c r="N4531">
        <v>29.87</v>
      </c>
      <c r="O4531" s="49">
        <v>45413</v>
      </c>
      <c r="P4531" s="50">
        <v>254.65500000000006</v>
      </c>
    </row>
    <row r="4532" spans="4:16" x14ac:dyDescent="0.2">
      <c r="D4532">
        <v>100002674</v>
      </c>
      <c r="E4532" s="49">
        <v>45298</v>
      </c>
      <c r="F4532" t="s">
        <v>4349</v>
      </c>
      <c r="G4532" t="s">
        <v>1733</v>
      </c>
      <c r="H4532">
        <v>2</v>
      </c>
      <c r="I4532">
        <v>70.260000000000005</v>
      </c>
      <c r="J4532" s="50">
        <v>140.52000000000001</v>
      </c>
      <c r="K4532" t="s">
        <v>1632</v>
      </c>
      <c r="M4532" t="s">
        <v>1621</v>
      </c>
      <c r="N4532">
        <v>37.08</v>
      </c>
      <c r="O4532" s="49">
        <v>45300</v>
      </c>
      <c r="P4532" s="50">
        <v>63.234000000000009</v>
      </c>
    </row>
    <row r="4533" spans="4:16" x14ac:dyDescent="0.2">
      <c r="D4533">
        <v>100002674</v>
      </c>
      <c r="E4533" s="49">
        <v>45272</v>
      </c>
      <c r="F4533" t="s">
        <v>4349</v>
      </c>
      <c r="G4533" t="s">
        <v>1722</v>
      </c>
      <c r="H4533">
        <v>8</v>
      </c>
      <c r="I4533">
        <v>26.01</v>
      </c>
      <c r="J4533" s="50">
        <v>208.08</v>
      </c>
      <c r="K4533" t="s">
        <v>1632</v>
      </c>
      <c r="M4533" t="s">
        <v>1619</v>
      </c>
      <c r="N4533">
        <v>13.73</v>
      </c>
      <c r="O4533" s="49">
        <v>45274</v>
      </c>
      <c r="P4533" s="50">
        <v>93.63600000000001</v>
      </c>
    </row>
    <row r="4534" spans="4:16" x14ac:dyDescent="0.2">
      <c r="D4534">
        <v>100002674</v>
      </c>
      <c r="E4534" s="49">
        <v>45320</v>
      </c>
      <c r="F4534" t="s">
        <v>4349</v>
      </c>
      <c r="G4534" t="s">
        <v>1820</v>
      </c>
      <c r="H4534">
        <v>1</v>
      </c>
      <c r="I4534">
        <v>73.599999999999994</v>
      </c>
      <c r="J4534" s="50">
        <v>73.599999999999994</v>
      </c>
      <c r="K4534" t="s">
        <v>1632</v>
      </c>
      <c r="M4534" t="s">
        <v>1629</v>
      </c>
      <c r="N4534">
        <v>38.840000000000003</v>
      </c>
      <c r="O4534" s="49">
        <v>45324</v>
      </c>
      <c r="P4534" s="50">
        <v>33.119999999999997</v>
      </c>
    </row>
    <row r="4535" spans="4:16" x14ac:dyDescent="0.2">
      <c r="D4535">
        <v>100002674</v>
      </c>
      <c r="E4535" s="49">
        <v>45221</v>
      </c>
      <c r="F4535" t="s">
        <v>4349</v>
      </c>
      <c r="G4535" t="s">
        <v>1868</v>
      </c>
      <c r="H4535">
        <v>2</v>
      </c>
      <c r="I4535">
        <v>42.23</v>
      </c>
      <c r="J4535" s="50">
        <v>84.46</v>
      </c>
      <c r="K4535" t="s">
        <v>1632</v>
      </c>
      <c r="M4535" t="s">
        <v>1621</v>
      </c>
      <c r="N4535">
        <v>22.29</v>
      </c>
      <c r="O4535" s="49">
        <v>45225</v>
      </c>
      <c r="P4535" s="50">
        <v>38.006999999999998</v>
      </c>
    </row>
    <row r="4536" spans="4:16" x14ac:dyDescent="0.2">
      <c r="D4536">
        <v>100002676</v>
      </c>
      <c r="E4536" s="49">
        <v>44608</v>
      </c>
      <c r="F4536" t="s">
        <v>4350</v>
      </c>
      <c r="G4536" t="s">
        <v>2698</v>
      </c>
      <c r="H4536">
        <v>6</v>
      </c>
      <c r="I4536">
        <v>82.68</v>
      </c>
      <c r="J4536" s="50">
        <v>496.08</v>
      </c>
      <c r="K4536" t="s">
        <v>1618</v>
      </c>
      <c r="L4536" t="s">
        <v>4351</v>
      </c>
      <c r="M4536" t="s">
        <v>1629</v>
      </c>
      <c r="N4536">
        <v>43.64</v>
      </c>
      <c r="O4536" s="49">
        <v>44612</v>
      </c>
      <c r="P4536" s="50">
        <v>223.23599999999999</v>
      </c>
    </row>
    <row r="4537" spans="4:16" x14ac:dyDescent="0.2">
      <c r="D4537">
        <v>100002676</v>
      </c>
      <c r="E4537" s="49">
        <v>45655</v>
      </c>
      <c r="F4537" t="s">
        <v>4350</v>
      </c>
      <c r="G4537" t="s">
        <v>1655</v>
      </c>
      <c r="H4537">
        <v>8</v>
      </c>
      <c r="I4537">
        <v>117.66</v>
      </c>
      <c r="J4537" s="50">
        <v>941.28</v>
      </c>
      <c r="K4537" t="s">
        <v>1618</v>
      </c>
      <c r="L4537" t="s">
        <v>4351</v>
      </c>
      <c r="M4537" t="s">
        <v>1629</v>
      </c>
      <c r="N4537">
        <v>62.1</v>
      </c>
      <c r="O4537" s="49">
        <v>45656</v>
      </c>
      <c r="P4537" s="50">
        <v>423.57600000000002</v>
      </c>
    </row>
    <row r="4538" spans="4:16" x14ac:dyDescent="0.2">
      <c r="D4538">
        <v>100002676</v>
      </c>
      <c r="E4538" s="49">
        <v>45087</v>
      </c>
      <c r="F4538" t="s">
        <v>4350</v>
      </c>
      <c r="G4538" t="s">
        <v>2762</v>
      </c>
      <c r="H4538">
        <v>4</v>
      </c>
      <c r="I4538">
        <v>114.54</v>
      </c>
      <c r="J4538" s="50">
        <v>458.16</v>
      </c>
      <c r="K4538" t="s">
        <v>1618</v>
      </c>
      <c r="L4538" t="s">
        <v>4351</v>
      </c>
      <c r="M4538" t="s">
        <v>1627</v>
      </c>
      <c r="N4538">
        <v>60.45</v>
      </c>
      <c r="O4538" s="49">
        <v>45091</v>
      </c>
      <c r="P4538" s="50">
        <v>206.17200000000003</v>
      </c>
    </row>
    <row r="4539" spans="4:16" x14ac:dyDescent="0.2">
      <c r="D4539">
        <v>100002676</v>
      </c>
      <c r="E4539" s="49">
        <v>45017</v>
      </c>
      <c r="F4539" t="s">
        <v>4350</v>
      </c>
      <c r="G4539" t="s">
        <v>2071</v>
      </c>
      <c r="H4539">
        <v>4</v>
      </c>
      <c r="I4539">
        <v>75.47</v>
      </c>
      <c r="J4539" s="50">
        <v>301.88</v>
      </c>
      <c r="K4539" t="s">
        <v>1618</v>
      </c>
      <c r="L4539" t="s">
        <v>4351</v>
      </c>
      <c r="M4539" t="s">
        <v>1619</v>
      </c>
      <c r="N4539">
        <v>39.83</v>
      </c>
      <c r="O4539" s="49">
        <v>45020</v>
      </c>
      <c r="P4539" s="50">
        <v>135.846</v>
      </c>
    </row>
    <row r="4540" spans="4:16" x14ac:dyDescent="0.2">
      <c r="D4540">
        <v>100002677</v>
      </c>
      <c r="E4540" s="49">
        <v>44693</v>
      </c>
      <c r="F4540" t="s">
        <v>4352</v>
      </c>
      <c r="G4540" t="s">
        <v>2427</v>
      </c>
      <c r="H4540">
        <v>2</v>
      </c>
      <c r="I4540">
        <v>12.69</v>
      </c>
      <c r="J4540" s="50">
        <v>25.38</v>
      </c>
      <c r="K4540" t="s">
        <v>1632</v>
      </c>
      <c r="M4540" t="s">
        <v>1619</v>
      </c>
      <c r="N4540">
        <v>6.7</v>
      </c>
      <c r="O4540" s="49">
        <v>44695</v>
      </c>
      <c r="P4540" s="50">
        <v>11.420999999999999</v>
      </c>
    </row>
    <row r="4541" spans="4:16" x14ac:dyDescent="0.2">
      <c r="D4541">
        <v>100002678</v>
      </c>
      <c r="E4541" s="49">
        <v>44598</v>
      </c>
      <c r="F4541" t="s">
        <v>4353</v>
      </c>
      <c r="G4541" t="s">
        <v>1868</v>
      </c>
      <c r="H4541">
        <v>10</v>
      </c>
      <c r="I4541">
        <v>56.15</v>
      </c>
      <c r="J4541" s="50">
        <v>561.5</v>
      </c>
      <c r="K4541" t="s">
        <v>1632</v>
      </c>
      <c r="M4541" t="s">
        <v>1619</v>
      </c>
      <c r="N4541">
        <v>29.63</v>
      </c>
      <c r="O4541" s="49">
        <v>44601</v>
      </c>
      <c r="P4541" s="50">
        <v>252.67500000000001</v>
      </c>
    </row>
    <row r="4542" spans="4:16" x14ac:dyDescent="0.2">
      <c r="D4542">
        <v>100002679</v>
      </c>
      <c r="E4542" s="49">
        <v>44308</v>
      </c>
      <c r="F4542" t="s">
        <v>4354</v>
      </c>
      <c r="G4542" t="s">
        <v>2278</v>
      </c>
      <c r="H4542">
        <v>1</v>
      </c>
      <c r="I4542">
        <v>16.47</v>
      </c>
      <c r="J4542" s="50">
        <v>16.47</v>
      </c>
      <c r="K4542" t="s">
        <v>1618</v>
      </c>
      <c r="M4542" t="s">
        <v>1629</v>
      </c>
      <c r="N4542">
        <v>8.69</v>
      </c>
      <c r="O4542" s="49">
        <v>44311</v>
      </c>
      <c r="P4542" s="50">
        <v>7.4114999999999993</v>
      </c>
    </row>
    <row r="4543" spans="4:16" x14ac:dyDescent="0.2">
      <c r="D4543">
        <v>100002683</v>
      </c>
      <c r="E4543" s="49">
        <v>44290</v>
      </c>
      <c r="F4543" t="s">
        <v>4355</v>
      </c>
      <c r="G4543" t="s">
        <v>1766</v>
      </c>
      <c r="H4543">
        <v>8</v>
      </c>
      <c r="I4543">
        <v>58.61</v>
      </c>
      <c r="J4543" s="50">
        <v>468.88</v>
      </c>
      <c r="K4543" t="s">
        <v>1618</v>
      </c>
      <c r="M4543" t="s">
        <v>1619</v>
      </c>
      <c r="N4543">
        <v>30.93</v>
      </c>
      <c r="O4543" s="49">
        <v>44295</v>
      </c>
      <c r="P4543" s="50">
        <v>210.99600000000001</v>
      </c>
    </row>
    <row r="4544" spans="4:16" x14ac:dyDescent="0.2">
      <c r="D4544">
        <v>100002683</v>
      </c>
      <c r="E4544" s="49">
        <v>44753</v>
      </c>
      <c r="F4544" t="s">
        <v>4355</v>
      </c>
      <c r="G4544" t="s">
        <v>1868</v>
      </c>
      <c r="H4544">
        <v>4</v>
      </c>
      <c r="I4544">
        <v>117.78</v>
      </c>
      <c r="J4544" s="50">
        <v>471.12</v>
      </c>
      <c r="K4544" t="s">
        <v>1618</v>
      </c>
      <c r="M4544" t="s">
        <v>1624</v>
      </c>
      <c r="N4544">
        <v>62.16</v>
      </c>
      <c r="O4544" s="49">
        <v>44756</v>
      </c>
      <c r="P4544" s="50">
        <v>212.00400000000002</v>
      </c>
    </row>
    <row r="4545" spans="4:16" x14ac:dyDescent="0.2">
      <c r="D4545">
        <v>100002683</v>
      </c>
      <c r="E4545" s="49">
        <v>45609</v>
      </c>
      <c r="F4545" t="s">
        <v>4355</v>
      </c>
      <c r="G4545" t="s">
        <v>2039</v>
      </c>
      <c r="H4545">
        <v>9</v>
      </c>
      <c r="I4545">
        <v>37.94</v>
      </c>
      <c r="J4545" s="50">
        <v>341.46</v>
      </c>
      <c r="K4545" t="s">
        <v>1618</v>
      </c>
      <c r="M4545" t="s">
        <v>1629</v>
      </c>
      <c r="N4545">
        <v>20.02</v>
      </c>
      <c r="O4545" s="49">
        <v>45610</v>
      </c>
      <c r="P4545" s="50">
        <v>153.65699999999998</v>
      </c>
    </row>
    <row r="4546" spans="4:16" x14ac:dyDescent="0.2">
      <c r="D4546">
        <v>100002683</v>
      </c>
      <c r="E4546" s="49">
        <v>44215</v>
      </c>
      <c r="F4546" t="s">
        <v>4355</v>
      </c>
      <c r="G4546" t="s">
        <v>2086</v>
      </c>
      <c r="H4546">
        <v>7</v>
      </c>
      <c r="I4546">
        <v>105.27</v>
      </c>
      <c r="J4546" s="50">
        <v>736.89</v>
      </c>
      <c r="K4546" t="s">
        <v>1618</v>
      </c>
      <c r="M4546" t="s">
        <v>1624</v>
      </c>
      <c r="N4546">
        <v>55.56</v>
      </c>
      <c r="O4546" s="49">
        <v>44216</v>
      </c>
      <c r="P4546" s="50">
        <v>331.60050000000001</v>
      </c>
    </row>
    <row r="4547" spans="4:16" x14ac:dyDescent="0.2">
      <c r="D4547">
        <v>100002683</v>
      </c>
      <c r="E4547" s="49">
        <v>45318</v>
      </c>
      <c r="F4547" t="s">
        <v>4355</v>
      </c>
      <c r="G4547" t="s">
        <v>1872</v>
      </c>
      <c r="H4547">
        <v>7</v>
      </c>
      <c r="I4547">
        <v>76.95</v>
      </c>
      <c r="J4547" s="50">
        <v>538.65</v>
      </c>
      <c r="K4547" t="s">
        <v>1618</v>
      </c>
      <c r="M4547" t="s">
        <v>1619</v>
      </c>
      <c r="N4547">
        <v>40.61</v>
      </c>
      <c r="O4547" s="49">
        <v>45319</v>
      </c>
      <c r="P4547" s="50">
        <v>242.39249999999998</v>
      </c>
    </row>
    <row r="4548" spans="4:16" x14ac:dyDescent="0.2">
      <c r="D4548">
        <v>100002683</v>
      </c>
      <c r="E4548" s="49">
        <v>44850</v>
      </c>
      <c r="F4548" t="s">
        <v>4355</v>
      </c>
      <c r="G4548" t="s">
        <v>1620</v>
      </c>
      <c r="H4548">
        <v>2</v>
      </c>
      <c r="I4548">
        <v>87.87</v>
      </c>
      <c r="J4548" s="50">
        <v>175.74</v>
      </c>
      <c r="K4548" t="s">
        <v>1618</v>
      </c>
      <c r="M4548" t="s">
        <v>1629</v>
      </c>
      <c r="N4548">
        <v>46.38</v>
      </c>
      <c r="O4548" s="49">
        <v>44851</v>
      </c>
      <c r="P4548" s="50">
        <v>79.083000000000013</v>
      </c>
    </row>
    <row r="4549" spans="4:16" x14ac:dyDescent="0.2">
      <c r="D4549">
        <v>100002683</v>
      </c>
      <c r="E4549" s="49">
        <v>44483</v>
      </c>
      <c r="F4549" t="s">
        <v>4355</v>
      </c>
      <c r="G4549" t="s">
        <v>1795</v>
      </c>
      <c r="H4549">
        <v>8</v>
      </c>
      <c r="I4549">
        <v>112.15</v>
      </c>
      <c r="J4549" s="50">
        <v>897.2</v>
      </c>
      <c r="K4549" t="s">
        <v>1618</v>
      </c>
      <c r="M4549" t="s">
        <v>1621</v>
      </c>
      <c r="N4549">
        <v>59.19</v>
      </c>
      <c r="O4549" s="49">
        <v>44484</v>
      </c>
      <c r="P4549" s="50">
        <v>403.74</v>
      </c>
    </row>
    <row r="4550" spans="4:16" x14ac:dyDescent="0.2">
      <c r="D4550">
        <v>100002683</v>
      </c>
      <c r="E4550" s="49">
        <v>45183</v>
      </c>
      <c r="F4550" t="s">
        <v>4355</v>
      </c>
      <c r="G4550" t="s">
        <v>1666</v>
      </c>
      <c r="H4550">
        <v>10</v>
      </c>
      <c r="I4550">
        <v>51.5</v>
      </c>
      <c r="J4550" s="50">
        <v>515</v>
      </c>
      <c r="K4550" t="s">
        <v>1618</v>
      </c>
      <c r="M4550" t="s">
        <v>1619</v>
      </c>
      <c r="N4550">
        <v>27.18</v>
      </c>
      <c r="O4550" s="49">
        <v>45188</v>
      </c>
      <c r="P4550" s="50">
        <v>231.75</v>
      </c>
    </row>
    <row r="4551" spans="4:16" x14ac:dyDescent="0.2">
      <c r="D4551">
        <v>100002684</v>
      </c>
      <c r="E4551" s="49">
        <v>45450</v>
      </c>
      <c r="F4551" t="s">
        <v>4356</v>
      </c>
      <c r="G4551" t="s">
        <v>1766</v>
      </c>
      <c r="H4551">
        <v>4</v>
      </c>
      <c r="I4551">
        <v>107.99</v>
      </c>
      <c r="J4551" s="50">
        <v>431.96</v>
      </c>
      <c r="K4551" t="s">
        <v>1618</v>
      </c>
      <c r="M4551" t="s">
        <v>1619</v>
      </c>
      <c r="N4551">
        <v>56.99</v>
      </c>
      <c r="O4551" s="49">
        <v>45452</v>
      </c>
      <c r="P4551" s="50">
        <v>194.38200000000001</v>
      </c>
    </row>
    <row r="4552" spans="4:16" x14ac:dyDescent="0.2">
      <c r="D4552">
        <v>100002684</v>
      </c>
      <c r="E4552" s="49">
        <v>45465</v>
      </c>
      <c r="F4552" t="s">
        <v>4356</v>
      </c>
      <c r="G4552" t="s">
        <v>1661</v>
      </c>
      <c r="H4552">
        <v>9</v>
      </c>
      <c r="I4552">
        <v>107.83</v>
      </c>
      <c r="J4552" s="50">
        <v>970.47</v>
      </c>
      <c r="K4552" t="s">
        <v>1618</v>
      </c>
      <c r="M4552" t="s">
        <v>1629</v>
      </c>
      <c r="N4552">
        <v>56.91</v>
      </c>
      <c r="O4552" s="49">
        <v>45466</v>
      </c>
      <c r="P4552" s="50">
        <v>436.7115</v>
      </c>
    </row>
    <row r="4553" spans="4:16" x14ac:dyDescent="0.2">
      <c r="D4553">
        <v>100002685</v>
      </c>
      <c r="E4553" s="49">
        <v>44691</v>
      </c>
      <c r="F4553" t="s">
        <v>4357</v>
      </c>
      <c r="G4553" t="s">
        <v>1675</v>
      </c>
      <c r="H4553">
        <v>4</v>
      </c>
      <c r="I4553">
        <v>46.25</v>
      </c>
      <c r="J4553" s="50">
        <v>185</v>
      </c>
      <c r="K4553" t="s">
        <v>1632</v>
      </c>
      <c r="L4553" t="s">
        <v>3005</v>
      </c>
      <c r="M4553" t="s">
        <v>1621</v>
      </c>
      <c r="N4553">
        <v>24.41</v>
      </c>
      <c r="O4553" s="49">
        <v>44694</v>
      </c>
      <c r="P4553" s="50">
        <v>83.25</v>
      </c>
    </row>
    <row r="4554" spans="4:16" x14ac:dyDescent="0.2">
      <c r="D4554">
        <v>100002687</v>
      </c>
      <c r="E4554" s="49">
        <v>45509</v>
      </c>
      <c r="F4554" t="s">
        <v>4358</v>
      </c>
      <c r="G4554" t="s">
        <v>1866</v>
      </c>
      <c r="H4554">
        <v>7</v>
      </c>
      <c r="I4554">
        <v>62.24</v>
      </c>
      <c r="J4554" s="50">
        <v>435.68</v>
      </c>
      <c r="K4554" t="s">
        <v>1632</v>
      </c>
      <c r="M4554" t="s">
        <v>1621</v>
      </c>
      <c r="N4554">
        <v>32.85</v>
      </c>
      <c r="O4554" s="49">
        <v>45510</v>
      </c>
      <c r="P4554" s="50">
        <v>196.05600000000001</v>
      </c>
    </row>
    <row r="4555" spans="4:16" x14ac:dyDescent="0.2">
      <c r="D4555">
        <v>100002690</v>
      </c>
      <c r="E4555" s="49">
        <v>44748</v>
      </c>
      <c r="F4555" t="s">
        <v>2341</v>
      </c>
      <c r="G4555" t="s">
        <v>1799</v>
      </c>
      <c r="H4555">
        <v>5</v>
      </c>
      <c r="I4555">
        <v>87.04</v>
      </c>
      <c r="J4555" s="50">
        <v>435.2</v>
      </c>
      <c r="K4555" t="s">
        <v>1618</v>
      </c>
      <c r="L4555" t="s">
        <v>4359</v>
      </c>
      <c r="M4555" t="s">
        <v>1621</v>
      </c>
      <c r="N4555">
        <v>45.94</v>
      </c>
      <c r="O4555" s="49">
        <v>44752</v>
      </c>
      <c r="P4555" s="50">
        <v>195.84</v>
      </c>
    </row>
    <row r="4556" spans="4:16" x14ac:dyDescent="0.2">
      <c r="D4556">
        <v>100002690</v>
      </c>
      <c r="E4556" s="49">
        <v>45627</v>
      </c>
      <c r="F4556" t="s">
        <v>2341</v>
      </c>
      <c r="G4556" t="s">
        <v>1939</v>
      </c>
      <c r="H4556">
        <v>5</v>
      </c>
      <c r="I4556">
        <v>34.56</v>
      </c>
      <c r="J4556" s="50">
        <v>172.8</v>
      </c>
      <c r="K4556" t="s">
        <v>1618</v>
      </c>
      <c r="L4556" t="s">
        <v>4359</v>
      </c>
      <c r="M4556" t="s">
        <v>1619</v>
      </c>
      <c r="N4556">
        <v>18.239999999999998</v>
      </c>
      <c r="O4556" s="49">
        <v>45629</v>
      </c>
      <c r="P4556" s="50">
        <v>77.760000000000005</v>
      </c>
    </row>
    <row r="4557" spans="4:16" x14ac:dyDescent="0.2">
      <c r="D4557">
        <v>100002692</v>
      </c>
      <c r="E4557" s="49">
        <v>44246</v>
      </c>
      <c r="F4557" t="s">
        <v>4360</v>
      </c>
      <c r="G4557" t="s">
        <v>1848</v>
      </c>
      <c r="H4557">
        <v>7</v>
      </c>
      <c r="I4557">
        <v>98.29</v>
      </c>
      <c r="J4557" s="50">
        <v>688.03000000000009</v>
      </c>
      <c r="K4557" t="s">
        <v>1632</v>
      </c>
      <c r="L4557" t="s">
        <v>4361</v>
      </c>
      <c r="M4557" t="s">
        <v>1629</v>
      </c>
      <c r="N4557">
        <v>51.87</v>
      </c>
      <c r="O4557" s="49">
        <v>44251</v>
      </c>
      <c r="P4557" s="50">
        <v>309.61350000000004</v>
      </c>
    </row>
    <row r="4558" spans="4:16" x14ac:dyDescent="0.2">
      <c r="D4558">
        <v>100002693</v>
      </c>
      <c r="E4558" s="49">
        <v>44948</v>
      </c>
      <c r="F4558" t="s">
        <v>4362</v>
      </c>
      <c r="G4558" t="s">
        <v>2305</v>
      </c>
      <c r="H4558">
        <v>2</v>
      </c>
      <c r="I4558">
        <v>75.849999999999994</v>
      </c>
      <c r="J4558" s="50">
        <v>151.69999999999999</v>
      </c>
      <c r="K4558" t="s">
        <v>1632</v>
      </c>
      <c r="M4558" t="s">
        <v>1621</v>
      </c>
      <c r="N4558">
        <v>40.03</v>
      </c>
      <c r="O4558" s="49">
        <v>44951</v>
      </c>
      <c r="P4558" s="50">
        <v>68.265000000000001</v>
      </c>
    </row>
    <row r="4559" spans="4:16" x14ac:dyDescent="0.2">
      <c r="D4559">
        <v>100002693</v>
      </c>
      <c r="E4559" s="49">
        <v>45278</v>
      </c>
      <c r="F4559" t="s">
        <v>4362</v>
      </c>
      <c r="G4559" t="s">
        <v>1664</v>
      </c>
      <c r="H4559">
        <v>10</v>
      </c>
      <c r="I4559">
        <v>78.319999999999993</v>
      </c>
      <c r="J4559" s="50">
        <v>783.19999999999993</v>
      </c>
      <c r="K4559" t="s">
        <v>1632</v>
      </c>
      <c r="M4559" t="s">
        <v>1629</v>
      </c>
      <c r="N4559">
        <v>41.34</v>
      </c>
      <c r="O4559" s="49">
        <v>45279</v>
      </c>
      <c r="P4559" s="50">
        <v>352.44</v>
      </c>
    </row>
    <row r="4560" spans="4:16" x14ac:dyDescent="0.2">
      <c r="D4560">
        <v>100002693</v>
      </c>
      <c r="E4560" s="49">
        <v>45595</v>
      </c>
      <c r="F4560" t="s">
        <v>4362</v>
      </c>
      <c r="G4560" t="s">
        <v>2192</v>
      </c>
      <c r="H4560">
        <v>9</v>
      </c>
      <c r="I4560">
        <v>118.97</v>
      </c>
      <c r="J4560" s="50">
        <v>1070.73</v>
      </c>
      <c r="K4560" t="s">
        <v>1632</v>
      </c>
      <c r="M4560" t="s">
        <v>1619</v>
      </c>
      <c r="N4560">
        <v>62.79</v>
      </c>
      <c r="O4560" s="49">
        <v>45597</v>
      </c>
      <c r="P4560" s="50">
        <v>481.82850000000002</v>
      </c>
    </row>
    <row r="4561" spans="4:16" x14ac:dyDescent="0.2">
      <c r="D4561">
        <v>100002693</v>
      </c>
      <c r="E4561" s="49">
        <v>45178</v>
      </c>
      <c r="F4561" t="s">
        <v>4362</v>
      </c>
      <c r="G4561" t="s">
        <v>1723</v>
      </c>
      <c r="H4561">
        <v>5</v>
      </c>
      <c r="I4561">
        <v>90.16</v>
      </c>
      <c r="J4561" s="50">
        <v>450.8</v>
      </c>
      <c r="K4561" t="s">
        <v>1632</v>
      </c>
      <c r="M4561" t="s">
        <v>1624</v>
      </c>
      <c r="N4561">
        <v>47.58</v>
      </c>
      <c r="O4561" s="49">
        <v>45180</v>
      </c>
      <c r="P4561" s="50">
        <v>202.86</v>
      </c>
    </row>
    <row r="4562" spans="4:16" x14ac:dyDescent="0.2">
      <c r="D4562">
        <v>100002693</v>
      </c>
      <c r="E4562" s="49">
        <v>44866</v>
      </c>
      <c r="F4562" t="s">
        <v>4362</v>
      </c>
      <c r="G4562" t="s">
        <v>2390</v>
      </c>
      <c r="H4562">
        <v>5</v>
      </c>
      <c r="I4562">
        <v>42.58</v>
      </c>
      <c r="J4562" s="50">
        <v>212.9</v>
      </c>
      <c r="K4562" t="s">
        <v>1632</v>
      </c>
      <c r="M4562" t="s">
        <v>1624</v>
      </c>
      <c r="N4562">
        <v>22.47</v>
      </c>
      <c r="O4562" s="49">
        <v>44869</v>
      </c>
      <c r="P4562" s="50">
        <v>95.805000000000007</v>
      </c>
    </row>
    <row r="4563" spans="4:16" x14ac:dyDescent="0.2">
      <c r="D4563">
        <v>100002693</v>
      </c>
      <c r="E4563" s="49">
        <v>45300</v>
      </c>
      <c r="F4563" t="s">
        <v>4362</v>
      </c>
      <c r="G4563" t="s">
        <v>1690</v>
      </c>
      <c r="H4563">
        <v>9</v>
      </c>
      <c r="I4563">
        <v>37.700000000000003</v>
      </c>
      <c r="J4563" s="50">
        <v>339.3</v>
      </c>
      <c r="K4563" t="s">
        <v>1632</v>
      </c>
      <c r="M4563" t="s">
        <v>1627</v>
      </c>
      <c r="N4563">
        <v>19.899999999999999</v>
      </c>
      <c r="O4563" s="49">
        <v>45301</v>
      </c>
      <c r="P4563" s="50">
        <v>152.685</v>
      </c>
    </row>
    <row r="4564" spans="4:16" x14ac:dyDescent="0.2">
      <c r="D4564">
        <v>100002694</v>
      </c>
      <c r="E4564" s="49">
        <v>44406</v>
      </c>
      <c r="F4564" t="s">
        <v>4363</v>
      </c>
      <c r="G4564" t="s">
        <v>2707</v>
      </c>
      <c r="H4564">
        <v>5</v>
      </c>
      <c r="I4564">
        <v>37.06</v>
      </c>
      <c r="J4564" s="50">
        <v>185.3</v>
      </c>
      <c r="K4564" t="s">
        <v>1618</v>
      </c>
      <c r="M4564" t="s">
        <v>1629</v>
      </c>
      <c r="N4564">
        <v>19.559999999999999</v>
      </c>
      <c r="O4564" s="49">
        <v>44409</v>
      </c>
      <c r="P4564" s="50">
        <v>83.385000000000005</v>
      </c>
    </row>
    <row r="4565" spans="4:16" x14ac:dyDescent="0.2">
      <c r="D4565">
        <v>100002694</v>
      </c>
      <c r="E4565" s="49">
        <v>45176</v>
      </c>
      <c r="F4565" t="s">
        <v>4363</v>
      </c>
      <c r="G4565" t="s">
        <v>1752</v>
      </c>
      <c r="H4565">
        <v>6</v>
      </c>
      <c r="I4565">
        <v>17.649999999999999</v>
      </c>
      <c r="J4565" s="50">
        <v>105.9</v>
      </c>
      <c r="K4565" t="s">
        <v>1618</v>
      </c>
      <c r="M4565" t="s">
        <v>1619</v>
      </c>
      <c r="N4565">
        <v>9.32</v>
      </c>
      <c r="O4565" s="49">
        <v>45181</v>
      </c>
      <c r="P4565" s="50">
        <v>47.655000000000001</v>
      </c>
    </row>
    <row r="4566" spans="4:16" x14ac:dyDescent="0.2">
      <c r="D4566">
        <v>100002694</v>
      </c>
      <c r="E4566" s="49">
        <v>44343</v>
      </c>
      <c r="F4566" t="s">
        <v>4363</v>
      </c>
      <c r="G4566" t="s">
        <v>1990</v>
      </c>
      <c r="H4566">
        <v>9</v>
      </c>
      <c r="I4566">
        <v>10.84</v>
      </c>
      <c r="J4566" s="50">
        <v>97.56</v>
      </c>
      <c r="K4566" t="s">
        <v>1618</v>
      </c>
      <c r="M4566" t="s">
        <v>1629</v>
      </c>
      <c r="N4566">
        <v>5.72</v>
      </c>
      <c r="O4566" s="49">
        <v>44348</v>
      </c>
      <c r="P4566" s="50">
        <v>43.902000000000001</v>
      </c>
    </row>
    <row r="4567" spans="4:16" x14ac:dyDescent="0.2">
      <c r="D4567">
        <v>100002696</v>
      </c>
      <c r="E4567" s="49">
        <v>45580</v>
      </c>
      <c r="F4567" t="s">
        <v>4364</v>
      </c>
      <c r="G4567" t="s">
        <v>1857</v>
      </c>
      <c r="H4567">
        <v>4</v>
      </c>
      <c r="I4567">
        <v>115.17</v>
      </c>
      <c r="J4567" s="50">
        <v>460.68</v>
      </c>
      <c r="K4567" t="s">
        <v>1632</v>
      </c>
      <c r="L4567" t="s">
        <v>4365</v>
      </c>
      <c r="M4567" t="s">
        <v>1619</v>
      </c>
      <c r="N4567">
        <v>60.78</v>
      </c>
      <c r="O4567" s="49">
        <v>45582</v>
      </c>
      <c r="P4567" s="50">
        <v>207.30600000000001</v>
      </c>
    </row>
    <row r="4568" spans="4:16" x14ac:dyDescent="0.2">
      <c r="D4568">
        <v>100002697</v>
      </c>
      <c r="E4568" s="49">
        <v>45021</v>
      </c>
      <c r="F4568" t="s">
        <v>4366</v>
      </c>
      <c r="G4568" t="s">
        <v>2138</v>
      </c>
      <c r="H4568">
        <v>5</v>
      </c>
      <c r="I4568">
        <v>71.67</v>
      </c>
      <c r="J4568" s="50">
        <v>358.35</v>
      </c>
      <c r="K4568" t="s">
        <v>1618</v>
      </c>
      <c r="M4568" t="s">
        <v>1621</v>
      </c>
      <c r="N4568">
        <v>37.83</v>
      </c>
      <c r="O4568" s="49">
        <v>45024</v>
      </c>
      <c r="P4568" s="50">
        <v>161.25750000000002</v>
      </c>
    </row>
    <row r="4569" spans="4:16" x14ac:dyDescent="0.2">
      <c r="D4569">
        <v>100002697</v>
      </c>
      <c r="E4569" s="49">
        <v>44536</v>
      </c>
      <c r="F4569" t="s">
        <v>4366</v>
      </c>
      <c r="G4569" t="s">
        <v>2134</v>
      </c>
      <c r="H4569">
        <v>10</v>
      </c>
      <c r="I4569">
        <v>56.38</v>
      </c>
      <c r="J4569" s="50">
        <v>563.80000000000007</v>
      </c>
      <c r="K4569" t="s">
        <v>1618</v>
      </c>
      <c r="M4569" t="s">
        <v>1619</v>
      </c>
      <c r="N4569">
        <v>29.76</v>
      </c>
      <c r="O4569" s="49">
        <v>44537</v>
      </c>
      <c r="P4569" s="50">
        <v>253.71000000000004</v>
      </c>
    </row>
    <row r="4570" spans="4:16" x14ac:dyDescent="0.2">
      <c r="D4570">
        <v>100002698</v>
      </c>
      <c r="E4570" s="49">
        <v>44974</v>
      </c>
      <c r="F4570" t="s">
        <v>4367</v>
      </c>
      <c r="G4570" t="s">
        <v>1880</v>
      </c>
      <c r="H4570">
        <v>3</v>
      </c>
      <c r="I4570">
        <v>48.9</v>
      </c>
      <c r="J4570" s="50">
        <v>146.69999999999999</v>
      </c>
      <c r="K4570" t="s">
        <v>1632</v>
      </c>
      <c r="L4570" t="s">
        <v>4368</v>
      </c>
      <c r="M4570" t="s">
        <v>1621</v>
      </c>
      <c r="N4570">
        <v>25.81</v>
      </c>
      <c r="O4570" s="49">
        <v>44977</v>
      </c>
      <c r="P4570" s="50">
        <v>66.015000000000001</v>
      </c>
    </row>
    <row r="4571" spans="4:16" x14ac:dyDescent="0.2">
      <c r="D4571">
        <v>100002699</v>
      </c>
      <c r="E4571" s="49">
        <v>44734</v>
      </c>
      <c r="F4571" t="s">
        <v>4369</v>
      </c>
      <c r="G4571" t="s">
        <v>2016</v>
      </c>
      <c r="H4571">
        <v>9</v>
      </c>
      <c r="I4571">
        <v>89.99</v>
      </c>
      <c r="J4571" s="50">
        <v>809.91</v>
      </c>
      <c r="K4571" t="s">
        <v>1618</v>
      </c>
      <c r="M4571" t="s">
        <v>1619</v>
      </c>
      <c r="N4571">
        <v>47.49</v>
      </c>
      <c r="O4571" s="49">
        <v>44739</v>
      </c>
      <c r="P4571" s="50">
        <v>364.45949999999999</v>
      </c>
    </row>
    <row r="4572" spans="4:16" x14ac:dyDescent="0.2">
      <c r="D4572">
        <v>100002700</v>
      </c>
      <c r="E4572" s="49">
        <v>45060</v>
      </c>
      <c r="F4572" t="s">
        <v>4370</v>
      </c>
      <c r="G4572" t="s">
        <v>1705</v>
      </c>
      <c r="H4572">
        <v>4</v>
      </c>
      <c r="I4572">
        <v>66.97</v>
      </c>
      <c r="J4572" s="50">
        <v>267.88</v>
      </c>
      <c r="K4572" t="s">
        <v>1618</v>
      </c>
      <c r="M4572" t="s">
        <v>1619</v>
      </c>
      <c r="N4572">
        <v>35.35</v>
      </c>
      <c r="O4572" s="49">
        <v>45063</v>
      </c>
      <c r="P4572" s="50">
        <v>120.54600000000001</v>
      </c>
    </row>
    <row r="4573" spans="4:16" x14ac:dyDescent="0.2">
      <c r="D4573">
        <v>100002701</v>
      </c>
      <c r="E4573" s="49">
        <v>44967</v>
      </c>
      <c r="F4573" t="s">
        <v>4371</v>
      </c>
      <c r="G4573" t="s">
        <v>1712</v>
      </c>
      <c r="H4573">
        <v>10</v>
      </c>
      <c r="I4573">
        <v>60.07</v>
      </c>
      <c r="J4573" s="50">
        <v>600.70000000000005</v>
      </c>
      <c r="K4573" t="s">
        <v>1632</v>
      </c>
      <c r="M4573" t="s">
        <v>1627</v>
      </c>
      <c r="N4573">
        <v>31.7</v>
      </c>
      <c r="O4573" s="49">
        <v>44972</v>
      </c>
      <c r="P4573" s="50">
        <v>270.31500000000005</v>
      </c>
    </row>
    <row r="4574" spans="4:16" x14ac:dyDescent="0.2">
      <c r="D4574">
        <v>100002702</v>
      </c>
      <c r="E4574" s="49">
        <v>45558</v>
      </c>
      <c r="F4574" t="s">
        <v>4372</v>
      </c>
      <c r="G4574" t="s">
        <v>1733</v>
      </c>
      <c r="H4574">
        <v>9</v>
      </c>
      <c r="I4574">
        <v>30.18</v>
      </c>
      <c r="J4574" s="50">
        <v>271.62</v>
      </c>
      <c r="K4574" t="s">
        <v>1618</v>
      </c>
      <c r="M4574" t="s">
        <v>1627</v>
      </c>
      <c r="N4574">
        <v>15.93</v>
      </c>
      <c r="O4574" s="49">
        <v>45562</v>
      </c>
      <c r="P4574" s="50">
        <v>122.229</v>
      </c>
    </row>
    <row r="4575" spans="4:16" x14ac:dyDescent="0.2">
      <c r="D4575">
        <v>100002704</v>
      </c>
      <c r="E4575" s="49">
        <v>44617</v>
      </c>
      <c r="F4575" t="s">
        <v>4373</v>
      </c>
      <c r="G4575" t="s">
        <v>2048</v>
      </c>
      <c r="H4575">
        <v>2</v>
      </c>
      <c r="I4575">
        <v>19.68</v>
      </c>
      <c r="J4575" s="50">
        <v>39.36</v>
      </c>
      <c r="K4575" t="s">
        <v>1618</v>
      </c>
      <c r="M4575" t="s">
        <v>1619</v>
      </c>
      <c r="N4575">
        <v>10.39</v>
      </c>
      <c r="O4575" s="49">
        <v>44618</v>
      </c>
      <c r="P4575" s="50">
        <v>17.712</v>
      </c>
    </row>
    <row r="4576" spans="4:16" x14ac:dyDescent="0.2">
      <c r="D4576">
        <v>100002707</v>
      </c>
      <c r="E4576" s="49">
        <v>44942</v>
      </c>
      <c r="F4576" t="s">
        <v>4374</v>
      </c>
      <c r="G4576" t="s">
        <v>2064</v>
      </c>
      <c r="H4576">
        <v>9</v>
      </c>
      <c r="I4576">
        <v>27.85</v>
      </c>
      <c r="J4576" s="50">
        <v>250.65</v>
      </c>
      <c r="K4576" t="s">
        <v>1618</v>
      </c>
      <c r="M4576" t="s">
        <v>1619</v>
      </c>
      <c r="N4576">
        <v>14.7</v>
      </c>
      <c r="O4576" s="49">
        <v>44945</v>
      </c>
      <c r="P4576" s="50">
        <v>112.7925</v>
      </c>
    </row>
    <row r="4577" spans="4:16" x14ac:dyDescent="0.2">
      <c r="D4577">
        <v>100002707</v>
      </c>
      <c r="E4577" s="49">
        <v>44264</v>
      </c>
      <c r="F4577" t="s">
        <v>4374</v>
      </c>
      <c r="G4577" t="s">
        <v>1717</v>
      </c>
      <c r="H4577">
        <v>5</v>
      </c>
      <c r="I4577">
        <v>63.82</v>
      </c>
      <c r="J4577" s="50">
        <v>319.10000000000002</v>
      </c>
      <c r="K4577" t="s">
        <v>1618</v>
      </c>
      <c r="M4577" t="s">
        <v>1627</v>
      </c>
      <c r="N4577">
        <v>33.68</v>
      </c>
      <c r="O4577" s="49">
        <v>44267</v>
      </c>
      <c r="P4577" s="50">
        <v>143.59500000000003</v>
      </c>
    </row>
    <row r="4578" spans="4:16" x14ac:dyDescent="0.2">
      <c r="D4578">
        <v>100002707</v>
      </c>
      <c r="E4578" s="49">
        <v>44725</v>
      </c>
      <c r="F4578" t="s">
        <v>4374</v>
      </c>
      <c r="G4578" t="s">
        <v>1674</v>
      </c>
      <c r="H4578">
        <v>4</v>
      </c>
      <c r="I4578">
        <v>80.930000000000007</v>
      </c>
      <c r="J4578" s="50">
        <v>323.72000000000003</v>
      </c>
      <c r="K4578" t="s">
        <v>1618</v>
      </c>
      <c r="M4578" t="s">
        <v>1627</v>
      </c>
      <c r="N4578">
        <v>42.71</v>
      </c>
      <c r="O4578" s="49">
        <v>44728</v>
      </c>
      <c r="P4578" s="50">
        <v>145.67400000000001</v>
      </c>
    </row>
    <row r="4579" spans="4:16" x14ac:dyDescent="0.2">
      <c r="D4579">
        <v>100002707</v>
      </c>
      <c r="E4579" s="49">
        <v>44868</v>
      </c>
      <c r="F4579" t="s">
        <v>4374</v>
      </c>
      <c r="G4579" t="s">
        <v>1642</v>
      </c>
      <c r="H4579">
        <v>9</v>
      </c>
      <c r="I4579">
        <v>20.56</v>
      </c>
      <c r="J4579" s="50">
        <v>185.04</v>
      </c>
      <c r="K4579" t="s">
        <v>1618</v>
      </c>
      <c r="M4579" t="s">
        <v>1619</v>
      </c>
      <c r="N4579">
        <v>10.85</v>
      </c>
      <c r="O4579" s="49">
        <v>44869</v>
      </c>
      <c r="P4579" s="50">
        <v>83.268000000000001</v>
      </c>
    </row>
    <row r="4580" spans="4:16" x14ac:dyDescent="0.2">
      <c r="D4580">
        <v>100002708</v>
      </c>
      <c r="E4580" s="49">
        <v>44276</v>
      </c>
      <c r="F4580" t="s">
        <v>4375</v>
      </c>
      <c r="G4580" t="s">
        <v>2163</v>
      </c>
      <c r="H4580">
        <v>7</v>
      </c>
      <c r="I4580">
        <v>83.11</v>
      </c>
      <c r="J4580" s="50">
        <v>581.77</v>
      </c>
      <c r="K4580" t="s">
        <v>1618</v>
      </c>
      <c r="L4580" t="s">
        <v>4376</v>
      </c>
      <c r="M4580" t="s">
        <v>1624</v>
      </c>
      <c r="N4580">
        <v>43.86</v>
      </c>
      <c r="O4580" s="49">
        <v>44277</v>
      </c>
      <c r="P4580" s="50">
        <v>261.79649999999998</v>
      </c>
    </row>
    <row r="4581" spans="4:16" x14ac:dyDescent="0.2">
      <c r="D4581">
        <v>100002709</v>
      </c>
      <c r="E4581" s="49">
        <v>44995</v>
      </c>
      <c r="F4581" t="s">
        <v>2679</v>
      </c>
      <c r="G4581" t="s">
        <v>1783</v>
      </c>
      <c r="H4581">
        <v>10</v>
      </c>
      <c r="I4581">
        <v>22.12</v>
      </c>
      <c r="J4581" s="50">
        <v>221.2</v>
      </c>
      <c r="K4581" t="s">
        <v>1632</v>
      </c>
      <c r="L4581" t="s">
        <v>4377</v>
      </c>
      <c r="M4581" t="s">
        <v>1619</v>
      </c>
      <c r="N4581">
        <v>11.67</v>
      </c>
      <c r="O4581" s="49">
        <v>44996</v>
      </c>
      <c r="P4581" s="50">
        <v>99.539999999999992</v>
      </c>
    </row>
    <row r="4582" spans="4:16" x14ac:dyDescent="0.2">
      <c r="D4582">
        <v>100002710</v>
      </c>
      <c r="E4582" s="49">
        <v>45436</v>
      </c>
      <c r="F4582" t="s">
        <v>2749</v>
      </c>
      <c r="G4582" t="s">
        <v>1904</v>
      </c>
      <c r="H4582">
        <v>3</v>
      </c>
      <c r="I4582">
        <v>73.63</v>
      </c>
      <c r="J4582" s="50">
        <v>220.89</v>
      </c>
      <c r="K4582" t="s">
        <v>1632</v>
      </c>
      <c r="M4582" t="s">
        <v>1629</v>
      </c>
      <c r="N4582">
        <v>38.86</v>
      </c>
      <c r="O4582" s="49">
        <v>45439</v>
      </c>
      <c r="P4582" s="50">
        <v>99.400499999999994</v>
      </c>
    </row>
    <row r="4583" spans="4:16" x14ac:dyDescent="0.2">
      <c r="D4583">
        <v>100002710</v>
      </c>
      <c r="E4583" s="49">
        <v>45016</v>
      </c>
      <c r="F4583" t="s">
        <v>2749</v>
      </c>
      <c r="G4583" t="s">
        <v>1953</v>
      </c>
      <c r="H4583">
        <v>9</v>
      </c>
      <c r="I4583">
        <v>100.5</v>
      </c>
      <c r="J4583" s="50">
        <v>904.5</v>
      </c>
      <c r="K4583" t="s">
        <v>1632</v>
      </c>
      <c r="M4583" t="s">
        <v>1621</v>
      </c>
      <c r="N4583">
        <v>53.04</v>
      </c>
      <c r="O4583" s="49">
        <v>45019</v>
      </c>
      <c r="P4583" s="50">
        <v>407.02500000000003</v>
      </c>
    </row>
    <row r="4584" spans="4:16" x14ac:dyDescent="0.2">
      <c r="D4584">
        <v>100002711</v>
      </c>
      <c r="E4584" s="49">
        <v>45434</v>
      </c>
      <c r="F4584" t="s">
        <v>4378</v>
      </c>
      <c r="G4584" t="s">
        <v>1856</v>
      </c>
      <c r="H4584">
        <v>1</v>
      </c>
      <c r="I4584">
        <v>113.87</v>
      </c>
      <c r="J4584" s="50">
        <v>113.87</v>
      </c>
      <c r="K4584" t="s">
        <v>1632</v>
      </c>
      <c r="L4584" t="s">
        <v>2496</v>
      </c>
      <c r="M4584" t="s">
        <v>1619</v>
      </c>
      <c r="N4584">
        <v>60.1</v>
      </c>
      <c r="O4584" s="49">
        <v>45438</v>
      </c>
      <c r="P4584" s="50">
        <v>51.241500000000002</v>
      </c>
    </row>
    <row r="4585" spans="4:16" x14ac:dyDescent="0.2">
      <c r="D4585">
        <v>100002711</v>
      </c>
      <c r="E4585" s="49">
        <v>44534</v>
      </c>
      <c r="F4585" t="s">
        <v>4378</v>
      </c>
      <c r="G4585" t="s">
        <v>2373</v>
      </c>
      <c r="H4585">
        <v>9</v>
      </c>
      <c r="I4585">
        <v>25.73</v>
      </c>
      <c r="J4585" s="50">
        <v>231.57</v>
      </c>
      <c r="K4585" t="s">
        <v>1632</v>
      </c>
      <c r="L4585" t="s">
        <v>2496</v>
      </c>
      <c r="M4585" t="s">
        <v>1619</v>
      </c>
      <c r="N4585">
        <v>13.58</v>
      </c>
      <c r="O4585" s="49">
        <v>44536</v>
      </c>
      <c r="P4585" s="50">
        <v>104.20650000000001</v>
      </c>
    </row>
    <row r="4586" spans="4:16" x14ac:dyDescent="0.2">
      <c r="D4586">
        <v>100002713</v>
      </c>
      <c r="E4586" s="49">
        <v>44731</v>
      </c>
      <c r="F4586" t="s">
        <v>4379</v>
      </c>
      <c r="G4586" t="s">
        <v>1833</v>
      </c>
      <c r="H4586">
        <v>8</v>
      </c>
      <c r="I4586">
        <v>54.42</v>
      </c>
      <c r="J4586" s="50">
        <v>435.36</v>
      </c>
      <c r="K4586" t="s">
        <v>1632</v>
      </c>
      <c r="M4586" t="s">
        <v>1629</v>
      </c>
      <c r="N4586">
        <v>28.72</v>
      </c>
      <c r="O4586" s="49">
        <v>44735</v>
      </c>
      <c r="P4586" s="50">
        <v>195.91200000000001</v>
      </c>
    </row>
    <row r="4587" spans="4:16" x14ac:dyDescent="0.2">
      <c r="D4587">
        <v>100002713</v>
      </c>
      <c r="E4587" s="49">
        <v>45056</v>
      </c>
      <c r="F4587" t="s">
        <v>4379</v>
      </c>
      <c r="G4587" t="s">
        <v>1631</v>
      </c>
      <c r="H4587">
        <v>10</v>
      </c>
      <c r="I4587">
        <v>73.05</v>
      </c>
      <c r="J4587" s="50">
        <v>730.5</v>
      </c>
      <c r="K4587" t="s">
        <v>1632</v>
      </c>
      <c r="M4587" t="s">
        <v>1629</v>
      </c>
      <c r="N4587">
        <v>38.549999999999997</v>
      </c>
      <c r="O4587" s="49">
        <v>45059</v>
      </c>
      <c r="P4587" s="50">
        <v>328.72500000000002</v>
      </c>
    </row>
    <row r="4588" spans="4:16" x14ac:dyDescent="0.2">
      <c r="D4588">
        <v>100002713</v>
      </c>
      <c r="E4588" s="49">
        <v>45415</v>
      </c>
      <c r="F4588" t="s">
        <v>4379</v>
      </c>
      <c r="G4588" t="s">
        <v>1676</v>
      </c>
      <c r="H4588">
        <v>7</v>
      </c>
      <c r="I4588">
        <v>92.76</v>
      </c>
      <c r="J4588" s="50">
        <v>649.32000000000005</v>
      </c>
      <c r="K4588" t="s">
        <v>1632</v>
      </c>
      <c r="M4588" t="s">
        <v>1629</v>
      </c>
      <c r="N4588">
        <v>48.96</v>
      </c>
      <c r="O4588" s="49">
        <v>45418</v>
      </c>
      <c r="P4588" s="50">
        <v>292.19400000000002</v>
      </c>
    </row>
    <row r="4589" spans="4:16" x14ac:dyDescent="0.2">
      <c r="D4589">
        <v>100002715</v>
      </c>
      <c r="E4589" s="49">
        <v>44682</v>
      </c>
      <c r="F4589" t="s">
        <v>4380</v>
      </c>
      <c r="G4589" t="s">
        <v>2380</v>
      </c>
      <c r="H4589">
        <v>7</v>
      </c>
      <c r="I4589">
        <v>69.959999999999994</v>
      </c>
      <c r="J4589" s="50">
        <v>489.72</v>
      </c>
      <c r="K4589" t="s">
        <v>1632</v>
      </c>
      <c r="M4589" t="s">
        <v>1624</v>
      </c>
      <c r="N4589">
        <v>36.92</v>
      </c>
      <c r="O4589" s="49">
        <v>44686</v>
      </c>
      <c r="P4589" s="50">
        <v>220.37400000000002</v>
      </c>
    </row>
    <row r="4590" spans="4:16" x14ac:dyDescent="0.2">
      <c r="D4590">
        <v>100002716</v>
      </c>
      <c r="E4590" s="49">
        <v>44606</v>
      </c>
      <c r="F4590" t="s">
        <v>4381</v>
      </c>
      <c r="G4590" t="s">
        <v>1947</v>
      </c>
      <c r="H4590">
        <v>7</v>
      </c>
      <c r="I4590">
        <v>40.450000000000003</v>
      </c>
      <c r="J4590" s="50">
        <v>283.14999999999998</v>
      </c>
      <c r="K4590" t="s">
        <v>1618</v>
      </c>
      <c r="M4590" t="s">
        <v>1627</v>
      </c>
      <c r="N4590">
        <v>21.35</v>
      </c>
      <c r="O4590" s="49">
        <v>44607</v>
      </c>
      <c r="P4590" s="50">
        <v>127.41749999999999</v>
      </c>
    </row>
    <row r="4591" spans="4:16" x14ac:dyDescent="0.2">
      <c r="D4591">
        <v>100002718</v>
      </c>
      <c r="E4591" s="49">
        <v>45070</v>
      </c>
      <c r="F4591" t="s">
        <v>4382</v>
      </c>
      <c r="G4591" t="s">
        <v>1643</v>
      </c>
      <c r="H4591">
        <v>10</v>
      </c>
      <c r="I4591">
        <v>13.58</v>
      </c>
      <c r="J4591" s="50">
        <v>135.80000000000001</v>
      </c>
      <c r="K4591" t="s">
        <v>1618</v>
      </c>
      <c r="M4591" t="s">
        <v>1624</v>
      </c>
      <c r="N4591">
        <v>7.17</v>
      </c>
      <c r="O4591" s="49">
        <v>45071</v>
      </c>
      <c r="P4591" s="50">
        <v>61.110000000000007</v>
      </c>
    </row>
    <row r="4592" spans="4:16" x14ac:dyDescent="0.2">
      <c r="D4592">
        <v>100002718</v>
      </c>
      <c r="E4592" s="49">
        <v>44617</v>
      </c>
      <c r="F4592" t="s">
        <v>4382</v>
      </c>
      <c r="G4592" t="s">
        <v>2387</v>
      </c>
      <c r="H4592">
        <v>5</v>
      </c>
      <c r="I4592">
        <v>47.03</v>
      </c>
      <c r="J4592" s="50">
        <v>235.15</v>
      </c>
      <c r="K4592" t="s">
        <v>1618</v>
      </c>
      <c r="M4592" t="s">
        <v>1621</v>
      </c>
      <c r="N4592">
        <v>24.82</v>
      </c>
      <c r="O4592" s="49">
        <v>44622</v>
      </c>
      <c r="P4592" s="50">
        <v>105.81750000000001</v>
      </c>
    </row>
    <row r="4593" spans="4:16" x14ac:dyDescent="0.2">
      <c r="D4593">
        <v>100002718</v>
      </c>
      <c r="E4593" s="49">
        <v>44822</v>
      </c>
      <c r="F4593" t="s">
        <v>4382</v>
      </c>
      <c r="G4593" t="s">
        <v>2099</v>
      </c>
      <c r="H4593">
        <v>1</v>
      </c>
      <c r="I4593">
        <v>88.2</v>
      </c>
      <c r="J4593" s="50">
        <v>88.2</v>
      </c>
      <c r="K4593" t="s">
        <v>1618</v>
      </c>
      <c r="M4593" t="s">
        <v>1627</v>
      </c>
      <c r="N4593">
        <v>46.55</v>
      </c>
      <c r="O4593" s="49">
        <v>44823</v>
      </c>
      <c r="P4593" s="50">
        <v>39.690000000000005</v>
      </c>
    </row>
    <row r="4594" spans="4:16" x14ac:dyDescent="0.2">
      <c r="D4594">
        <v>100002719</v>
      </c>
      <c r="E4594" s="49">
        <v>44328</v>
      </c>
      <c r="F4594" t="s">
        <v>4383</v>
      </c>
      <c r="G4594" t="s">
        <v>1831</v>
      </c>
      <c r="H4594">
        <v>2</v>
      </c>
      <c r="I4594">
        <v>72.760000000000005</v>
      </c>
      <c r="J4594" s="50">
        <v>145.52000000000001</v>
      </c>
      <c r="K4594" t="s">
        <v>1618</v>
      </c>
      <c r="M4594" t="s">
        <v>1627</v>
      </c>
      <c r="N4594">
        <v>38.4</v>
      </c>
      <c r="O4594" s="49">
        <v>44332</v>
      </c>
      <c r="P4594" s="50">
        <v>65.484000000000009</v>
      </c>
    </row>
    <row r="4595" spans="4:16" x14ac:dyDescent="0.2">
      <c r="D4595">
        <v>100002719</v>
      </c>
      <c r="E4595" s="49">
        <v>45468</v>
      </c>
      <c r="F4595" t="s">
        <v>4383</v>
      </c>
      <c r="G4595" t="s">
        <v>1825</v>
      </c>
      <c r="H4595">
        <v>1</v>
      </c>
      <c r="I4595">
        <v>93.6</v>
      </c>
      <c r="J4595" s="50">
        <v>93.6</v>
      </c>
      <c r="K4595" t="s">
        <v>1618</v>
      </c>
      <c r="M4595" t="s">
        <v>1624</v>
      </c>
      <c r="N4595">
        <v>49.4</v>
      </c>
      <c r="O4595" s="49">
        <v>45473</v>
      </c>
      <c r="P4595" s="50">
        <v>42.12</v>
      </c>
    </row>
    <row r="4596" spans="4:16" x14ac:dyDescent="0.2">
      <c r="D4596">
        <v>100002719</v>
      </c>
      <c r="E4596" s="49">
        <v>44865</v>
      </c>
      <c r="F4596" t="s">
        <v>4383</v>
      </c>
      <c r="G4596" t="s">
        <v>2465</v>
      </c>
      <c r="H4596">
        <v>1</v>
      </c>
      <c r="I4596">
        <v>29.22</v>
      </c>
      <c r="J4596" s="50">
        <v>29.22</v>
      </c>
      <c r="K4596" t="s">
        <v>1618</v>
      </c>
      <c r="M4596" t="s">
        <v>1624</v>
      </c>
      <c r="N4596">
        <v>15.42</v>
      </c>
      <c r="O4596" s="49">
        <v>44867</v>
      </c>
      <c r="P4596" s="50">
        <v>13.148999999999999</v>
      </c>
    </row>
    <row r="4597" spans="4:16" x14ac:dyDescent="0.2">
      <c r="D4597">
        <v>100002719</v>
      </c>
      <c r="E4597" s="49">
        <v>45515</v>
      </c>
      <c r="F4597" t="s">
        <v>4383</v>
      </c>
      <c r="G4597" t="s">
        <v>2068</v>
      </c>
      <c r="H4597">
        <v>3</v>
      </c>
      <c r="I4597">
        <v>107.43</v>
      </c>
      <c r="J4597" s="50">
        <v>322.29000000000002</v>
      </c>
      <c r="K4597" t="s">
        <v>1618</v>
      </c>
      <c r="M4597" t="s">
        <v>1624</v>
      </c>
      <c r="N4597">
        <v>56.7</v>
      </c>
      <c r="O4597" s="49">
        <v>45519</v>
      </c>
      <c r="P4597" s="50">
        <v>145.03050000000002</v>
      </c>
    </row>
    <row r="4598" spans="4:16" x14ac:dyDescent="0.2">
      <c r="D4598">
        <v>100002720</v>
      </c>
      <c r="E4598" s="49">
        <v>45074</v>
      </c>
      <c r="F4598" t="s">
        <v>4384</v>
      </c>
      <c r="G4598" t="s">
        <v>1655</v>
      </c>
      <c r="H4598">
        <v>7</v>
      </c>
      <c r="I4598">
        <v>101.04</v>
      </c>
      <c r="J4598" s="50">
        <v>707.28000000000009</v>
      </c>
      <c r="K4598" t="s">
        <v>1632</v>
      </c>
      <c r="M4598" t="s">
        <v>1629</v>
      </c>
      <c r="N4598">
        <v>53.33</v>
      </c>
      <c r="O4598" s="49">
        <v>45079</v>
      </c>
      <c r="P4598" s="50">
        <v>318.27600000000007</v>
      </c>
    </row>
    <row r="4599" spans="4:16" x14ac:dyDescent="0.2">
      <c r="D4599">
        <v>100002720</v>
      </c>
      <c r="E4599" s="49">
        <v>45176</v>
      </c>
      <c r="F4599" t="s">
        <v>4384</v>
      </c>
      <c r="G4599" t="s">
        <v>2207</v>
      </c>
      <c r="H4599">
        <v>4</v>
      </c>
      <c r="I4599">
        <v>65.05</v>
      </c>
      <c r="J4599" s="50">
        <v>260.2</v>
      </c>
      <c r="K4599" t="s">
        <v>1632</v>
      </c>
      <c r="M4599" t="s">
        <v>1621</v>
      </c>
      <c r="N4599">
        <v>34.33</v>
      </c>
      <c r="O4599" s="49">
        <v>45180</v>
      </c>
      <c r="P4599" s="50">
        <v>117.09</v>
      </c>
    </row>
    <row r="4600" spans="4:16" x14ac:dyDescent="0.2">
      <c r="D4600">
        <v>100002720</v>
      </c>
      <c r="E4600" s="49">
        <v>44562</v>
      </c>
      <c r="F4600" t="s">
        <v>4384</v>
      </c>
      <c r="G4600" t="s">
        <v>2240</v>
      </c>
      <c r="H4600">
        <v>9</v>
      </c>
      <c r="I4600">
        <v>90.4</v>
      </c>
      <c r="J4600" s="50">
        <v>813.6</v>
      </c>
      <c r="K4600" t="s">
        <v>1632</v>
      </c>
      <c r="M4600" t="s">
        <v>1621</v>
      </c>
      <c r="N4600">
        <v>47.71</v>
      </c>
      <c r="O4600" s="49">
        <v>44564</v>
      </c>
      <c r="P4600" s="50">
        <v>366.12</v>
      </c>
    </row>
    <row r="4601" spans="4:16" x14ac:dyDescent="0.2">
      <c r="D4601">
        <v>100002720</v>
      </c>
      <c r="E4601" s="49">
        <v>44819</v>
      </c>
      <c r="F4601" t="s">
        <v>4384</v>
      </c>
      <c r="G4601" t="s">
        <v>2733</v>
      </c>
      <c r="H4601">
        <v>1</v>
      </c>
      <c r="I4601">
        <v>10.9</v>
      </c>
      <c r="J4601" s="50">
        <v>10.9</v>
      </c>
      <c r="K4601" t="s">
        <v>1632</v>
      </c>
      <c r="M4601" t="s">
        <v>1627</v>
      </c>
      <c r="N4601">
        <v>5.75</v>
      </c>
      <c r="O4601" s="49">
        <v>44824</v>
      </c>
      <c r="P4601" s="50">
        <v>4.9050000000000002</v>
      </c>
    </row>
    <row r="4602" spans="4:16" x14ac:dyDescent="0.2">
      <c r="D4602">
        <v>100002720</v>
      </c>
      <c r="E4602" s="49">
        <v>44998</v>
      </c>
      <c r="F4602" t="s">
        <v>4384</v>
      </c>
      <c r="G4602" t="s">
        <v>1665</v>
      </c>
      <c r="H4602">
        <v>6</v>
      </c>
      <c r="I4602">
        <v>87.79</v>
      </c>
      <c r="J4602" s="50">
        <v>526.74</v>
      </c>
      <c r="K4602" t="s">
        <v>1632</v>
      </c>
      <c r="M4602" t="s">
        <v>1629</v>
      </c>
      <c r="N4602">
        <v>46.33</v>
      </c>
      <c r="O4602" s="49">
        <v>45002</v>
      </c>
      <c r="P4602" s="50">
        <v>237.03300000000002</v>
      </c>
    </row>
    <row r="4603" spans="4:16" x14ac:dyDescent="0.2">
      <c r="D4603">
        <v>100002720</v>
      </c>
      <c r="E4603" s="49">
        <v>44371</v>
      </c>
      <c r="F4603" t="s">
        <v>4384</v>
      </c>
      <c r="G4603" t="s">
        <v>1872</v>
      </c>
      <c r="H4603">
        <v>6</v>
      </c>
      <c r="I4603">
        <v>36.380000000000003</v>
      </c>
      <c r="J4603" s="50">
        <v>218.28</v>
      </c>
      <c r="K4603" t="s">
        <v>1632</v>
      </c>
      <c r="M4603" t="s">
        <v>1629</v>
      </c>
      <c r="N4603">
        <v>19.2</v>
      </c>
      <c r="O4603" s="49">
        <v>44374</v>
      </c>
      <c r="P4603" s="50">
        <v>98.225999999999999</v>
      </c>
    </row>
    <row r="4604" spans="4:16" x14ac:dyDescent="0.2">
      <c r="D4604">
        <v>100002721</v>
      </c>
      <c r="E4604" s="49">
        <v>44489</v>
      </c>
      <c r="F4604" t="s">
        <v>4385</v>
      </c>
      <c r="G4604" t="s">
        <v>1783</v>
      </c>
      <c r="H4604">
        <v>9</v>
      </c>
      <c r="I4604">
        <v>98.03</v>
      </c>
      <c r="J4604" s="50">
        <v>882.27</v>
      </c>
      <c r="K4604" t="s">
        <v>1618</v>
      </c>
      <c r="M4604" t="s">
        <v>1629</v>
      </c>
      <c r="N4604">
        <v>51.74</v>
      </c>
      <c r="O4604" s="49">
        <v>44494</v>
      </c>
      <c r="P4604" s="50">
        <v>397.0215</v>
      </c>
    </row>
    <row r="4605" spans="4:16" x14ac:dyDescent="0.2">
      <c r="D4605">
        <v>100002722</v>
      </c>
      <c r="E4605" s="49">
        <v>45641</v>
      </c>
      <c r="F4605" t="s">
        <v>4386</v>
      </c>
      <c r="G4605" t="s">
        <v>1674</v>
      </c>
      <c r="H4605">
        <v>7</v>
      </c>
      <c r="I4605">
        <v>87.24</v>
      </c>
      <c r="J4605" s="50">
        <v>610.67999999999995</v>
      </c>
      <c r="K4605" t="s">
        <v>1618</v>
      </c>
      <c r="M4605" t="s">
        <v>1624</v>
      </c>
      <c r="N4605">
        <v>46.04</v>
      </c>
      <c r="O4605" s="49">
        <v>45642</v>
      </c>
      <c r="P4605" s="50">
        <v>274.80599999999998</v>
      </c>
    </row>
    <row r="4606" spans="4:16" x14ac:dyDescent="0.2">
      <c r="D4606">
        <v>100002722</v>
      </c>
      <c r="E4606" s="49">
        <v>44728</v>
      </c>
      <c r="F4606" t="s">
        <v>4386</v>
      </c>
      <c r="G4606" t="s">
        <v>2232</v>
      </c>
      <c r="H4606">
        <v>5</v>
      </c>
      <c r="I4606">
        <v>88.36</v>
      </c>
      <c r="J4606" s="50">
        <v>441.8</v>
      </c>
      <c r="K4606" t="s">
        <v>1618</v>
      </c>
      <c r="M4606" t="s">
        <v>1627</v>
      </c>
      <c r="N4606">
        <v>46.63</v>
      </c>
      <c r="O4606" s="49">
        <v>44733</v>
      </c>
      <c r="P4606" s="50">
        <v>198.81</v>
      </c>
    </row>
    <row r="4607" spans="4:16" x14ac:dyDescent="0.2">
      <c r="D4607">
        <v>100002723</v>
      </c>
      <c r="E4607" s="49">
        <v>45267</v>
      </c>
      <c r="F4607" t="s">
        <v>4387</v>
      </c>
      <c r="G4607" t="s">
        <v>1792</v>
      </c>
      <c r="H4607">
        <v>8</v>
      </c>
      <c r="I4607">
        <v>47.91</v>
      </c>
      <c r="J4607" s="50">
        <v>383.28</v>
      </c>
      <c r="K4607" t="s">
        <v>1618</v>
      </c>
      <c r="M4607" t="s">
        <v>1619</v>
      </c>
      <c r="N4607">
        <v>25.29</v>
      </c>
      <c r="O4607" s="49">
        <v>45271</v>
      </c>
      <c r="P4607" s="50">
        <v>172.476</v>
      </c>
    </row>
    <row r="4608" spans="4:16" x14ac:dyDescent="0.2">
      <c r="D4608">
        <v>100002724</v>
      </c>
      <c r="E4608" s="49">
        <v>44580</v>
      </c>
      <c r="F4608" t="s">
        <v>4388</v>
      </c>
      <c r="G4608" t="s">
        <v>1695</v>
      </c>
      <c r="H4608">
        <v>5</v>
      </c>
      <c r="I4608">
        <v>77.760000000000005</v>
      </c>
      <c r="J4608" s="50">
        <v>388.8</v>
      </c>
      <c r="K4608" t="s">
        <v>1632</v>
      </c>
      <c r="M4608" t="s">
        <v>1619</v>
      </c>
      <c r="N4608">
        <v>41.04</v>
      </c>
      <c r="O4608" s="49">
        <v>44583</v>
      </c>
      <c r="P4608" s="50">
        <v>174.96</v>
      </c>
    </row>
    <row r="4609" spans="4:16" x14ac:dyDescent="0.2">
      <c r="D4609">
        <v>100002724</v>
      </c>
      <c r="E4609" s="49">
        <v>44966</v>
      </c>
      <c r="F4609" t="s">
        <v>4388</v>
      </c>
      <c r="G4609" t="s">
        <v>1688</v>
      </c>
      <c r="H4609">
        <v>1</v>
      </c>
      <c r="I4609">
        <v>79.36</v>
      </c>
      <c r="J4609" s="50">
        <v>79.36</v>
      </c>
      <c r="K4609" t="s">
        <v>1632</v>
      </c>
      <c r="M4609" t="s">
        <v>1621</v>
      </c>
      <c r="N4609">
        <v>41.88</v>
      </c>
      <c r="O4609" s="49">
        <v>44968</v>
      </c>
      <c r="P4609" s="50">
        <v>35.712000000000003</v>
      </c>
    </row>
    <row r="4610" spans="4:16" x14ac:dyDescent="0.2">
      <c r="D4610">
        <v>100002724</v>
      </c>
      <c r="E4610" s="49">
        <v>44522</v>
      </c>
      <c r="F4610" t="s">
        <v>4388</v>
      </c>
      <c r="G4610" t="s">
        <v>2060</v>
      </c>
      <c r="H4610">
        <v>2</v>
      </c>
      <c r="I4610">
        <v>23.16</v>
      </c>
      <c r="J4610" s="50">
        <v>46.32</v>
      </c>
      <c r="K4610" t="s">
        <v>1632</v>
      </c>
      <c r="M4610" t="s">
        <v>1624</v>
      </c>
      <c r="N4610">
        <v>12.22</v>
      </c>
      <c r="O4610" s="49">
        <v>44527</v>
      </c>
      <c r="P4610" s="50">
        <v>20.844000000000001</v>
      </c>
    </row>
    <row r="4611" spans="4:16" x14ac:dyDescent="0.2">
      <c r="D4611">
        <v>100002724</v>
      </c>
      <c r="E4611" s="49">
        <v>44345</v>
      </c>
      <c r="F4611" t="s">
        <v>4388</v>
      </c>
      <c r="G4611" t="s">
        <v>2255</v>
      </c>
      <c r="H4611">
        <v>1</v>
      </c>
      <c r="I4611">
        <v>21.86</v>
      </c>
      <c r="J4611" s="50">
        <v>21.86</v>
      </c>
      <c r="K4611" t="s">
        <v>1632</v>
      </c>
      <c r="M4611" t="s">
        <v>1619</v>
      </c>
      <c r="N4611">
        <v>11.54</v>
      </c>
      <c r="O4611" s="49">
        <v>44349</v>
      </c>
      <c r="P4611" s="50">
        <v>9.8369999999999997</v>
      </c>
    </row>
    <row r="4612" spans="4:16" x14ac:dyDescent="0.2">
      <c r="D4612">
        <v>100002724</v>
      </c>
      <c r="E4612" s="49">
        <v>45418</v>
      </c>
      <c r="F4612" t="s">
        <v>4388</v>
      </c>
      <c r="G4612" t="s">
        <v>2255</v>
      </c>
      <c r="H4612">
        <v>7</v>
      </c>
      <c r="I4612">
        <v>43.01</v>
      </c>
      <c r="J4612" s="50">
        <v>301.07</v>
      </c>
      <c r="K4612" t="s">
        <v>1632</v>
      </c>
      <c r="M4612" t="s">
        <v>1619</v>
      </c>
      <c r="N4612">
        <v>22.7</v>
      </c>
      <c r="O4612" s="49">
        <v>45423</v>
      </c>
      <c r="P4612" s="50">
        <v>135.48150000000001</v>
      </c>
    </row>
    <row r="4613" spans="4:16" x14ac:dyDescent="0.2">
      <c r="D4613">
        <v>100002725</v>
      </c>
      <c r="E4613" s="49">
        <v>45655</v>
      </c>
      <c r="F4613" t="s">
        <v>4389</v>
      </c>
      <c r="G4613" t="s">
        <v>1634</v>
      </c>
      <c r="H4613">
        <v>8</v>
      </c>
      <c r="I4613">
        <v>66.86</v>
      </c>
      <c r="J4613" s="50">
        <v>534.88</v>
      </c>
      <c r="K4613" t="s">
        <v>1618</v>
      </c>
      <c r="L4613" t="s">
        <v>3934</v>
      </c>
      <c r="M4613" t="s">
        <v>1624</v>
      </c>
      <c r="N4613">
        <v>35.29</v>
      </c>
      <c r="O4613" s="49">
        <v>45659</v>
      </c>
      <c r="P4613" s="50">
        <v>240.696</v>
      </c>
    </row>
    <row r="4614" spans="4:16" x14ac:dyDescent="0.2">
      <c r="D4614">
        <v>100002726</v>
      </c>
      <c r="E4614" s="49">
        <v>44771</v>
      </c>
      <c r="F4614" t="s">
        <v>4390</v>
      </c>
      <c r="G4614" t="s">
        <v>1664</v>
      </c>
      <c r="H4614">
        <v>5</v>
      </c>
      <c r="I4614">
        <v>93.38</v>
      </c>
      <c r="J4614" s="50">
        <v>466.9</v>
      </c>
      <c r="K4614" t="s">
        <v>1618</v>
      </c>
      <c r="M4614" t="s">
        <v>1627</v>
      </c>
      <c r="N4614">
        <v>49.28</v>
      </c>
      <c r="O4614" s="49">
        <v>44775</v>
      </c>
      <c r="P4614" s="50">
        <v>210.10499999999999</v>
      </c>
    </row>
    <row r="4615" spans="4:16" x14ac:dyDescent="0.2">
      <c r="D4615">
        <v>100002726</v>
      </c>
      <c r="E4615" s="49">
        <v>45089</v>
      </c>
      <c r="F4615" t="s">
        <v>4390</v>
      </c>
      <c r="G4615" t="s">
        <v>2116</v>
      </c>
      <c r="H4615">
        <v>4</v>
      </c>
      <c r="I4615">
        <v>96.76</v>
      </c>
      <c r="J4615" s="50">
        <v>387.04</v>
      </c>
      <c r="K4615" t="s">
        <v>1618</v>
      </c>
      <c r="M4615" t="s">
        <v>1624</v>
      </c>
      <c r="N4615">
        <v>51.07</v>
      </c>
      <c r="O4615" s="49">
        <v>45093</v>
      </c>
      <c r="P4615" s="50">
        <v>174.16800000000001</v>
      </c>
    </row>
    <row r="4616" spans="4:16" x14ac:dyDescent="0.2">
      <c r="D4616">
        <v>100002726</v>
      </c>
      <c r="E4616" s="49">
        <v>45405</v>
      </c>
      <c r="F4616" t="s">
        <v>4390</v>
      </c>
      <c r="G4616" t="s">
        <v>1985</v>
      </c>
      <c r="H4616">
        <v>8</v>
      </c>
      <c r="I4616">
        <v>84.35</v>
      </c>
      <c r="J4616" s="50">
        <v>674.8</v>
      </c>
      <c r="K4616" t="s">
        <v>1618</v>
      </c>
      <c r="M4616" t="s">
        <v>1629</v>
      </c>
      <c r="N4616">
        <v>44.52</v>
      </c>
      <c r="O4616" s="49">
        <v>45407</v>
      </c>
      <c r="P4616" s="50">
        <v>303.65999999999997</v>
      </c>
    </row>
    <row r="4617" spans="4:16" x14ac:dyDescent="0.2">
      <c r="D4617">
        <v>100002728</v>
      </c>
      <c r="E4617" s="49">
        <v>45209</v>
      </c>
      <c r="F4617" t="s">
        <v>4391</v>
      </c>
      <c r="G4617" t="s">
        <v>2088</v>
      </c>
      <c r="H4617">
        <v>1</v>
      </c>
      <c r="I4617">
        <v>92.87</v>
      </c>
      <c r="J4617" s="50">
        <v>92.87</v>
      </c>
      <c r="K4617" t="s">
        <v>1632</v>
      </c>
      <c r="L4617" t="s">
        <v>4392</v>
      </c>
      <c r="M4617" t="s">
        <v>1624</v>
      </c>
      <c r="N4617">
        <v>49.01</v>
      </c>
      <c r="O4617" s="49">
        <v>45213</v>
      </c>
      <c r="P4617" s="50">
        <v>41.791500000000006</v>
      </c>
    </row>
    <row r="4618" spans="4:16" x14ac:dyDescent="0.2">
      <c r="D4618">
        <v>100002728</v>
      </c>
      <c r="E4618" s="49">
        <v>45074</v>
      </c>
      <c r="F4618" t="s">
        <v>4391</v>
      </c>
      <c r="G4618" t="s">
        <v>2005</v>
      </c>
      <c r="H4618">
        <v>8</v>
      </c>
      <c r="I4618">
        <v>57.79</v>
      </c>
      <c r="J4618" s="50">
        <v>462.32</v>
      </c>
      <c r="K4618" t="s">
        <v>1632</v>
      </c>
      <c r="L4618" t="s">
        <v>4392</v>
      </c>
      <c r="M4618" t="s">
        <v>1627</v>
      </c>
      <c r="N4618">
        <v>30.5</v>
      </c>
      <c r="O4618" s="49">
        <v>45078</v>
      </c>
      <c r="P4618" s="50">
        <v>208.04400000000001</v>
      </c>
    </row>
    <row r="4619" spans="4:16" x14ac:dyDescent="0.2">
      <c r="D4619">
        <v>100002728</v>
      </c>
      <c r="E4619" s="49">
        <v>44892</v>
      </c>
      <c r="F4619" t="s">
        <v>4391</v>
      </c>
      <c r="G4619" t="s">
        <v>1864</v>
      </c>
      <c r="H4619">
        <v>1</v>
      </c>
      <c r="I4619">
        <v>100.3</v>
      </c>
      <c r="J4619" s="50">
        <v>100.3</v>
      </c>
      <c r="K4619" t="s">
        <v>1632</v>
      </c>
      <c r="L4619" t="s">
        <v>4392</v>
      </c>
      <c r="M4619" t="s">
        <v>1624</v>
      </c>
      <c r="N4619">
        <v>52.94</v>
      </c>
      <c r="O4619" s="49">
        <v>44896</v>
      </c>
      <c r="P4619" s="50">
        <v>45.134999999999998</v>
      </c>
    </row>
    <row r="4620" spans="4:16" x14ac:dyDescent="0.2">
      <c r="D4620">
        <v>100002729</v>
      </c>
      <c r="E4620" s="49">
        <v>45213</v>
      </c>
      <c r="F4620" t="s">
        <v>4393</v>
      </c>
      <c r="G4620" t="s">
        <v>1918</v>
      </c>
      <c r="H4620">
        <v>7</v>
      </c>
      <c r="I4620">
        <v>57.07</v>
      </c>
      <c r="J4620" s="50">
        <v>399.49</v>
      </c>
      <c r="K4620" t="s">
        <v>1618</v>
      </c>
      <c r="L4620" t="s">
        <v>2284</v>
      </c>
      <c r="M4620" t="s">
        <v>1629</v>
      </c>
      <c r="N4620">
        <v>30.12</v>
      </c>
      <c r="O4620" s="49">
        <v>45215</v>
      </c>
      <c r="P4620" s="50">
        <v>179.7705</v>
      </c>
    </row>
    <row r="4621" spans="4:16" x14ac:dyDescent="0.2">
      <c r="D4621">
        <v>100002730</v>
      </c>
      <c r="E4621" s="49">
        <v>44226</v>
      </c>
      <c r="F4621" t="s">
        <v>4394</v>
      </c>
      <c r="G4621" t="s">
        <v>1760</v>
      </c>
      <c r="H4621">
        <v>10</v>
      </c>
      <c r="I4621">
        <v>73.3</v>
      </c>
      <c r="J4621" s="50">
        <v>733</v>
      </c>
      <c r="K4621" t="s">
        <v>1632</v>
      </c>
      <c r="M4621" t="s">
        <v>1627</v>
      </c>
      <c r="N4621">
        <v>38.69</v>
      </c>
      <c r="O4621" s="49">
        <v>44229</v>
      </c>
      <c r="P4621" s="50">
        <v>329.85</v>
      </c>
    </row>
    <row r="4622" spans="4:16" x14ac:dyDescent="0.2">
      <c r="D4622">
        <v>100002731</v>
      </c>
      <c r="E4622" s="49">
        <v>45136</v>
      </c>
      <c r="F4622" t="s">
        <v>4395</v>
      </c>
      <c r="G4622" t="s">
        <v>1688</v>
      </c>
      <c r="H4622">
        <v>6</v>
      </c>
      <c r="I4622">
        <v>40.17</v>
      </c>
      <c r="J4622" s="50">
        <v>241.02</v>
      </c>
      <c r="K4622" t="s">
        <v>1618</v>
      </c>
      <c r="L4622" t="s">
        <v>4396</v>
      </c>
      <c r="M4622" t="s">
        <v>1629</v>
      </c>
      <c r="N4622">
        <v>21.2</v>
      </c>
      <c r="O4622" s="49">
        <v>45137</v>
      </c>
      <c r="P4622" s="50">
        <v>108.459</v>
      </c>
    </row>
    <row r="4623" spans="4:16" x14ac:dyDescent="0.2">
      <c r="D4623">
        <v>100002733</v>
      </c>
      <c r="E4623" s="49">
        <v>45552</v>
      </c>
      <c r="F4623" t="s">
        <v>4397</v>
      </c>
      <c r="G4623" t="s">
        <v>2048</v>
      </c>
      <c r="H4623">
        <v>7</v>
      </c>
      <c r="I4623">
        <v>63.14</v>
      </c>
      <c r="J4623" s="50">
        <v>441.98</v>
      </c>
      <c r="K4623" t="s">
        <v>1632</v>
      </c>
      <c r="L4623" t="s">
        <v>3231</v>
      </c>
      <c r="M4623" t="s">
        <v>1621</v>
      </c>
      <c r="N4623">
        <v>33.32</v>
      </c>
      <c r="O4623" s="49">
        <v>45555</v>
      </c>
      <c r="P4623" s="50">
        <v>198.89100000000002</v>
      </c>
    </row>
    <row r="4624" spans="4:16" x14ac:dyDescent="0.2">
      <c r="D4624">
        <v>100002735</v>
      </c>
      <c r="E4624" s="49">
        <v>44685</v>
      </c>
      <c r="F4624" t="s">
        <v>4398</v>
      </c>
      <c r="G4624" t="s">
        <v>1922</v>
      </c>
      <c r="H4624">
        <v>4</v>
      </c>
      <c r="I4624">
        <v>28.46</v>
      </c>
      <c r="J4624" s="50">
        <v>113.84</v>
      </c>
      <c r="K4624" t="s">
        <v>1632</v>
      </c>
      <c r="M4624" t="s">
        <v>1629</v>
      </c>
      <c r="N4624">
        <v>15.02</v>
      </c>
      <c r="O4624" s="49">
        <v>44688</v>
      </c>
      <c r="P4624" s="50">
        <v>51.228000000000002</v>
      </c>
    </row>
    <row r="4625" spans="4:16" x14ac:dyDescent="0.2">
      <c r="D4625">
        <v>100002735</v>
      </c>
      <c r="E4625" s="49">
        <v>45081</v>
      </c>
      <c r="F4625" t="s">
        <v>4398</v>
      </c>
      <c r="G4625" t="s">
        <v>2088</v>
      </c>
      <c r="H4625">
        <v>10</v>
      </c>
      <c r="I4625">
        <v>92.52</v>
      </c>
      <c r="J4625" s="50">
        <v>925.19999999999993</v>
      </c>
      <c r="K4625" t="s">
        <v>1632</v>
      </c>
      <c r="M4625" t="s">
        <v>1627</v>
      </c>
      <c r="N4625">
        <v>48.83</v>
      </c>
      <c r="O4625" s="49">
        <v>45082</v>
      </c>
      <c r="P4625" s="50">
        <v>416.34</v>
      </c>
    </row>
    <row r="4626" spans="4:16" x14ac:dyDescent="0.2">
      <c r="D4626">
        <v>100002735</v>
      </c>
      <c r="E4626" s="49">
        <v>45188</v>
      </c>
      <c r="F4626" t="s">
        <v>4398</v>
      </c>
      <c r="G4626" t="s">
        <v>1897</v>
      </c>
      <c r="H4626">
        <v>4</v>
      </c>
      <c r="I4626">
        <v>112.27</v>
      </c>
      <c r="J4626" s="50">
        <v>449.08</v>
      </c>
      <c r="K4626" t="s">
        <v>1632</v>
      </c>
      <c r="M4626" t="s">
        <v>1627</v>
      </c>
      <c r="N4626">
        <v>59.25</v>
      </c>
      <c r="O4626" s="49">
        <v>45193</v>
      </c>
      <c r="P4626" s="50">
        <v>202.08599999999998</v>
      </c>
    </row>
    <row r="4627" spans="4:16" x14ac:dyDescent="0.2">
      <c r="D4627">
        <v>100002735</v>
      </c>
      <c r="E4627" s="49">
        <v>44848</v>
      </c>
      <c r="F4627" t="s">
        <v>4398</v>
      </c>
      <c r="G4627" t="s">
        <v>1971</v>
      </c>
      <c r="H4627">
        <v>6</v>
      </c>
      <c r="I4627">
        <v>105.35</v>
      </c>
      <c r="J4627" s="50">
        <v>632.09999999999991</v>
      </c>
      <c r="K4627" t="s">
        <v>1632</v>
      </c>
      <c r="M4627" t="s">
        <v>1627</v>
      </c>
      <c r="N4627">
        <v>55.6</v>
      </c>
      <c r="O4627" s="49">
        <v>44851</v>
      </c>
      <c r="P4627" s="50">
        <v>284.44499999999999</v>
      </c>
    </row>
    <row r="4628" spans="4:16" x14ac:dyDescent="0.2">
      <c r="D4628">
        <v>100002735</v>
      </c>
      <c r="E4628" s="49">
        <v>44500</v>
      </c>
      <c r="F4628" t="s">
        <v>4398</v>
      </c>
      <c r="G4628" t="s">
        <v>1727</v>
      </c>
      <c r="H4628">
        <v>7</v>
      </c>
      <c r="I4628">
        <v>30.8</v>
      </c>
      <c r="J4628" s="50">
        <v>215.6</v>
      </c>
      <c r="K4628" t="s">
        <v>1632</v>
      </c>
      <c r="M4628" t="s">
        <v>1624</v>
      </c>
      <c r="N4628">
        <v>16.260000000000002</v>
      </c>
      <c r="O4628" s="49">
        <v>44504</v>
      </c>
      <c r="P4628" s="50">
        <v>97.02</v>
      </c>
    </row>
    <row r="4629" spans="4:16" x14ac:dyDescent="0.2">
      <c r="D4629">
        <v>100002735</v>
      </c>
      <c r="E4629" s="49">
        <v>44230</v>
      </c>
      <c r="F4629" t="s">
        <v>4398</v>
      </c>
      <c r="G4629" t="s">
        <v>2278</v>
      </c>
      <c r="H4629">
        <v>1</v>
      </c>
      <c r="I4629">
        <v>91.86</v>
      </c>
      <c r="J4629" s="50">
        <v>91.86</v>
      </c>
      <c r="K4629" t="s">
        <v>1632</v>
      </c>
      <c r="M4629" t="s">
        <v>1624</v>
      </c>
      <c r="N4629">
        <v>48.48</v>
      </c>
      <c r="O4629" s="49">
        <v>44233</v>
      </c>
      <c r="P4629" s="50">
        <v>41.337000000000003</v>
      </c>
    </row>
    <row r="4630" spans="4:16" x14ac:dyDescent="0.2">
      <c r="D4630">
        <v>100002736</v>
      </c>
      <c r="E4630" s="49">
        <v>45098</v>
      </c>
      <c r="F4630" t="s">
        <v>4399</v>
      </c>
      <c r="G4630" t="s">
        <v>1953</v>
      </c>
      <c r="H4630">
        <v>5</v>
      </c>
      <c r="I4630">
        <v>50.92</v>
      </c>
      <c r="J4630" s="50">
        <v>254.6</v>
      </c>
      <c r="K4630" t="s">
        <v>1632</v>
      </c>
      <c r="L4630" t="s">
        <v>4400</v>
      </c>
      <c r="M4630" t="s">
        <v>1619</v>
      </c>
      <c r="N4630">
        <v>26.87</v>
      </c>
      <c r="O4630" s="49">
        <v>45101</v>
      </c>
      <c r="P4630" s="50">
        <v>114.57</v>
      </c>
    </row>
    <row r="4631" spans="4:16" x14ac:dyDescent="0.2">
      <c r="D4631">
        <v>100002738</v>
      </c>
      <c r="E4631" s="49">
        <v>44448</v>
      </c>
      <c r="F4631" t="s">
        <v>4401</v>
      </c>
      <c r="G4631" t="s">
        <v>1641</v>
      </c>
      <c r="H4631">
        <v>3</v>
      </c>
      <c r="I4631">
        <v>87.77</v>
      </c>
      <c r="J4631" s="50">
        <v>263.31</v>
      </c>
      <c r="K4631" t="s">
        <v>1632</v>
      </c>
      <c r="M4631" t="s">
        <v>1629</v>
      </c>
      <c r="N4631">
        <v>46.32</v>
      </c>
      <c r="O4631" s="49">
        <v>44449</v>
      </c>
      <c r="P4631" s="50">
        <v>118.48950000000001</v>
      </c>
    </row>
    <row r="4632" spans="4:16" x14ac:dyDescent="0.2">
      <c r="D4632">
        <v>100002738</v>
      </c>
      <c r="E4632" s="49">
        <v>44209</v>
      </c>
      <c r="F4632" t="s">
        <v>4401</v>
      </c>
      <c r="G4632" t="s">
        <v>1767</v>
      </c>
      <c r="H4632">
        <v>1</v>
      </c>
      <c r="I4632">
        <v>106.99</v>
      </c>
      <c r="J4632" s="50">
        <v>106.99</v>
      </c>
      <c r="K4632" t="s">
        <v>1632</v>
      </c>
      <c r="M4632" t="s">
        <v>1621</v>
      </c>
      <c r="N4632">
        <v>56.47</v>
      </c>
      <c r="O4632" s="49">
        <v>44213</v>
      </c>
      <c r="P4632" s="50">
        <v>48.145499999999998</v>
      </c>
    </row>
    <row r="4633" spans="4:16" x14ac:dyDescent="0.2">
      <c r="D4633">
        <v>100002738</v>
      </c>
      <c r="E4633" s="49">
        <v>44820</v>
      </c>
      <c r="F4633" t="s">
        <v>4401</v>
      </c>
      <c r="G4633" t="s">
        <v>1666</v>
      </c>
      <c r="H4633">
        <v>10</v>
      </c>
      <c r="I4633">
        <v>59.84</v>
      </c>
      <c r="J4633" s="50">
        <v>598.40000000000009</v>
      </c>
      <c r="K4633" t="s">
        <v>1632</v>
      </c>
      <c r="M4633" t="s">
        <v>1624</v>
      </c>
      <c r="N4633">
        <v>31.58</v>
      </c>
      <c r="O4633" s="49">
        <v>44825</v>
      </c>
      <c r="P4633" s="50">
        <v>269.28000000000003</v>
      </c>
    </row>
    <row r="4634" spans="4:16" x14ac:dyDescent="0.2">
      <c r="D4634">
        <v>100002740</v>
      </c>
      <c r="E4634" s="49">
        <v>44327</v>
      </c>
      <c r="F4634" t="s">
        <v>4402</v>
      </c>
      <c r="G4634" t="s">
        <v>1687</v>
      </c>
      <c r="H4634">
        <v>9</v>
      </c>
      <c r="I4634">
        <v>81.45</v>
      </c>
      <c r="J4634" s="50">
        <v>733.05000000000007</v>
      </c>
      <c r="K4634" t="s">
        <v>1618</v>
      </c>
      <c r="L4634" t="s">
        <v>2530</v>
      </c>
      <c r="M4634" t="s">
        <v>1624</v>
      </c>
      <c r="N4634">
        <v>42.99</v>
      </c>
      <c r="O4634" s="49">
        <v>44330</v>
      </c>
      <c r="P4634" s="50">
        <v>329.87250000000006</v>
      </c>
    </row>
    <row r="4635" spans="4:16" x14ac:dyDescent="0.2">
      <c r="D4635">
        <v>100002742</v>
      </c>
      <c r="E4635" s="49">
        <v>45331</v>
      </c>
      <c r="F4635" t="s">
        <v>4403</v>
      </c>
      <c r="G4635" t="s">
        <v>1700</v>
      </c>
      <c r="H4635">
        <v>3</v>
      </c>
      <c r="I4635">
        <v>109.99</v>
      </c>
      <c r="J4635" s="50">
        <v>329.97</v>
      </c>
      <c r="K4635" t="s">
        <v>1618</v>
      </c>
      <c r="M4635" t="s">
        <v>1629</v>
      </c>
      <c r="N4635">
        <v>58.05</v>
      </c>
      <c r="O4635" s="49">
        <v>45332</v>
      </c>
      <c r="P4635" s="50">
        <v>148.48650000000001</v>
      </c>
    </row>
    <row r="4636" spans="4:16" x14ac:dyDescent="0.2">
      <c r="D4636">
        <v>100002743</v>
      </c>
      <c r="E4636" s="49">
        <v>44839</v>
      </c>
      <c r="F4636" t="s">
        <v>4404</v>
      </c>
      <c r="G4636" t="s">
        <v>1963</v>
      </c>
      <c r="H4636">
        <v>1</v>
      </c>
      <c r="I4636">
        <v>79.44</v>
      </c>
      <c r="J4636" s="50">
        <v>79.44</v>
      </c>
      <c r="K4636" t="s">
        <v>1632</v>
      </c>
      <c r="M4636" t="s">
        <v>1627</v>
      </c>
      <c r="N4636">
        <v>41.93</v>
      </c>
      <c r="O4636" s="49">
        <v>44843</v>
      </c>
      <c r="P4636" s="50">
        <v>35.747999999999998</v>
      </c>
    </row>
    <row r="4637" spans="4:16" x14ac:dyDescent="0.2">
      <c r="D4637">
        <v>100002744</v>
      </c>
      <c r="E4637" s="49">
        <v>44353</v>
      </c>
      <c r="F4637" t="s">
        <v>4405</v>
      </c>
      <c r="G4637" t="s">
        <v>1877</v>
      </c>
      <c r="H4637">
        <v>2</v>
      </c>
      <c r="I4637">
        <v>83.34</v>
      </c>
      <c r="J4637" s="50">
        <v>166.68</v>
      </c>
      <c r="K4637" t="s">
        <v>1632</v>
      </c>
      <c r="M4637" t="s">
        <v>1624</v>
      </c>
      <c r="N4637">
        <v>43.98</v>
      </c>
      <c r="O4637" s="49">
        <v>44357</v>
      </c>
      <c r="P4637" s="50">
        <v>75.006</v>
      </c>
    </row>
    <row r="4638" spans="4:16" x14ac:dyDescent="0.2">
      <c r="D4638">
        <v>100002745</v>
      </c>
      <c r="E4638" s="49">
        <v>44754</v>
      </c>
      <c r="F4638" t="s">
        <v>4406</v>
      </c>
      <c r="G4638" t="s">
        <v>2069</v>
      </c>
      <c r="H4638">
        <v>5</v>
      </c>
      <c r="I4638">
        <v>67.63</v>
      </c>
      <c r="J4638" s="50">
        <v>338.15</v>
      </c>
      <c r="K4638" t="s">
        <v>1618</v>
      </c>
      <c r="M4638" t="s">
        <v>1621</v>
      </c>
      <c r="N4638">
        <v>35.69</v>
      </c>
      <c r="O4638" s="49">
        <v>44759</v>
      </c>
      <c r="P4638" s="50">
        <v>152.16749999999999</v>
      </c>
    </row>
    <row r="4639" spans="4:16" x14ac:dyDescent="0.2">
      <c r="D4639">
        <v>100002746</v>
      </c>
      <c r="E4639" s="49">
        <v>45451</v>
      </c>
      <c r="F4639" t="s">
        <v>4407</v>
      </c>
      <c r="G4639" t="s">
        <v>1929</v>
      </c>
      <c r="H4639">
        <v>1</v>
      </c>
      <c r="I4639">
        <v>89.31</v>
      </c>
      <c r="J4639" s="50">
        <v>89.31</v>
      </c>
      <c r="K4639" t="s">
        <v>1632</v>
      </c>
      <c r="M4639" t="s">
        <v>1624</v>
      </c>
      <c r="N4639">
        <v>47.14</v>
      </c>
      <c r="O4639" s="49">
        <v>45455</v>
      </c>
      <c r="P4639" s="50">
        <v>40.189500000000002</v>
      </c>
    </row>
    <row r="4640" spans="4:16" x14ac:dyDescent="0.2">
      <c r="D4640">
        <v>100002747</v>
      </c>
      <c r="E4640" s="49">
        <v>45118</v>
      </c>
      <c r="F4640" t="s">
        <v>4408</v>
      </c>
      <c r="G4640" t="s">
        <v>1643</v>
      </c>
      <c r="H4640">
        <v>3</v>
      </c>
      <c r="I4640">
        <v>41.81</v>
      </c>
      <c r="J4640" s="50">
        <v>125.43</v>
      </c>
      <c r="K4640" t="s">
        <v>1632</v>
      </c>
      <c r="L4640" t="s">
        <v>3359</v>
      </c>
      <c r="M4640" t="s">
        <v>1619</v>
      </c>
      <c r="N4640">
        <v>22.07</v>
      </c>
      <c r="O4640" s="49">
        <v>45121</v>
      </c>
      <c r="P4640" s="50">
        <v>56.443500000000007</v>
      </c>
    </row>
    <row r="4641" spans="4:16" x14ac:dyDescent="0.2">
      <c r="D4641">
        <v>100002748</v>
      </c>
      <c r="E4641" s="49">
        <v>44286</v>
      </c>
      <c r="F4641" t="s">
        <v>4409</v>
      </c>
      <c r="G4641" t="s">
        <v>2142</v>
      </c>
      <c r="H4641">
        <v>8</v>
      </c>
      <c r="I4641">
        <v>119.1</v>
      </c>
      <c r="J4641" s="50">
        <v>952.8</v>
      </c>
      <c r="K4641" t="s">
        <v>1632</v>
      </c>
      <c r="M4641" t="s">
        <v>1629</v>
      </c>
      <c r="N4641">
        <v>62.86</v>
      </c>
      <c r="O4641" s="49">
        <v>44287</v>
      </c>
      <c r="P4641" s="50">
        <v>428.76</v>
      </c>
    </row>
    <row r="4642" spans="4:16" x14ac:dyDescent="0.2">
      <c r="D4642">
        <v>100002748</v>
      </c>
      <c r="E4642" s="49">
        <v>44578</v>
      </c>
      <c r="F4642" t="s">
        <v>4409</v>
      </c>
      <c r="G4642" t="s">
        <v>1947</v>
      </c>
      <c r="H4642">
        <v>10</v>
      </c>
      <c r="I4642">
        <v>109.62</v>
      </c>
      <c r="J4642" s="50">
        <v>1096.2</v>
      </c>
      <c r="K4642" t="s">
        <v>1632</v>
      </c>
      <c r="M4642" t="s">
        <v>1627</v>
      </c>
      <c r="N4642">
        <v>57.85</v>
      </c>
      <c r="O4642" s="49">
        <v>44580</v>
      </c>
      <c r="P4642" s="50">
        <v>493.29</v>
      </c>
    </row>
    <row r="4643" spans="4:16" x14ac:dyDescent="0.2">
      <c r="D4643">
        <v>100002749</v>
      </c>
      <c r="E4643" s="49">
        <v>44385</v>
      </c>
      <c r="F4643" t="s">
        <v>4410</v>
      </c>
      <c r="G4643" t="s">
        <v>2163</v>
      </c>
      <c r="H4643">
        <v>3</v>
      </c>
      <c r="I4643">
        <v>93.55</v>
      </c>
      <c r="J4643" s="50">
        <v>280.64999999999998</v>
      </c>
      <c r="K4643" t="s">
        <v>1618</v>
      </c>
      <c r="M4643" t="s">
        <v>1627</v>
      </c>
      <c r="N4643">
        <v>49.37</v>
      </c>
      <c r="O4643" s="49">
        <v>44390</v>
      </c>
      <c r="P4643" s="50">
        <v>126.29249999999999</v>
      </c>
    </row>
    <row r="4644" spans="4:16" x14ac:dyDescent="0.2">
      <c r="D4644">
        <v>100002749</v>
      </c>
      <c r="E4644" s="49">
        <v>44591</v>
      </c>
      <c r="F4644" t="s">
        <v>4410</v>
      </c>
      <c r="G4644" t="s">
        <v>2412</v>
      </c>
      <c r="H4644">
        <v>6</v>
      </c>
      <c r="I4644">
        <v>118.05</v>
      </c>
      <c r="J4644" s="50">
        <v>708.3</v>
      </c>
      <c r="K4644" t="s">
        <v>1618</v>
      </c>
      <c r="M4644" t="s">
        <v>1627</v>
      </c>
      <c r="N4644">
        <v>62.3</v>
      </c>
      <c r="O4644" s="49">
        <v>44593</v>
      </c>
      <c r="P4644" s="50">
        <v>318.73500000000001</v>
      </c>
    </row>
    <row r="4645" spans="4:16" x14ac:dyDescent="0.2">
      <c r="D4645">
        <v>100002749</v>
      </c>
      <c r="E4645" s="49">
        <v>45235</v>
      </c>
      <c r="F4645" t="s">
        <v>4410</v>
      </c>
      <c r="G4645" t="s">
        <v>1916</v>
      </c>
      <c r="H4645">
        <v>9</v>
      </c>
      <c r="I4645">
        <v>46.98</v>
      </c>
      <c r="J4645" s="50">
        <v>422.82</v>
      </c>
      <c r="K4645" t="s">
        <v>1618</v>
      </c>
      <c r="M4645" t="s">
        <v>1629</v>
      </c>
      <c r="N4645">
        <v>24.79</v>
      </c>
      <c r="O4645" s="49">
        <v>45240</v>
      </c>
      <c r="P4645" s="50">
        <v>190.26900000000001</v>
      </c>
    </row>
    <row r="4646" spans="4:16" x14ac:dyDescent="0.2">
      <c r="D4646">
        <v>100002749</v>
      </c>
      <c r="E4646" s="49">
        <v>44680</v>
      </c>
      <c r="F4646" t="s">
        <v>4410</v>
      </c>
      <c r="G4646" t="s">
        <v>1686</v>
      </c>
      <c r="H4646">
        <v>6</v>
      </c>
      <c r="I4646">
        <v>74.67</v>
      </c>
      <c r="J4646" s="50">
        <v>448.02</v>
      </c>
      <c r="K4646" t="s">
        <v>1618</v>
      </c>
      <c r="M4646" t="s">
        <v>1624</v>
      </c>
      <c r="N4646">
        <v>39.409999999999997</v>
      </c>
      <c r="O4646" s="49">
        <v>44683</v>
      </c>
      <c r="P4646" s="50">
        <v>201.60900000000001</v>
      </c>
    </row>
    <row r="4647" spans="4:16" x14ac:dyDescent="0.2">
      <c r="D4647">
        <v>100002750</v>
      </c>
      <c r="E4647" s="49">
        <v>45094</v>
      </c>
      <c r="F4647" t="s">
        <v>4390</v>
      </c>
      <c r="G4647" t="s">
        <v>2431</v>
      </c>
      <c r="H4647">
        <v>6</v>
      </c>
      <c r="I4647">
        <v>80.31</v>
      </c>
      <c r="J4647" s="50">
        <v>481.86</v>
      </c>
      <c r="K4647" t="s">
        <v>1618</v>
      </c>
      <c r="M4647" t="s">
        <v>1624</v>
      </c>
      <c r="N4647">
        <v>42.39</v>
      </c>
      <c r="O4647" s="49">
        <v>45097</v>
      </c>
      <c r="P4647" s="50">
        <v>216.83700000000002</v>
      </c>
    </row>
    <row r="4648" spans="4:16" x14ac:dyDescent="0.2">
      <c r="D4648">
        <v>100002752</v>
      </c>
      <c r="E4648" s="49">
        <v>45242</v>
      </c>
      <c r="F4648" t="s">
        <v>4411</v>
      </c>
      <c r="G4648" t="s">
        <v>1719</v>
      </c>
      <c r="H4648">
        <v>10</v>
      </c>
      <c r="I4648">
        <v>17.88</v>
      </c>
      <c r="J4648" s="50">
        <v>178.8</v>
      </c>
      <c r="K4648" t="s">
        <v>1618</v>
      </c>
      <c r="M4648" t="s">
        <v>1629</v>
      </c>
      <c r="N4648">
        <v>9.44</v>
      </c>
      <c r="O4648" s="49">
        <v>45246</v>
      </c>
      <c r="P4648" s="50">
        <v>80.460000000000008</v>
      </c>
    </row>
    <row r="4649" spans="4:16" x14ac:dyDescent="0.2">
      <c r="D4649">
        <v>100002754</v>
      </c>
      <c r="E4649" s="49">
        <v>45113</v>
      </c>
      <c r="F4649" t="s">
        <v>4412</v>
      </c>
      <c r="G4649" t="s">
        <v>1762</v>
      </c>
      <c r="H4649">
        <v>5</v>
      </c>
      <c r="I4649">
        <v>25.93</v>
      </c>
      <c r="J4649" s="50">
        <v>129.65</v>
      </c>
      <c r="K4649" t="s">
        <v>1618</v>
      </c>
      <c r="L4649" t="s">
        <v>2320</v>
      </c>
      <c r="M4649" t="s">
        <v>1621</v>
      </c>
      <c r="N4649">
        <v>13.69</v>
      </c>
      <c r="O4649" s="49">
        <v>45117</v>
      </c>
      <c r="P4649" s="50">
        <v>58.342500000000001</v>
      </c>
    </row>
    <row r="4650" spans="4:16" x14ac:dyDescent="0.2">
      <c r="D4650">
        <v>100002756</v>
      </c>
      <c r="E4650" s="49">
        <v>44761</v>
      </c>
      <c r="F4650" t="s">
        <v>4413</v>
      </c>
      <c r="G4650" t="s">
        <v>1948</v>
      </c>
      <c r="H4650">
        <v>4</v>
      </c>
      <c r="I4650">
        <v>55.45</v>
      </c>
      <c r="J4650" s="50">
        <v>221.8</v>
      </c>
      <c r="K4650" t="s">
        <v>1632</v>
      </c>
      <c r="M4650" t="s">
        <v>1621</v>
      </c>
      <c r="N4650">
        <v>29.27</v>
      </c>
      <c r="O4650" s="49">
        <v>44764</v>
      </c>
      <c r="P4650" s="50">
        <v>99.81</v>
      </c>
    </row>
    <row r="4651" spans="4:16" x14ac:dyDescent="0.2">
      <c r="D4651">
        <v>100002756</v>
      </c>
      <c r="E4651" s="49">
        <v>44410</v>
      </c>
      <c r="F4651" t="s">
        <v>4413</v>
      </c>
      <c r="G4651" t="s">
        <v>2060</v>
      </c>
      <c r="H4651">
        <v>2</v>
      </c>
      <c r="I4651">
        <v>96.61</v>
      </c>
      <c r="J4651" s="50">
        <v>193.22</v>
      </c>
      <c r="K4651" t="s">
        <v>1632</v>
      </c>
      <c r="M4651" t="s">
        <v>1621</v>
      </c>
      <c r="N4651">
        <v>50.99</v>
      </c>
      <c r="O4651" s="49">
        <v>44415</v>
      </c>
      <c r="P4651" s="50">
        <v>86.948999999999998</v>
      </c>
    </row>
    <row r="4652" spans="4:16" x14ac:dyDescent="0.2">
      <c r="D4652">
        <v>100002757</v>
      </c>
      <c r="E4652" s="49">
        <v>45087</v>
      </c>
      <c r="F4652" t="s">
        <v>4414</v>
      </c>
      <c r="G4652" t="s">
        <v>2134</v>
      </c>
      <c r="H4652">
        <v>4</v>
      </c>
      <c r="I4652">
        <v>83.8</v>
      </c>
      <c r="J4652" s="50">
        <v>335.2</v>
      </c>
      <c r="K4652" t="s">
        <v>1618</v>
      </c>
      <c r="L4652" t="s">
        <v>2520</v>
      </c>
      <c r="M4652" t="s">
        <v>1619</v>
      </c>
      <c r="N4652">
        <v>44.23</v>
      </c>
      <c r="O4652" s="49">
        <v>45092</v>
      </c>
      <c r="P4652" s="50">
        <v>150.84</v>
      </c>
    </row>
    <row r="4653" spans="4:16" x14ac:dyDescent="0.2">
      <c r="D4653">
        <v>100002758</v>
      </c>
      <c r="E4653" s="49">
        <v>44866</v>
      </c>
      <c r="F4653" t="s">
        <v>4415</v>
      </c>
      <c r="G4653" t="s">
        <v>2344</v>
      </c>
      <c r="H4653">
        <v>6</v>
      </c>
      <c r="I4653">
        <v>48.21</v>
      </c>
      <c r="J4653" s="50">
        <v>289.26</v>
      </c>
      <c r="K4653" t="s">
        <v>1618</v>
      </c>
      <c r="L4653" t="s">
        <v>4416</v>
      </c>
      <c r="M4653" t="s">
        <v>1627</v>
      </c>
      <c r="N4653">
        <v>25.44</v>
      </c>
      <c r="O4653" s="49">
        <v>44869</v>
      </c>
      <c r="P4653" s="50">
        <v>130.167</v>
      </c>
    </row>
    <row r="4654" spans="4:16" x14ac:dyDescent="0.2">
      <c r="D4654">
        <v>100002758</v>
      </c>
      <c r="E4654" s="49">
        <v>45458</v>
      </c>
      <c r="F4654" t="s">
        <v>4415</v>
      </c>
      <c r="G4654" t="s">
        <v>2163</v>
      </c>
      <c r="H4654">
        <v>3</v>
      </c>
      <c r="I4654">
        <v>78.48</v>
      </c>
      <c r="J4654" s="50">
        <v>235.44</v>
      </c>
      <c r="K4654" t="s">
        <v>1618</v>
      </c>
      <c r="L4654" t="s">
        <v>4416</v>
      </c>
      <c r="M4654" t="s">
        <v>1627</v>
      </c>
      <c r="N4654">
        <v>41.42</v>
      </c>
      <c r="O4654" s="49">
        <v>45459</v>
      </c>
      <c r="P4654" s="50">
        <v>105.94800000000001</v>
      </c>
    </row>
    <row r="4655" spans="4:16" x14ac:dyDescent="0.2">
      <c r="D4655">
        <v>100002758</v>
      </c>
      <c r="E4655" s="49">
        <v>44444</v>
      </c>
      <c r="F4655" t="s">
        <v>4415</v>
      </c>
      <c r="G4655" t="s">
        <v>2485</v>
      </c>
      <c r="H4655">
        <v>8</v>
      </c>
      <c r="I4655">
        <v>74.05</v>
      </c>
      <c r="J4655" s="50">
        <v>592.4</v>
      </c>
      <c r="K4655" t="s">
        <v>1618</v>
      </c>
      <c r="L4655" t="s">
        <v>4416</v>
      </c>
      <c r="M4655" t="s">
        <v>1619</v>
      </c>
      <c r="N4655">
        <v>39.08</v>
      </c>
      <c r="O4655" s="49">
        <v>44445</v>
      </c>
      <c r="P4655" s="50">
        <v>266.58</v>
      </c>
    </row>
    <row r="4656" spans="4:16" x14ac:dyDescent="0.2">
      <c r="D4656">
        <v>100002762</v>
      </c>
      <c r="E4656" s="49">
        <v>44208</v>
      </c>
      <c r="F4656" t="s">
        <v>4417</v>
      </c>
      <c r="G4656" t="s">
        <v>2393</v>
      </c>
      <c r="H4656">
        <v>3</v>
      </c>
      <c r="I4656">
        <v>116.91</v>
      </c>
      <c r="J4656" s="50">
        <v>350.73</v>
      </c>
      <c r="K4656" t="s">
        <v>1618</v>
      </c>
      <c r="M4656" t="s">
        <v>1621</v>
      </c>
      <c r="N4656">
        <v>61.7</v>
      </c>
      <c r="O4656" s="49">
        <v>44213</v>
      </c>
      <c r="P4656" s="50">
        <v>157.82850000000002</v>
      </c>
    </row>
    <row r="4657" spans="4:16" x14ac:dyDescent="0.2">
      <c r="D4657">
        <v>100002763</v>
      </c>
      <c r="E4657" s="49">
        <v>45399</v>
      </c>
      <c r="F4657" t="s">
        <v>4418</v>
      </c>
      <c r="G4657" t="s">
        <v>2098</v>
      </c>
      <c r="H4657">
        <v>10</v>
      </c>
      <c r="I4657">
        <v>66.209999999999994</v>
      </c>
      <c r="J4657" s="50">
        <v>662.09999999999991</v>
      </c>
      <c r="K4657" t="s">
        <v>1632</v>
      </c>
      <c r="M4657" t="s">
        <v>1624</v>
      </c>
      <c r="N4657">
        <v>34.94</v>
      </c>
      <c r="O4657" s="49">
        <v>45402</v>
      </c>
      <c r="P4657" s="50">
        <v>297.94499999999999</v>
      </c>
    </row>
    <row r="4658" spans="4:16" x14ac:dyDescent="0.2">
      <c r="D4658">
        <v>100002763</v>
      </c>
      <c r="E4658" s="49">
        <v>45347</v>
      </c>
      <c r="F4658" t="s">
        <v>4418</v>
      </c>
      <c r="G4658" t="s">
        <v>1827</v>
      </c>
      <c r="H4658">
        <v>8</v>
      </c>
      <c r="I4658">
        <v>44.25</v>
      </c>
      <c r="J4658" s="50">
        <v>354</v>
      </c>
      <c r="K4658" t="s">
        <v>1632</v>
      </c>
      <c r="M4658" t="s">
        <v>1621</v>
      </c>
      <c r="N4658">
        <v>23.35</v>
      </c>
      <c r="O4658" s="49">
        <v>45352</v>
      </c>
      <c r="P4658" s="50">
        <v>159.30000000000001</v>
      </c>
    </row>
    <row r="4659" spans="4:16" x14ac:dyDescent="0.2">
      <c r="D4659">
        <v>100002765</v>
      </c>
      <c r="E4659" s="49">
        <v>44817</v>
      </c>
      <c r="F4659" t="s">
        <v>4419</v>
      </c>
      <c r="G4659" t="s">
        <v>1967</v>
      </c>
      <c r="H4659">
        <v>5</v>
      </c>
      <c r="I4659">
        <v>80.819999999999993</v>
      </c>
      <c r="J4659" s="50">
        <v>404.1</v>
      </c>
      <c r="K4659" t="s">
        <v>1632</v>
      </c>
      <c r="M4659" t="s">
        <v>1624</v>
      </c>
      <c r="N4659">
        <v>42.65</v>
      </c>
      <c r="O4659" s="49">
        <v>44818</v>
      </c>
      <c r="P4659" s="50">
        <v>181.84500000000003</v>
      </c>
    </row>
    <row r="4660" spans="4:16" x14ac:dyDescent="0.2">
      <c r="D4660">
        <v>100002765</v>
      </c>
      <c r="E4660" s="49">
        <v>44704</v>
      </c>
      <c r="F4660" t="s">
        <v>4419</v>
      </c>
      <c r="G4660" t="s">
        <v>1841</v>
      </c>
      <c r="H4660">
        <v>10</v>
      </c>
      <c r="I4660">
        <v>54.94</v>
      </c>
      <c r="J4660" s="50">
        <v>549.4</v>
      </c>
      <c r="K4660" t="s">
        <v>1632</v>
      </c>
      <c r="M4660" t="s">
        <v>1627</v>
      </c>
      <c r="N4660">
        <v>29</v>
      </c>
      <c r="O4660" s="49">
        <v>44707</v>
      </c>
      <c r="P4660" s="50">
        <v>247.23</v>
      </c>
    </row>
    <row r="4661" spans="4:16" x14ac:dyDescent="0.2">
      <c r="D4661">
        <v>100002765</v>
      </c>
      <c r="E4661" s="49">
        <v>44735</v>
      </c>
      <c r="F4661" t="s">
        <v>4419</v>
      </c>
      <c r="G4661" t="s">
        <v>1781</v>
      </c>
      <c r="H4661">
        <v>4</v>
      </c>
      <c r="I4661">
        <v>48.26</v>
      </c>
      <c r="J4661" s="50">
        <v>193.04</v>
      </c>
      <c r="K4661" t="s">
        <v>1632</v>
      </c>
      <c r="M4661" t="s">
        <v>1627</v>
      </c>
      <c r="N4661">
        <v>25.47</v>
      </c>
      <c r="O4661" s="49">
        <v>44738</v>
      </c>
      <c r="P4661" s="50">
        <v>86.867999999999995</v>
      </c>
    </row>
    <row r="4662" spans="4:16" x14ac:dyDescent="0.2">
      <c r="D4662">
        <v>100002766</v>
      </c>
      <c r="E4662" s="49">
        <v>45486</v>
      </c>
      <c r="F4662" t="s">
        <v>4420</v>
      </c>
      <c r="G4662" t="s">
        <v>2111</v>
      </c>
      <c r="H4662">
        <v>4</v>
      </c>
      <c r="I4662">
        <v>86.14</v>
      </c>
      <c r="J4662" s="50">
        <v>344.56</v>
      </c>
      <c r="K4662" t="s">
        <v>1632</v>
      </c>
      <c r="M4662" t="s">
        <v>1621</v>
      </c>
      <c r="N4662">
        <v>45.46</v>
      </c>
      <c r="O4662" s="49">
        <v>45488</v>
      </c>
      <c r="P4662" s="50">
        <v>155.05199999999999</v>
      </c>
    </row>
    <row r="4663" spans="4:16" x14ac:dyDescent="0.2">
      <c r="D4663">
        <v>100002766</v>
      </c>
      <c r="E4663" s="49">
        <v>45024</v>
      </c>
      <c r="F4663" t="s">
        <v>4420</v>
      </c>
      <c r="G4663" t="s">
        <v>2147</v>
      </c>
      <c r="H4663">
        <v>7</v>
      </c>
      <c r="I4663">
        <v>30.13</v>
      </c>
      <c r="J4663" s="50">
        <v>210.91</v>
      </c>
      <c r="K4663" t="s">
        <v>1632</v>
      </c>
      <c r="M4663" t="s">
        <v>1629</v>
      </c>
      <c r="N4663">
        <v>15.9</v>
      </c>
      <c r="O4663" s="49">
        <v>45026</v>
      </c>
      <c r="P4663" s="50">
        <v>94.909499999999994</v>
      </c>
    </row>
    <row r="4664" spans="4:16" x14ac:dyDescent="0.2">
      <c r="D4664">
        <v>100002766</v>
      </c>
      <c r="E4664" s="49">
        <v>45374</v>
      </c>
      <c r="F4664" t="s">
        <v>4420</v>
      </c>
      <c r="G4664" t="s">
        <v>2242</v>
      </c>
      <c r="H4664">
        <v>3</v>
      </c>
      <c r="I4664">
        <v>53.6</v>
      </c>
      <c r="J4664" s="50">
        <v>160.80000000000001</v>
      </c>
      <c r="K4664" t="s">
        <v>1632</v>
      </c>
      <c r="M4664" t="s">
        <v>1629</v>
      </c>
      <c r="N4664">
        <v>28.29</v>
      </c>
      <c r="O4664" s="49">
        <v>45376</v>
      </c>
      <c r="P4664" s="50">
        <v>72.360000000000014</v>
      </c>
    </row>
    <row r="4665" spans="4:16" x14ac:dyDescent="0.2">
      <c r="D4665">
        <v>100002767</v>
      </c>
      <c r="E4665" s="49">
        <v>44294</v>
      </c>
      <c r="F4665" t="s">
        <v>4421</v>
      </c>
      <c r="G4665" t="s">
        <v>2213</v>
      </c>
      <c r="H4665">
        <v>8</v>
      </c>
      <c r="I4665">
        <v>73.09</v>
      </c>
      <c r="J4665" s="50">
        <v>584.72</v>
      </c>
      <c r="K4665" t="s">
        <v>1618</v>
      </c>
      <c r="M4665" t="s">
        <v>1627</v>
      </c>
      <c r="N4665">
        <v>38.57</v>
      </c>
      <c r="O4665" s="49">
        <v>44297</v>
      </c>
      <c r="P4665" s="50">
        <v>263.12400000000002</v>
      </c>
    </row>
    <row r="4666" spans="4:16" x14ac:dyDescent="0.2">
      <c r="D4666">
        <v>100002767</v>
      </c>
      <c r="E4666" s="49">
        <v>44671</v>
      </c>
      <c r="F4666" t="s">
        <v>4421</v>
      </c>
      <c r="G4666" t="s">
        <v>2380</v>
      </c>
      <c r="H4666">
        <v>3</v>
      </c>
      <c r="I4666">
        <v>47.28</v>
      </c>
      <c r="J4666" s="50">
        <v>141.84</v>
      </c>
      <c r="K4666" t="s">
        <v>1618</v>
      </c>
      <c r="M4666" t="s">
        <v>1627</v>
      </c>
      <c r="N4666">
        <v>24.95</v>
      </c>
      <c r="O4666" s="49">
        <v>44676</v>
      </c>
      <c r="P4666" s="50">
        <v>63.828000000000003</v>
      </c>
    </row>
    <row r="4667" spans="4:16" x14ac:dyDescent="0.2">
      <c r="D4667">
        <v>100002768</v>
      </c>
      <c r="E4667" s="49">
        <v>44223</v>
      </c>
      <c r="F4667" t="s">
        <v>4422</v>
      </c>
      <c r="G4667" t="s">
        <v>1882</v>
      </c>
      <c r="H4667">
        <v>1</v>
      </c>
      <c r="I4667">
        <v>93.63</v>
      </c>
      <c r="J4667" s="50">
        <v>93.63</v>
      </c>
      <c r="K4667" t="s">
        <v>1618</v>
      </c>
      <c r="M4667" t="s">
        <v>1629</v>
      </c>
      <c r="N4667">
        <v>49.42</v>
      </c>
      <c r="O4667" s="49">
        <v>44225</v>
      </c>
      <c r="P4667" s="50">
        <v>42.133499999999998</v>
      </c>
    </row>
    <row r="4668" spans="4:16" x14ac:dyDescent="0.2">
      <c r="D4668">
        <v>100002769</v>
      </c>
      <c r="E4668" s="49">
        <v>45198</v>
      </c>
      <c r="F4668" t="s">
        <v>4423</v>
      </c>
      <c r="G4668" t="s">
        <v>2263</v>
      </c>
      <c r="H4668">
        <v>6</v>
      </c>
      <c r="I4668">
        <v>67.239999999999995</v>
      </c>
      <c r="J4668" s="50">
        <v>403.43999999999988</v>
      </c>
      <c r="K4668" t="s">
        <v>1632</v>
      </c>
      <c r="M4668" t="s">
        <v>1627</v>
      </c>
      <c r="N4668">
        <v>35.49</v>
      </c>
      <c r="O4668" s="49">
        <v>45203</v>
      </c>
      <c r="P4668" s="50">
        <v>181.54799999999994</v>
      </c>
    </row>
    <row r="4669" spans="4:16" x14ac:dyDescent="0.2">
      <c r="D4669">
        <v>100002769</v>
      </c>
      <c r="E4669" s="49">
        <v>44809</v>
      </c>
      <c r="F4669" t="s">
        <v>4423</v>
      </c>
      <c r="G4669" t="s">
        <v>1900</v>
      </c>
      <c r="H4669">
        <v>3</v>
      </c>
      <c r="I4669">
        <v>95.89</v>
      </c>
      <c r="J4669" s="50">
        <v>287.67</v>
      </c>
      <c r="K4669" t="s">
        <v>1632</v>
      </c>
      <c r="M4669" t="s">
        <v>1627</v>
      </c>
      <c r="N4669">
        <v>50.61</v>
      </c>
      <c r="O4669" s="49">
        <v>44812</v>
      </c>
      <c r="P4669" s="50">
        <v>129.45150000000001</v>
      </c>
    </row>
    <row r="4670" spans="4:16" x14ac:dyDescent="0.2">
      <c r="D4670">
        <v>100002771</v>
      </c>
      <c r="E4670" s="49">
        <v>44579</v>
      </c>
      <c r="F4670" t="s">
        <v>4424</v>
      </c>
      <c r="G4670" t="s">
        <v>2025</v>
      </c>
      <c r="H4670">
        <v>9</v>
      </c>
      <c r="I4670">
        <v>58.51</v>
      </c>
      <c r="J4670" s="50">
        <v>526.59</v>
      </c>
      <c r="K4670" t="s">
        <v>1632</v>
      </c>
      <c r="M4670" t="s">
        <v>1621</v>
      </c>
      <c r="N4670">
        <v>30.88</v>
      </c>
      <c r="O4670" s="49">
        <v>44581</v>
      </c>
      <c r="P4670" s="50">
        <v>236.96550000000002</v>
      </c>
    </row>
    <row r="4671" spans="4:16" x14ac:dyDescent="0.2">
      <c r="D4671">
        <v>100002772</v>
      </c>
      <c r="E4671" s="49">
        <v>45221</v>
      </c>
      <c r="F4671" t="s">
        <v>4425</v>
      </c>
      <c r="G4671" t="s">
        <v>1828</v>
      </c>
      <c r="H4671">
        <v>2</v>
      </c>
      <c r="I4671">
        <v>38.42</v>
      </c>
      <c r="J4671" s="50">
        <v>76.84</v>
      </c>
      <c r="K4671" t="s">
        <v>1632</v>
      </c>
      <c r="M4671" t="s">
        <v>1627</v>
      </c>
      <c r="N4671">
        <v>20.28</v>
      </c>
      <c r="O4671" s="49">
        <v>45222</v>
      </c>
      <c r="P4671" s="50">
        <v>34.578000000000003</v>
      </c>
    </row>
    <row r="4672" spans="4:16" x14ac:dyDescent="0.2">
      <c r="D4672">
        <v>100002772</v>
      </c>
      <c r="E4672" s="49">
        <v>45626</v>
      </c>
      <c r="F4672" t="s">
        <v>4425</v>
      </c>
      <c r="G4672" t="s">
        <v>1738</v>
      </c>
      <c r="H4672">
        <v>5</v>
      </c>
      <c r="I4672">
        <v>43.99</v>
      </c>
      <c r="J4672" s="50">
        <v>219.95</v>
      </c>
      <c r="K4672" t="s">
        <v>1632</v>
      </c>
      <c r="M4672" t="s">
        <v>1624</v>
      </c>
      <c r="N4672">
        <v>23.22</v>
      </c>
      <c r="O4672" s="49">
        <v>45629</v>
      </c>
      <c r="P4672" s="50">
        <v>98.977499999999992</v>
      </c>
    </row>
    <row r="4673" spans="4:16" x14ac:dyDescent="0.2">
      <c r="D4673">
        <v>100002776</v>
      </c>
      <c r="E4673" s="49">
        <v>44349</v>
      </c>
      <c r="F4673" t="s">
        <v>4426</v>
      </c>
      <c r="G4673" t="s">
        <v>2182</v>
      </c>
      <c r="H4673">
        <v>2</v>
      </c>
      <c r="I4673">
        <v>45.31</v>
      </c>
      <c r="J4673" s="50">
        <v>90.62</v>
      </c>
      <c r="K4673" t="s">
        <v>1618</v>
      </c>
      <c r="L4673" t="s">
        <v>2091</v>
      </c>
      <c r="M4673" t="s">
        <v>1629</v>
      </c>
      <c r="N4673">
        <v>23.91</v>
      </c>
      <c r="O4673" s="49">
        <v>44353</v>
      </c>
      <c r="P4673" s="50">
        <v>40.779000000000003</v>
      </c>
    </row>
    <row r="4674" spans="4:16" x14ac:dyDescent="0.2">
      <c r="D4674">
        <v>100002776</v>
      </c>
      <c r="E4674" s="49">
        <v>45040</v>
      </c>
      <c r="F4674" t="s">
        <v>4426</v>
      </c>
      <c r="G4674" t="s">
        <v>2343</v>
      </c>
      <c r="H4674">
        <v>2</v>
      </c>
      <c r="I4674">
        <v>72.23</v>
      </c>
      <c r="J4674" s="50">
        <v>144.46</v>
      </c>
      <c r="K4674" t="s">
        <v>1618</v>
      </c>
      <c r="L4674" t="s">
        <v>2091</v>
      </c>
      <c r="M4674" t="s">
        <v>1627</v>
      </c>
      <c r="N4674">
        <v>38.119999999999997</v>
      </c>
      <c r="O4674" s="49">
        <v>45041</v>
      </c>
      <c r="P4674" s="50">
        <v>65.007000000000005</v>
      </c>
    </row>
    <row r="4675" spans="4:16" x14ac:dyDescent="0.2">
      <c r="D4675">
        <v>100002776</v>
      </c>
      <c r="E4675" s="49">
        <v>44326</v>
      </c>
      <c r="F4675" t="s">
        <v>4426</v>
      </c>
      <c r="G4675" t="s">
        <v>2086</v>
      </c>
      <c r="H4675">
        <v>7</v>
      </c>
      <c r="I4675">
        <v>98.62</v>
      </c>
      <c r="J4675" s="50">
        <v>690.34</v>
      </c>
      <c r="K4675" t="s">
        <v>1618</v>
      </c>
      <c r="L4675" t="s">
        <v>2091</v>
      </c>
      <c r="M4675" t="s">
        <v>1627</v>
      </c>
      <c r="N4675">
        <v>52.05</v>
      </c>
      <c r="O4675" s="49">
        <v>44328</v>
      </c>
      <c r="P4675" s="50">
        <v>310.65300000000002</v>
      </c>
    </row>
    <row r="4676" spans="4:16" x14ac:dyDescent="0.2">
      <c r="D4676">
        <v>100002776</v>
      </c>
      <c r="E4676" s="49">
        <v>44535</v>
      </c>
      <c r="F4676" t="s">
        <v>4426</v>
      </c>
      <c r="G4676" t="s">
        <v>1893</v>
      </c>
      <c r="H4676">
        <v>7</v>
      </c>
      <c r="I4676">
        <v>117.16</v>
      </c>
      <c r="J4676" s="50">
        <v>820.12</v>
      </c>
      <c r="K4676" t="s">
        <v>1618</v>
      </c>
      <c r="L4676" t="s">
        <v>2091</v>
      </c>
      <c r="M4676" t="s">
        <v>1627</v>
      </c>
      <c r="N4676">
        <v>61.83</v>
      </c>
      <c r="O4676" s="49">
        <v>44540</v>
      </c>
      <c r="P4676" s="50">
        <v>369.05400000000003</v>
      </c>
    </row>
    <row r="4677" spans="4:16" x14ac:dyDescent="0.2">
      <c r="D4677">
        <v>100002776</v>
      </c>
      <c r="E4677" s="49">
        <v>44566</v>
      </c>
      <c r="F4677" t="s">
        <v>4426</v>
      </c>
      <c r="G4677" t="s">
        <v>2142</v>
      </c>
      <c r="H4677">
        <v>9</v>
      </c>
      <c r="I4677">
        <v>49.14</v>
      </c>
      <c r="J4677" s="50">
        <v>442.26</v>
      </c>
      <c r="K4677" t="s">
        <v>1618</v>
      </c>
      <c r="L4677" t="s">
        <v>2091</v>
      </c>
      <c r="M4677" t="s">
        <v>1624</v>
      </c>
      <c r="N4677">
        <v>25.93</v>
      </c>
      <c r="O4677" s="49">
        <v>44571</v>
      </c>
      <c r="P4677" s="50">
        <v>199.017</v>
      </c>
    </row>
    <row r="4678" spans="4:16" x14ac:dyDescent="0.2">
      <c r="D4678">
        <v>100002776</v>
      </c>
      <c r="E4678" s="49">
        <v>45371</v>
      </c>
      <c r="F4678" t="s">
        <v>4426</v>
      </c>
      <c r="G4678" t="s">
        <v>1639</v>
      </c>
      <c r="H4678">
        <v>10</v>
      </c>
      <c r="I4678">
        <v>46.75</v>
      </c>
      <c r="J4678" s="50">
        <v>467.5</v>
      </c>
      <c r="K4678" t="s">
        <v>1618</v>
      </c>
      <c r="L4678" t="s">
        <v>2091</v>
      </c>
      <c r="M4678" t="s">
        <v>1629</v>
      </c>
      <c r="N4678">
        <v>24.67</v>
      </c>
      <c r="O4678" s="49">
        <v>45372</v>
      </c>
      <c r="P4678" s="50">
        <v>210.375</v>
      </c>
    </row>
    <row r="4679" spans="4:16" x14ac:dyDescent="0.2">
      <c r="D4679">
        <v>100002777</v>
      </c>
      <c r="E4679" s="49">
        <v>44693</v>
      </c>
      <c r="F4679" t="s">
        <v>4427</v>
      </c>
      <c r="G4679" t="s">
        <v>1710</v>
      </c>
      <c r="H4679">
        <v>6</v>
      </c>
      <c r="I4679">
        <v>115.9</v>
      </c>
      <c r="J4679" s="50">
        <v>695.40000000000009</v>
      </c>
      <c r="K4679" t="s">
        <v>1618</v>
      </c>
      <c r="M4679" t="s">
        <v>1621</v>
      </c>
      <c r="N4679">
        <v>61.17</v>
      </c>
      <c r="O4679" s="49">
        <v>44695</v>
      </c>
      <c r="P4679" s="50">
        <v>312.93000000000006</v>
      </c>
    </row>
    <row r="4680" spans="4:16" x14ac:dyDescent="0.2">
      <c r="D4680">
        <v>100002778</v>
      </c>
      <c r="E4680" s="49">
        <v>45186</v>
      </c>
      <c r="F4680" t="s">
        <v>3580</v>
      </c>
      <c r="G4680" t="s">
        <v>1729</v>
      </c>
      <c r="H4680">
        <v>7</v>
      </c>
      <c r="I4680">
        <v>92.41</v>
      </c>
      <c r="J4680" s="50">
        <v>646.87</v>
      </c>
      <c r="K4680" t="s">
        <v>1632</v>
      </c>
      <c r="L4680" t="s">
        <v>4428</v>
      </c>
      <c r="M4680" t="s">
        <v>1629</v>
      </c>
      <c r="N4680">
        <v>48.77</v>
      </c>
      <c r="O4680" s="49">
        <v>45191</v>
      </c>
      <c r="P4680" s="50">
        <v>291.0915</v>
      </c>
    </row>
    <row r="4681" spans="4:16" x14ac:dyDescent="0.2">
      <c r="D4681">
        <v>100002778</v>
      </c>
      <c r="E4681" s="49">
        <v>45619</v>
      </c>
      <c r="F4681" t="s">
        <v>3580</v>
      </c>
      <c r="G4681" t="s">
        <v>2191</v>
      </c>
      <c r="H4681">
        <v>3</v>
      </c>
      <c r="I4681">
        <v>89.48</v>
      </c>
      <c r="J4681" s="50">
        <v>268.44</v>
      </c>
      <c r="K4681" t="s">
        <v>1632</v>
      </c>
      <c r="L4681" t="s">
        <v>4428</v>
      </c>
      <c r="M4681" t="s">
        <v>1629</v>
      </c>
      <c r="N4681">
        <v>47.23</v>
      </c>
      <c r="O4681" s="49">
        <v>45623</v>
      </c>
      <c r="P4681" s="50">
        <v>120.798</v>
      </c>
    </row>
    <row r="4682" spans="4:16" x14ac:dyDescent="0.2">
      <c r="D4682">
        <v>100002778</v>
      </c>
      <c r="E4682" s="49">
        <v>45456</v>
      </c>
      <c r="F4682" t="s">
        <v>3580</v>
      </c>
      <c r="G4682" t="s">
        <v>2291</v>
      </c>
      <c r="H4682">
        <v>4</v>
      </c>
      <c r="I4682">
        <v>70.27</v>
      </c>
      <c r="J4682" s="50">
        <v>281.08</v>
      </c>
      <c r="K4682" t="s">
        <v>1632</v>
      </c>
      <c r="L4682" t="s">
        <v>4428</v>
      </c>
      <c r="M4682" t="s">
        <v>1629</v>
      </c>
      <c r="N4682">
        <v>37.090000000000003</v>
      </c>
      <c r="O4682" s="49">
        <v>45459</v>
      </c>
      <c r="P4682" s="50">
        <v>126.48599999999999</v>
      </c>
    </row>
    <row r="4683" spans="4:16" x14ac:dyDescent="0.2">
      <c r="D4683">
        <v>100002779</v>
      </c>
      <c r="E4683" s="49">
        <v>45650</v>
      </c>
      <c r="F4683" t="s">
        <v>4429</v>
      </c>
      <c r="G4683" t="s">
        <v>2328</v>
      </c>
      <c r="H4683">
        <v>4</v>
      </c>
      <c r="I4683">
        <v>73.83</v>
      </c>
      <c r="J4683" s="50">
        <v>295.32</v>
      </c>
      <c r="K4683" t="s">
        <v>1632</v>
      </c>
      <c r="M4683" t="s">
        <v>1624</v>
      </c>
      <c r="N4683">
        <v>38.97</v>
      </c>
      <c r="O4683" s="49">
        <v>45655</v>
      </c>
      <c r="P4683" s="50">
        <v>132.89400000000001</v>
      </c>
    </row>
    <row r="4684" spans="4:16" x14ac:dyDescent="0.2">
      <c r="D4684">
        <v>100002779</v>
      </c>
      <c r="E4684" s="49">
        <v>45325</v>
      </c>
      <c r="F4684" t="s">
        <v>4429</v>
      </c>
      <c r="G4684" t="s">
        <v>1944</v>
      </c>
      <c r="H4684">
        <v>2</v>
      </c>
      <c r="I4684">
        <v>104.33</v>
      </c>
      <c r="J4684" s="50">
        <v>208.66</v>
      </c>
      <c r="K4684" t="s">
        <v>1632</v>
      </c>
      <c r="M4684" t="s">
        <v>1624</v>
      </c>
      <c r="N4684">
        <v>55.06</v>
      </c>
      <c r="O4684" s="49">
        <v>45326</v>
      </c>
      <c r="P4684" s="50">
        <v>93.897000000000006</v>
      </c>
    </row>
    <row r="4685" spans="4:16" x14ac:dyDescent="0.2">
      <c r="D4685">
        <v>100002780</v>
      </c>
      <c r="E4685" s="49">
        <v>45272</v>
      </c>
      <c r="F4685" t="s">
        <v>4430</v>
      </c>
      <c r="G4685" t="s">
        <v>2074</v>
      </c>
      <c r="H4685">
        <v>1</v>
      </c>
      <c r="I4685">
        <v>56.18</v>
      </c>
      <c r="J4685" s="50">
        <v>56.18</v>
      </c>
      <c r="K4685" t="s">
        <v>1618</v>
      </c>
      <c r="L4685" t="s">
        <v>4431</v>
      </c>
      <c r="M4685" t="s">
        <v>1624</v>
      </c>
      <c r="N4685">
        <v>29.65</v>
      </c>
      <c r="O4685" s="49">
        <v>45276</v>
      </c>
      <c r="P4685" s="50">
        <v>25.280999999999999</v>
      </c>
    </row>
    <row r="4686" spans="4:16" x14ac:dyDescent="0.2">
      <c r="D4686">
        <v>100002781</v>
      </c>
      <c r="E4686" s="49">
        <v>45570</v>
      </c>
      <c r="F4686" t="s">
        <v>4432</v>
      </c>
      <c r="G4686" t="s">
        <v>1676</v>
      </c>
      <c r="H4686">
        <v>7</v>
      </c>
      <c r="I4686">
        <v>85.27</v>
      </c>
      <c r="J4686" s="50">
        <v>596.89</v>
      </c>
      <c r="K4686" t="s">
        <v>1618</v>
      </c>
      <c r="L4686" t="s">
        <v>4433</v>
      </c>
      <c r="M4686" t="s">
        <v>1627</v>
      </c>
      <c r="N4686">
        <v>45</v>
      </c>
      <c r="O4686" s="49">
        <v>45572</v>
      </c>
      <c r="P4686" s="50">
        <v>268.60050000000001</v>
      </c>
    </row>
    <row r="4687" spans="4:16" x14ac:dyDescent="0.2">
      <c r="D4687">
        <v>100002782</v>
      </c>
      <c r="E4687" s="49">
        <v>44552</v>
      </c>
      <c r="F4687" t="s">
        <v>4434</v>
      </c>
      <c r="G4687" t="s">
        <v>1853</v>
      </c>
      <c r="H4687">
        <v>8</v>
      </c>
      <c r="I4687">
        <v>13.51</v>
      </c>
      <c r="J4687" s="50">
        <v>108.08</v>
      </c>
      <c r="K4687" t="s">
        <v>1632</v>
      </c>
      <c r="L4687" t="s">
        <v>4435</v>
      </c>
      <c r="M4687" t="s">
        <v>1629</v>
      </c>
      <c r="N4687">
        <v>7.13</v>
      </c>
      <c r="O4687" s="49">
        <v>44555</v>
      </c>
      <c r="P4687" s="50">
        <v>48.636000000000003</v>
      </c>
    </row>
    <row r="4688" spans="4:16" x14ac:dyDescent="0.2">
      <c r="D4688">
        <v>100002782</v>
      </c>
      <c r="E4688" s="49">
        <v>44526</v>
      </c>
      <c r="F4688" t="s">
        <v>4434</v>
      </c>
      <c r="G4688" t="s">
        <v>2069</v>
      </c>
      <c r="H4688">
        <v>9</v>
      </c>
      <c r="I4688">
        <v>81.239999999999995</v>
      </c>
      <c r="J4688" s="50">
        <v>731.16</v>
      </c>
      <c r="K4688" t="s">
        <v>1632</v>
      </c>
      <c r="L4688" t="s">
        <v>4435</v>
      </c>
      <c r="M4688" t="s">
        <v>1627</v>
      </c>
      <c r="N4688">
        <v>42.88</v>
      </c>
      <c r="O4688" s="49">
        <v>44530</v>
      </c>
      <c r="P4688" s="50">
        <v>329.02199999999999</v>
      </c>
    </row>
    <row r="4689" spans="4:16" x14ac:dyDescent="0.2">
      <c r="D4689">
        <v>100002784</v>
      </c>
      <c r="E4689" s="49">
        <v>45205</v>
      </c>
      <c r="F4689" t="s">
        <v>4436</v>
      </c>
      <c r="G4689" t="s">
        <v>1691</v>
      </c>
      <c r="H4689">
        <v>6</v>
      </c>
      <c r="I4689">
        <v>45.57</v>
      </c>
      <c r="J4689" s="50">
        <v>273.42</v>
      </c>
      <c r="K4689" t="s">
        <v>1618</v>
      </c>
      <c r="M4689" t="s">
        <v>1629</v>
      </c>
      <c r="N4689">
        <v>24.05</v>
      </c>
      <c r="O4689" s="49">
        <v>45209</v>
      </c>
      <c r="P4689" s="50">
        <v>123.03900000000002</v>
      </c>
    </row>
    <row r="4690" spans="4:16" x14ac:dyDescent="0.2">
      <c r="D4690">
        <v>100002784</v>
      </c>
      <c r="E4690" s="49">
        <v>44317</v>
      </c>
      <c r="F4690" t="s">
        <v>4436</v>
      </c>
      <c r="G4690" t="s">
        <v>1733</v>
      </c>
      <c r="H4690">
        <v>9</v>
      </c>
      <c r="I4690">
        <v>35.18</v>
      </c>
      <c r="J4690" s="50">
        <v>316.62</v>
      </c>
      <c r="K4690" t="s">
        <v>1618</v>
      </c>
      <c r="M4690" t="s">
        <v>1621</v>
      </c>
      <c r="N4690">
        <v>18.57</v>
      </c>
      <c r="O4690" s="49">
        <v>44321</v>
      </c>
      <c r="P4690" s="50">
        <v>142.47900000000001</v>
      </c>
    </row>
    <row r="4691" spans="4:16" x14ac:dyDescent="0.2">
      <c r="D4691">
        <v>100002784</v>
      </c>
      <c r="E4691" s="49">
        <v>44783</v>
      </c>
      <c r="F4691" t="s">
        <v>4436</v>
      </c>
      <c r="G4691" t="s">
        <v>2484</v>
      </c>
      <c r="H4691">
        <v>4</v>
      </c>
      <c r="I4691">
        <v>68.5</v>
      </c>
      <c r="J4691" s="50">
        <v>274</v>
      </c>
      <c r="K4691" t="s">
        <v>1618</v>
      </c>
      <c r="M4691" t="s">
        <v>1619</v>
      </c>
      <c r="N4691">
        <v>36.15</v>
      </c>
      <c r="O4691" s="49">
        <v>44787</v>
      </c>
      <c r="P4691" s="50">
        <v>123.3</v>
      </c>
    </row>
    <row r="4692" spans="4:16" x14ac:dyDescent="0.2">
      <c r="D4692">
        <v>100002784</v>
      </c>
      <c r="E4692" s="49">
        <v>45142</v>
      </c>
      <c r="F4692" t="s">
        <v>4436</v>
      </c>
      <c r="G4692" t="s">
        <v>1830</v>
      </c>
      <c r="H4692">
        <v>3</v>
      </c>
      <c r="I4692">
        <v>42.85</v>
      </c>
      <c r="J4692" s="50">
        <v>128.55000000000001</v>
      </c>
      <c r="K4692" t="s">
        <v>1618</v>
      </c>
      <c r="M4692" t="s">
        <v>1624</v>
      </c>
      <c r="N4692">
        <v>22.62</v>
      </c>
      <c r="O4692" s="49">
        <v>45147</v>
      </c>
      <c r="P4692" s="50">
        <v>57.847500000000004</v>
      </c>
    </row>
    <row r="4693" spans="4:16" x14ac:dyDescent="0.2">
      <c r="D4693">
        <v>100002785</v>
      </c>
      <c r="E4693" s="49">
        <v>45573</v>
      </c>
      <c r="F4693" t="s">
        <v>4437</v>
      </c>
      <c r="G4693" t="s">
        <v>1973</v>
      </c>
      <c r="H4693">
        <v>9</v>
      </c>
      <c r="I4693">
        <v>90.93</v>
      </c>
      <c r="J4693" s="50">
        <v>818.37000000000012</v>
      </c>
      <c r="K4693" t="s">
        <v>1618</v>
      </c>
      <c r="M4693" t="s">
        <v>1621</v>
      </c>
      <c r="N4693">
        <v>47.99</v>
      </c>
      <c r="O4693" s="49">
        <v>45578</v>
      </c>
      <c r="P4693" s="50">
        <v>368.26650000000006</v>
      </c>
    </row>
    <row r="4694" spans="4:16" x14ac:dyDescent="0.2">
      <c r="D4694">
        <v>100002787</v>
      </c>
      <c r="E4694" s="49">
        <v>45317</v>
      </c>
      <c r="F4694" t="s">
        <v>4438</v>
      </c>
      <c r="G4694" t="s">
        <v>1932</v>
      </c>
      <c r="H4694">
        <v>1</v>
      </c>
      <c r="I4694">
        <v>56.06</v>
      </c>
      <c r="J4694" s="50">
        <v>56.06</v>
      </c>
      <c r="K4694" t="s">
        <v>1618</v>
      </c>
      <c r="M4694" t="s">
        <v>1627</v>
      </c>
      <c r="N4694">
        <v>29.59</v>
      </c>
      <c r="O4694" s="49">
        <v>45321</v>
      </c>
      <c r="P4694" s="50">
        <v>25.227</v>
      </c>
    </row>
    <row r="4695" spans="4:16" x14ac:dyDescent="0.2">
      <c r="D4695">
        <v>100002787</v>
      </c>
      <c r="E4695" s="49">
        <v>45647</v>
      </c>
      <c r="F4695" t="s">
        <v>4438</v>
      </c>
      <c r="G4695" t="s">
        <v>1913</v>
      </c>
      <c r="H4695">
        <v>3</v>
      </c>
      <c r="I4695">
        <v>40.520000000000003</v>
      </c>
      <c r="J4695" s="50">
        <v>121.56</v>
      </c>
      <c r="K4695" t="s">
        <v>1618</v>
      </c>
      <c r="M4695" t="s">
        <v>1624</v>
      </c>
      <c r="N4695">
        <v>21.39</v>
      </c>
      <c r="O4695" s="49">
        <v>45651</v>
      </c>
      <c r="P4695" s="50">
        <v>54.702000000000005</v>
      </c>
    </row>
    <row r="4696" spans="4:16" x14ac:dyDescent="0.2">
      <c r="D4696">
        <v>100002788</v>
      </c>
      <c r="E4696" s="49">
        <v>45618</v>
      </c>
      <c r="F4696" t="s">
        <v>4439</v>
      </c>
      <c r="G4696" t="s">
        <v>1943</v>
      </c>
      <c r="H4696">
        <v>10</v>
      </c>
      <c r="I4696">
        <v>96.86</v>
      </c>
      <c r="J4696" s="50">
        <v>968.6</v>
      </c>
      <c r="K4696" t="s">
        <v>1618</v>
      </c>
      <c r="L4696" t="s">
        <v>4440</v>
      </c>
      <c r="M4696" t="s">
        <v>1621</v>
      </c>
      <c r="N4696">
        <v>51.12</v>
      </c>
      <c r="O4696" s="49">
        <v>45619</v>
      </c>
      <c r="P4696" s="50">
        <v>435.87</v>
      </c>
    </row>
    <row r="4697" spans="4:16" x14ac:dyDescent="0.2">
      <c r="D4697">
        <v>100002790</v>
      </c>
      <c r="E4697" s="49">
        <v>44212</v>
      </c>
      <c r="F4697" t="s">
        <v>4441</v>
      </c>
      <c r="G4697" t="s">
        <v>1758</v>
      </c>
      <c r="H4697">
        <v>10</v>
      </c>
      <c r="I4697">
        <v>61.2</v>
      </c>
      <c r="J4697" s="50">
        <v>612</v>
      </c>
      <c r="K4697" t="s">
        <v>1618</v>
      </c>
      <c r="M4697" t="s">
        <v>1619</v>
      </c>
      <c r="N4697">
        <v>32.299999999999997</v>
      </c>
      <c r="O4697" s="49">
        <v>44215</v>
      </c>
      <c r="P4697" s="50">
        <v>275.40000000000003</v>
      </c>
    </row>
    <row r="4698" spans="4:16" x14ac:dyDescent="0.2">
      <c r="D4698">
        <v>100002790</v>
      </c>
      <c r="E4698" s="49">
        <v>44355</v>
      </c>
      <c r="F4698" t="s">
        <v>4441</v>
      </c>
      <c r="G4698" t="s">
        <v>1676</v>
      </c>
      <c r="H4698">
        <v>10</v>
      </c>
      <c r="I4698">
        <v>52.74</v>
      </c>
      <c r="J4698" s="50">
        <v>527.4</v>
      </c>
      <c r="K4698" t="s">
        <v>1618</v>
      </c>
      <c r="M4698" t="s">
        <v>1624</v>
      </c>
      <c r="N4698">
        <v>27.83</v>
      </c>
      <c r="O4698" s="49">
        <v>44356</v>
      </c>
      <c r="P4698" s="50">
        <v>237.32999999999998</v>
      </c>
    </row>
    <row r="4699" spans="4:16" x14ac:dyDescent="0.2">
      <c r="D4699">
        <v>100002790</v>
      </c>
      <c r="E4699" s="49">
        <v>44331</v>
      </c>
      <c r="F4699" t="s">
        <v>4441</v>
      </c>
      <c r="G4699" t="s">
        <v>1910</v>
      </c>
      <c r="H4699">
        <v>6</v>
      </c>
      <c r="I4699">
        <v>117.72</v>
      </c>
      <c r="J4699" s="50">
        <v>706.31999999999994</v>
      </c>
      <c r="K4699" t="s">
        <v>1618</v>
      </c>
      <c r="M4699" t="s">
        <v>1629</v>
      </c>
      <c r="N4699">
        <v>62.13</v>
      </c>
      <c r="O4699" s="49">
        <v>44335</v>
      </c>
      <c r="P4699" s="50">
        <v>317.84399999999999</v>
      </c>
    </row>
    <row r="4700" spans="4:16" x14ac:dyDescent="0.2">
      <c r="D4700">
        <v>100002791</v>
      </c>
      <c r="E4700" s="49">
        <v>45572</v>
      </c>
      <c r="F4700" t="s">
        <v>4442</v>
      </c>
      <c r="G4700" t="s">
        <v>1702</v>
      </c>
      <c r="H4700">
        <v>2</v>
      </c>
      <c r="I4700">
        <v>29.25</v>
      </c>
      <c r="J4700" s="50">
        <v>58.5</v>
      </c>
      <c r="K4700" t="s">
        <v>1618</v>
      </c>
      <c r="L4700" t="s">
        <v>2714</v>
      </c>
      <c r="M4700" t="s">
        <v>1629</v>
      </c>
      <c r="N4700">
        <v>15.44</v>
      </c>
      <c r="O4700" s="49">
        <v>45577</v>
      </c>
      <c r="P4700" s="50">
        <v>26.324999999999999</v>
      </c>
    </row>
    <row r="4701" spans="4:16" x14ac:dyDescent="0.2">
      <c r="D4701">
        <v>100002793</v>
      </c>
      <c r="E4701" s="49">
        <v>44241</v>
      </c>
      <c r="F4701" t="s">
        <v>4443</v>
      </c>
      <c r="G4701" t="s">
        <v>1671</v>
      </c>
      <c r="H4701">
        <v>9</v>
      </c>
      <c r="I4701">
        <v>102.62</v>
      </c>
      <c r="J4701" s="50">
        <v>923.58</v>
      </c>
      <c r="K4701" t="s">
        <v>1632</v>
      </c>
      <c r="M4701" t="s">
        <v>1629</v>
      </c>
      <c r="N4701">
        <v>54.16</v>
      </c>
      <c r="O4701" s="49">
        <v>44245</v>
      </c>
      <c r="P4701" s="50">
        <v>415.61100000000005</v>
      </c>
    </row>
    <row r="4702" spans="4:16" x14ac:dyDescent="0.2">
      <c r="D4702">
        <v>100002794</v>
      </c>
      <c r="E4702" s="49">
        <v>44422</v>
      </c>
      <c r="F4702" t="s">
        <v>4444</v>
      </c>
      <c r="G4702" t="s">
        <v>1897</v>
      </c>
      <c r="H4702">
        <v>7</v>
      </c>
      <c r="I4702">
        <v>94.49</v>
      </c>
      <c r="J4702" s="50">
        <v>661.43</v>
      </c>
      <c r="K4702" t="s">
        <v>1618</v>
      </c>
      <c r="L4702" t="s">
        <v>3509</v>
      </c>
      <c r="M4702" t="s">
        <v>1629</v>
      </c>
      <c r="N4702">
        <v>49.87</v>
      </c>
      <c r="O4702" s="49">
        <v>44425</v>
      </c>
      <c r="P4702" s="50">
        <v>297.64349999999996</v>
      </c>
    </row>
    <row r="4703" spans="4:16" x14ac:dyDescent="0.2">
      <c r="D4703">
        <v>100002794</v>
      </c>
      <c r="E4703" s="49">
        <v>45149</v>
      </c>
      <c r="F4703" t="s">
        <v>4444</v>
      </c>
      <c r="G4703" t="s">
        <v>2182</v>
      </c>
      <c r="H4703">
        <v>1</v>
      </c>
      <c r="I4703">
        <v>26.24</v>
      </c>
      <c r="J4703" s="50">
        <v>26.24</v>
      </c>
      <c r="K4703" t="s">
        <v>1618</v>
      </c>
      <c r="L4703" t="s">
        <v>3509</v>
      </c>
      <c r="M4703" t="s">
        <v>1627</v>
      </c>
      <c r="N4703">
        <v>13.85</v>
      </c>
      <c r="O4703" s="49">
        <v>45154</v>
      </c>
      <c r="P4703" s="50">
        <v>11.808</v>
      </c>
    </row>
    <row r="4704" spans="4:16" x14ac:dyDescent="0.2">
      <c r="D4704">
        <v>100002795</v>
      </c>
      <c r="E4704" s="49">
        <v>44268</v>
      </c>
      <c r="F4704" t="s">
        <v>4445</v>
      </c>
      <c r="G4704" t="s">
        <v>1825</v>
      </c>
      <c r="H4704">
        <v>2</v>
      </c>
      <c r="I4704">
        <v>70</v>
      </c>
      <c r="J4704" s="50">
        <v>140</v>
      </c>
      <c r="K4704" t="s">
        <v>1632</v>
      </c>
      <c r="L4704" t="s">
        <v>4446</v>
      </c>
      <c r="M4704" t="s">
        <v>1627</v>
      </c>
      <c r="N4704">
        <v>36.94</v>
      </c>
      <c r="O4704" s="49">
        <v>44271</v>
      </c>
      <c r="P4704" s="50">
        <v>63</v>
      </c>
    </row>
    <row r="4705" spans="4:16" x14ac:dyDescent="0.2">
      <c r="D4705">
        <v>100002795</v>
      </c>
      <c r="E4705" s="49">
        <v>44805</v>
      </c>
      <c r="F4705" t="s">
        <v>4445</v>
      </c>
      <c r="G4705" t="s">
        <v>1754</v>
      </c>
      <c r="H4705">
        <v>10</v>
      </c>
      <c r="I4705">
        <v>37.04</v>
      </c>
      <c r="J4705" s="50">
        <v>370.4</v>
      </c>
      <c r="K4705" t="s">
        <v>1632</v>
      </c>
      <c r="L4705" t="s">
        <v>4446</v>
      </c>
      <c r="M4705" t="s">
        <v>1621</v>
      </c>
      <c r="N4705">
        <v>19.55</v>
      </c>
      <c r="O4705" s="49">
        <v>44807</v>
      </c>
      <c r="P4705" s="50">
        <v>166.68</v>
      </c>
    </row>
    <row r="4706" spans="4:16" x14ac:dyDescent="0.2">
      <c r="D4706">
        <v>100002796</v>
      </c>
      <c r="E4706" s="49">
        <v>44413</v>
      </c>
      <c r="F4706" t="s">
        <v>4447</v>
      </c>
      <c r="G4706" t="s">
        <v>2328</v>
      </c>
      <c r="H4706">
        <v>8</v>
      </c>
      <c r="I4706">
        <v>102.33</v>
      </c>
      <c r="J4706" s="50">
        <v>818.64</v>
      </c>
      <c r="K4706" t="s">
        <v>1618</v>
      </c>
      <c r="M4706" t="s">
        <v>1619</v>
      </c>
      <c r="N4706">
        <v>54.01</v>
      </c>
      <c r="O4706" s="49">
        <v>44417</v>
      </c>
      <c r="P4706" s="50">
        <v>368.38799999999998</v>
      </c>
    </row>
    <row r="4707" spans="4:16" x14ac:dyDescent="0.2">
      <c r="D4707">
        <v>100002797</v>
      </c>
      <c r="E4707" s="49">
        <v>45274</v>
      </c>
      <c r="F4707" t="s">
        <v>4448</v>
      </c>
      <c r="G4707" t="s">
        <v>1785</v>
      </c>
      <c r="H4707">
        <v>1</v>
      </c>
      <c r="I4707">
        <v>27.13</v>
      </c>
      <c r="J4707" s="50">
        <v>27.13</v>
      </c>
      <c r="K4707" t="s">
        <v>1632</v>
      </c>
      <c r="M4707" t="s">
        <v>1619</v>
      </c>
      <c r="N4707">
        <v>14.32</v>
      </c>
      <c r="O4707" s="49">
        <v>45276</v>
      </c>
      <c r="P4707" s="50">
        <v>12.208499999999999</v>
      </c>
    </row>
    <row r="4708" spans="4:16" x14ac:dyDescent="0.2">
      <c r="D4708">
        <v>100002797</v>
      </c>
      <c r="E4708" s="49">
        <v>44820</v>
      </c>
      <c r="F4708" t="s">
        <v>4448</v>
      </c>
      <c r="G4708" t="s">
        <v>2240</v>
      </c>
      <c r="H4708">
        <v>4</v>
      </c>
      <c r="I4708">
        <v>72.37</v>
      </c>
      <c r="J4708" s="50">
        <v>289.48</v>
      </c>
      <c r="K4708" t="s">
        <v>1632</v>
      </c>
      <c r="M4708" t="s">
        <v>1619</v>
      </c>
      <c r="N4708">
        <v>38.200000000000003</v>
      </c>
      <c r="O4708" s="49">
        <v>44823</v>
      </c>
      <c r="P4708" s="50">
        <v>130.26600000000002</v>
      </c>
    </row>
    <row r="4709" spans="4:16" x14ac:dyDescent="0.2">
      <c r="D4709">
        <v>100002798</v>
      </c>
      <c r="E4709" s="49">
        <v>45588</v>
      </c>
      <c r="F4709" t="s">
        <v>4449</v>
      </c>
      <c r="G4709" t="s">
        <v>2103</v>
      </c>
      <c r="H4709">
        <v>2</v>
      </c>
      <c r="I4709">
        <v>79.06</v>
      </c>
      <c r="J4709" s="50">
        <v>158.12</v>
      </c>
      <c r="K4709" t="s">
        <v>1618</v>
      </c>
      <c r="M4709" t="s">
        <v>1624</v>
      </c>
      <c r="N4709">
        <v>41.73</v>
      </c>
      <c r="O4709" s="49">
        <v>45590</v>
      </c>
      <c r="P4709" s="50">
        <v>71.154000000000011</v>
      </c>
    </row>
    <row r="4710" spans="4:16" x14ac:dyDescent="0.2">
      <c r="D4710">
        <v>100002798</v>
      </c>
      <c r="E4710" s="49">
        <v>44454</v>
      </c>
      <c r="F4710" t="s">
        <v>4449</v>
      </c>
      <c r="G4710" t="s">
        <v>2242</v>
      </c>
      <c r="H4710">
        <v>10</v>
      </c>
      <c r="I4710">
        <v>48.35</v>
      </c>
      <c r="J4710" s="50">
        <v>483.5</v>
      </c>
      <c r="K4710" t="s">
        <v>1618</v>
      </c>
      <c r="M4710" t="s">
        <v>1629</v>
      </c>
      <c r="N4710">
        <v>25.52</v>
      </c>
      <c r="O4710" s="49">
        <v>44455</v>
      </c>
      <c r="P4710" s="50">
        <v>217.57500000000002</v>
      </c>
    </row>
    <row r="4711" spans="4:16" x14ac:dyDescent="0.2">
      <c r="D4711">
        <v>100002798</v>
      </c>
      <c r="E4711" s="49">
        <v>45306</v>
      </c>
      <c r="F4711" t="s">
        <v>4449</v>
      </c>
      <c r="G4711" t="s">
        <v>2121</v>
      </c>
      <c r="H4711">
        <v>9</v>
      </c>
      <c r="I4711">
        <v>99.05</v>
      </c>
      <c r="J4711" s="50">
        <v>891.44999999999993</v>
      </c>
      <c r="K4711" t="s">
        <v>1618</v>
      </c>
      <c r="M4711" t="s">
        <v>1627</v>
      </c>
      <c r="N4711">
        <v>52.28</v>
      </c>
      <c r="O4711" s="49">
        <v>45309</v>
      </c>
      <c r="P4711" s="50">
        <v>401.15249999999997</v>
      </c>
    </row>
    <row r="4712" spans="4:16" x14ac:dyDescent="0.2">
      <c r="D4712">
        <v>100002799</v>
      </c>
      <c r="E4712" s="49">
        <v>44760</v>
      </c>
      <c r="F4712" t="s">
        <v>4450</v>
      </c>
      <c r="G4712" t="s">
        <v>1756</v>
      </c>
      <c r="H4712">
        <v>8</v>
      </c>
      <c r="I4712">
        <v>114.53</v>
      </c>
      <c r="J4712" s="50">
        <v>916.24</v>
      </c>
      <c r="K4712" t="s">
        <v>1618</v>
      </c>
      <c r="M4712" t="s">
        <v>1619</v>
      </c>
      <c r="N4712">
        <v>60.45</v>
      </c>
      <c r="O4712" s="49">
        <v>44764</v>
      </c>
      <c r="P4712" s="50">
        <v>412.30799999999999</v>
      </c>
    </row>
    <row r="4713" spans="4:16" x14ac:dyDescent="0.2">
      <c r="D4713">
        <v>100002800</v>
      </c>
      <c r="E4713" s="49">
        <v>44999</v>
      </c>
      <c r="F4713" t="s">
        <v>4451</v>
      </c>
      <c r="G4713" t="s">
        <v>2079</v>
      </c>
      <c r="H4713">
        <v>2</v>
      </c>
      <c r="I4713">
        <v>76.08</v>
      </c>
      <c r="J4713" s="50">
        <v>152.16</v>
      </c>
      <c r="K4713" t="s">
        <v>1632</v>
      </c>
      <c r="M4713" t="s">
        <v>1627</v>
      </c>
      <c r="N4713">
        <v>40.15</v>
      </c>
      <c r="O4713" s="49">
        <v>45001</v>
      </c>
      <c r="P4713" s="50">
        <v>68.471999999999994</v>
      </c>
    </row>
    <row r="4714" spans="4:16" x14ac:dyDescent="0.2">
      <c r="D4714">
        <v>100002800</v>
      </c>
      <c r="E4714" s="49">
        <v>45377</v>
      </c>
      <c r="F4714" t="s">
        <v>4451</v>
      </c>
      <c r="G4714" t="s">
        <v>1718</v>
      </c>
      <c r="H4714">
        <v>9</v>
      </c>
      <c r="I4714">
        <v>47.41</v>
      </c>
      <c r="J4714" s="50">
        <v>426.68999999999988</v>
      </c>
      <c r="K4714" t="s">
        <v>1632</v>
      </c>
      <c r="M4714" t="s">
        <v>1627</v>
      </c>
      <c r="N4714">
        <v>25.02</v>
      </c>
      <c r="O4714" s="49">
        <v>45382</v>
      </c>
      <c r="P4714" s="50">
        <v>192.01049999999995</v>
      </c>
    </row>
    <row r="4715" spans="4:16" x14ac:dyDescent="0.2">
      <c r="D4715">
        <v>100002801</v>
      </c>
      <c r="E4715" s="49">
        <v>45523</v>
      </c>
      <c r="F4715" t="s">
        <v>4452</v>
      </c>
      <c r="G4715" t="s">
        <v>1730</v>
      </c>
      <c r="H4715">
        <v>1</v>
      </c>
      <c r="I4715">
        <v>86.64</v>
      </c>
      <c r="J4715" s="50">
        <v>86.64</v>
      </c>
      <c r="K4715" t="s">
        <v>1618</v>
      </c>
      <c r="M4715" t="s">
        <v>1621</v>
      </c>
      <c r="N4715">
        <v>45.73</v>
      </c>
      <c r="O4715" s="49">
        <v>45526</v>
      </c>
      <c r="P4715" s="50">
        <v>38.988</v>
      </c>
    </row>
    <row r="4716" spans="4:16" x14ac:dyDescent="0.2">
      <c r="D4716">
        <v>100002802</v>
      </c>
      <c r="E4716" s="49">
        <v>44386</v>
      </c>
      <c r="F4716" t="s">
        <v>4453</v>
      </c>
      <c r="G4716" t="s">
        <v>1910</v>
      </c>
      <c r="H4716">
        <v>10</v>
      </c>
      <c r="I4716">
        <v>40.25</v>
      </c>
      <c r="J4716" s="50">
        <v>402.5</v>
      </c>
      <c r="K4716" t="s">
        <v>1618</v>
      </c>
      <c r="M4716" t="s">
        <v>1621</v>
      </c>
      <c r="N4716">
        <v>21.24</v>
      </c>
      <c r="O4716" s="49">
        <v>44387</v>
      </c>
      <c r="P4716" s="50">
        <v>181.125</v>
      </c>
    </row>
    <row r="4717" spans="4:16" x14ac:dyDescent="0.2">
      <c r="D4717">
        <v>100002803</v>
      </c>
      <c r="E4717" s="49">
        <v>44994</v>
      </c>
      <c r="F4717" t="s">
        <v>4454</v>
      </c>
      <c r="G4717" t="s">
        <v>2390</v>
      </c>
      <c r="H4717">
        <v>2</v>
      </c>
      <c r="I4717">
        <v>76.95</v>
      </c>
      <c r="J4717" s="50">
        <v>153.9</v>
      </c>
      <c r="K4717" t="s">
        <v>1632</v>
      </c>
      <c r="M4717" t="s">
        <v>1619</v>
      </c>
      <c r="N4717">
        <v>40.61</v>
      </c>
      <c r="O4717" s="49">
        <v>44999</v>
      </c>
      <c r="P4717" s="50">
        <v>69.25500000000001</v>
      </c>
    </row>
    <row r="4718" spans="4:16" x14ac:dyDescent="0.2">
      <c r="D4718">
        <v>100002803</v>
      </c>
      <c r="E4718" s="49">
        <v>45556</v>
      </c>
      <c r="F4718" t="s">
        <v>4454</v>
      </c>
      <c r="G4718" t="s">
        <v>1872</v>
      </c>
      <c r="H4718">
        <v>2</v>
      </c>
      <c r="I4718">
        <v>75.75</v>
      </c>
      <c r="J4718" s="50">
        <v>151.5</v>
      </c>
      <c r="K4718" t="s">
        <v>1632</v>
      </c>
      <c r="M4718" t="s">
        <v>1624</v>
      </c>
      <c r="N4718">
        <v>39.979999999999997</v>
      </c>
      <c r="O4718" s="49">
        <v>45557</v>
      </c>
      <c r="P4718" s="50">
        <v>68.174999999999997</v>
      </c>
    </row>
    <row r="4719" spans="4:16" x14ac:dyDescent="0.2">
      <c r="D4719">
        <v>100002803</v>
      </c>
      <c r="E4719" s="49">
        <v>44899</v>
      </c>
      <c r="F4719" t="s">
        <v>4454</v>
      </c>
      <c r="G4719" t="s">
        <v>2762</v>
      </c>
      <c r="H4719">
        <v>6</v>
      </c>
      <c r="I4719">
        <v>66.75</v>
      </c>
      <c r="J4719" s="50">
        <v>400.5</v>
      </c>
      <c r="K4719" t="s">
        <v>1632</v>
      </c>
      <c r="M4719" t="s">
        <v>1621</v>
      </c>
      <c r="N4719">
        <v>35.229999999999997</v>
      </c>
      <c r="O4719" s="49">
        <v>44904</v>
      </c>
      <c r="P4719" s="50">
        <v>180.22499999999999</v>
      </c>
    </row>
    <row r="4720" spans="4:16" x14ac:dyDescent="0.2">
      <c r="D4720">
        <v>100002804</v>
      </c>
      <c r="E4720" s="49">
        <v>44462</v>
      </c>
      <c r="F4720" t="s">
        <v>4455</v>
      </c>
      <c r="G4720" t="s">
        <v>1775</v>
      </c>
      <c r="H4720">
        <v>8</v>
      </c>
      <c r="I4720">
        <v>73.37</v>
      </c>
      <c r="J4720" s="50">
        <v>586.96</v>
      </c>
      <c r="K4720" t="s">
        <v>1618</v>
      </c>
      <c r="L4720" t="s">
        <v>4456</v>
      </c>
      <c r="M4720" t="s">
        <v>1619</v>
      </c>
      <c r="N4720">
        <v>38.72</v>
      </c>
      <c r="O4720" s="49">
        <v>44467</v>
      </c>
      <c r="P4720" s="50">
        <v>264.13200000000001</v>
      </c>
    </row>
    <row r="4721" spans="4:16" x14ac:dyDescent="0.2">
      <c r="D4721">
        <v>100002805</v>
      </c>
      <c r="E4721" s="49">
        <v>44865</v>
      </c>
      <c r="F4721" t="s">
        <v>4457</v>
      </c>
      <c r="G4721" t="s">
        <v>1885</v>
      </c>
      <c r="H4721">
        <v>1</v>
      </c>
      <c r="I4721">
        <v>19.45</v>
      </c>
      <c r="J4721" s="50">
        <v>19.45</v>
      </c>
      <c r="K4721" t="s">
        <v>1618</v>
      </c>
      <c r="L4721" t="s">
        <v>1898</v>
      </c>
      <c r="M4721" t="s">
        <v>1629</v>
      </c>
      <c r="N4721">
        <v>10.27</v>
      </c>
      <c r="O4721" s="49">
        <v>44866</v>
      </c>
      <c r="P4721" s="50">
        <v>8.7524999999999995</v>
      </c>
    </row>
    <row r="4722" spans="4:16" x14ac:dyDescent="0.2">
      <c r="D4722">
        <v>100002805</v>
      </c>
      <c r="E4722" s="49">
        <v>45020</v>
      </c>
      <c r="F4722" t="s">
        <v>4457</v>
      </c>
      <c r="G4722" t="s">
        <v>1978</v>
      </c>
      <c r="H4722">
        <v>2</v>
      </c>
      <c r="I4722">
        <v>40.6</v>
      </c>
      <c r="J4722" s="50">
        <v>81.2</v>
      </c>
      <c r="K4722" t="s">
        <v>1618</v>
      </c>
      <c r="L4722" t="s">
        <v>1898</v>
      </c>
      <c r="M4722" t="s">
        <v>1619</v>
      </c>
      <c r="N4722">
        <v>21.43</v>
      </c>
      <c r="O4722" s="49">
        <v>45023</v>
      </c>
      <c r="P4722" s="50">
        <v>36.54</v>
      </c>
    </row>
    <row r="4723" spans="4:16" x14ac:dyDescent="0.2">
      <c r="D4723">
        <v>100002806</v>
      </c>
      <c r="E4723" s="49">
        <v>44746</v>
      </c>
      <c r="F4723" t="s">
        <v>4458</v>
      </c>
      <c r="G4723" t="s">
        <v>1857</v>
      </c>
      <c r="H4723">
        <v>1</v>
      </c>
      <c r="I4723">
        <v>15.95</v>
      </c>
      <c r="J4723" s="50">
        <v>15.95</v>
      </c>
      <c r="K4723" t="s">
        <v>1632</v>
      </c>
      <c r="L4723" t="s">
        <v>4459</v>
      </c>
      <c r="M4723" t="s">
        <v>1621</v>
      </c>
      <c r="N4723">
        <v>8.42</v>
      </c>
      <c r="O4723" s="49">
        <v>44750</v>
      </c>
      <c r="P4723" s="50">
        <v>7.1775000000000002</v>
      </c>
    </row>
    <row r="4724" spans="4:16" x14ac:dyDescent="0.2">
      <c r="D4724">
        <v>100002806</v>
      </c>
      <c r="E4724" s="49">
        <v>45640</v>
      </c>
      <c r="F4724" t="s">
        <v>4458</v>
      </c>
      <c r="G4724" t="s">
        <v>2062</v>
      </c>
      <c r="H4724">
        <v>2</v>
      </c>
      <c r="I4724">
        <v>48.35</v>
      </c>
      <c r="J4724" s="50">
        <v>96.7</v>
      </c>
      <c r="K4724" t="s">
        <v>1632</v>
      </c>
      <c r="L4724" t="s">
        <v>4459</v>
      </c>
      <c r="M4724" t="s">
        <v>1619</v>
      </c>
      <c r="N4724">
        <v>25.52</v>
      </c>
      <c r="O4724" s="49">
        <v>45642</v>
      </c>
      <c r="P4724" s="50">
        <v>43.515000000000001</v>
      </c>
    </row>
    <row r="4725" spans="4:16" x14ac:dyDescent="0.2">
      <c r="D4725">
        <v>100002807</v>
      </c>
      <c r="E4725" s="49">
        <v>44288</v>
      </c>
      <c r="F4725" t="s">
        <v>4460</v>
      </c>
      <c r="G4725" t="s">
        <v>1718</v>
      </c>
      <c r="H4725">
        <v>5</v>
      </c>
      <c r="I4725">
        <v>17.57</v>
      </c>
      <c r="J4725" s="50">
        <v>87.85</v>
      </c>
      <c r="K4725" t="s">
        <v>1632</v>
      </c>
      <c r="M4725" t="s">
        <v>1619</v>
      </c>
      <c r="N4725">
        <v>9.27</v>
      </c>
      <c r="O4725" s="49">
        <v>44291</v>
      </c>
      <c r="P4725" s="50">
        <v>39.532499999999999</v>
      </c>
    </row>
    <row r="4726" spans="4:16" x14ac:dyDescent="0.2">
      <c r="D4726">
        <v>100002807</v>
      </c>
      <c r="E4726" s="49">
        <v>44411</v>
      </c>
      <c r="F4726" t="s">
        <v>4460</v>
      </c>
      <c r="G4726" t="s">
        <v>2553</v>
      </c>
      <c r="H4726">
        <v>3</v>
      </c>
      <c r="I4726">
        <v>50.74</v>
      </c>
      <c r="J4726" s="50">
        <v>152.22</v>
      </c>
      <c r="K4726" t="s">
        <v>1632</v>
      </c>
      <c r="M4726" t="s">
        <v>1627</v>
      </c>
      <c r="N4726">
        <v>26.78</v>
      </c>
      <c r="O4726" s="49">
        <v>44413</v>
      </c>
      <c r="P4726" s="50">
        <v>68.498999999999995</v>
      </c>
    </row>
    <row r="4727" spans="4:16" x14ac:dyDescent="0.2">
      <c r="D4727">
        <v>100002808</v>
      </c>
      <c r="E4727" s="49">
        <v>45305</v>
      </c>
      <c r="F4727" t="s">
        <v>4461</v>
      </c>
      <c r="G4727" t="s">
        <v>1797</v>
      </c>
      <c r="H4727">
        <v>4</v>
      </c>
      <c r="I4727">
        <v>116.65</v>
      </c>
      <c r="J4727" s="50">
        <v>466.6</v>
      </c>
      <c r="K4727" t="s">
        <v>1618</v>
      </c>
      <c r="M4727" t="s">
        <v>1624</v>
      </c>
      <c r="N4727">
        <v>61.56</v>
      </c>
      <c r="O4727" s="49">
        <v>45307</v>
      </c>
      <c r="P4727" s="50">
        <v>209.97000000000003</v>
      </c>
    </row>
    <row r="4728" spans="4:16" x14ac:dyDescent="0.2">
      <c r="D4728">
        <v>100002808</v>
      </c>
      <c r="E4728" s="49">
        <v>45629</v>
      </c>
      <c r="F4728" t="s">
        <v>4461</v>
      </c>
      <c r="G4728" t="s">
        <v>1661</v>
      </c>
      <c r="H4728">
        <v>5</v>
      </c>
      <c r="I4728">
        <v>60.63</v>
      </c>
      <c r="J4728" s="50">
        <v>303.14999999999998</v>
      </c>
      <c r="K4728" t="s">
        <v>1618</v>
      </c>
      <c r="M4728" t="s">
        <v>1621</v>
      </c>
      <c r="N4728">
        <v>32</v>
      </c>
      <c r="O4728" s="49">
        <v>45631</v>
      </c>
      <c r="P4728" s="50">
        <v>136.41749999999999</v>
      </c>
    </row>
    <row r="4729" spans="4:16" x14ac:dyDescent="0.2">
      <c r="D4729">
        <v>100002809</v>
      </c>
      <c r="E4729" s="49">
        <v>45124</v>
      </c>
      <c r="F4729" t="s">
        <v>4462</v>
      </c>
      <c r="G4729" t="s">
        <v>1846</v>
      </c>
      <c r="H4729">
        <v>8</v>
      </c>
      <c r="I4729">
        <v>34.85</v>
      </c>
      <c r="J4729" s="50">
        <v>278.8</v>
      </c>
      <c r="K4729" t="s">
        <v>1618</v>
      </c>
      <c r="M4729" t="s">
        <v>1619</v>
      </c>
      <c r="N4729">
        <v>18.39</v>
      </c>
      <c r="O4729" s="49">
        <v>45125</v>
      </c>
      <c r="P4729" s="50">
        <v>125.46000000000001</v>
      </c>
    </row>
    <row r="4730" spans="4:16" x14ac:dyDescent="0.2">
      <c r="D4730">
        <v>100002809</v>
      </c>
      <c r="E4730" s="49">
        <v>45554</v>
      </c>
      <c r="F4730" t="s">
        <v>4462</v>
      </c>
      <c r="G4730" t="s">
        <v>1647</v>
      </c>
      <c r="H4730">
        <v>1</v>
      </c>
      <c r="I4730">
        <v>76.87</v>
      </c>
      <c r="J4730" s="50">
        <v>76.87</v>
      </c>
      <c r="K4730" t="s">
        <v>1618</v>
      </c>
      <c r="M4730" t="s">
        <v>1629</v>
      </c>
      <c r="N4730">
        <v>40.57</v>
      </c>
      <c r="O4730" s="49">
        <v>45557</v>
      </c>
      <c r="P4730" s="50">
        <v>34.591500000000003</v>
      </c>
    </row>
    <row r="4731" spans="4:16" x14ac:dyDescent="0.2">
      <c r="D4731">
        <v>100002809</v>
      </c>
      <c r="E4731" s="49">
        <v>44409</v>
      </c>
      <c r="F4731" t="s">
        <v>4462</v>
      </c>
      <c r="G4731" t="s">
        <v>1833</v>
      </c>
      <c r="H4731">
        <v>9</v>
      </c>
      <c r="I4731">
        <v>82.63</v>
      </c>
      <c r="J4731" s="50">
        <v>743.67</v>
      </c>
      <c r="K4731" t="s">
        <v>1618</v>
      </c>
      <c r="M4731" t="s">
        <v>1621</v>
      </c>
      <c r="N4731">
        <v>43.61</v>
      </c>
      <c r="O4731" s="49">
        <v>44414</v>
      </c>
      <c r="P4731" s="50">
        <v>334.6515</v>
      </c>
    </row>
    <row r="4732" spans="4:16" x14ac:dyDescent="0.2">
      <c r="D4732">
        <v>100002809</v>
      </c>
      <c r="E4732" s="49">
        <v>44550</v>
      </c>
      <c r="F4732" t="s">
        <v>4462</v>
      </c>
      <c r="G4732" t="s">
        <v>1675</v>
      </c>
      <c r="H4732">
        <v>6</v>
      </c>
      <c r="I4732">
        <v>29.85</v>
      </c>
      <c r="J4732" s="50">
        <v>179.1</v>
      </c>
      <c r="K4732" t="s">
        <v>1618</v>
      </c>
      <c r="M4732" t="s">
        <v>1621</v>
      </c>
      <c r="N4732">
        <v>15.75</v>
      </c>
      <c r="O4732" s="49">
        <v>44553</v>
      </c>
      <c r="P4732" s="50">
        <v>80.594999999999999</v>
      </c>
    </row>
    <row r="4733" spans="4:16" x14ac:dyDescent="0.2">
      <c r="D4733">
        <v>100002809</v>
      </c>
      <c r="E4733" s="49">
        <v>44363</v>
      </c>
      <c r="F4733" t="s">
        <v>4462</v>
      </c>
      <c r="G4733" t="s">
        <v>2121</v>
      </c>
      <c r="H4733">
        <v>8</v>
      </c>
      <c r="I4733">
        <v>105.9</v>
      </c>
      <c r="J4733" s="50">
        <v>847.2</v>
      </c>
      <c r="K4733" t="s">
        <v>1618</v>
      </c>
      <c r="M4733" t="s">
        <v>1619</v>
      </c>
      <c r="N4733">
        <v>55.89</v>
      </c>
      <c r="O4733" s="49">
        <v>44367</v>
      </c>
      <c r="P4733" s="50">
        <v>381.24</v>
      </c>
    </row>
    <row r="4734" spans="4:16" x14ac:dyDescent="0.2">
      <c r="D4734">
        <v>100002809</v>
      </c>
      <c r="E4734" s="49">
        <v>45554</v>
      </c>
      <c r="F4734" t="s">
        <v>4462</v>
      </c>
      <c r="G4734" t="s">
        <v>2427</v>
      </c>
      <c r="H4734">
        <v>2</v>
      </c>
      <c r="I4734">
        <v>103.61</v>
      </c>
      <c r="J4734" s="50">
        <v>207.22</v>
      </c>
      <c r="K4734" t="s">
        <v>1618</v>
      </c>
      <c r="M4734" t="s">
        <v>1621</v>
      </c>
      <c r="N4734">
        <v>54.68</v>
      </c>
      <c r="O4734" s="49">
        <v>45555</v>
      </c>
      <c r="P4734" s="50">
        <v>93.248999999999995</v>
      </c>
    </row>
    <row r="4735" spans="4:16" x14ac:dyDescent="0.2">
      <c r="D4735">
        <v>100002810</v>
      </c>
      <c r="E4735" s="49">
        <v>45017</v>
      </c>
      <c r="F4735" t="s">
        <v>4463</v>
      </c>
      <c r="G4735" t="s">
        <v>1827</v>
      </c>
      <c r="H4735">
        <v>4</v>
      </c>
      <c r="I4735">
        <v>58.83</v>
      </c>
      <c r="J4735" s="50">
        <v>235.32</v>
      </c>
      <c r="K4735" t="s">
        <v>1618</v>
      </c>
      <c r="M4735" t="s">
        <v>1621</v>
      </c>
      <c r="N4735">
        <v>31.05</v>
      </c>
      <c r="O4735" s="49">
        <v>45020</v>
      </c>
      <c r="P4735" s="50">
        <v>105.89400000000001</v>
      </c>
    </row>
    <row r="4736" spans="4:16" x14ac:dyDescent="0.2">
      <c r="D4736">
        <v>100002810</v>
      </c>
      <c r="E4736" s="49">
        <v>44288</v>
      </c>
      <c r="F4736" t="s">
        <v>4463</v>
      </c>
      <c r="G4736" t="s">
        <v>1834</v>
      </c>
      <c r="H4736">
        <v>6</v>
      </c>
      <c r="I4736">
        <v>67.59</v>
      </c>
      <c r="J4736" s="50">
        <v>405.54</v>
      </c>
      <c r="K4736" t="s">
        <v>1618</v>
      </c>
      <c r="M4736" t="s">
        <v>1627</v>
      </c>
      <c r="N4736">
        <v>35.67</v>
      </c>
      <c r="O4736" s="49">
        <v>44290</v>
      </c>
      <c r="P4736" s="50">
        <v>182.49300000000002</v>
      </c>
    </row>
    <row r="4737" spans="4:16" x14ac:dyDescent="0.2">
      <c r="D4737">
        <v>100002811</v>
      </c>
      <c r="E4737" s="49">
        <v>45513</v>
      </c>
      <c r="F4737" t="s">
        <v>4464</v>
      </c>
      <c r="G4737" t="s">
        <v>1701</v>
      </c>
      <c r="H4737">
        <v>4</v>
      </c>
      <c r="I4737">
        <v>83.07</v>
      </c>
      <c r="J4737" s="50">
        <v>332.28</v>
      </c>
      <c r="K4737" t="s">
        <v>1618</v>
      </c>
      <c r="M4737" t="s">
        <v>1629</v>
      </c>
      <c r="N4737">
        <v>43.84</v>
      </c>
      <c r="O4737" s="49">
        <v>45517</v>
      </c>
      <c r="P4737" s="50">
        <v>149.52599999999998</v>
      </c>
    </row>
    <row r="4738" spans="4:16" x14ac:dyDescent="0.2">
      <c r="D4738">
        <v>100002811</v>
      </c>
      <c r="E4738" s="49">
        <v>45508</v>
      </c>
      <c r="F4738" t="s">
        <v>4464</v>
      </c>
      <c r="G4738" t="s">
        <v>2574</v>
      </c>
      <c r="H4738">
        <v>2</v>
      </c>
      <c r="I4738">
        <v>66.010000000000005</v>
      </c>
      <c r="J4738" s="50">
        <v>132.02000000000001</v>
      </c>
      <c r="K4738" t="s">
        <v>1618</v>
      </c>
      <c r="M4738" t="s">
        <v>1627</v>
      </c>
      <c r="N4738">
        <v>34.840000000000003</v>
      </c>
      <c r="O4738" s="49">
        <v>45513</v>
      </c>
      <c r="P4738" s="50">
        <v>59.409000000000006</v>
      </c>
    </row>
    <row r="4739" spans="4:16" x14ac:dyDescent="0.2">
      <c r="D4739">
        <v>100002812</v>
      </c>
      <c r="E4739" s="49">
        <v>45484</v>
      </c>
      <c r="F4739" t="s">
        <v>4465</v>
      </c>
      <c r="G4739" t="s">
        <v>1670</v>
      </c>
      <c r="H4739">
        <v>1</v>
      </c>
      <c r="I4739">
        <v>95.69</v>
      </c>
      <c r="J4739" s="50">
        <v>95.69</v>
      </c>
      <c r="K4739" t="s">
        <v>1632</v>
      </c>
      <c r="M4739" t="s">
        <v>1621</v>
      </c>
      <c r="N4739">
        <v>50.5</v>
      </c>
      <c r="O4739" s="49">
        <v>45489</v>
      </c>
      <c r="P4739" s="50">
        <v>43.060499999999998</v>
      </c>
    </row>
    <row r="4740" spans="4:16" x14ac:dyDescent="0.2">
      <c r="D4740">
        <v>100002814</v>
      </c>
      <c r="E4740" s="49">
        <v>44638</v>
      </c>
      <c r="F4740" t="s">
        <v>4466</v>
      </c>
      <c r="G4740" t="s">
        <v>2142</v>
      </c>
      <c r="H4740">
        <v>6</v>
      </c>
      <c r="I4740">
        <v>93.61</v>
      </c>
      <c r="J4740" s="50">
        <v>561.66</v>
      </c>
      <c r="K4740" t="s">
        <v>1618</v>
      </c>
      <c r="M4740" t="s">
        <v>1624</v>
      </c>
      <c r="N4740">
        <v>49.4</v>
      </c>
      <c r="O4740" s="49">
        <v>44640</v>
      </c>
      <c r="P4740" s="50">
        <v>252.74699999999999</v>
      </c>
    </row>
    <row r="4741" spans="4:16" x14ac:dyDescent="0.2">
      <c r="D4741">
        <v>100002814</v>
      </c>
      <c r="E4741" s="49">
        <v>44687</v>
      </c>
      <c r="F4741" t="s">
        <v>4466</v>
      </c>
      <c r="G4741" t="s">
        <v>2090</v>
      </c>
      <c r="H4741">
        <v>1</v>
      </c>
      <c r="I4741">
        <v>95.58</v>
      </c>
      <c r="J4741" s="50">
        <v>95.58</v>
      </c>
      <c r="K4741" t="s">
        <v>1618</v>
      </c>
      <c r="M4741" t="s">
        <v>1619</v>
      </c>
      <c r="N4741">
        <v>50.44</v>
      </c>
      <c r="O4741" s="49">
        <v>44691</v>
      </c>
      <c r="P4741" s="50">
        <v>43.011000000000003</v>
      </c>
    </row>
    <row r="4742" spans="4:16" x14ac:dyDescent="0.2">
      <c r="D4742">
        <v>100002815</v>
      </c>
      <c r="E4742" s="49">
        <v>44226</v>
      </c>
      <c r="F4742" t="s">
        <v>4467</v>
      </c>
      <c r="G4742" t="s">
        <v>1874</v>
      </c>
      <c r="H4742">
        <v>9</v>
      </c>
      <c r="I4742">
        <v>72.459999999999994</v>
      </c>
      <c r="J4742" s="50">
        <v>652.14</v>
      </c>
      <c r="K4742" t="s">
        <v>1632</v>
      </c>
      <c r="M4742" t="s">
        <v>1621</v>
      </c>
      <c r="N4742">
        <v>38.24</v>
      </c>
      <c r="O4742" s="49">
        <v>44227</v>
      </c>
      <c r="P4742" s="50">
        <v>293.46300000000002</v>
      </c>
    </row>
    <row r="4743" spans="4:16" x14ac:dyDescent="0.2">
      <c r="D4743">
        <v>100002816</v>
      </c>
      <c r="E4743" s="49">
        <v>44386</v>
      </c>
      <c r="F4743" t="s">
        <v>4468</v>
      </c>
      <c r="G4743" t="s">
        <v>2050</v>
      </c>
      <c r="H4743">
        <v>5</v>
      </c>
      <c r="I4743">
        <v>70.41</v>
      </c>
      <c r="J4743" s="50">
        <v>352.05</v>
      </c>
      <c r="K4743" t="s">
        <v>1632</v>
      </c>
      <c r="L4743" t="s">
        <v>4469</v>
      </c>
      <c r="M4743" t="s">
        <v>1627</v>
      </c>
      <c r="N4743">
        <v>37.159999999999997</v>
      </c>
      <c r="O4743" s="49">
        <v>44389</v>
      </c>
      <c r="P4743" s="50">
        <v>158.42250000000001</v>
      </c>
    </row>
    <row r="4744" spans="4:16" x14ac:dyDescent="0.2">
      <c r="D4744">
        <v>100002816</v>
      </c>
      <c r="E4744" s="49">
        <v>44684</v>
      </c>
      <c r="F4744" t="s">
        <v>4468</v>
      </c>
      <c r="G4744" t="s">
        <v>1941</v>
      </c>
      <c r="H4744">
        <v>8</v>
      </c>
      <c r="I4744">
        <v>34.369999999999997</v>
      </c>
      <c r="J4744" s="50">
        <v>274.95999999999998</v>
      </c>
      <c r="K4744" t="s">
        <v>1632</v>
      </c>
      <c r="L4744" t="s">
        <v>4469</v>
      </c>
      <c r="M4744" t="s">
        <v>1629</v>
      </c>
      <c r="N4744">
        <v>18.14</v>
      </c>
      <c r="O4744" s="49">
        <v>44685</v>
      </c>
      <c r="P4744" s="50">
        <v>123.732</v>
      </c>
    </row>
    <row r="4745" spans="4:16" x14ac:dyDescent="0.2">
      <c r="D4745">
        <v>100002816</v>
      </c>
      <c r="E4745" s="49">
        <v>44935</v>
      </c>
      <c r="F4745" t="s">
        <v>4468</v>
      </c>
      <c r="G4745" t="s">
        <v>2063</v>
      </c>
      <c r="H4745">
        <v>3</v>
      </c>
      <c r="I4745">
        <v>30.24</v>
      </c>
      <c r="J4745" s="50">
        <v>90.72</v>
      </c>
      <c r="K4745" t="s">
        <v>1632</v>
      </c>
      <c r="L4745" t="s">
        <v>4469</v>
      </c>
      <c r="M4745" t="s">
        <v>1627</v>
      </c>
      <c r="N4745">
        <v>15.96</v>
      </c>
      <c r="O4745" s="49">
        <v>44937</v>
      </c>
      <c r="P4745" s="50">
        <v>40.823999999999998</v>
      </c>
    </row>
    <row r="4746" spans="4:16" x14ac:dyDescent="0.2">
      <c r="D4746">
        <v>100002816</v>
      </c>
      <c r="E4746" s="49">
        <v>45508</v>
      </c>
      <c r="F4746" t="s">
        <v>4468</v>
      </c>
      <c r="G4746" t="s">
        <v>2375</v>
      </c>
      <c r="H4746">
        <v>7</v>
      </c>
      <c r="I4746">
        <v>15.29</v>
      </c>
      <c r="J4746" s="50">
        <v>107.03</v>
      </c>
      <c r="K4746" t="s">
        <v>1632</v>
      </c>
      <c r="L4746" t="s">
        <v>4469</v>
      </c>
      <c r="M4746" t="s">
        <v>1629</v>
      </c>
      <c r="N4746">
        <v>8.07</v>
      </c>
      <c r="O4746" s="49">
        <v>45511</v>
      </c>
      <c r="P4746" s="50">
        <v>48.163499999999999</v>
      </c>
    </row>
    <row r="4747" spans="4:16" x14ac:dyDescent="0.2">
      <c r="D4747">
        <v>100002816</v>
      </c>
      <c r="E4747" s="49">
        <v>44503</v>
      </c>
      <c r="F4747" t="s">
        <v>4468</v>
      </c>
      <c r="G4747" t="s">
        <v>2064</v>
      </c>
      <c r="H4747">
        <v>7</v>
      </c>
      <c r="I4747">
        <v>71.17</v>
      </c>
      <c r="J4747" s="50">
        <v>498.19</v>
      </c>
      <c r="K4747" t="s">
        <v>1632</v>
      </c>
      <c r="L4747" t="s">
        <v>4469</v>
      </c>
      <c r="M4747" t="s">
        <v>1621</v>
      </c>
      <c r="N4747">
        <v>37.56</v>
      </c>
      <c r="O4747" s="49">
        <v>44507</v>
      </c>
      <c r="P4747" s="50">
        <v>224.18549999999999</v>
      </c>
    </row>
    <row r="4748" spans="4:16" x14ac:dyDescent="0.2">
      <c r="D4748">
        <v>100002817</v>
      </c>
      <c r="E4748" s="49">
        <v>45484</v>
      </c>
      <c r="F4748" t="s">
        <v>4470</v>
      </c>
      <c r="G4748" t="s">
        <v>1922</v>
      </c>
      <c r="H4748">
        <v>5</v>
      </c>
      <c r="I4748">
        <v>49.92</v>
      </c>
      <c r="J4748" s="50">
        <v>249.6</v>
      </c>
      <c r="K4748" t="s">
        <v>1618</v>
      </c>
      <c r="M4748" t="s">
        <v>1629</v>
      </c>
      <c r="N4748">
        <v>26.35</v>
      </c>
      <c r="O4748" s="49">
        <v>45488</v>
      </c>
      <c r="P4748" s="50">
        <v>112.32</v>
      </c>
    </row>
    <row r="4749" spans="4:16" x14ac:dyDescent="0.2">
      <c r="D4749">
        <v>100002818</v>
      </c>
      <c r="E4749" s="49">
        <v>44274</v>
      </c>
      <c r="F4749" t="s">
        <v>4471</v>
      </c>
      <c r="G4749" t="s">
        <v>1953</v>
      </c>
      <c r="H4749">
        <v>6</v>
      </c>
      <c r="I4749">
        <v>111.63</v>
      </c>
      <c r="J4749" s="50">
        <v>669.78</v>
      </c>
      <c r="K4749" t="s">
        <v>1632</v>
      </c>
      <c r="M4749" t="s">
        <v>1619</v>
      </c>
      <c r="N4749">
        <v>58.92</v>
      </c>
      <c r="O4749" s="49">
        <v>44277</v>
      </c>
      <c r="P4749" s="50">
        <v>301.40100000000001</v>
      </c>
    </row>
    <row r="4750" spans="4:16" x14ac:dyDescent="0.2">
      <c r="D4750">
        <v>100002819</v>
      </c>
      <c r="E4750" s="49">
        <v>45288</v>
      </c>
      <c r="F4750" t="s">
        <v>4472</v>
      </c>
      <c r="G4750" t="s">
        <v>1667</v>
      </c>
      <c r="H4750">
        <v>7</v>
      </c>
      <c r="I4750">
        <v>105.55</v>
      </c>
      <c r="J4750" s="50">
        <v>738.85</v>
      </c>
      <c r="K4750" t="s">
        <v>1618</v>
      </c>
      <c r="M4750" t="s">
        <v>1619</v>
      </c>
      <c r="N4750">
        <v>55.71</v>
      </c>
      <c r="O4750" s="49">
        <v>45289</v>
      </c>
      <c r="P4750" s="50">
        <v>332.48250000000002</v>
      </c>
    </row>
    <row r="4751" spans="4:16" x14ac:dyDescent="0.2">
      <c r="D4751">
        <v>100002819</v>
      </c>
      <c r="E4751" s="49">
        <v>44344</v>
      </c>
      <c r="F4751" t="s">
        <v>4472</v>
      </c>
      <c r="G4751" t="s">
        <v>1801</v>
      </c>
      <c r="H4751">
        <v>6</v>
      </c>
      <c r="I4751">
        <v>86.28</v>
      </c>
      <c r="J4751" s="50">
        <v>517.68000000000006</v>
      </c>
      <c r="K4751" t="s">
        <v>1618</v>
      </c>
      <c r="M4751" t="s">
        <v>1619</v>
      </c>
      <c r="N4751">
        <v>45.54</v>
      </c>
      <c r="O4751" s="49">
        <v>44346</v>
      </c>
      <c r="P4751" s="50">
        <v>232.95600000000005</v>
      </c>
    </row>
    <row r="4752" spans="4:16" x14ac:dyDescent="0.2">
      <c r="D4752">
        <v>100002820</v>
      </c>
      <c r="E4752" s="49">
        <v>44598</v>
      </c>
      <c r="F4752" t="s">
        <v>4473</v>
      </c>
      <c r="G4752" t="s">
        <v>1768</v>
      </c>
      <c r="H4752">
        <v>5</v>
      </c>
      <c r="I4752">
        <v>113.45</v>
      </c>
      <c r="J4752" s="50">
        <v>567.25</v>
      </c>
      <c r="K4752" t="s">
        <v>1632</v>
      </c>
      <c r="M4752" t="s">
        <v>1624</v>
      </c>
      <c r="N4752">
        <v>59.88</v>
      </c>
      <c r="O4752" s="49">
        <v>44602</v>
      </c>
      <c r="P4752" s="50">
        <v>255.26250000000002</v>
      </c>
    </row>
    <row r="4753" spans="4:16" x14ac:dyDescent="0.2">
      <c r="D4753">
        <v>100002821</v>
      </c>
      <c r="E4753" s="49">
        <v>44598</v>
      </c>
      <c r="F4753" t="s">
        <v>4474</v>
      </c>
      <c r="G4753" t="s">
        <v>2116</v>
      </c>
      <c r="H4753">
        <v>9</v>
      </c>
      <c r="I4753">
        <v>113.46</v>
      </c>
      <c r="J4753" s="50">
        <v>1021.14</v>
      </c>
      <c r="K4753" t="s">
        <v>1632</v>
      </c>
      <c r="M4753" t="s">
        <v>1619</v>
      </c>
      <c r="N4753">
        <v>59.88</v>
      </c>
      <c r="O4753" s="49">
        <v>44602</v>
      </c>
      <c r="P4753" s="50">
        <v>459.51299999999998</v>
      </c>
    </row>
    <row r="4754" spans="4:16" x14ac:dyDescent="0.2">
      <c r="D4754">
        <v>100002821</v>
      </c>
      <c r="E4754" s="49">
        <v>45155</v>
      </c>
      <c r="F4754" t="s">
        <v>4474</v>
      </c>
      <c r="G4754" t="s">
        <v>2047</v>
      </c>
      <c r="H4754">
        <v>7</v>
      </c>
      <c r="I4754">
        <v>55.77</v>
      </c>
      <c r="J4754" s="50">
        <v>390.39</v>
      </c>
      <c r="K4754" t="s">
        <v>1632</v>
      </c>
      <c r="M4754" t="s">
        <v>1629</v>
      </c>
      <c r="N4754">
        <v>29.43</v>
      </c>
      <c r="O4754" s="49">
        <v>45160</v>
      </c>
      <c r="P4754" s="50">
        <v>175.6755</v>
      </c>
    </row>
    <row r="4755" spans="4:16" x14ac:dyDescent="0.2">
      <c r="D4755">
        <v>100002822</v>
      </c>
      <c r="E4755" s="49">
        <v>45219</v>
      </c>
      <c r="F4755" t="s">
        <v>4475</v>
      </c>
      <c r="G4755" t="s">
        <v>1726</v>
      </c>
      <c r="H4755">
        <v>4</v>
      </c>
      <c r="I4755">
        <v>42.55</v>
      </c>
      <c r="J4755" s="50">
        <v>170.2</v>
      </c>
      <c r="K4755" t="s">
        <v>1632</v>
      </c>
      <c r="M4755" t="s">
        <v>1624</v>
      </c>
      <c r="N4755">
        <v>22.46</v>
      </c>
      <c r="O4755" s="49">
        <v>45221</v>
      </c>
      <c r="P4755" s="50">
        <v>76.59</v>
      </c>
    </row>
    <row r="4756" spans="4:16" x14ac:dyDescent="0.2">
      <c r="D4756">
        <v>100002823</v>
      </c>
      <c r="E4756" s="49">
        <v>44937</v>
      </c>
      <c r="F4756" t="s">
        <v>4476</v>
      </c>
      <c r="G4756" t="s">
        <v>2101</v>
      </c>
      <c r="H4756">
        <v>1</v>
      </c>
      <c r="I4756">
        <v>112.07</v>
      </c>
      <c r="J4756" s="50">
        <v>112.07</v>
      </c>
      <c r="K4756" t="s">
        <v>1618</v>
      </c>
      <c r="L4756" t="s">
        <v>3795</v>
      </c>
      <c r="M4756" t="s">
        <v>1624</v>
      </c>
      <c r="N4756">
        <v>59.15</v>
      </c>
      <c r="O4756" s="49">
        <v>44942</v>
      </c>
      <c r="P4756" s="50">
        <v>50.4315</v>
      </c>
    </row>
    <row r="4757" spans="4:16" x14ac:dyDescent="0.2">
      <c r="D4757">
        <v>100002824</v>
      </c>
      <c r="E4757" s="49">
        <v>45047</v>
      </c>
      <c r="F4757" t="s">
        <v>4477</v>
      </c>
      <c r="G4757" t="s">
        <v>2343</v>
      </c>
      <c r="H4757">
        <v>1</v>
      </c>
      <c r="I4757">
        <v>75.88</v>
      </c>
      <c r="J4757" s="50">
        <v>75.88</v>
      </c>
      <c r="K4757" t="s">
        <v>1618</v>
      </c>
      <c r="L4757" t="s">
        <v>4478</v>
      </c>
      <c r="M4757" t="s">
        <v>1627</v>
      </c>
      <c r="N4757">
        <v>40.049999999999997</v>
      </c>
      <c r="O4757" s="49">
        <v>45050</v>
      </c>
      <c r="P4757" s="50">
        <v>34.146000000000001</v>
      </c>
    </row>
    <row r="4758" spans="4:16" x14ac:dyDescent="0.2">
      <c r="D4758">
        <v>100002824</v>
      </c>
      <c r="E4758" s="49">
        <v>44390</v>
      </c>
      <c r="F4758" t="s">
        <v>4477</v>
      </c>
      <c r="G4758" t="s">
        <v>2628</v>
      </c>
      <c r="H4758">
        <v>9</v>
      </c>
      <c r="I4758">
        <v>81.849999999999994</v>
      </c>
      <c r="J4758" s="50">
        <v>736.65</v>
      </c>
      <c r="K4758" t="s">
        <v>1618</v>
      </c>
      <c r="L4758" t="s">
        <v>4478</v>
      </c>
      <c r="M4758" t="s">
        <v>1624</v>
      </c>
      <c r="N4758">
        <v>43.2</v>
      </c>
      <c r="O4758" s="49">
        <v>44395</v>
      </c>
      <c r="P4758" s="50">
        <v>331.49250000000001</v>
      </c>
    </row>
    <row r="4759" spans="4:16" x14ac:dyDescent="0.2">
      <c r="D4759">
        <v>100002824</v>
      </c>
      <c r="E4759" s="49">
        <v>44231</v>
      </c>
      <c r="F4759" t="s">
        <v>4477</v>
      </c>
      <c r="G4759" t="s">
        <v>2130</v>
      </c>
      <c r="H4759">
        <v>2</v>
      </c>
      <c r="I4759">
        <v>20.67</v>
      </c>
      <c r="J4759" s="50">
        <v>41.34</v>
      </c>
      <c r="K4759" t="s">
        <v>1618</v>
      </c>
      <c r="L4759" t="s">
        <v>4478</v>
      </c>
      <c r="M4759" t="s">
        <v>1624</v>
      </c>
      <c r="N4759">
        <v>10.91</v>
      </c>
      <c r="O4759" s="49">
        <v>44235</v>
      </c>
      <c r="P4759" s="50">
        <v>18.603000000000002</v>
      </c>
    </row>
    <row r="4760" spans="4:16" x14ac:dyDescent="0.2">
      <c r="D4760">
        <v>100002824</v>
      </c>
      <c r="E4760" s="49">
        <v>45342</v>
      </c>
      <c r="F4760" t="s">
        <v>4477</v>
      </c>
      <c r="G4760" t="s">
        <v>2004</v>
      </c>
      <c r="H4760">
        <v>1</v>
      </c>
      <c r="I4760">
        <v>71.42</v>
      </c>
      <c r="J4760" s="50">
        <v>71.42</v>
      </c>
      <c r="K4760" t="s">
        <v>1618</v>
      </c>
      <c r="L4760" t="s">
        <v>4478</v>
      </c>
      <c r="M4760" t="s">
        <v>1619</v>
      </c>
      <c r="N4760">
        <v>37.69</v>
      </c>
      <c r="O4760" s="49">
        <v>45345</v>
      </c>
      <c r="P4760" s="50">
        <v>32.139000000000003</v>
      </c>
    </row>
    <row r="4761" spans="4:16" x14ac:dyDescent="0.2">
      <c r="D4761">
        <v>100002825</v>
      </c>
      <c r="E4761" s="49">
        <v>45450</v>
      </c>
      <c r="F4761" t="s">
        <v>4479</v>
      </c>
      <c r="G4761" t="s">
        <v>1856</v>
      </c>
      <c r="H4761">
        <v>5</v>
      </c>
      <c r="I4761">
        <v>73.150000000000006</v>
      </c>
      <c r="J4761" s="50">
        <v>365.75</v>
      </c>
      <c r="K4761" t="s">
        <v>1632</v>
      </c>
      <c r="M4761" t="s">
        <v>1621</v>
      </c>
      <c r="N4761">
        <v>38.61</v>
      </c>
      <c r="O4761" s="49">
        <v>45455</v>
      </c>
      <c r="P4761" s="50">
        <v>164.58750000000001</v>
      </c>
    </row>
    <row r="4762" spans="4:16" x14ac:dyDescent="0.2">
      <c r="D4762">
        <v>100002825</v>
      </c>
      <c r="E4762" s="49">
        <v>44931</v>
      </c>
      <c r="F4762" t="s">
        <v>4479</v>
      </c>
      <c r="G4762" t="s">
        <v>2076</v>
      </c>
      <c r="H4762">
        <v>4</v>
      </c>
      <c r="I4762">
        <v>65.58</v>
      </c>
      <c r="J4762" s="50">
        <v>262.32</v>
      </c>
      <c r="K4762" t="s">
        <v>1632</v>
      </c>
      <c r="M4762" t="s">
        <v>1629</v>
      </c>
      <c r="N4762">
        <v>34.61</v>
      </c>
      <c r="O4762" s="49">
        <v>44935</v>
      </c>
      <c r="P4762" s="50">
        <v>118.044</v>
      </c>
    </row>
    <row r="4763" spans="4:16" x14ac:dyDescent="0.2">
      <c r="D4763">
        <v>100002826</v>
      </c>
      <c r="E4763" s="49">
        <v>45195</v>
      </c>
      <c r="F4763" t="s">
        <v>4480</v>
      </c>
      <c r="G4763" t="s">
        <v>1956</v>
      </c>
      <c r="H4763">
        <v>9</v>
      </c>
      <c r="I4763">
        <v>82.91</v>
      </c>
      <c r="J4763" s="50">
        <v>746.18999999999994</v>
      </c>
      <c r="K4763" t="s">
        <v>1618</v>
      </c>
      <c r="M4763" t="s">
        <v>1627</v>
      </c>
      <c r="N4763">
        <v>43.76</v>
      </c>
      <c r="O4763" s="49">
        <v>45197</v>
      </c>
      <c r="P4763" s="50">
        <v>335.78549999999996</v>
      </c>
    </row>
    <row r="4764" spans="4:16" x14ac:dyDescent="0.2">
      <c r="D4764">
        <v>100002826</v>
      </c>
      <c r="E4764" s="49">
        <v>45485</v>
      </c>
      <c r="F4764" t="s">
        <v>4480</v>
      </c>
      <c r="G4764" t="s">
        <v>2733</v>
      </c>
      <c r="H4764">
        <v>7</v>
      </c>
      <c r="I4764">
        <v>87.74</v>
      </c>
      <c r="J4764" s="50">
        <v>614.17999999999995</v>
      </c>
      <c r="K4764" t="s">
        <v>1618</v>
      </c>
      <c r="M4764" t="s">
        <v>1621</v>
      </c>
      <c r="N4764">
        <v>46.31</v>
      </c>
      <c r="O4764" s="49">
        <v>45487</v>
      </c>
      <c r="P4764" s="50">
        <v>276.38099999999997</v>
      </c>
    </row>
    <row r="4765" spans="4:16" x14ac:dyDescent="0.2">
      <c r="D4765">
        <v>100002828</v>
      </c>
      <c r="E4765" s="49">
        <v>44674</v>
      </c>
      <c r="F4765" t="s">
        <v>4481</v>
      </c>
      <c r="G4765" t="s">
        <v>2093</v>
      </c>
      <c r="H4765">
        <v>8</v>
      </c>
      <c r="I4765">
        <v>112.71</v>
      </c>
      <c r="J4765" s="50">
        <v>901.68</v>
      </c>
      <c r="K4765" t="s">
        <v>1618</v>
      </c>
      <c r="L4765" t="s">
        <v>4036</v>
      </c>
      <c r="M4765" t="s">
        <v>1629</v>
      </c>
      <c r="N4765">
        <v>59.49</v>
      </c>
      <c r="O4765" s="49">
        <v>44676</v>
      </c>
      <c r="P4765" s="50">
        <v>405.75599999999997</v>
      </c>
    </row>
    <row r="4766" spans="4:16" x14ac:dyDescent="0.2">
      <c r="D4766">
        <v>100002828</v>
      </c>
      <c r="E4766" s="49">
        <v>45320</v>
      </c>
      <c r="F4766" t="s">
        <v>4481</v>
      </c>
      <c r="G4766" t="s">
        <v>2485</v>
      </c>
      <c r="H4766">
        <v>8</v>
      </c>
      <c r="I4766">
        <v>104.84</v>
      </c>
      <c r="J4766" s="50">
        <v>838.72</v>
      </c>
      <c r="K4766" t="s">
        <v>1618</v>
      </c>
      <c r="L4766" t="s">
        <v>4036</v>
      </c>
      <c r="M4766" t="s">
        <v>1629</v>
      </c>
      <c r="N4766">
        <v>55.33</v>
      </c>
      <c r="O4766" s="49">
        <v>45325</v>
      </c>
      <c r="P4766" s="50">
        <v>377.42400000000004</v>
      </c>
    </row>
    <row r="4767" spans="4:16" x14ac:dyDescent="0.2">
      <c r="D4767">
        <v>100002828</v>
      </c>
      <c r="E4767" s="49">
        <v>45090</v>
      </c>
      <c r="F4767" t="s">
        <v>4481</v>
      </c>
      <c r="G4767" t="s">
        <v>1756</v>
      </c>
      <c r="H4767">
        <v>7</v>
      </c>
      <c r="I4767">
        <v>54.63</v>
      </c>
      <c r="J4767" s="50">
        <v>382.41</v>
      </c>
      <c r="K4767" t="s">
        <v>1618</v>
      </c>
      <c r="L4767" t="s">
        <v>4036</v>
      </c>
      <c r="M4767" t="s">
        <v>1627</v>
      </c>
      <c r="N4767">
        <v>28.83</v>
      </c>
      <c r="O4767" s="49">
        <v>45092</v>
      </c>
      <c r="P4767" s="50">
        <v>172.08450000000002</v>
      </c>
    </row>
    <row r="4768" spans="4:16" x14ac:dyDescent="0.2">
      <c r="D4768">
        <v>100002828</v>
      </c>
      <c r="E4768" s="49">
        <v>45154</v>
      </c>
      <c r="F4768" t="s">
        <v>4481</v>
      </c>
      <c r="G4768" t="s">
        <v>1980</v>
      </c>
      <c r="H4768">
        <v>4</v>
      </c>
      <c r="I4768">
        <v>63.91</v>
      </c>
      <c r="J4768" s="50">
        <v>255.64</v>
      </c>
      <c r="K4768" t="s">
        <v>1618</v>
      </c>
      <c r="L4768" t="s">
        <v>4036</v>
      </c>
      <c r="M4768" t="s">
        <v>1621</v>
      </c>
      <c r="N4768">
        <v>33.729999999999997</v>
      </c>
      <c r="O4768" s="49">
        <v>45159</v>
      </c>
      <c r="P4768" s="50">
        <v>115.038</v>
      </c>
    </row>
    <row r="4769" spans="4:16" x14ac:dyDescent="0.2">
      <c r="D4769">
        <v>100002828</v>
      </c>
      <c r="E4769" s="49">
        <v>44459</v>
      </c>
      <c r="F4769" t="s">
        <v>4481</v>
      </c>
      <c r="G4769" t="s">
        <v>1865</v>
      </c>
      <c r="H4769">
        <v>8</v>
      </c>
      <c r="I4769">
        <v>108.57</v>
      </c>
      <c r="J4769" s="50">
        <v>868.56</v>
      </c>
      <c r="K4769" t="s">
        <v>1618</v>
      </c>
      <c r="L4769" t="s">
        <v>4036</v>
      </c>
      <c r="M4769" t="s">
        <v>1627</v>
      </c>
      <c r="N4769">
        <v>57.3</v>
      </c>
      <c r="O4769" s="49">
        <v>44460</v>
      </c>
      <c r="P4769" s="50">
        <v>390.85199999999998</v>
      </c>
    </row>
    <row r="4770" spans="4:16" x14ac:dyDescent="0.2">
      <c r="D4770">
        <v>100002829</v>
      </c>
      <c r="E4770" s="49">
        <v>44235</v>
      </c>
      <c r="F4770" t="s">
        <v>4482</v>
      </c>
      <c r="G4770" t="s">
        <v>1738</v>
      </c>
      <c r="H4770">
        <v>8</v>
      </c>
      <c r="I4770">
        <v>114.48</v>
      </c>
      <c r="J4770" s="50">
        <v>915.84</v>
      </c>
      <c r="K4770" t="s">
        <v>1618</v>
      </c>
      <c r="L4770" t="s">
        <v>4483</v>
      </c>
      <c r="M4770" t="s">
        <v>1619</v>
      </c>
      <c r="N4770">
        <v>60.42</v>
      </c>
      <c r="O4770" s="49">
        <v>44237</v>
      </c>
      <c r="P4770" s="50">
        <v>412.12800000000004</v>
      </c>
    </row>
    <row r="4771" spans="4:16" x14ac:dyDescent="0.2">
      <c r="D4771">
        <v>100002829</v>
      </c>
      <c r="E4771" s="49">
        <v>45248</v>
      </c>
      <c r="F4771" t="s">
        <v>4482</v>
      </c>
      <c r="G4771" t="s">
        <v>2069</v>
      </c>
      <c r="H4771">
        <v>4</v>
      </c>
      <c r="I4771">
        <v>46.25</v>
      </c>
      <c r="J4771" s="50">
        <v>185</v>
      </c>
      <c r="K4771" t="s">
        <v>1618</v>
      </c>
      <c r="L4771" t="s">
        <v>4483</v>
      </c>
      <c r="M4771" t="s">
        <v>1629</v>
      </c>
      <c r="N4771">
        <v>24.41</v>
      </c>
      <c r="O4771" s="49">
        <v>45253</v>
      </c>
      <c r="P4771" s="50">
        <v>83.25</v>
      </c>
    </row>
    <row r="4772" spans="4:16" x14ac:dyDescent="0.2">
      <c r="D4772">
        <v>100002829</v>
      </c>
      <c r="E4772" s="49">
        <v>44668</v>
      </c>
      <c r="F4772" t="s">
        <v>4482</v>
      </c>
      <c r="G4772" t="s">
        <v>1866</v>
      </c>
      <c r="H4772">
        <v>5</v>
      </c>
      <c r="I4772">
        <v>63.55</v>
      </c>
      <c r="J4772" s="50">
        <v>317.75</v>
      </c>
      <c r="K4772" t="s">
        <v>1618</v>
      </c>
      <c r="L4772" t="s">
        <v>4483</v>
      </c>
      <c r="M4772" t="s">
        <v>1627</v>
      </c>
      <c r="N4772">
        <v>33.54</v>
      </c>
      <c r="O4772" s="49">
        <v>44670</v>
      </c>
      <c r="P4772" s="50">
        <v>142.98750000000001</v>
      </c>
    </row>
    <row r="4773" spans="4:16" x14ac:dyDescent="0.2">
      <c r="D4773">
        <v>100002829</v>
      </c>
      <c r="E4773" s="49">
        <v>45557</v>
      </c>
      <c r="F4773" t="s">
        <v>4482</v>
      </c>
      <c r="G4773" t="s">
        <v>1807</v>
      </c>
      <c r="H4773">
        <v>3</v>
      </c>
      <c r="I4773">
        <v>35.92</v>
      </c>
      <c r="J4773" s="50">
        <v>107.76</v>
      </c>
      <c r="K4773" t="s">
        <v>1618</v>
      </c>
      <c r="L4773" t="s">
        <v>4483</v>
      </c>
      <c r="M4773" t="s">
        <v>1624</v>
      </c>
      <c r="N4773">
        <v>18.96</v>
      </c>
      <c r="O4773" s="49">
        <v>45560</v>
      </c>
      <c r="P4773" s="50">
        <v>48.492000000000004</v>
      </c>
    </row>
    <row r="4774" spans="4:16" x14ac:dyDescent="0.2">
      <c r="D4774">
        <v>100002832</v>
      </c>
      <c r="E4774" s="49">
        <v>44283</v>
      </c>
      <c r="F4774" t="s">
        <v>4484</v>
      </c>
      <c r="G4774" t="s">
        <v>1737</v>
      </c>
      <c r="H4774">
        <v>7</v>
      </c>
      <c r="I4774">
        <v>114.31</v>
      </c>
      <c r="J4774" s="50">
        <v>800.17000000000007</v>
      </c>
      <c r="K4774" t="s">
        <v>1618</v>
      </c>
      <c r="M4774" t="s">
        <v>1621</v>
      </c>
      <c r="N4774">
        <v>60.33</v>
      </c>
      <c r="O4774" s="49">
        <v>44287</v>
      </c>
      <c r="P4774" s="50">
        <v>360.07650000000007</v>
      </c>
    </row>
    <row r="4775" spans="4:16" x14ac:dyDescent="0.2">
      <c r="D4775">
        <v>100002832</v>
      </c>
      <c r="E4775" s="49">
        <v>44784</v>
      </c>
      <c r="F4775" t="s">
        <v>4484</v>
      </c>
      <c r="G4775" t="s">
        <v>1812</v>
      </c>
      <c r="H4775">
        <v>6</v>
      </c>
      <c r="I4775">
        <v>106.12</v>
      </c>
      <c r="J4775" s="50">
        <v>636.72</v>
      </c>
      <c r="K4775" t="s">
        <v>1618</v>
      </c>
      <c r="M4775" t="s">
        <v>1621</v>
      </c>
      <c r="N4775">
        <v>56.01</v>
      </c>
      <c r="O4775" s="49">
        <v>44787</v>
      </c>
      <c r="P4775" s="50">
        <v>286.524</v>
      </c>
    </row>
    <row r="4776" spans="4:16" x14ac:dyDescent="0.2">
      <c r="D4776">
        <v>100002834</v>
      </c>
      <c r="E4776" s="49">
        <v>44832</v>
      </c>
      <c r="F4776" t="s">
        <v>4485</v>
      </c>
      <c r="G4776" t="s">
        <v>1749</v>
      </c>
      <c r="H4776">
        <v>10</v>
      </c>
      <c r="I4776">
        <v>42.14</v>
      </c>
      <c r="J4776" s="50">
        <v>421.4</v>
      </c>
      <c r="K4776" t="s">
        <v>1618</v>
      </c>
      <c r="M4776" t="s">
        <v>1629</v>
      </c>
      <c r="N4776">
        <v>22.24</v>
      </c>
      <c r="O4776" s="49">
        <v>44837</v>
      </c>
      <c r="P4776" s="50">
        <v>189.63</v>
      </c>
    </row>
    <row r="4777" spans="4:16" x14ac:dyDescent="0.2">
      <c r="D4777">
        <v>100002834</v>
      </c>
      <c r="E4777" s="49">
        <v>44727</v>
      </c>
      <c r="F4777" t="s">
        <v>4485</v>
      </c>
      <c r="G4777" t="s">
        <v>1831</v>
      </c>
      <c r="H4777">
        <v>1</v>
      </c>
      <c r="I4777">
        <v>82.68</v>
      </c>
      <c r="J4777" s="50">
        <v>82.68</v>
      </c>
      <c r="K4777" t="s">
        <v>1618</v>
      </c>
      <c r="M4777" t="s">
        <v>1629</v>
      </c>
      <c r="N4777">
        <v>43.64</v>
      </c>
      <c r="O4777" s="49">
        <v>44729</v>
      </c>
      <c r="P4777" s="50">
        <v>37.206000000000003</v>
      </c>
    </row>
    <row r="4778" spans="4:16" x14ac:dyDescent="0.2">
      <c r="D4778">
        <v>100002837</v>
      </c>
      <c r="E4778" s="49">
        <v>44448</v>
      </c>
      <c r="F4778" t="s">
        <v>4486</v>
      </c>
      <c r="G4778" t="s">
        <v>1902</v>
      </c>
      <c r="H4778">
        <v>6</v>
      </c>
      <c r="I4778">
        <v>19.28</v>
      </c>
      <c r="J4778" s="50">
        <v>115.68</v>
      </c>
      <c r="K4778" t="s">
        <v>1618</v>
      </c>
      <c r="M4778" t="s">
        <v>1629</v>
      </c>
      <c r="N4778">
        <v>10.18</v>
      </c>
      <c r="O4778" s="49">
        <v>44453</v>
      </c>
      <c r="P4778" s="50">
        <v>52.056000000000004</v>
      </c>
    </row>
    <row r="4779" spans="4:16" x14ac:dyDescent="0.2">
      <c r="D4779">
        <v>100002837</v>
      </c>
      <c r="E4779" s="49">
        <v>45076</v>
      </c>
      <c r="F4779" t="s">
        <v>4486</v>
      </c>
      <c r="G4779" t="s">
        <v>2050</v>
      </c>
      <c r="H4779">
        <v>1</v>
      </c>
      <c r="I4779">
        <v>86.23</v>
      </c>
      <c r="J4779" s="50">
        <v>86.23</v>
      </c>
      <c r="K4779" t="s">
        <v>1618</v>
      </c>
      <c r="M4779" t="s">
        <v>1627</v>
      </c>
      <c r="N4779">
        <v>45.51</v>
      </c>
      <c r="O4779" s="49">
        <v>45081</v>
      </c>
      <c r="P4779" s="50">
        <v>38.8035</v>
      </c>
    </row>
    <row r="4780" spans="4:16" x14ac:dyDescent="0.2">
      <c r="D4780">
        <v>100002841</v>
      </c>
      <c r="E4780" s="49">
        <v>45627</v>
      </c>
      <c r="F4780" t="s">
        <v>4487</v>
      </c>
      <c r="G4780" t="s">
        <v>2733</v>
      </c>
      <c r="H4780">
        <v>8</v>
      </c>
      <c r="I4780">
        <v>24.51</v>
      </c>
      <c r="J4780" s="50">
        <v>196.08</v>
      </c>
      <c r="K4780" t="s">
        <v>1618</v>
      </c>
      <c r="M4780" t="s">
        <v>1627</v>
      </c>
      <c r="N4780">
        <v>12.94</v>
      </c>
      <c r="O4780" s="49">
        <v>45629</v>
      </c>
      <c r="P4780" s="50">
        <v>88.236000000000004</v>
      </c>
    </row>
    <row r="4781" spans="4:16" x14ac:dyDescent="0.2">
      <c r="D4781">
        <v>100002841</v>
      </c>
      <c r="E4781" s="49">
        <v>44947</v>
      </c>
      <c r="F4781" t="s">
        <v>4487</v>
      </c>
      <c r="G4781" t="s">
        <v>1765</v>
      </c>
      <c r="H4781">
        <v>9</v>
      </c>
      <c r="I4781">
        <v>89.81</v>
      </c>
      <c r="J4781" s="50">
        <v>808.29</v>
      </c>
      <c r="K4781" t="s">
        <v>1618</v>
      </c>
      <c r="M4781" t="s">
        <v>1624</v>
      </c>
      <c r="N4781">
        <v>47.4</v>
      </c>
      <c r="O4781" s="49">
        <v>44950</v>
      </c>
      <c r="P4781" s="50">
        <v>363.73050000000001</v>
      </c>
    </row>
    <row r="4782" spans="4:16" x14ac:dyDescent="0.2">
      <c r="D4782">
        <v>100002842</v>
      </c>
      <c r="E4782" s="49">
        <v>44719</v>
      </c>
      <c r="F4782" t="s">
        <v>4488</v>
      </c>
      <c r="G4782" t="s">
        <v>1669</v>
      </c>
      <c r="H4782">
        <v>6</v>
      </c>
      <c r="I4782">
        <v>114.72</v>
      </c>
      <c r="J4782" s="50">
        <v>688.31999999999994</v>
      </c>
      <c r="K4782" t="s">
        <v>1632</v>
      </c>
      <c r="L4782" t="s">
        <v>4489</v>
      </c>
      <c r="M4782" t="s">
        <v>1627</v>
      </c>
      <c r="N4782">
        <v>60.55</v>
      </c>
      <c r="O4782" s="49">
        <v>44720</v>
      </c>
      <c r="P4782" s="50">
        <v>309.74399999999997</v>
      </c>
    </row>
    <row r="4783" spans="4:16" x14ac:dyDescent="0.2">
      <c r="D4783">
        <v>100002844</v>
      </c>
      <c r="E4783" s="49">
        <v>44644</v>
      </c>
      <c r="F4783" t="s">
        <v>4490</v>
      </c>
      <c r="G4783" t="s">
        <v>1631</v>
      </c>
      <c r="H4783">
        <v>6</v>
      </c>
      <c r="I4783">
        <v>107.41</v>
      </c>
      <c r="J4783" s="50">
        <v>644.46</v>
      </c>
      <c r="K4783" t="s">
        <v>1618</v>
      </c>
      <c r="M4783" t="s">
        <v>1624</v>
      </c>
      <c r="N4783">
        <v>56.69</v>
      </c>
      <c r="O4783" s="49">
        <v>44648</v>
      </c>
      <c r="P4783" s="50">
        <v>290.00700000000001</v>
      </c>
    </row>
    <row r="4784" spans="4:16" x14ac:dyDescent="0.2">
      <c r="D4784">
        <v>100002844</v>
      </c>
      <c r="E4784" s="49">
        <v>44428</v>
      </c>
      <c r="F4784" t="s">
        <v>4490</v>
      </c>
      <c r="G4784" t="s">
        <v>2343</v>
      </c>
      <c r="H4784">
        <v>3</v>
      </c>
      <c r="I4784">
        <v>99.48</v>
      </c>
      <c r="J4784" s="50">
        <v>298.44</v>
      </c>
      <c r="K4784" t="s">
        <v>1618</v>
      </c>
      <c r="M4784" t="s">
        <v>1624</v>
      </c>
      <c r="N4784">
        <v>52.5</v>
      </c>
      <c r="O4784" s="49">
        <v>44433</v>
      </c>
      <c r="P4784" s="50">
        <v>134.298</v>
      </c>
    </row>
    <row r="4785" spans="4:16" x14ac:dyDescent="0.2">
      <c r="D4785">
        <v>100002845</v>
      </c>
      <c r="E4785" s="49">
        <v>45246</v>
      </c>
      <c r="F4785" t="s">
        <v>4491</v>
      </c>
      <c r="G4785" t="s">
        <v>1932</v>
      </c>
      <c r="H4785">
        <v>6</v>
      </c>
      <c r="I4785">
        <v>40.159999999999997</v>
      </c>
      <c r="J4785" s="50">
        <v>240.96</v>
      </c>
      <c r="K4785" t="s">
        <v>1618</v>
      </c>
      <c r="L4785" t="s">
        <v>4492</v>
      </c>
      <c r="M4785" t="s">
        <v>1629</v>
      </c>
      <c r="N4785">
        <v>21.2</v>
      </c>
      <c r="O4785" s="49">
        <v>45248</v>
      </c>
      <c r="P4785" s="50">
        <v>108.432</v>
      </c>
    </row>
    <row r="4786" spans="4:16" x14ac:dyDescent="0.2">
      <c r="D4786">
        <v>100002846</v>
      </c>
      <c r="E4786" s="49">
        <v>44325</v>
      </c>
      <c r="F4786" t="s">
        <v>4493</v>
      </c>
      <c r="G4786" t="s">
        <v>1686</v>
      </c>
      <c r="H4786">
        <v>6</v>
      </c>
      <c r="I4786">
        <v>14.98</v>
      </c>
      <c r="J4786" s="50">
        <v>89.88</v>
      </c>
      <c r="K4786" t="s">
        <v>1632</v>
      </c>
      <c r="M4786" t="s">
        <v>1621</v>
      </c>
      <c r="N4786">
        <v>7.91</v>
      </c>
      <c r="O4786" s="49">
        <v>44329</v>
      </c>
      <c r="P4786" s="50">
        <v>40.445999999999998</v>
      </c>
    </row>
    <row r="4787" spans="4:16" x14ac:dyDescent="0.2">
      <c r="D4787">
        <v>100002846</v>
      </c>
      <c r="E4787" s="49">
        <v>44982</v>
      </c>
      <c r="F4787" t="s">
        <v>4493</v>
      </c>
      <c r="G4787" t="s">
        <v>1865</v>
      </c>
      <c r="H4787">
        <v>5</v>
      </c>
      <c r="I4787">
        <v>11.85</v>
      </c>
      <c r="J4787" s="50">
        <v>59.25</v>
      </c>
      <c r="K4787" t="s">
        <v>1632</v>
      </c>
      <c r="M4787" t="s">
        <v>1624</v>
      </c>
      <c r="N4787">
        <v>6.25</v>
      </c>
      <c r="O4787" s="49">
        <v>44983</v>
      </c>
      <c r="P4787" s="50">
        <v>26.662500000000001</v>
      </c>
    </row>
    <row r="4788" spans="4:16" x14ac:dyDescent="0.2">
      <c r="D4788">
        <v>100002847</v>
      </c>
      <c r="E4788" s="49">
        <v>44928</v>
      </c>
      <c r="F4788" t="s">
        <v>4494</v>
      </c>
      <c r="G4788" t="s">
        <v>1723</v>
      </c>
      <c r="H4788">
        <v>8</v>
      </c>
      <c r="I4788">
        <v>52.38</v>
      </c>
      <c r="J4788" s="50">
        <v>419.04</v>
      </c>
      <c r="K4788" t="s">
        <v>1632</v>
      </c>
      <c r="L4788" t="s">
        <v>4495</v>
      </c>
      <c r="M4788" t="s">
        <v>1629</v>
      </c>
      <c r="N4788">
        <v>27.64</v>
      </c>
      <c r="O4788" s="49">
        <v>44931</v>
      </c>
      <c r="P4788" s="50">
        <v>188.56800000000001</v>
      </c>
    </row>
    <row r="4789" spans="4:16" x14ac:dyDescent="0.2">
      <c r="D4789">
        <v>100002847</v>
      </c>
      <c r="E4789" s="49">
        <v>45522</v>
      </c>
      <c r="F4789" t="s">
        <v>4494</v>
      </c>
      <c r="G4789" t="s">
        <v>2328</v>
      </c>
      <c r="H4789">
        <v>7</v>
      </c>
      <c r="I4789">
        <v>83.39</v>
      </c>
      <c r="J4789" s="50">
        <v>583.73</v>
      </c>
      <c r="K4789" t="s">
        <v>1632</v>
      </c>
      <c r="L4789" t="s">
        <v>4495</v>
      </c>
      <c r="M4789" t="s">
        <v>1621</v>
      </c>
      <c r="N4789">
        <v>44.01</v>
      </c>
      <c r="O4789" s="49">
        <v>45527</v>
      </c>
      <c r="P4789" s="50">
        <v>262.67850000000004</v>
      </c>
    </row>
    <row r="4790" spans="4:16" x14ac:dyDescent="0.2">
      <c r="D4790">
        <v>100002847</v>
      </c>
      <c r="E4790" s="49">
        <v>44968</v>
      </c>
      <c r="F4790" t="s">
        <v>4494</v>
      </c>
      <c r="G4790" t="s">
        <v>3135</v>
      </c>
      <c r="H4790">
        <v>6</v>
      </c>
      <c r="I4790">
        <v>89.27</v>
      </c>
      <c r="J4790" s="50">
        <v>535.62</v>
      </c>
      <c r="K4790" t="s">
        <v>1632</v>
      </c>
      <c r="L4790" t="s">
        <v>4495</v>
      </c>
      <c r="M4790" t="s">
        <v>1619</v>
      </c>
      <c r="N4790">
        <v>47.11</v>
      </c>
      <c r="O4790" s="49">
        <v>44973</v>
      </c>
      <c r="P4790" s="50">
        <v>241.029</v>
      </c>
    </row>
    <row r="4791" spans="4:16" x14ac:dyDescent="0.2">
      <c r="D4791">
        <v>100002848</v>
      </c>
      <c r="E4791" s="49">
        <v>45508</v>
      </c>
      <c r="F4791" t="s">
        <v>4496</v>
      </c>
      <c r="G4791" t="s">
        <v>2191</v>
      </c>
      <c r="H4791">
        <v>5</v>
      </c>
      <c r="I4791">
        <v>27.46</v>
      </c>
      <c r="J4791" s="50">
        <v>137.30000000000001</v>
      </c>
      <c r="K4791" t="s">
        <v>1618</v>
      </c>
      <c r="M4791" t="s">
        <v>1627</v>
      </c>
      <c r="N4791">
        <v>14.49</v>
      </c>
      <c r="O4791" s="49">
        <v>45513</v>
      </c>
      <c r="P4791" s="50">
        <v>61.785000000000004</v>
      </c>
    </row>
    <row r="4792" spans="4:16" x14ac:dyDescent="0.2">
      <c r="D4792">
        <v>100002849</v>
      </c>
      <c r="E4792" s="49">
        <v>44229</v>
      </c>
      <c r="F4792" t="s">
        <v>4497</v>
      </c>
      <c r="G4792" t="s">
        <v>2071</v>
      </c>
      <c r="H4792">
        <v>6</v>
      </c>
      <c r="I4792">
        <v>78.17</v>
      </c>
      <c r="J4792" s="50">
        <v>469.02</v>
      </c>
      <c r="K4792" t="s">
        <v>1632</v>
      </c>
      <c r="M4792" t="s">
        <v>1629</v>
      </c>
      <c r="N4792">
        <v>41.26</v>
      </c>
      <c r="O4792" s="49">
        <v>44233</v>
      </c>
      <c r="P4792" s="50">
        <v>211.059</v>
      </c>
    </row>
    <row r="4793" spans="4:16" x14ac:dyDescent="0.2">
      <c r="D4793">
        <v>100002852</v>
      </c>
      <c r="E4793" s="49">
        <v>44236</v>
      </c>
      <c r="F4793" t="s">
        <v>4498</v>
      </c>
      <c r="G4793" t="s">
        <v>1667</v>
      </c>
      <c r="H4793">
        <v>9</v>
      </c>
      <c r="I4793">
        <v>86.45</v>
      </c>
      <c r="J4793" s="50">
        <v>778.05000000000007</v>
      </c>
      <c r="K4793" t="s">
        <v>1618</v>
      </c>
      <c r="L4793" t="s">
        <v>4499</v>
      </c>
      <c r="M4793" t="s">
        <v>1621</v>
      </c>
      <c r="N4793">
        <v>45.63</v>
      </c>
      <c r="O4793" s="49">
        <v>44241</v>
      </c>
      <c r="P4793" s="50">
        <v>350.12250000000006</v>
      </c>
    </row>
    <row r="4794" spans="4:16" x14ac:dyDescent="0.2">
      <c r="D4794">
        <v>100002852</v>
      </c>
      <c r="E4794" s="49">
        <v>44986</v>
      </c>
      <c r="F4794" t="s">
        <v>4498</v>
      </c>
      <c r="G4794" t="s">
        <v>2063</v>
      </c>
      <c r="H4794">
        <v>4</v>
      </c>
      <c r="I4794">
        <v>80.56</v>
      </c>
      <c r="J4794" s="50">
        <v>322.24</v>
      </c>
      <c r="K4794" t="s">
        <v>1618</v>
      </c>
      <c r="L4794" t="s">
        <v>4499</v>
      </c>
      <c r="M4794" t="s">
        <v>1629</v>
      </c>
      <c r="N4794">
        <v>42.52</v>
      </c>
      <c r="O4794" s="49">
        <v>44987</v>
      </c>
      <c r="P4794" s="50">
        <v>145.00800000000001</v>
      </c>
    </row>
    <row r="4795" spans="4:16" x14ac:dyDescent="0.2">
      <c r="D4795">
        <v>100002853</v>
      </c>
      <c r="E4795" s="49">
        <v>44822</v>
      </c>
      <c r="F4795" t="s">
        <v>4500</v>
      </c>
      <c r="G4795" t="s">
        <v>1855</v>
      </c>
      <c r="H4795">
        <v>10</v>
      </c>
      <c r="I4795">
        <v>100.17</v>
      </c>
      <c r="J4795" s="50">
        <v>1001.7</v>
      </c>
      <c r="K4795" t="s">
        <v>1618</v>
      </c>
      <c r="M4795" t="s">
        <v>1621</v>
      </c>
      <c r="N4795">
        <v>52.87</v>
      </c>
      <c r="O4795" s="49">
        <v>44826</v>
      </c>
      <c r="P4795" s="50">
        <v>450.76500000000004</v>
      </c>
    </row>
    <row r="4796" spans="4:16" x14ac:dyDescent="0.2">
      <c r="D4796">
        <v>100002855</v>
      </c>
      <c r="E4796" s="49">
        <v>44410</v>
      </c>
      <c r="F4796" t="s">
        <v>4501</v>
      </c>
      <c r="G4796" t="s">
        <v>2330</v>
      </c>
      <c r="H4796">
        <v>2</v>
      </c>
      <c r="I4796">
        <v>83.99</v>
      </c>
      <c r="J4796" s="50">
        <v>167.98</v>
      </c>
      <c r="K4796" t="s">
        <v>1632</v>
      </c>
      <c r="L4796" t="s">
        <v>4502</v>
      </c>
      <c r="M4796" t="s">
        <v>1621</v>
      </c>
      <c r="N4796">
        <v>44.33</v>
      </c>
      <c r="O4796" s="49">
        <v>44411</v>
      </c>
      <c r="P4796" s="50">
        <v>75.590999999999994</v>
      </c>
    </row>
    <row r="4797" spans="4:16" x14ac:dyDescent="0.2">
      <c r="D4797">
        <v>100002856</v>
      </c>
      <c r="E4797" s="49">
        <v>45005</v>
      </c>
      <c r="F4797" t="s">
        <v>4503</v>
      </c>
      <c r="G4797" t="s">
        <v>1872</v>
      </c>
      <c r="H4797">
        <v>9</v>
      </c>
      <c r="I4797">
        <v>75.599999999999994</v>
      </c>
      <c r="J4797" s="50">
        <v>680.4</v>
      </c>
      <c r="K4797" t="s">
        <v>1632</v>
      </c>
      <c r="M4797" t="s">
        <v>1621</v>
      </c>
      <c r="N4797">
        <v>39.9</v>
      </c>
      <c r="O4797" s="49">
        <v>45009</v>
      </c>
      <c r="P4797" s="50">
        <v>306.18</v>
      </c>
    </row>
    <row r="4798" spans="4:16" x14ac:dyDescent="0.2">
      <c r="D4798">
        <v>100002856</v>
      </c>
      <c r="E4798" s="49">
        <v>44511</v>
      </c>
      <c r="F4798" t="s">
        <v>4503</v>
      </c>
      <c r="G4798" t="s">
        <v>2766</v>
      </c>
      <c r="H4798">
        <v>7</v>
      </c>
      <c r="I4798">
        <v>104.84</v>
      </c>
      <c r="J4798" s="50">
        <v>733.88</v>
      </c>
      <c r="K4798" t="s">
        <v>1632</v>
      </c>
      <c r="M4798" t="s">
        <v>1619</v>
      </c>
      <c r="N4798">
        <v>55.33</v>
      </c>
      <c r="O4798" s="49">
        <v>44514</v>
      </c>
      <c r="P4798" s="50">
        <v>330.24599999999998</v>
      </c>
    </row>
    <row r="4799" spans="4:16" x14ac:dyDescent="0.2">
      <c r="D4799">
        <v>100002856</v>
      </c>
      <c r="E4799" s="49">
        <v>45125</v>
      </c>
      <c r="F4799" t="s">
        <v>4503</v>
      </c>
      <c r="G4799" t="s">
        <v>1980</v>
      </c>
      <c r="H4799">
        <v>7</v>
      </c>
      <c r="I4799">
        <v>97.28</v>
      </c>
      <c r="J4799" s="50">
        <v>680.96</v>
      </c>
      <c r="K4799" t="s">
        <v>1632</v>
      </c>
      <c r="M4799" t="s">
        <v>1621</v>
      </c>
      <c r="N4799">
        <v>51.34</v>
      </c>
      <c r="O4799" s="49">
        <v>45128</v>
      </c>
      <c r="P4799" s="50">
        <v>306.43200000000002</v>
      </c>
    </row>
    <row r="4800" spans="4:16" x14ac:dyDescent="0.2">
      <c r="D4800">
        <v>100002857</v>
      </c>
      <c r="E4800" s="49">
        <v>45038</v>
      </c>
      <c r="F4800" t="s">
        <v>4504</v>
      </c>
      <c r="G4800" t="s">
        <v>1842</v>
      </c>
      <c r="H4800">
        <v>4</v>
      </c>
      <c r="I4800">
        <v>102.95</v>
      </c>
      <c r="J4800" s="50">
        <v>411.8</v>
      </c>
      <c r="K4800" t="s">
        <v>1618</v>
      </c>
      <c r="M4800" t="s">
        <v>1629</v>
      </c>
      <c r="N4800">
        <v>54.33</v>
      </c>
      <c r="O4800" s="49">
        <v>45040</v>
      </c>
      <c r="P4800" s="50">
        <v>185.31</v>
      </c>
    </row>
    <row r="4801" spans="4:16" x14ac:dyDescent="0.2">
      <c r="D4801">
        <v>100002857</v>
      </c>
      <c r="E4801" s="49">
        <v>45633</v>
      </c>
      <c r="F4801" t="s">
        <v>4504</v>
      </c>
      <c r="G4801" t="s">
        <v>2057</v>
      </c>
      <c r="H4801">
        <v>7</v>
      </c>
      <c r="I4801">
        <v>103.69</v>
      </c>
      <c r="J4801" s="50">
        <v>725.82999999999993</v>
      </c>
      <c r="K4801" t="s">
        <v>1618</v>
      </c>
      <c r="M4801" t="s">
        <v>1627</v>
      </c>
      <c r="N4801">
        <v>54.72</v>
      </c>
      <c r="O4801" s="49">
        <v>45635</v>
      </c>
      <c r="P4801" s="50">
        <v>326.62349999999998</v>
      </c>
    </row>
    <row r="4802" spans="4:16" x14ac:dyDescent="0.2">
      <c r="D4802">
        <v>100002858</v>
      </c>
      <c r="E4802" s="49">
        <v>45174</v>
      </c>
      <c r="F4802" t="s">
        <v>4505</v>
      </c>
      <c r="G4802" t="s">
        <v>2112</v>
      </c>
      <c r="H4802">
        <v>4</v>
      </c>
      <c r="I4802">
        <v>21.72</v>
      </c>
      <c r="J4802" s="50">
        <v>86.88</v>
      </c>
      <c r="K4802" t="s">
        <v>1618</v>
      </c>
      <c r="M4802" t="s">
        <v>1627</v>
      </c>
      <c r="N4802">
        <v>11.46</v>
      </c>
      <c r="O4802" s="49">
        <v>45179</v>
      </c>
      <c r="P4802" s="50">
        <v>39.095999999999997</v>
      </c>
    </row>
    <row r="4803" spans="4:16" x14ac:dyDescent="0.2">
      <c r="D4803">
        <v>100002859</v>
      </c>
      <c r="E4803" s="49">
        <v>44606</v>
      </c>
      <c r="F4803" t="s">
        <v>4506</v>
      </c>
      <c r="G4803" t="s">
        <v>2574</v>
      </c>
      <c r="H4803">
        <v>4</v>
      </c>
      <c r="I4803">
        <v>96.67</v>
      </c>
      <c r="J4803" s="50">
        <v>386.68</v>
      </c>
      <c r="K4803" t="s">
        <v>1632</v>
      </c>
      <c r="M4803" t="s">
        <v>1627</v>
      </c>
      <c r="N4803">
        <v>51.02</v>
      </c>
      <c r="O4803" s="49">
        <v>44608</v>
      </c>
      <c r="P4803" s="50">
        <v>174.006</v>
      </c>
    </row>
    <row r="4804" spans="4:16" x14ac:dyDescent="0.2">
      <c r="D4804">
        <v>100002860</v>
      </c>
      <c r="E4804" s="49">
        <v>44451</v>
      </c>
      <c r="F4804" t="s">
        <v>2505</v>
      </c>
      <c r="G4804" t="s">
        <v>1807</v>
      </c>
      <c r="H4804">
        <v>8</v>
      </c>
      <c r="I4804">
        <v>77.73</v>
      </c>
      <c r="J4804" s="50">
        <v>621.84</v>
      </c>
      <c r="K4804" t="s">
        <v>1618</v>
      </c>
      <c r="L4804" t="s">
        <v>4507</v>
      </c>
      <c r="M4804" t="s">
        <v>1624</v>
      </c>
      <c r="N4804">
        <v>41.02</v>
      </c>
      <c r="O4804" s="49">
        <v>44453</v>
      </c>
      <c r="P4804" s="50">
        <v>279.82800000000003</v>
      </c>
    </row>
    <row r="4805" spans="4:16" x14ac:dyDescent="0.2">
      <c r="D4805">
        <v>100002861</v>
      </c>
      <c r="E4805" s="49">
        <v>44344</v>
      </c>
      <c r="F4805" t="s">
        <v>4508</v>
      </c>
      <c r="G4805" t="s">
        <v>2024</v>
      </c>
      <c r="H4805">
        <v>8</v>
      </c>
      <c r="I4805">
        <v>25.63</v>
      </c>
      <c r="J4805" s="50">
        <v>205.04</v>
      </c>
      <c r="K4805" t="s">
        <v>1632</v>
      </c>
      <c r="M4805" t="s">
        <v>1627</v>
      </c>
      <c r="N4805">
        <v>13.53</v>
      </c>
      <c r="O4805" s="49">
        <v>44349</v>
      </c>
      <c r="P4805" s="50">
        <v>92.268000000000001</v>
      </c>
    </row>
    <row r="4806" spans="4:16" x14ac:dyDescent="0.2">
      <c r="D4806">
        <v>100002862</v>
      </c>
      <c r="E4806" s="49">
        <v>45371</v>
      </c>
      <c r="F4806" t="s">
        <v>4509</v>
      </c>
      <c r="G4806" t="s">
        <v>1953</v>
      </c>
      <c r="H4806">
        <v>4</v>
      </c>
      <c r="I4806">
        <v>11.35</v>
      </c>
      <c r="J4806" s="50">
        <v>45.4</v>
      </c>
      <c r="K4806" t="s">
        <v>1618</v>
      </c>
      <c r="M4806" t="s">
        <v>1629</v>
      </c>
      <c r="N4806">
        <v>5.99</v>
      </c>
      <c r="O4806" s="49">
        <v>45374</v>
      </c>
      <c r="P4806" s="50">
        <v>20.43</v>
      </c>
    </row>
    <row r="4807" spans="4:16" x14ac:dyDescent="0.2">
      <c r="D4807">
        <v>100002862</v>
      </c>
      <c r="E4807" s="49">
        <v>44830</v>
      </c>
      <c r="F4807" t="s">
        <v>4509</v>
      </c>
      <c r="G4807" t="s">
        <v>1820</v>
      </c>
      <c r="H4807">
        <v>6</v>
      </c>
      <c r="I4807">
        <v>98.86</v>
      </c>
      <c r="J4807" s="50">
        <v>593.16</v>
      </c>
      <c r="K4807" t="s">
        <v>1618</v>
      </c>
      <c r="M4807" t="s">
        <v>1629</v>
      </c>
      <c r="N4807">
        <v>52.18</v>
      </c>
      <c r="O4807" s="49">
        <v>44831</v>
      </c>
      <c r="P4807" s="50">
        <v>266.92199999999997</v>
      </c>
    </row>
    <row r="4808" spans="4:16" x14ac:dyDescent="0.2">
      <c r="D4808">
        <v>100002864</v>
      </c>
      <c r="E4808" s="49">
        <v>44378</v>
      </c>
      <c r="F4808" t="s">
        <v>4510</v>
      </c>
      <c r="G4808" t="s">
        <v>1890</v>
      </c>
      <c r="H4808">
        <v>7</v>
      </c>
      <c r="I4808">
        <v>117.63</v>
      </c>
      <c r="J4808" s="50">
        <v>823.41</v>
      </c>
      <c r="K4808" t="s">
        <v>1618</v>
      </c>
      <c r="M4808" t="s">
        <v>1619</v>
      </c>
      <c r="N4808">
        <v>62.08</v>
      </c>
      <c r="O4808" s="49">
        <v>44380</v>
      </c>
      <c r="P4808" s="50">
        <v>370.53449999999998</v>
      </c>
    </row>
    <row r="4809" spans="4:16" x14ac:dyDescent="0.2">
      <c r="D4809">
        <v>100002864</v>
      </c>
      <c r="E4809" s="49">
        <v>44902</v>
      </c>
      <c r="F4809" t="s">
        <v>4510</v>
      </c>
      <c r="G4809" t="s">
        <v>2302</v>
      </c>
      <c r="H4809">
        <v>4</v>
      </c>
      <c r="I4809">
        <v>10.81</v>
      </c>
      <c r="J4809" s="50">
        <v>43.24</v>
      </c>
      <c r="K4809" t="s">
        <v>1618</v>
      </c>
      <c r="M4809" t="s">
        <v>1621</v>
      </c>
      <c r="N4809">
        <v>5.71</v>
      </c>
      <c r="O4809" s="49">
        <v>44907</v>
      </c>
      <c r="P4809" s="50">
        <v>19.458000000000002</v>
      </c>
    </row>
    <row r="4810" spans="4:16" x14ac:dyDescent="0.2">
      <c r="D4810">
        <v>100002865</v>
      </c>
      <c r="E4810" s="49">
        <v>44848</v>
      </c>
      <c r="F4810" t="s">
        <v>1884</v>
      </c>
      <c r="G4810" t="s">
        <v>2168</v>
      </c>
      <c r="H4810">
        <v>10</v>
      </c>
      <c r="I4810">
        <v>43.62</v>
      </c>
      <c r="J4810" s="50">
        <v>436.2</v>
      </c>
      <c r="K4810" t="s">
        <v>1618</v>
      </c>
      <c r="M4810" t="s">
        <v>1624</v>
      </c>
      <c r="N4810">
        <v>23.02</v>
      </c>
      <c r="O4810" s="49">
        <v>44853</v>
      </c>
      <c r="P4810" s="50">
        <v>196.29</v>
      </c>
    </row>
    <row r="4811" spans="4:16" x14ac:dyDescent="0.2">
      <c r="D4811">
        <v>100002866</v>
      </c>
      <c r="E4811" s="49">
        <v>44731</v>
      </c>
      <c r="F4811" t="s">
        <v>4511</v>
      </c>
      <c r="G4811" t="s">
        <v>1717</v>
      </c>
      <c r="H4811">
        <v>4</v>
      </c>
      <c r="I4811">
        <v>43.51</v>
      </c>
      <c r="J4811" s="50">
        <v>174.04</v>
      </c>
      <c r="K4811" t="s">
        <v>1632</v>
      </c>
      <c r="M4811" t="s">
        <v>1624</v>
      </c>
      <c r="N4811">
        <v>22.96</v>
      </c>
      <c r="O4811" s="49">
        <v>44732</v>
      </c>
      <c r="P4811" s="50">
        <v>78.317999999999998</v>
      </c>
    </row>
    <row r="4812" spans="4:16" x14ac:dyDescent="0.2">
      <c r="D4812">
        <v>100002867</v>
      </c>
      <c r="E4812" s="49">
        <v>44926</v>
      </c>
      <c r="F4812" t="s">
        <v>4512</v>
      </c>
      <c r="G4812" t="s">
        <v>1697</v>
      </c>
      <c r="H4812">
        <v>8</v>
      </c>
      <c r="I4812">
        <v>84.01</v>
      </c>
      <c r="J4812" s="50">
        <v>672.08</v>
      </c>
      <c r="K4812" t="s">
        <v>1632</v>
      </c>
      <c r="M4812" t="s">
        <v>1619</v>
      </c>
      <c r="N4812">
        <v>44.34</v>
      </c>
      <c r="O4812" s="49">
        <v>44930</v>
      </c>
      <c r="P4812" s="50">
        <v>302.43600000000004</v>
      </c>
    </row>
    <row r="4813" spans="4:16" x14ac:dyDescent="0.2">
      <c r="D4813">
        <v>100002867</v>
      </c>
      <c r="E4813" s="49">
        <v>45141</v>
      </c>
      <c r="F4813" t="s">
        <v>4512</v>
      </c>
      <c r="G4813" t="s">
        <v>1807</v>
      </c>
      <c r="H4813">
        <v>2</v>
      </c>
      <c r="I4813">
        <v>88.97</v>
      </c>
      <c r="J4813" s="50">
        <v>177.94</v>
      </c>
      <c r="K4813" t="s">
        <v>1632</v>
      </c>
      <c r="M4813" t="s">
        <v>1621</v>
      </c>
      <c r="N4813">
        <v>46.96</v>
      </c>
      <c r="O4813" s="49">
        <v>45144</v>
      </c>
      <c r="P4813" s="50">
        <v>80.073000000000008</v>
      </c>
    </row>
    <row r="4814" spans="4:16" x14ac:dyDescent="0.2">
      <c r="D4814">
        <v>100002868</v>
      </c>
      <c r="E4814" s="49">
        <v>45548</v>
      </c>
      <c r="F4814" t="s">
        <v>4513</v>
      </c>
      <c r="G4814" t="s">
        <v>1872</v>
      </c>
      <c r="H4814">
        <v>3</v>
      </c>
      <c r="I4814">
        <v>26.85</v>
      </c>
      <c r="J4814" s="50">
        <v>80.550000000000011</v>
      </c>
      <c r="K4814" t="s">
        <v>1632</v>
      </c>
      <c r="M4814" t="s">
        <v>1629</v>
      </c>
      <c r="N4814">
        <v>14.17</v>
      </c>
      <c r="O4814" s="49">
        <v>45551</v>
      </c>
      <c r="P4814" s="50">
        <v>36.247500000000009</v>
      </c>
    </row>
    <row r="4815" spans="4:16" x14ac:dyDescent="0.2">
      <c r="D4815">
        <v>100002870</v>
      </c>
      <c r="E4815" s="49">
        <v>44431</v>
      </c>
      <c r="F4815" t="s">
        <v>4514</v>
      </c>
      <c r="G4815" t="s">
        <v>2069</v>
      </c>
      <c r="H4815">
        <v>3</v>
      </c>
      <c r="I4815">
        <v>50.38</v>
      </c>
      <c r="J4815" s="50">
        <v>151.13999999999999</v>
      </c>
      <c r="K4815" t="s">
        <v>1618</v>
      </c>
      <c r="L4815" t="s">
        <v>4515</v>
      </c>
      <c r="M4815" t="s">
        <v>1619</v>
      </c>
      <c r="N4815">
        <v>26.59</v>
      </c>
      <c r="O4815" s="49">
        <v>44434</v>
      </c>
      <c r="P4815" s="50">
        <v>68.012999999999991</v>
      </c>
    </row>
    <row r="4816" spans="4:16" x14ac:dyDescent="0.2">
      <c r="D4816">
        <v>100002873</v>
      </c>
      <c r="E4816" s="49">
        <v>44490</v>
      </c>
      <c r="F4816" t="s">
        <v>4516</v>
      </c>
      <c r="G4816" t="s">
        <v>2121</v>
      </c>
      <c r="H4816">
        <v>4</v>
      </c>
      <c r="I4816">
        <v>54.75</v>
      </c>
      <c r="J4816" s="50">
        <v>219</v>
      </c>
      <c r="K4816" t="s">
        <v>1618</v>
      </c>
      <c r="M4816" t="s">
        <v>1629</v>
      </c>
      <c r="N4816">
        <v>28.9</v>
      </c>
      <c r="O4816" s="49">
        <v>44493</v>
      </c>
      <c r="P4816" s="50">
        <v>98.55</v>
      </c>
    </row>
    <row r="4817" spans="4:16" x14ac:dyDescent="0.2">
      <c r="D4817">
        <v>100002875</v>
      </c>
      <c r="E4817" s="49">
        <v>45437</v>
      </c>
      <c r="F4817" t="s">
        <v>4517</v>
      </c>
      <c r="G4817" t="s">
        <v>2174</v>
      </c>
      <c r="H4817">
        <v>7</v>
      </c>
      <c r="I4817">
        <v>11.71</v>
      </c>
      <c r="J4817" s="50">
        <v>81.97</v>
      </c>
      <c r="K4817" t="s">
        <v>1618</v>
      </c>
      <c r="M4817" t="s">
        <v>1619</v>
      </c>
      <c r="N4817">
        <v>6.18</v>
      </c>
      <c r="O4817" s="49">
        <v>45438</v>
      </c>
      <c r="P4817" s="50">
        <v>36.886499999999998</v>
      </c>
    </row>
    <row r="4818" spans="4:16" x14ac:dyDescent="0.2">
      <c r="D4818">
        <v>100002877</v>
      </c>
      <c r="E4818" s="49">
        <v>45083</v>
      </c>
      <c r="F4818" t="s">
        <v>4518</v>
      </c>
      <c r="G4818" t="s">
        <v>1681</v>
      </c>
      <c r="H4818">
        <v>5</v>
      </c>
      <c r="I4818">
        <v>41.95</v>
      </c>
      <c r="J4818" s="50">
        <v>209.75</v>
      </c>
      <c r="K4818" t="s">
        <v>1618</v>
      </c>
      <c r="L4818" t="s">
        <v>3883</v>
      </c>
      <c r="M4818" t="s">
        <v>1621</v>
      </c>
      <c r="N4818">
        <v>22.14</v>
      </c>
      <c r="O4818" s="49">
        <v>45086</v>
      </c>
      <c r="P4818" s="50">
        <v>94.387500000000003</v>
      </c>
    </row>
    <row r="4819" spans="4:16" x14ac:dyDescent="0.2">
      <c r="D4819">
        <v>100002877</v>
      </c>
      <c r="E4819" s="49">
        <v>44703</v>
      </c>
      <c r="F4819" t="s">
        <v>4518</v>
      </c>
      <c r="G4819" t="s">
        <v>1661</v>
      </c>
      <c r="H4819">
        <v>3</v>
      </c>
      <c r="I4819">
        <v>63.15</v>
      </c>
      <c r="J4819" s="50">
        <v>189.45</v>
      </c>
      <c r="K4819" t="s">
        <v>1618</v>
      </c>
      <c r="L4819" t="s">
        <v>3883</v>
      </c>
      <c r="M4819" t="s">
        <v>1619</v>
      </c>
      <c r="N4819">
        <v>33.33</v>
      </c>
      <c r="O4819" s="49">
        <v>44705</v>
      </c>
      <c r="P4819" s="50">
        <v>85.252499999999998</v>
      </c>
    </row>
    <row r="4820" spans="4:16" x14ac:dyDescent="0.2">
      <c r="D4820">
        <v>100002878</v>
      </c>
      <c r="E4820" s="49">
        <v>44815</v>
      </c>
      <c r="F4820" t="s">
        <v>4519</v>
      </c>
      <c r="G4820" t="s">
        <v>2038</v>
      </c>
      <c r="H4820">
        <v>1</v>
      </c>
      <c r="I4820">
        <v>68.36</v>
      </c>
      <c r="J4820" s="50">
        <v>68.36</v>
      </c>
      <c r="K4820" t="s">
        <v>1632</v>
      </c>
      <c r="M4820" t="s">
        <v>1627</v>
      </c>
      <c r="N4820">
        <v>36.08</v>
      </c>
      <c r="O4820" s="49">
        <v>44818</v>
      </c>
      <c r="P4820" s="50">
        <v>30.762</v>
      </c>
    </row>
    <row r="4821" spans="4:16" x14ac:dyDescent="0.2">
      <c r="D4821">
        <v>100002878</v>
      </c>
      <c r="E4821" s="49">
        <v>45250</v>
      </c>
      <c r="F4821" t="s">
        <v>4519</v>
      </c>
      <c r="G4821" t="s">
        <v>1801</v>
      </c>
      <c r="H4821">
        <v>3</v>
      </c>
      <c r="I4821">
        <v>21.68</v>
      </c>
      <c r="J4821" s="50">
        <v>65.039999999999992</v>
      </c>
      <c r="K4821" t="s">
        <v>1632</v>
      </c>
      <c r="M4821" t="s">
        <v>1627</v>
      </c>
      <c r="N4821">
        <v>11.44</v>
      </c>
      <c r="O4821" s="49">
        <v>45253</v>
      </c>
      <c r="P4821" s="50">
        <v>29.267999999999997</v>
      </c>
    </row>
    <row r="4822" spans="4:16" x14ac:dyDescent="0.2">
      <c r="D4822">
        <v>100002878</v>
      </c>
      <c r="E4822" s="49">
        <v>45366</v>
      </c>
      <c r="F4822" t="s">
        <v>4519</v>
      </c>
      <c r="G4822" t="s">
        <v>2038</v>
      </c>
      <c r="H4822">
        <v>1</v>
      </c>
      <c r="I4822">
        <v>20.07</v>
      </c>
      <c r="J4822" s="50">
        <v>20.07</v>
      </c>
      <c r="K4822" t="s">
        <v>1632</v>
      </c>
      <c r="M4822" t="s">
        <v>1627</v>
      </c>
      <c r="N4822">
        <v>10.59</v>
      </c>
      <c r="O4822" s="49">
        <v>45369</v>
      </c>
      <c r="P4822" s="50">
        <v>9.0315000000000012</v>
      </c>
    </row>
    <row r="4823" spans="4:16" x14ac:dyDescent="0.2">
      <c r="D4823">
        <v>100002879</v>
      </c>
      <c r="E4823" s="49">
        <v>45367</v>
      </c>
      <c r="F4823" t="s">
        <v>4520</v>
      </c>
      <c r="G4823" t="s">
        <v>2302</v>
      </c>
      <c r="H4823">
        <v>1</v>
      </c>
      <c r="I4823">
        <v>95.71</v>
      </c>
      <c r="J4823" s="50">
        <v>95.71</v>
      </c>
      <c r="K4823" t="s">
        <v>1632</v>
      </c>
      <c r="M4823" t="s">
        <v>1627</v>
      </c>
      <c r="N4823">
        <v>50.51</v>
      </c>
      <c r="O4823" s="49">
        <v>45368</v>
      </c>
      <c r="P4823" s="50">
        <v>43.069499999999998</v>
      </c>
    </row>
    <row r="4824" spans="4:16" x14ac:dyDescent="0.2">
      <c r="D4824">
        <v>100002879</v>
      </c>
      <c r="E4824" s="49">
        <v>44870</v>
      </c>
      <c r="F4824" t="s">
        <v>4520</v>
      </c>
      <c r="G4824" t="s">
        <v>2263</v>
      </c>
      <c r="H4824">
        <v>5</v>
      </c>
      <c r="I4824">
        <v>14</v>
      </c>
      <c r="J4824" s="50">
        <v>70</v>
      </c>
      <c r="K4824" t="s">
        <v>1632</v>
      </c>
      <c r="M4824" t="s">
        <v>1627</v>
      </c>
      <c r="N4824">
        <v>7.39</v>
      </c>
      <c r="O4824" s="49">
        <v>44871</v>
      </c>
      <c r="P4824" s="50">
        <v>31.5</v>
      </c>
    </row>
    <row r="4825" spans="4:16" x14ac:dyDescent="0.2">
      <c r="D4825">
        <v>100002879</v>
      </c>
      <c r="E4825" s="49">
        <v>45289</v>
      </c>
      <c r="F4825" t="s">
        <v>4520</v>
      </c>
      <c r="G4825" t="s">
        <v>1999</v>
      </c>
      <c r="H4825">
        <v>1</v>
      </c>
      <c r="I4825">
        <v>30.33</v>
      </c>
      <c r="J4825" s="50">
        <v>30.33</v>
      </c>
      <c r="K4825" t="s">
        <v>1632</v>
      </c>
      <c r="M4825" t="s">
        <v>1624</v>
      </c>
      <c r="N4825">
        <v>16.010000000000002</v>
      </c>
      <c r="O4825" s="49">
        <v>45293</v>
      </c>
      <c r="P4825" s="50">
        <v>13.6485</v>
      </c>
    </row>
    <row r="4826" spans="4:16" x14ac:dyDescent="0.2">
      <c r="D4826">
        <v>100002880</v>
      </c>
      <c r="E4826" s="49">
        <v>44540</v>
      </c>
      <c r="F4826" t="s">
        <v>4521</v>
      </c>
      <c r="G4826" t="s">
        <v>1901</v>
      </c>
      <c r="H4826">
        <v>9</v>
      </c>
      <c r="I4826">
        <v>112.64</v>
      </c>
      <c r="J4826" s="50">
        <v>1013.76</v>
      </c>
      <c r="K4826" t="s">
        <v>1618</v>
      </c>
      <c r="L4826" t="s">
        <v>4522</v>
      </c>
      <c r="M4826" t="s">
        <v>1627</v>
      </c>
      <c r="N4826">
        <v>59.45</v>
      </c>
      <c r="O4826" s="49">
        <v>44543</v>
      </c>
      <c r="P4826" s="50">
        <v>456.19200000000001</v>
      </c>
    </row>
    <row r="4827" spans="4:16" x14ac:dyDescent="0.2">
      <c r="D4827">
        <v>100002881</v>
      </c>
      <c r="E4827" s="49">
        <v>45178</v>
      </c>
      <c r="F4827" t="s">
        <v>4523</v>
      </c>
      <c r="G4827" t="s">
        <v>1693</v>
      </c>
      <c r="H4827">
        <v>9</v>
      </c>
      <c r="I4827">
        <v>113.08</v>
      </c>
      <c r="J4827" s="50">
        <v>1017.72</v>
      </c>
      <c r="K4827" t="s">
        <v>1632</v>
      </c>
      <c r="M4827" t="s">
        <v>1619</v>
      </c>
      <c r="N4827">
        <v>59.68</v>
      </c>
      <c r="O4827" s="49">
        <v>45182</v>
      </c>
      <c r="P4827" s="50">
        <v>457.97400000000005</v>
      </c>
    </row>
    <row r="4828" spans="4:16" x14ac:dyDescent="0.2">
      <c r="D4828">
        <v>100002882</v>
      </c>
      <c r="E4828" s="49">
        <v>44762</v>
      </c>
      <c r="F4828" t="s">
        <v>4524</v>
      </c>
      <c r="G4828" t="s">
        <v>2079</v>
      </c>
      <c r="H4828">
        <v>3</v>
      </c>
      <c r="I4828">
        <v>35.57</v>
      </c>
      <c r="J4828" s="50">
        <v>106.71</v>
      </c>
      <c r="K4828" t="s">
        <v>1632</v>
      </c>
      <c r="M4828" t="s">
        <v>1624</v>
      </c>
      <c r="N4828">
        <v>18.77</v>
      </c>
      <c r="O4828" s="49">
        <v>44765</v>
      </c>
      <c r="P4828" s="50">
        <v>48.019500000000001</v>
      </c>
    </row>
    <row r="4829" spans="4:16" x14ac:dyDescent="0.2">
      <c r="D4829">
        <v>100002883</v>
      </c>
      <c r="E4829" s="49">
        <v>44591</v>
      </c>
      <c r="F4829" t="s">
        <v>4525</v>
      </c>
      <c r="G4829" t="s">
        <v>1651</v>
      </c>
      <c r="H4829">
        <v>10</v>
      </c>
      <c r="I4829">
        <v>58.84</v>
      </c>
      <c r="J4829" s="50">
        <v>588.40000000000009</v>
      </c>
      <c r="K4829" t="s">
        <v>1618</v>
      </c>
      <c r="M4829" t="s">
        <v>1627</v>
      </c>
      <c r="N4829">
        <v>31.05</v>
      </c>
      <c r="O4829" s="49">
        <v>44594</v>
      </c>
      <c r="P4829" s="50">
        <v>264.78000000000003</v>
      </c>
    </row>
    <row r="4830" spans="4:16" x14ac:dyDescent="0.2">
      <c r="D4830">
        <v>100002884</v>
      </c>
      <c r="E4830" s="49">
        <v>44919</v>
      </c>
      <c r="F4830" t="s">
        <v>4526</v>
      </c>
      <c r="G4830" t="s">
        <v>3075</v>
      </c>
      <c r="H4830">
        <v>10</v>
      </c>
      <c r="I4830">
        <v>88.59</v>
      </c>
      <c r="J4830" s="50">
        <v>885.90000000000009</v>
      </c>
      <c r="K4830" t="s">
        <v>1632</v>
      </c>
      <c r="L4830" t="s">
        <v>4527</v>
      </c>
      <c r="M4830" t="s">
        <v>1629</v>
      </c>
      <c r="N4830">
        <v>46.76</v>
      </c>
      <c r="O4830" s="49">
        <v>44921</v>
      </c>
      <c r="P4830" s="50">
        <v>398.65500000000003</v>
      </c>
    </row>
    <row r="4831" spans="4:16" x14ac:dyDescent="0.2">
      <c r="D4831">
        <v>100002884</v>
      </c>
      <c r="E4831" s="49">
        <v>45619</v>
      </c>
      <c r="F4831" t="s">
        <v>4526</v>
      </c>
      <c r="G4831" t="s">
        <v>1797</v>
      </c>
      <c r="H4831">
        <v>10</v>
      </c>
      <c r="I4831">
        <v>119.86</v>
      </c>
      <c r="J4831" s="50">
        <v>1198.5999999999999</v>
      </c>
      <c r="K4831" t="s">
        <v>1632</v>
      </c>
      <c r="L4831" t="s">
        <v>4527</v>
      </c>
      <c r="M4831" t="s">
        <v>1619</v>
      </c>
      <c r="N4831">
        <v>63.26</v>
      </c>
      <c r="O4831" s="49">
        <v>45624</v>
      </c>
      <c r="P4831" s="50">
        <v>539.37</v>
      </c>
    </row>
    <row r="4832" spans="4:16" x14ac:dyDescent="0.2">
      <c r="D4832">
        <v>100002884</v>
      </c>
      <c r="E4832" s="49">
        <v>45273</v>
      </c>
      <c r="F4832" t="s">
        <v>4526</v>
      </c>
      <c r="G4832" t="s">
        <v>2390</v>
      </c>
      <c r="H4832">
        <v>2</v>
      </c>
      <c r="I4832">
        <v>18.260000000000002</v>
      </c>
      <c r="J4832" s="50">
        <v>36.520000000000003</v>
      </c>
      <c r="K4832" t="s">
        <v>1632</v>
      </c>
      <c r="L4832" t="s">
        <v>4527</v>
      </c>
      <c r="M4832" t="s">
        <v>1629</v>
      </c>
      <c r="N4832">
        <v>9.64</v>
      </c>
      <c r="O4832" s="49">
        <v>45276</v>
      </c>
      <c r="P4832" s="50">
        <v>16.434000000000001</v>
      </c>
    </row>
    <row r="4833" spans="4:16" x14ac:dyDescent="0.2">
      <c r="D4833">
        <v>100002885</v>
      </c>
      <c r="E4833" s="49">
        <v>44407</v>
      </c>
      <c r="F4833" t="s">
        <v>4528</v>
      </c>
      <c r="G4833" t="s">
        <v>1742</v>
      </c>
      <c r="H4833">
        <v>5</v>
      </c>
      <c r="I4833">
        <v>45.93</v>
      </c>
      <c r="J4833" s="50">
        <v>229.65</v>
      </c>
      <c r="K4833" t="s">
        <v>1632</v>
      </c>
      <c r="M4833" t="s">
        <v>1621</v>
      </c>
      <c r="N4833">
        <v>24.24</v>
      </c>
      <c r="O4833" s="49">
        <v>44412</v>
      </c>
      <c r="P4833" s="50">
        <v>103.3425</v>
      </c>
    </row>
    <row r="4834" spans="4:16" x14ac:dyDescent="0.2">
      <c r="D4834">
        <v>100002886</v>
      </c>
      <c r="E4834" s="49">
        <v>44620</v>
      </c>
      <c r="F4834" t="s">
        <v>4529</v>
      </c>
      <c r="G4834" t="s">
        <v>2168</v>
      </c>
      <c r="H4834">
        <v>2</v>
      </c>
      <c r="I4834">
        <v>65.48</v>
      </c>
      <c r="J4834" s="50">
        <v>130.96</v>
      </c>
      <c r="K4834" t="s">
        <v>1618</v>
      </c>
      <c r="L4834" t="s">
        <v>3514</v>
      </c>
      <c r="M4834" t="s">
        <v>1624</v>
      </c>
      <c r="N4834">
        <v>34.56</v>
      </c>
      <c r="O4834" s="49">
        <v>44621</v>
      </c>
      <c r="P4834" s="50">
        <v>58.932000000000002</v>
      </c>
    </row>
    <row r="4835" spans="4:16" x14ac:dyDescent="0.2">
      <c r="D4835">
        <v>100002888</v>
      </c>
      <c r="E4835" s="49">
        <v>45200</v>
      </c>
      <c r="F4835" t="s">
        <v>4530</v>
      </c>
      <c r="G4835" t="s">
        <v>2323</v>
      </c>
      <c r="H4835">
        <v>5</v>
      </c>
      <c r="I4835">
        <v>63.14</v>
      </c>
      <c r="J4835" s="50">
        <v>315.7</v>
      </c>
      <c r="K4835" t="s">
        <v>1618</v>
      </c>
      <c r="M4835" t="s">
        <v>1619</v>
      </c>
      <c r="N4835">
        <v>33.32</v>
      </c>
      <c r="O4835" s="49">
        <v>45202</v>
      </c>
      <c r="P4835" s="50">
        <v>142.065</v>
      </c>
    </row>
    <row r="4836" spans="4:16" x14ac:dyDescent="0.2">
      <c r="D4836">
        <v>100002889</v>
      </c>
      <c r="E4836" s="49">
        <v>44410</v>
      </c>
      <c r="F4836" t="s">
        <v>4531</v>
      </c>
      <c r="G4836" t="s">
        <v>1699</v>
      </c>
      <c r="H4836">
        <v>10</v>
      </c>
      <c r="I4836">
        <v>83.47</v>
      </c>
      <c r="J4836" s="50">
        <v>834.7</v>
      </c>
      <c r="K4836" t="s">
        <v>1618</v>
      </c>
      <c r="L4836" t="s">
        <v>3177</v>
      </c>
      <c r="M4836" t="s">
        <v>1621</v>
      </c>
      <c r="N4836">
        <v>44.05</v>
      </c>
      <c r="O4836" s="49">
        <v>44412</v>
      </c>
      <c r="P4836" s="50">
        <v>375.61500000000001</v>
      </c>
    </row>
    <row r="4837" spans="4:16" x14ac:dyDescent="0.2">
      <c r="D4837">
        <v>100002889</v>
      </c>
      <c r="E4837" s="49">
        <v>44207</v>
      </c>
      <c r="F4837" t="s">
        <v>4531</v>
      </c>
      <c r="G4837" t="s">
        <v>2150</v>
      </c>
      <c r="H4837">
        <v>3</v>
      </c>
      <c r="I4837">
        <v>118.34</v>
      </c>
      <c r="J4837" s="50">
        <v>355.02</v>
      </c>
      <c r="K4837" t="s">
        <v>1618</v>
      </c>
      <c r="L4837" t="s">
        <v>3177</v>
      </c>
      <c r="M4837" t="s">
        <v>1629</v>
      </c>
      <c r="N4837">
        <v>62.46</v>
      </c>
      <c r="O4837" s="49">
        <v>44209</v>
      </c>
      <c r="P4837" s="50">
        <v>159.75899999999999</v>
      </c>
    </row>
    <row r="4838" spans="4:16" x14ac:dyDescent="0.2">
      <c r="D4838">
        <v>100002889</v>
      </c>
      <c r="E4838" s="49">
        <v>45356</v>
      </c>
      <c r="F4838" t="s">
        <v>4531</v>
      </c>
      <c r="G4838" t="s">
        <v>1675</v>
      </c>
      <c r="H4838">
        <v>4</v>
      </c>
      <c r="I4838">
        <v>102.63</v>
      </c>
      <c r="J4838" s="50">
        <v>410.52</v>
      </c>
      <c r="K4838" t="s">
        <v>1618</v>
      </c>
      <c r="L4838" t="s">
        <v>3177</v>
      </c>
      <c r="M4838" t="s">
        <v>1627</v>
      </c>
      <c r="N4838">
        <v>54.17</v>
      </c>
      <c r="O4838" s="49">
        <v>45358</v>
      </c>
      <c r="P4838" s="50">
        <v>184.73400000000001</v>
      </c>
    </row>
    <row r="4839" spans="4:16" x14ac:dyDescent="0.2">
      <c r="D4839">
        <v>100002889</v>
      </c>
      <c r="E4839" s="49">
        <v>44205</v>
      </c>
      <c r="F4839" t="s">
        <v>4531</v>
      </c>
      <c r="G4839" t="s">
        <v>2202</v>
      </c>
      <c r="H4839">
        <v>8</v>
      </c>
      <c r="I4839">
        <v>55.5</v>
      </c>
      <c r="J4839" s="50">
        <v>444</v>
      </c>
      <c r="K4839" t="s">
        <v>1618</v>
      </c>
      <c r="L4839" t="s">
        <v>3177</v>
      </c>
      <c r="M4839" t="s">
        <v>1619</v>
      </c>
      <c r="N4839">
        <v>29.29</v>
      </c>
      <c r="O4839" s="49">
        <v>44209</v>
      </c>
      <c r="P4839" s="50">
        <v>199.8</v>
      </c>
    </row>
    <row r="4840" spans="4:16" x14ac:dyDescent="0.2">
      <c r="D4840">
        <v>100002890</v>
      </c>
      <c r="E4840" s="49">
        <v>44226</v>
      </c>
      <c r="F4840" t="s">
        <v>4532</v>
      </c>
      <c r="G4840" t="s">
        <v>2158</v>
      </c>
      <c r="H4840">
        <v>3</v>
      </c>
      <c r="I4840">
        <v>98.4</v>
      </c>
      <c r="J4840" s="50">
        <v>295.2</v>
      </c>
      <c r="K4840" t="s">
        <v>1632</v>
      </c>
      <c r="M4840" t="s">
        <v>1624</v>
      </c>
      <c r="N4840">
        <v>51.93</v>
      </c>
      <c r="O4840" s="49">
        <v>44227</v>
      </c>
      <c r="P4840" s="50">
        <v>132.84</v>
      </c>
    </row>
    <row r="4841" spans="4:16" x14ac:dyDescent="0.2">
      <c r="D4841">
        <v>100002890</v>
      </c>
      <c r="E4841" s="49">
        <v>45423</v>
      </c>
      <c r="F4841" t="s">
        <v>4532</v>
      </c>
      <c r="G4841" t="s">
        <v>1842</v>
      </c>
      <c r="H4841">
        <v>6</v>
      </c>
      <c r="I4841">
        <v>52.16</v>
      </c>
      <c r="J4841" s="50">
        <v>312.95999999999998</v>
      </c>
      <c r="K4841" t="s">
        <v>1632</v>
      </c>
      <c r="M4841" t="s">
        <v>1627</v>
      </c>
      <c r="N4841">
        <v>27.53</v>
      </c>
      <c r="O4841" s="49">
        <v>45426</v>
      </c>
      <c r="P4841" s="50">
        <v>140.83199999999999</v>
      </c>
    </row>
    <row r="4842" spans="4:16" x14ac:dyDescent="0.2">
      <c r="D4842">
        <v>100002891</v>
      </c>
      <c r="E4842" s="49">
        <v>44361</v>
      </c>
      <c r="F4842" t="s">
        <v>4533</v>
      </c>
      <c r="G4842" t="s">
        <v>1795</v>
      </c>
      <c r="H4842">
        <v>3</v>
      </c>
      <c r="I4842">
        <v>93.88</v>
      </c>
      <c r="J4842" s="50">
        <v>281.64</v>
      </c>
      <c r="K4842" t="s">
        <v>1618</v>
      </c>
      <c r="M4842" t="s">
        <v>1621</v>
      </c>
      <c r="N4842">
        <v>49.55</v>
      </c>
      <c r="O4842" s="49">
        <v>44362</v>
      </c>
      <c r="P4842" s="50">
        <v>126.738</v>
      </c>
    </row>
    <row r="4843" spans="4:16" x14ac:dyDescent="0.2">
      <c r="D4843">
        <v>100002891</v>
      </c>
      <c r="E4843" s="49">
        <v>45571</v>
      </c>
      <c r="F4843" t="s">
        <v>4533</v>
      </c>
      <c r="G4843" t="s">
        <v>2063</v>
      </c>
      <c r="H4843">
        <v>9</v>
      </c>
      <c r="I4843">
        <v>22.23</v>
      </c>
      <c r="J4843" s="50">
        <v>200.07</v>
      </c>
      <c r="K4843" t="s">
        <v>1618</v>
      </c>
      <c r="M4843" t="s">
        <v>1621</v>
      </c>
      <c r="N4843">
        <v>11.73</v>
      </c>
      <c r="O4843" s="49">
        <v>45573</v>
      </c>
      <c r="P4843" s="50">
        <v>90.031499999999994</v>
      </c>
    </row>
    <row r="4844" spans="4:16" x14ac:dyDescent="0.2">
      <c r="D4844">
        <v>100002891</v>
      </c>
      <c r="E4844" s="49">
        <v>44255</v>
      </c>
      <c r="F4844" t="s">
        <v>4533</v>
      </c>
      <c r="G4844" t="s">
        <v>1709</v>
      </c>
      <c r="H4844">
        <v>8</v>
      </c>
      <c r="I4844">
        <v>32.92</v>
      </c>
      <c r="J4844" s="50">
        <v>263.36</v>
      </c>
      <c r="K4844" t="s">
        <v>1618</v>
      </c>
      <c r="M4844" t="s">
        <v>1624</v>
      </c>
      <c r="N4844">
        <v>17.37</v>
      </c>
      <c r="O4844" s="49">
        <v>44257</v>
      </c>
      <c r="P4844" s="50">
        <v>118.51200000000001</v>
      </c>
    </row>
    <row r="4845" spans="4:16" x14ac:dyDescent="0.2">
      <c r="D4845">
        <v>100002891</v>
      </c>
      <c r="E4845" s="49">
        <v>44258</v>
      </c>
      <c r="F4845" t="s">
        <v>4533</v>
      </c>
      <c r="G4845" t="s">
        <v>1812</v>
      </c>
      <c r="H4845">
        <v>5</v>
      </c>
      <c r="I4845">
        <v>105.02</v>
      </c>
      <c r="J4845" s="50">
        <v>525.1</v>
      </c>
      <c r="K4845" t="s">
        <v>1618</v>
      </c>
      <c r="M4845" t="s">
        <v>1621</v>
      </c>
      <c r="N4845">
        <v>55.43</v>
      </c>
      <c r="O4845" s="49">
        <v>44261</v>
      </c>
      <c r="P4845" s="50">
        <v>236.29500000000002</v>
      </c>
    </row>
    <row r="4846" spans="4:16" x14ac:dyDescent="0.2">
      <c r="D4846">
        <v>100002891</v>
      </c>
      <c r="E4846" s="49">
        <v>45041</v>
      </c>
      <c r="F4846" t="s">
        <v>4533</v>
      </c>
      <c r="G4846" t="s">
        <v>2062</v>
      </c>
      <c r="H4846">
        <v>4</v>
      </c>
      <c r="I4846">
        <v>51.93</v>
      </c>
      <c r="J4846" s="50">
        <v>207.72</v>
      </c>
      <c r="K4846" t="s">
        <v>1618</v>
      </c>
      <c r="M4846" t="s">
        <v>1629</v>
      </c>
      <c r="N4846">
        <v>27.41</v>
      </c>
      <c r="O4846" s="49">
        <v>45045</v>
      </c>
      <c r="P4846" s="50">
        <v>93.474000000000004</v>
      </c>
    </row>
    <row r="4847" spans="4:16" x14ac:dyDescent="0.2">
      <c r="D4847">
        <v>100002891</v>
      </c>
      <c r="E4847" s="49">
        <v>44682</v>
      </c>
      <c r="F4847" t="s">
        <v>4533</v>
      </c>
      <c r="G4847" t="s">
        <v>2240</v>
      </c>
      <c r="H4847">
        <v>6</v>
      </c>
      <c r="I4847">
        <v>109.6</v>
      </c>
      <c r="J4847" s="50">
        <v>657.59999999999991</v>
      </c>
      <c r="K4847" t="s">
        <v>1618</v>
      </c>
      <c r="M4847" t="s">
        <v>1629</v>
      </c>
      <c r="N4847">
        <v>57.84</v>
      </c>
      <c r="O4847" s="49">
        <v>44683</v>
      </c>
      <c r="P4847" s="50">
        <v>295.91999999999996</v>
      </c>
    </row>
    <row r="4848" spans="4:16" x14ac:dyDescent="0.2">
      <c r="D4848">
        <v>100002891</v>
      </c>
      <c r="E4848" s="49">
        <v>44666</v>
      </c>
      <c r="F4848" t="s">
        <v>4533</v>
      </c>
      <c r="G4848" t="s">
        <v>2069</v>
      </c>
      <c r="H4848">
        <v>2</v>
      </c>
      <c r="I4848">
        <v>97.69</v>
      </c>
      <c r="J4848" s="50">
        <v>195.38</v>
      </c>
      <c r="K4848" t="s">
        <v>1618</v>
      </c>
      <c r="M4848" t="s">
        <v>1624</v>
      </c>
      <c r="N4848">
        <v>51.56</v>
      </c>
      <c r="O4848" s="49">
        <v>44667</v>
      </c>
      <c r="P4848" s="50">
        <v>87.921000000000006</v>
      </c>
    </row>
    <row r="4849" spans="4:16" x14ac:dyDescent="0.2">
      <c r="D4849">
        <v>100002892</v>
      </c>
      <c r="E4849" s="49">
        <v>44832</v>
      </c>
      <c r="F4849" t="s">
        <v>4534</v>
      </c>
      <c r="G4849" t="s">
        <v>2436</v>
      </c>
      <c r="H4849">
        <v>3</v>
      </c>
      <c r="I4849">
        <v>104.75</v>
      </c>
      <c r="J4849" s="50">
        <v>314.25</v>
      </c>
      <c r="K4849" t="s">
        <v>1618</v>
      </c>
      <c r="M4849" t="s">
        <v>1627</v>
      </c>
      <c r="N4849">
        <v>55.28</v>
      </c>
      <c r="O4849" s="49">
        <v>44837</v>
      </c>
      <c r="P4849" s="50">
        <v>141.41249999999999</v>
      </c>
    </row>
    <row r="4850" spans="4:16" x14ac:dyDescent="0.2">
      <c r="D4850">
        <v>100002892</v>
      </c>
      <c r="E4850" s="49">
        <v>44795</v>
      </c>
      <c r="F4850" t="s">
        <v>4534</v>
      </c>
      <c r="G4850" t="s">
        <v>2111</v>
      </c>
      <c r="H4850">
        <v>5</v>
      </c>
      <c r="I4850">
        <v>116.74</v>
      </c>
      <c r="J4850" s="50">
        <v>583.69999999999993</v>
      </c>
      <c r="K4850" t="s">
        <v>1618</v>
      </c>
      <c r="M4850" t="s">
        <v>1619</v>
      </c>
      <c r="N4850">
        <v>61.61</v>
      </c>
      <c r="O4850" s="49">
        <v>44798</v>
      </c>
      <c r="P4850" s="50">
        <v>262.66499999999996</v>
      </c>
    </row>
    <row r="4851" spans="4:16" x14ac:dyDescent="0.2">
      <c r="D4851">
        <v>100002894</v>
      </c>
      <c r="E4851" s="49">
        <v>44842</v>
      </c>
      <c r="F4851" t="s">
        <v>4535</v>
      </c>
      <c r="G4851" t="s">
        <v>2151</v>
      </c>
      <c r="H4851">
        <v>10</v>
      </c>
      <c r="I4851">
        <v>73.040000000000006</v>
      </c>
      <c r="J4851" s="50">
        <v>730.40000000000009</v>
      </c>
      <c r="K4851" t="s">
        <v>1618</v>
      </c>
      <c r="L4851" t="s">
        <v>4536</v>
      </c>
      <c r="M4851" t="s">
        <v>1621</v>
      </c>
      <c r="N4851">
        <v>38.549999999999997</v>
      </c>
      <c r="O4851" s="49">
        <v>44844</v>
      </c>
      <c r="P4851" s="50">
        <v>328.68000000000006</v>
      </c>
    </row>
    <row r="4852" spans="4:16" x14ac:dyDescent="0.2">
      <c r="D4852">
        <v>100002895</v>
      </c>
      <c r="E4852" s="49">
        <v>45106</v>
      </c>
      <c r="F4852" t="s">
        <v>4537</v>
      </c>
      <c r="G4852" t="s">
        <v>2041</v>
      </c>
      <c r="H4852">
        <v>3</v>
      </c>
      <c r="I4852">
        <v>96.93</v>
      </c>
      <c r="J4852" s="50">
        <v>290.79000000000002</v>
      </c>
      <c r="K4852" t="s">
        <v>1632</v>
      </c>
      <c r="M4852" t="s">
        <v>1624</v>
      </c>
      <c r="N4852">
        <v>51.16</v>
      </c>
      <c r="O4852" s="49">
        <v>45109</v>
      </c>
      <c r="P4852" s="50">
        <v>130.85550000000001</v>
      </c>
    </row>
    <row r="4853" spans="4:16" x14ac:dyDescent="0.2">
      <c r="D4853">
        <v>100002895</v>
      </c>
      <c r="E4853" s="49">
        <v>44386</v>
      </c>
      <c r="F4853" t="s">
        <v>4537</v>
      </c>
      <c r="G4853" t="s">
        <v>1733</v>
      </c>
      <c r="H4853">
        <v>1</v>
      </c>
      <c r="I4853">
        <v>106.09</v>
      </c>
      <c r="J4853" s="50">
        <v>106.09</v>
      </c>
      <c r="K4853" t="s">
        <v>1632</v>
      </c>
      <c r="M4853" t="s">
        <v>1624</v>
      </c>
      <c r="N4853">
        <v>55.99</v>
      </c>
      <c r="O4853" s="49">
        <v>44387</v>
      </c>
      <c r="P4853" s="50">
        <v>47.740500000000004</v>
      </c>
    </row>
    <row r="4854" spans="4:16" x14ac:dyDescent="0.2">
      <c r="D4854">
        <v>100002895</v>
      </c>
      <c r="E4854" s="49">
        <v>45031</v>
      </c>
      <c r="F4854" t="s">
        <v>4537</v>
      </c>
      <c r="G4854" t="s">
        <v>1943</v>
      </c>
      <c r="H4854">
        <v>8</v>
      </c>
      <c r="I4854">
        <v>104.28</v>
      </c>
      <c r="J4854" s="50">
        <v>834.24</v>
      </c>
      <c r="K4854" t="s">
        <v>1632</v>
      </c>
      <c r="M4854" t="s">
        <v>1627</v>
      </c>
      <c r="N4854">
        <v>55.04</v>
      </c>
      <c r="O4854" s="49">
        <v>45034</v>
      </c>
      <c r="P4854" s="50">
        <v>375.40800000000002</v>
      </c>
    </row>
    <row r="4855" spans="4:16" x14ac:dyDescent="0.2">
      <c r="D4855">
        <v>100002895</v>
      </c>
      <c r="E4855" s="49">
        <v>45472</v>
      </c>
      <c r="F4855" t="s">
        <v>4537</v>
      </c>
      <c r="G4855" t="s">
        <v>1815</v>
      </c>
      <c r="H4855">
        <v>9</v>
      </c>
      <c r="I4855">
        <v>13.06</v>
      </c>
      <c r="J4855" s="50">
        <v>117.54</v>
      </c>
      <c r="K4855" t="s">
        <v>1632</v>
      </c>
      <c r="M4855" t="s">
        <v>1619</v>
      </c>
      <c r="N4855">
        <v>6.89</v>
      </c>
      <c r="O4855" s="49">
        <v>45474</v>
      </c>
      <c r="P4855" s="50">
        <v>52.893000000000001</v>
      </c>
    </row>
    <row r="4856" spans="4:16" x14ac:dyDescent="0.2">
      <c r="D4856">
        <v>100002896</v>
      </c>
      <c r="E4856" s="49">
        <v>45538</v>
      </c>
      <c r="F4856" t="s">
        <v>3074</v>
      </c>
      <c r="G4856" t="s">
        <v>1664</v>
      </c>
      <c r="H4856">
        <v>8</v>
      </c>
      <c r="I4856">
        <v>66.599999999999994</v>
      </c>
      <c r="J4856" s="50">
        <v>532.79999999999995</v>
      </c>
      <c r="K4856" t="s">
        <v>1632</v>
      </c>
      <c r="L4856" t="s">
        <v>4538</v>
      </c>
      <c r="M4856" t="s">
        <v>1627</v>
      </c>
      <c r="N4856">
        <v>35.15</v>
      </c>
      <c r="O4856" s="49">
        <v>45540</v>
      </c>
      <c r="P4856" s="50">
        <v>239.76</v>
      </c>
    </row>
    <row r="4857" spans="4:16" x14ac:dyDescent="0.2">
      <c r="D4857">
        <v>100002897</v>
      </c>
      <c r="E4857" s="49">
        <v>45414</v>
      </c>
      <c r="F4857" t="s">
        <v>4539</v>
      </c>
      <c r="G4857" t="s">
        <v>2242</v>
      </c>
      <c r="H4857">
        <v>2</v>
      </c>
      <c r="I4857">
        <v>49.67</v>
      </c>
      <c r="J4857" s="50">
        <v>99.34</v>
      </c>
      <c r="K4857" t="s">
        <v>1618</v>
      </c>
      <c r="M4857" t="s">
        <v>1619</v>
      </c>
      <c r="N4857">
        <v>26.21</v>
      </c>
      <c r="O4857" s="49">
        <v>45418</v>
      </c>
      <c r="P4857" s="50">
        <v>44.703000000000003</v>
      </c>
    </row>
    <row r="4858" spans="4:16" x14ac:dyDescent="0.2">
      <c r="D4858">
        <v>100002897</v>
      </c>
      <c r="E4858" s="49">
        <v>44339</v>
      </c>
      <c r="F4858" t="s">
        <v>4539</v>
      </c>
      <c r="G4858" t="s">
        <v>1626</v>
      </c>
      <c r="H4858">
        <v>6</v>
      </c>
      <c r="I4858">
        <v>35.36</v>
      </c>
      <c r="J4858" s="50">
        <v>212.16</v>
      </c>
      <c r="K4858" t="s">
        <v>1618</v>
      </c>
      <c r="M4858" t="s">
        <v>1629</v>
      </c>
      <c r="N4858">
        <v>18.66</v>
      </c>
      <c r="O4858" s="49">
        <v>44344</v>
      </c>
      <c r="P4858" s="50">
        <v>95.471999999999994</v>
      </c>
    </row>
    <row r="4859" spans="4:16" x14ac:dyDescent="0.2">
      <c r="D4859">
        <v>100002897</v>
      </c>
      <c r="E4859" s="49">
        <v>44996</v>
      </c>
      <c r="F4859" t="s">
        <v>4539</v>
      </c>
      <c r="G4859" t="s">
        <v>2033</v>
      </c>
      <c r="H4859">
        <v>8</v>
      </c>
      <c r="I4859">
        <v>26.53</v>
      </c>
      <c r="J4859" s="50">
        <v>212.24</v>
      </c>
      <c r="K4859" t="s">
        <v>1618</v>
      </c>
      <c r="M4859" t="s">
        <v>1621</v>
      </c>
      <c r="N4859">
        <v>14</v>
      </c>
      <c r="O4859" s="49">
        <v>44998</v>
      </c>
      <c r="P4859" s="50">
        <v>95.50800000000001</v>
      </c>
    </row>
    <row r="4860" spans="4:16" x14ac:dyDescent="0.2">
      <c r="D4860">
        <v>100002898</v>
      </c>
      <c r="E4860" s="49">
        <v>45421</v>
      </c>
      <c r="F4860" t="s">
        <v>4540</v>
      </c>
      <c r="G4860" t="s">
        <v>1690</v>
      </c>
      <c r="H4860">
        <v>4</v>
      </c>
      <c r="I4860">
        <v>26.81</v>
      </c>
      <c r="J4860" s="50">
        <v>107.24</v>
      </c>
      <c r="K4860" t="s">
        <v>1618</v>
      </c>
      <c r="M4860" t="s">
        <v>1629</v>
      </c>
      <c r="N4860">
        <v>14.15</v>
      </c>
      <c r="O4860" s="49">
        <v>45422</v>
      </c>
      <c r="P4860" s="50">
        <v>48.257999999999996</v>
      </c>
    </row>
    <row r="4861" spans="4:16" x14ac:dyDescent="0.2">
      <c r="D4861">
        <v>100002898</v>
      </c>
      <c r="E4861" s="49">
        <v>45615</v>
      </c>
      <c r="F4861" t="s">
        <v>4540</v>
      </c>
      <c r="G4861" t="s">
        <v>2581</v>
      </c>
      <c r="H4861">
        <v>1</v>
      </c>
      <c r="I4861">
        <v>102.95</v>
      </c>
      <c r="J4861" s="50">
        <v>102.95</v>
      </c>
      <c r="K4861" t="s">
        <v>1618</v>
      </c>
      <c r="M4861" t="s">
        <v>1624</v>
      </c>
      <c r="N4861">
        <v>54.33</v>
      </c>
      <c r="O4861" s="49">
        <v>45617</v>
      </c>
      <c r="P4861" s="50">
        <v>46.327500000000001</v>
      </c>
    </row>
    <row r="4862" spans="4:16" x14ac:dyDescent="0.2">
      <c r="D4862">
        <v>100002898</v>
      </c>
      <c r="E4862" s="49">
        <v>44920</v>
      </c>
      <c r="F4862" t="s">
        <v>4540</v>
      </c>
      <c r="G4862" t="s">
        <v>2048</v>
      </c>
      <c r="H4862">
        <v>2</v>
      </c>
      <c r="I4862">
        <v>99.78</v>
      </c>
      <c r="J4862" s="50">
        <v>199.56</v>
      </c>
      <c r="K4862" t="s">
        <v>1618</v>
      </c>
      <c r="M4862" t="s">
        <v>1624</v>
      </c>
      <c r="N4862">
        <v>52.66</v>
      </c>
      <c r="O4862" s="49">
        <v>44924</v>
      </c>
      <c r="P4862" s="50">
        <v>89.802000000000007</v>
      </c>
    </row>
    <row r="4863" spans="4:16" x14ac:dyDescent="0.2">
      <c r="D4863">
        <v>100002898</v>
      </c>
      <c r="E4863" s="49">
        <v>45605</v>
      </c>
      <c r="F4863" t="s">
        <v>4540</v>
      </c>
      <c r="G4863" t="s">
        <v>2291</v>
      </c>
      <c r="H4863">
        <v>6</v>
      </c>
      <c r="I4863">
        <v>64.430000000000007</v>
      </c>
      <c r="J4863" s="50">
        <v>386.58</v>
      </c>
      <c r="K4863" t="s">
        <v>1618</v>
      </c>
      <c r="M4863" t="s">
        <v>1621</v>
      </c>
      <c r="N4863">
        <v>34</v>
      </c>
      <c r="O4863" s="49">
        <v>45607</v>
      </c>
      <c r="P4863" s="50">
        <v>173.96099999999998</v>
      </c>
    </row>
    <row r="4864" spans="4:16" x14ac:dyDescent="0.2">
      <c r="D4864">
        <v>100002898</v>
      </c>
      <c r="E4864" s="49">
        <v>45386</v>
      </c>
      <c r="F4864" t="s">
        <v>4540</v>
      </c>
      <c r="G4864" t="s">
        <v>2412</v>
      </c>
      <c r="H4864">
        <v>8</v>
      </c>
      <c r="I4864">
        <v>104.3</v>
      </c>
      <c r="J4864" s="50">
        <v>834.4</v>
      </c>
      <c r="K4864" t="s">
        <v>1618</v>
      </c>
      <c r="M4864" t="s">
        <v>1619</v>
      </c>
      <c r="N4864">
        <v>55.05</v>
      </c>
      <c r="O4864" s="49">
        <v>45390</v>
      </c>
      <c r="P4864" s="50">
        <v>375.48</v>
      </c>
    </row>
    <row r="4865" spans="4:16" x14ac:dyDescent="0.2">
      <c r="D4865">
        <v>100002899</v>
      </c>
      <c r="E4865" s="49">
        <v>45044</v>
      </c>
      <c r="F4865" t="s">
        <v>4541</v>
      </c>
      <c r="G4865" t="s">
        <v>1963</v>
      </c>
      <c r="H4865">
        <v>8</v>
      </c>
      <c r="I4865">
        <v>67.16</v>
      </c>
      <c r="J4865" s="50">
        <v>537.28</v>
      </c>
      <c r="K4865" t="s">
        <v>1618</v>
      </c>
      <c r="L4865" t="s">
        <v>3708</v>
      </c>
      <c r="M4865" t="s">
        <v>1629</v>
      </c>
      <c r="N4865">
        <v>35.450000000000003</v>
      </c>
      <c r="O4865" s="49">
        <v>45045</v>
      </c>
      <c r="P4865" s="50">
        <v>241.77599999999998</v>
      </c>
    </row>
    <row r="4866" spans="4:16" x14ac:dyDescent="0.2">
      <c r="D4866">
        <v>100002901</v>
      </c>
      <c r="E4866" s="49">
        <v>44397</v>
      </c>
      <c r="F4866" t="s">
        <v>4542</v>
      </c>
      <c r="G4866" t="s">
        <v>2136</v>
      </c>
      <c r="H4866">
        <v>1</v>
      </c>
      <c r="I4866">
        <v>74.34</v>
      </c>
      <c r="J4866" s="50">
        <v>74.34</v>
      </c>
      <c r="K4866" t="s">
        <v>1618</v>
      </c>
      <c r="M4866" t="s">
        <v>1619</v>
      </c>
      <c r="N4866">
        <v>39.229999999999997</v>
      </c>
      <c r="O4866" s="49">
        <v>44402</v>
      </c>
      <c r="P4866" s="50">
        <v>33.453000000000003</v>
      </c>
    </row>
    <row r="4867" spans="4:16" x14ac:dyDescent="0.2">
      <c r="D4867">
        <v>100002901</v>
      </c>
      <c r="E4867" s="49">
        <v>45508</v>
      </c>
      <c r="F4867" t="s">
        <v>4542</v>
      </c>
      <c r="G4867" t="s">
        <v>2093</v>
      </c>
      <c r="H4867">
        <v>2</v>
      </c>
      <c r="I4867">
        <v>54.79</v>
      </c>
      <c r="J4867" s="50">
        <v>109.58</v>
      </c>
      <c r="K4867" t="s">
        <v>1618</v>
      </c>
      <c r="M4867" t="s">
        <v>1624</v>
      </c>
      <c r="N4867">
        <v>28.92</v>
      </c>
      <c r="O4867" s="49">
        <v>45512</v>
      </c>
      <c r="P4867" s="50">
        <v>49.311</v>
      </c>
    </row>
    <row r="4868" spans="4:16" x14ac:dyDescent="0.2">
      <c r="D4868">
        <v>100002901</v>
      </c>
      <c r="E4868" s="49">
        <v>44827</v>
      </c>
      <c r="F4868" t="s">
        <v>4542</v>
      </c>
      <c r="G4868" t="s">
        <v>1663</v>
      </c>
      <c r="H4868">
        <v>3</v>
      </c>
      <c r="I4868">
        <v>30.15</v>
      </c>
      <c r="J4868" s="50">
        <v>90.449999999999989</v>
      </c>
      <c r="K4868" t="s">
        <v>1618</v>
      </c>
      <c r="M4868" t="s">
        <v>1621</v>
      </c>
      <c r="N4868">
        <v>15.91</v>
      </c>
      <c r="O4868" s="49">
        <v>44830</v>
      </c>
      <c r="P4868" s="50">
        <v>40.702499999999993</v>
      </c>
    </row>
    <row r="4869" spans="4:16" x14ac:dyDescent="0.2">
      <c r="D4869">
        <v>100002902</v>
      </c>
      <c r="E4869" s="49">
        <v>44525</v>
      </c>
      <c r="F4869" t="s">
        <v>4543</v>
      </c>
      <c r="G4869" t="s">
        <v>2480</v>
      </c>
      <c r="H4869">
        <v>10</v>
      </c>
      <c r="I4869">
        <v>34.4</v>
      </c>
      <c r="J4869" s="50">
        <v>344</v>
      </c>
      <c r="K4869" t="s">
        <v>1632</v>
      </c>
      <c r="M4869" t="s">
        <v>1624</v>
      </c>
      <c r="N4869">
        <v>18.16</v>
      </c>
      <c r="O4869" s="49">
        <v>44528</v>
      </c>
      <c r="P4869" s="50">
        <v>154.80000000000001</v>
      </c>
    </row>
    <row r="4870" spans="4:16" x14ac:dyDescent="0.2">
      <c r="D4870">
        <v>100002902</v>
      </c>
      <c r="E4870" s="49">
        <v>45535</v>
      </c>
      <c r="F4870" t="s">
        <v>4543</v>
      </c>
      <c r="G4870" t="s">
        <v>2269</v>
      </c>
      <c r="H4870">
        <v>3</v>
      </c>
      <c r="I4870">
        <v>23.03</v>
      </c>
      <c r="J4870" s="50">
        <v>69.09</v>
      </c>
      <c r="K4870" t="s">
        <v>1632</v>
      </c>
      <c r="M4870" t="s">
        <v>1621</v>
      </c>
      <c r="N4870">
        <v>12.15</v>
      </c>
      <c r="O4870" s="49">
        <v>45538</v>
      </c>
      <c r="P4870" s="50">
        <v>31.090500000000002</v>
      </c>
    </row>
    <row r="4871" spans="4:16" x14ac:dyDescent="0.2">
      <c r="D4871">
        <v>100002903</v>
      </c>
      <c r="E4871" s="49">
        <v>44464</v>
      </c>
      <c r="F4871" t="s">
        <v>4544</v>
      </c>
      <c r="G4871" t="s">
        <v>1756</v>
      </c>
      <c r="H4871">
        <v>9</v>
      </c>
      <c r="I4871">
        <v>103.81</v>
      </c>
      <c r="J4871" s="50">
        <v>934.29</v>
      </c>
      <c r="K4871" t="s">
        <v>1618</v>
      </c>
      <c r="L4871" t="s">
        <v>4545</v>
      </c>
      <c r="M4871" t="s">
        <v>1627</v>
      </c>
      <c r="N4871">
        <v>54.79</v>
      </c>
      <c r="O4871" s="49">
        <v>44469</v>
      </c>
      <c r="P4871" s="50">
        <v>420.43049999999999</v>
      </c>
    </row>
    <row r="4872" spans="4:16" x14ac:dyDescent="0.2">
      <c r="D4872">
        <v>100002903</v>
      </c>
      <c r="E4872" s="49">
        <v>45511</v>
      </c>
      <c r="F4872" t="s">
        <v>4544</v>
      </c>
      <c r="G4872" t="s">
        <v>1655</v>
      </c>
      <c r="H4872">
        <v>5</v>
      </c>
      <c r="I4872">
        <v>12.88</v>
      </c>
      <c r="J4872" s="50">
        <v>64.400000000000006</v>
      </c>
      <c r="K4872" t="s">
        <v>1618</v>
      </c>
      <c r="L4872" t="s">
        <v>4545</v>
      </c>
      <c r="M4872" t="s">
        <v>1621</v>
      </c>
      <c r="N4872">
        <v>6.8</v>
      </c>
      <c r="O4872" s="49">
        <v>45516</v>
      </c>
      <c r="P4872" s="50">
        <v>28.980000000000004</v>
      </c>
    </row>
    <row r="4873" spans="4:16" x14ac:dyDescent="0.2">
      <c r="D4873">
        <v>100002903</v>
      </c>
      <c r="E4873" s="49">
        <v>45269</v>
      </c>
      <c r="F4873" t="s">
        <v>4544</v>
      </c>
      <c r="G4873" t="s">
        <v>1733</v>
      </c>
      <c r="H4873">
        <v>2</v>
      </c>
      <c r="I4873">
        <v>89.11</v>
      </c>
      <c r="J4873" s="50">
        <v>178.22</v>
      </c>
      <c r="K4873" t="s">
        <v>1618</v>
      </c>
      <c r="L4873" t="s">
        <v>4545</v>
      </c>
      <c r="M4873" t="s">
        <v>1619</v>
      </c>
      <c r="N4873">
        <v>47.03</v>
      </c>
      <c r="O4873" s="49">
        <v>45270</v>
      </c>
      <c r="P4873" s="50">
        <v>80.198999999999998</v>
      </c>
    </row>
    <row r="4874" spans="4:16" x14ac:dyDescent="0.2">
      <c r="D4874">
        <v>100002903</v>
      </c>
      <c r="E4874" s="49">
        <v>45587</v>
      </c>
      <c r="F4874" t="s">
        <v>4544</v>
      </c>
      <c r="G4874" t="s">
        <v>2074</v>
      </c>
      <c r="H4874">
        <v>9</v>
      </c>
      <c r="I4874">
        <v>43.98</v>
      </c>
      <c r="J4874" s="50">
        <v>395.82</v>
      </c>
      <c r="K4874" t="s">
        <v>1618</v>
      </c>
      <c r="L4874" t="s">
        <v>4545</v>
      </c>
      <c r="M4874" t="s">
        <v>1629</v>
      </c>
      <c r="N4874">
        <v>23.21</v>
      </c>
      <c r="O4874" s="49">
        <v>45591</v>
      </c>
      <c r="P4874" s="50">
        <v>178.119</v>
      </c>
    </row>
    <row r="4875" spans="4:16" x14ac:dyDescent="0.2">
      <c r="D4875">
        <v>100002903</v>
      </c>
      <c r="E4875" s="49">
        <v>45369</v>
      </c>
      <c r="F4875" t="s">
        <v>4544</v>
      </c>
      <c r="G4875" t="s">
        <v>2062</v>
      </c>
      <c r="H4875">
        <v>4</v>
      </c>
      <c r="I4875">
        <v>115.78</v>
      </c>
      <c r="J4875" s="50">
        <v>463.12</v>
      </c>
      <c r="K4875" t="s">
        <v>1618</v>
      </c>
      <c r="L4875" t="s">
        <v>4545</v>
      </c>
      <c r="M4875" t="s">
        <v>1629</v>
      </c>
      <c r="N4875">
        <v>61.11</v>
      </c>
      <c r="O4875" s="49">
        <v>45371</v>
      </c>
      <c r="P4875" s="50">
        <v>208.404</v>
      </c>
    </row>
    <row r="4876" spans="4:16" x14ac:dyDescent="0.2">
      <c r="D4876">
        <v>100002905</v>
      </c>
      <c r="E4876" s="49">
        <v>44414</v>
      </c>
      <c r="F4876" t="s">
        <v>4546</v>
      </c>
      <c r="G4876" t="s">
        <v>1880</v>
      </c>
      <c r="H4876">
        <v>7</v>
      </c>
      <c r="I4876">
        <v>61.63</v>
      </c>
      <c r="J4876" s="50">
        <v>431.41</v>
      </c>
      <c r="K4876" t="s">
        <v>1618</v>
      </c>
      <c r="L4876" t="s">
        <v>4547</v>
      </c>
      <c r="M4876" t="s">
        <v>1621</v>
      </c>
      <c r="N4876">
        <v>32.53</v>
      </c>
      <c r="O4876" s="49">
        <v>44417</v>
      </c>
      <c r="P4876" s="50">
        <v>194.1345</v>
      </c>
    </row>
    <row r="4877" spans="4:16" x14ac:dyDescent="0.2">
      <c r="D4877">
        <v>100002905</v>
      </c>
      <c r="E4877" s="49">
        <v>44962</v>
      </c>
      <c r="F4877" t="s">
        <v>4546</v>
      </c>
      <c r="G4877" t="s">
        <v>2323</v>
      </c>
      <c r="H4877">
        <v>8</v>
      </c>
      <c r="I4877">
        <v>69.150000000000006</v>
      </c>
      <c r="J4877" s="50">
        <v>553.20000000000005</v>
      </c>
      <c r="K4877" t="s">
        <v>1618</v>
      </c>
      <c r="L4877" t="s">
        <v>4547</v>
      </c>
      <c r="M4877" t="s">
        <v>1619</v>
      </c>
      <c r="N4877">
        <v>36.5</v>
      </c>
      <c r="O4877" s="49">
        <v>44966</v>
      </c>
      <c r="P4877" s="50">
        <v>248.94000000000003</v>
      </c>
    </row>
    <row r="4878" spans="4:16" x14ac:dyDescent="0.2">
      <c r="D4878">
        <v>100002906</v>
      </c>
      <c r="E4878" s="49">
        <v>45071</v>
      </c>
      <c r="F4878" t="s">
        <v>4548</v>
      </c>
      <c r="G4878" t="s">
        <v>2447</v>
      </c>
      <c r="H4878">
        <v>10</v>
      </c>
      <c r="I4878">
        <v>38.799999999999997</v>
      </c>
      <c r="J4878" s="50">
        <v>388</v>
      </c>
      <c r="K4878" t="s">
        <v>1618</v>
      </c>
      <c r="M4878" t="s">
        <v>1619</v>
      </c>
      <c r="N4878">
        <v>20.48</v>
      </c>
      <c r="O4878" s="49">
        <v>45072</v>
      </c>
      <c r="P4878" s="50">
        <v>174.6</v>
      </c>
    </row>
    <row r="4879" spans="4:16" x14ac:dyDescent="0.2">
      <c r="D4879">
        <v>100002906</v>
      </c>
      <c r="E4879" s="49">
        <v>44535</v>
      </c>
      <c r="F4879" t="s">
        <v>4548</v>
      </c>
      <c r="G4879" t="s">
        <v>1748</v>
      </c>
      <c r="H4879">
        <v>9</v>
      </c>
      <c r="I4879">
        <v>110.15</v>
      </c>
      <c r="J4879" s="50">
        <v>991.35</v>
      </c>
      <c r="K4879" t="s">
        <v>1618</v>
      </c>
      <c r="M4879" t="s">
        <v>1624</v>
      </c>
      <c r="N4879">
        <v>58.13</v>
      </c>
      <c r="O4879" s="49">
        <v>44536</v>
      </c>
      <c r="P4879" s="50">
        <v>446.10750000000002</v>
      </c>
    </row>
    <row r="4880" spans="4:16" x14ac:dyDescent="0.2">
      <c r="D4880">
        <v>100002907</v>
      </c>
      <c r="E4880" s="49">
        <v>44344</v>
      </c>
      <c r="F4880" t="s">
        <v>4549</v>
      </c>
      <c r="G4880" t="s">
        <v>1831</v>
      </c>
      <c r="H4880">
        <v>1</v>
      </c>
      <c r="I4880">
        <v>87.48</v>
      </c>
      <c r="J4880" s="50">
        <v>87.48</v>
      </c>
      <c r="K4880" t="s">
        <v>1632</v>
      </c>
      <c r="M4880" t="s">
        <v>1624</v>
      </c>
      <c r="N4880">
        <v>46.17</v>
      </c>
      <c r="O4880" s="49">
        <v>44345</v>
      </c>
      <c r="P4880" s="50">
        <v>39.366</v>
      </c>
    </row>
    <row r="4881" spans="4:16" x14ac:dyDescent="0.2">
      <c r="D4881">
        <v>100002907</v>
      </c>
      <c r="E4881" s="49">
        <v>45586</v>
      </c>
      <c r="F4881" t="s">
        <v>4549</v>
      </c>
      <c r="G4881" t="s">
        <v>1797</v>
      </c>
      <c r="H4881">
        <v>9</v>
      </c>
      <c r="I4881">
        <v>30.92</v>
      </c>
      <c r="J4881" s="50">
        <v>278.27999999999997</v>
      </c>
      <c r="K4881" t="s">
        <v>1632</v>
      </c>
      <c r="M4881" t="s">
        <v>1619</v>
      </c>
      <c r="N4881">
        <v>16.32</v>
      </c>
      <c r="O4881" s="49">
        <v>45588</v>
      </c>
      <c r="P4881" s="50">
        <v>125.22599999999998</v>
      </c>
    </row>
    <row r="4882" spans="4:16" x14ac:dyDescent="0.2">
      <c r="D4882">
        <v>100002907</v>
      </c>
      <c r="E4882" s="49">
        <v>44235</v>
      </c>
      <c r="F4882" t="s">
        <v>4549</v>
      </c>
      <c r="G4882" t="s">
        <v>1982</v>
      </c>
      <c r="H4882">
        <v>9</v>
      </c>
      <c r="I4882">
        <v>74.680000000000007</v>
      </c>
      <c r="J4882" s="50">
        <v>672.12000000000012</v>
      </c>
      <c r="K4882" t="s">
        <v>1632</v>
      </c>
      <c r="M4882" t="s">
        <v>1629</v>
      </c>
      <c r="N4882">
        <v>39.409999999999997</v>
      </c>
      <c r="O4882" s="49">
        <v>44239</v>
      </c>
      <c r="P4882" s="50">
        <v>302.45400000000006</v>
      </c>
    </row>
    <row r="4883" spans="4:16" x14ac:dyDescent="0.2">
      <c r="D4883">
        <v>100002907</v>
      </c>
      <c r="E4883" s="49">
        <v>45520</v>
      </c>
      <c r="F4883" t="s">
        <v>4549</v>
      </c>
      <c r="G4883" t="s">
        <v>2202</v>
      </c>
      <c r="H4883">
        <v>7</v>
      </c>
      <c r="I4883">
        <v>37.92</v>
      </c>
      <c r="J4883" s="50">
        <v>265.44</v>
      </c>
      <c r="K4883" t="s">
        <v>1632</v>
      </c>
      <c r="M4883" t="s">
        <v>1619</v>
      </c>
      <c r="N4883">
        <v>20.010000000000002</v>
      </c>
      <c r="O4883" s="49">
        <v>45523</v>
      </c>
      <c r="P4883" s="50">
        <v>119.44800000000001</v>
      </c>
    </row>
    <row r="4884" spans="4:16" x14ac:dyDescent="0.2">
      <c r="D4884">
        <v>100002907</v>
      </c>
      <c r="E4884" s="49">
        <v>45654</v>
      </c>
      <c r="F4884" t="s">
        <v>4549</v>
      </c>
      <c r="G4884" t="s">
        <v>1823</v>
      </c>
      <c r="H4884">
        <v>2</v>
      </c>
      <c r="I4884">
        <v>95.37</v>
      </c>
      <c r="J4884" s="50">
        <v>190.74</v>
      </c>
      <c r="K4884" t="s">
        <v>1632</v>
      </c>
      <c r="M4884" t="s">
        <v>1621</v>
      </c>
      <c r="N4884">
        <v>50.33</v>
      </c>
      <c r="O4884" s="49">
        <v>45658</v>
      </c>
      <c r="P4884" s="50">
        <v>85.833000000000013</v>
      </c>
    </row>
    <row r="4885" spans="4:16" x14ac:dyDescent="0.2">
      <c r="D4885">
        <v>100002907</v>
      </c>
      <c r="E4885" s="49">
        <v>45053</v>
      </c>
      <c r="F4885" t="s">
        <v>4549</v>
      </c>
      <c r="G4885" t="s">
        <v>2302</v>
      </c>
      <c r="H4885">
        <v>1</v>
      </c>
      <c r="I4885">
        <v>83.45</v>
      </c>
      <c r="J4885" s="50">
        <v>83.45</v>
      </c>
      <c r="K4885" t="s">
        <v>1632</v>
      </c>
      <c r="M4885" t="s">
        <v>1624</v>
      </c>
      <c r="N4885">
        <v>44.04</v>
      </c>
      <c r="O4885" s="49">
        <v>45054</v>
      </c>
      <c r="P4885" s="50">
        <v>37.552500000000002</v>
      </c>
    </row>
    <row r="4886" spans="4:16" x14ac:dyDescent="0.2">
      <c r="D4886">
        <v>100002908</v>
      </c>
      <c r="E4886" s="49">
        <v>45154</v>
      </c>
      <c r="F4886" t="s">
        <v>4550</v>
      </c>
      <c r="G4886" t="s">
        <v>2138</v>
      </c>
      <c r="H4886">
        <v>8</v>
      </c>
      <c r="I4886">
        <v>59.15</v>
      </c>
      <c r="J4886" s="50">
        <v>473.2</v>
      </c>
      <c r="K4886" t="s">
        <v>1632</v>
      </c>
      <c r="L4886" t="s">
        <v>4551</v>
      </c>
      <c r="M4886" t="s">
        <v>1629</v>
      </c>
      <c r="N4886">
        <v>31.22</v>
      </c>
      <c r="O4886" s="49">
        <v>45159</v>
      </c>
      <c r="P4886" s="50">
        <v>212.94</v>
      </c>
    </row>
    <row r="4887" spans="4:16" x14ac:dyDescent="0.2">
      <c r="D4887">
        <v>100002908</v>
      </c>
      <c r="E4887" s="49">
        <v>45560</v>
      </c>
      <c r="F4887" t="s">
        <v>4550</v>
      </c>
      <c r="G4887" t="s">
        <v>2134</v>
      </c>
      <c r="H4887">
        <v>3</v>
      </c>
      <c r="I4887">
        <v>20.07</v>
      </c>
      <c r="J4887" s="50">
        <v>60.21</v>
      </c>
      <c r="K4887" t="s">
        <v>1632</v>
      </c>
      <c r="L4887" t="s">
        <v>4551</v>
      </c>
      <c r="M4887" t="s">
        <v>1629</v>
      </c>
      <c r="N4887">
        <v>10.59</v>
      </c>
      <c r="O4887" s="49">
        <v>45561</v>
      </c>
      <c r="P4887" s="50">
        <v>27.0945</v>
      </c>
    </row>
    <row r="4888" spans="4:16" x14ac:dyDescent="0.2">
      <c r="D4888">
        <v>100002909</v>
      </c>
      <c r="E4888" s="49">
        <v>44427</v>
      </c>
      <c r="F4888" t="s">
        <v>4552</v>
      </c>
      <c r="G4888" t="s">
        <v>1728</v>
      </c>
      <c r="H4888">
        <v>4</v>
      </c>
      <c r="I4888">
        <v>73.7</v>
      </c>
      <c r="J4888" s="50">
        <v>294.8</v>
      </c>
      <c r="K4888" t="s">
        <v>1632</v>
      </c>
      <c r="M4888" t="s">
        <v>1621</v>
      </c>
      <c r="N4888">
        <v>38.9</v>
      </c>
      <c r="O4888" s="49">
        <v>44431</v>
      </c>
      <c r="P4888" s="50">
        <v>132.66</v>
      </c>
    </row>
    <row r="4889" spans="4:16" x14ac:dyDescent="0.2">
      <c r="D4889">
        <v>100002909</v>
      </c>
      <c r="E4889" s="49">
        <v>44808</v>
      </c>
      <c r="F4889" t="s">
        <v>4552</v>
      </c>
      <c r="G4889" t="s">
        <v>1712</v>
      </c>
      <c r="H4889">
        <v>10</v>
      </c>
      <c r="I4889">
        <v>83.17</v>
      </c>
      <c r="J4889" s="50">
        <v>831.7</v>
      </c>
      <c r="K4889" t="s">
        <v>1632</v>
      </c>
      <c r="M4889" t="s">
        <v>1627</v>
      </c>
      <c r="N4889">
        <v>43.89</v>
      </c>
      <c r="O4889" s="49">
        <v>44809</v>
      </c>
      <c r="P4889" s="50">
        <v>374.26500000000004</v>
      </c>
    </row>
    <row r="4890" spans="4:16" x14ac:dyDescent="0.2">
      <c r="D4890">
        <v>100002909</v>
      </c>
      <c r="E4890" s="49">
        <v>44317</v>
      </c>
      <c r="F4890" t="s">
        <v>4552</v>
      </c>
      <c r="G4890" t="s">
        <v>1921</v>
      </c>
      <c r="H4890">
        <v>2</v>
      </c>
      <c r="I4890">
        <v>39.369999999999997</v>
      </c>
      <c r="J4890" s="50">
        <v>78.739999999999995</v>
      </c>
      <c r="K4890" t="s">
        <v>1632</v>
      </c>
      <c r="M4890" t="s">
        <v>1629</v>
      </c>
      <c r="N4890">
        <v>20.78</v>
      </c>
      <c r="O4890" s="49">
        <v>44320</v>
      </c>
      <c r="P4890" s="50">
        <v>35.433</v>
      </c>
    </row>
    <row r="4891" spans="4:16" x14ac:dyDescent="0.2">
      <c r="D4891">
        <v>100002910</v>
      </c>
      <c r="E4891" s="49">
        <v>45313</v>
      </c>
      <c r="F4891" t="s">
        <v>4553</v>
      </c>
      <c r="G4891" t="s">
        <v>2581</v>
      </c>
      <c r="H4891">
        <v>4</v>
      </c>
      <c r="I4891">
        <v>23.73</v>
      </c>
      <c r="J4891" s="50">
        <v>94.92</v>
      </c>
      <c r="K4891" t="s">
        <v>1618</v>
      </c>
      <c r="L4891" t="s">
        <v>4554</v>
      </c>
      <c r="M4891" t="s">
        <v>1619</v>
      </c>
      <c r="N4891">
        <v>12.52</v>
      </c>
      <c r="O4891" s="49">
        <v>45318</v>
      </c>
      <c r="P4891" s="50">
        <v>42.713999999999999</v>
      </c>
    </row>
    <row r="4892" spans="4:16" x14ac:dyDescent="0.2">
      <c r="D4892">
        <v>100002910</v>
      </c>
      <c r="E4892" s="49">
        <v>44789</v>
      </c>
      <c r="F4892" t="s">
        <v>4553</v>
      </c>
      <c r="G4892" t="s">
        <v>1833</v>
      </c>
      <c r="H4892">
        <v>9</v>
      </c>
      <c r="I4892">
        <v>106.21</v>
      </c>
      <c r="J4892" s="50">
        <v>955.89</v>
      </c>
      <c r="K4892" t="s">
        <v>1618</v>
      </c>
      <c r="L4892" t="s">
        <v>4554</v>
      </c>
      <c r="M4892" t="s">
        <v>1624</v>
      </c>
      <c r="N4892">
        <v>56.05</v>
      </c>
      <c r="O4892" s="49">
        <v>44793</v>
      </c>
      <c r="P4892" s="50">
        <v>430.15050000000002</v>
      </c>
    </row>
    <row r="4893" spans="4:16" x14ac:dyDescent="0.2">
      <c r="D4893">
        <v>100002910</v>
      </c>
      <c r="E4893" s="49">
        <v>45381</v>
      </c>
      <c r="F4893" t="s">
        <v>4553</v>
      </c>
      <c r="G4893" t="s">
        <v>1842</v>
      </c>
      <c r="H4893">
        <v>7</v>
      </c>
      <c r="I4893">
        <v>66.94</v>
      </c>
      <c r="J4893" s="50">
        <v>468.58</v>
      </c>
      <c r="K4893" t="s">
        <v>1618</v>
      </c>
      <c r="L4893" t="s">
        <v>4554</v>
      </c>
      <c r="M4893" t="s">
        <v>1627</v>
      </c>
      <c r="N4893">
        <v>35.33</v>
      </c>
      <c r="O4893" s="49">
        <v>45383</v>
      </c>
      <c r="P4893" s="50">
        <v>210.86099999999999</v>
      </c>
    </row>
    <row r="4894" spans="4:16" x14ac:dyDescent="0.2">
      <c r="D4894">
        <v>100002912</v>
      </c>
      <c r="E4894" s="49">
        <v>45632</v>
      </c>
      <c r="F4894" t="s">
        <v>4555</v>
      </c>
      <c r="G4894" t="s">
        <v>2436</v>
      </c>
      <c r="H4894">
        <v>9</v>
      </c>
      <c r="I4894">
        <v>118.49</v>
      </c>
      <c r="J4894" s="50">
        <v>1066.4100000000001</v>
      </c>
      <c r="K4894" t="s">
        <v>1632</v>
      </c>
      <c r="M4894" t="s">
        <v>1629</v>
      </c>
      <c r="N4894">
        <v>62.54</v>
      </c>
      <c r="O4894" s="49">
        <v>45636</v>
      </c>
      <c r="P4894" s="50">
        <v>479.88450000000006</v>
      </c>
    </row>
    <row r="4895" spans="4:16" x14ac:dyDescent="0.2">
      <c r="D4895">
        <v>100002916</v>
      </c>
      <c r="E4895" s="49">
        <v>45273</v>
      </c>
      <c r="F4895" t="s">
        <v>4556</v>
      </c>
      <c r="G4895" t="s">
        <v>2378</v>
      </c>
      <c r="H4895">
        <v>2</v>
      </c>
      <c r="I4895">
        <v>115.42</v>
      </c>
      <c r="J4895" s="50">
        <v>230.84</v>
      </c>
      <c r="K4895" t="s">
        <v>1618</v>
      </c>
      <c r="L4895" t="s">
        <v>1996</v>
      </c>
      <c r="M4895" t="s">
        <v>1619</v>
      </c>
      <c r="N4895">
        <v>60.92</v>
      </c>
      <c r="O4895" s="49">
        <v>45276</v>
      </c>
      <c r="P4895" s="50">
        <v>103.878</v>
      </c>
    </row>
    <row r="4896" spans="4:16" x14ac:dyDescent="0.2">
      <c r="D4896">
        <v>100002917</v>
      </c>
      <c r="E4896" s="49">
        <v>44822</v>
      </c>
      <c r="F4896" t="s">
        <v>4557</v>
      </c>
      <c r="G4896" t="s">
        <v>2098</v>
      </c>
      <c r="H4896">
        <v>9</v>
      </c>
      <c r="I4896">
        <v>14.41</v>
      </c>
      <c r="J4896" s="50">
        <v>129.69</v>
      </c>
      <c r="K4896" t="s">
        <v>1618</v>
      </c>
      <c r="L4896" t="s">
        <v>4558</v>
      </c>
      <c r="M4896" t="s">
        <v>1629</v>
      </c>
      <c r="N4896">
        <v>7.61</v>
      </c>
      <c r="O4896" s="49">
        <v>44825</v>
      </c>
      <c r="P4896" s="50">
        <v>58.360500000000002</v>
      </c>
    </row>
    <row r="4897" spans="4:16" x14ac:dyDescent="0.2">
      <c r="D4897">
        <v>100002918</v>
      </c>
      <c r="E4897" s="49">
        <v>44789</v>
      </c>
      <c r="F4897" t="s">
        <v>4559</v>
      </c>
      <c r="G4897" t="s">
        <v>1700</v>
      </c>
      <c r="H4897">
        <v>6</v>
      </c>
      <c r="I4897">
        <v>84.75</v>
      </c>
      <c r="J4897" s="50">
        <v>508.5</v>
      </c>
      <c r="K4897" t="s">
        <v>1632</v>
      </c>
      <c r="L4897" t="s">
        <v>3331</v>
      </c>
      <c r="M4897" t="s">
        <v>1619</v>
      </c>
      <c r="N4897">
        <v>44.73</v>
      </c>
      <c r="O4897" s="49">
        <v>44794</v>
      </c>
      <c r="P4897" s="50">
        <v>228.82500000000002</v>
      </c>
    </row>
    <row r="4898" spans="4:16" x14ac:dyDescent="0.2">
      <c r="D4898">
        <v>100002919</v>
      </c>
      <c r="E4898" s="49">
        <v>44633</v>
      </c>
      <c r="F4898" t="s">
        <v>4560</v>
      </c>
      <c r="G4898" t="s">
        <v>1910</v>
      </c>
      <c r="H4898">
        <v>4</v>
      </c>
      <c r="I4898">
        <v>79.599999999999994</v>
      </c>
      <c r="J4898" s="50">
        <v>318.39999999999998</v>
      </c>
      <c r="K4898" t="s">
        <v>1618</v>
      </c>
      <c r="L4898" t="s">
        <v>4561</v>
      </c>
      <c r="M4898" t="s">
        <v>1624</v>
      </c>
      <c r="N4898">
        <v>42.01</v>
      </c>
      <c r="O4898" s="49">
        <v>44635</v>
      </c>
      <c r="P4898" s="50">
        <v>143.28</v>
      </c>
    </row>
    <row r="4899" spans="4:16" x14ac:dyDescent="0.2">
      <c r="D4899">
        <v>100002924</v>
      </c>
      <c r="E4899" s="49">
        <v>44410</v>
      </c>
      <c r="F4899" t="s">
        <v>4562</v>
      </c>
      <c r="G4899" t="s">
        <v>1841</v>
      </c>
      <c r="H4899">
        <v>1</v>
      </c>
      <c r="I4899">
        <v>101.89</v>
      </c>
      <c r="J4899" s="50">
        <v>101.89</v>
      </c>
      <c r="K4899" t="s">
        <v>1618</v>
      </c>
      <c r="L4899" t="s">
        <v>2265</v>
      </c>
      <c r="M4899" t="s">
        <v>1624</v>
      </c>
      <c r="N4899">
        <v>53.77</v>
      </c>
      <c r="O4899" s="49">
        <v>44413</v>
      </c>
      <c r="P4899" s="50">
        <v>45.850500000000004</v>
      </c>
    </row>
    <row r="4900" spans="4:16" x14ac:dyDescent="0.2">
      <c r="D4900">
        <v>100002924</v>
      </c>
      <c r="E4900" s="49">
        <v>45327</v>
      </c>
      <c r="F4900" t="s">
        <v>4562</v>
      </c>
      <c r="G4900" t="s">
        <v>2078</v>
      </c>
      <c r="H4900">
        <v>8</v>
      </c>
      <c r="I4900">
        <v>20.46</v>
      </c>
      <c r="J4900" s="50">
        <v>163.68</v>
      </c>
      <c r="K4900" t="s">
        <v>1618</v>
      </c>
      <c r="L4900" t="s">
        <v>2265</v>
      </c>
      <c r="M4900" t="s">
        <v>1621</v>
      </c>
      <c r="N4900">
        <v>10.8</v>
      </c>
      <c r="O4900" s="49">
        <v>45331</v>
      </c>
      <c r="P4900" s="50">
        <v>73.656000000000006</v>
      </c>
    </row>
    <row r="4901" spans="4:16" x14ac:dyDescent="0.2">
      <c r="D4901">
        <v>100002925</v>
      </c>
      <c r="E4901" s="49">
        <v>45169</v>
      </c>
      <c r="F4901" t="s">
        <v>4563</v>
      </c>
      <c r="G4901" t="s">
        <v>1730</v>
      </c>
      <c r="H4901">
        <v>3</v>
      </c>
      <c r="I4901">
        <v>114.17</v>
      </c>
      <c r="J4901" s="50">
        <v>342.51</v>
      </c>
      <c r="K4901" t="s">
        <v>1632</v>
      </c>
      <c r="M4901" t="s">
        <v>1624</v>
      </c>
      <c r="N4901">
        <v>60.26</v>
      </c>
      <c r="O4901" s="49">
        <v>45173</v>
      </c>
      <c r="P4901" s="50">
        <v>154.12950000000001</v>
      </c>
    </row>
    <row r="4902" spans="4:16" x14ac:dyDescent="0.2">
      <c r="D4902">
        <v>100002926</v>
      </c>
      <c r="E4902" s="49">
        <v>44674</v>
      </c>
      <c r="F4902" t="s">
        <v>4564</v>
      </c>
      <c r="G4902" t="s">
        <v>1868</v>
      </c>
      <c r="H4902">
        <v>3</v>
      </c>
      <c r="I4902">
        <v>75.58</v>
      </c>
      <c r="J4902" s="50">
        <v>226.74</v>
      </c>
      <c r="K4902" t="s">
        <v>1618</v>
      </c>
      <c r="M4902" t="s">
        <v>1629</v>
      </c>
      <c r="N4902">
        <v>39.89</v>
      </c>
      <c r="O4902" s="49">
        <v>44678</v>
      </c>
      <c r="P4902" s="50">
        <v>102.033</v>
      </c>
    </row>
    <row r="4903" spans="4:16" x14ac:dyDescent="0.2">
      <c r="D4903">
        <v>100002929</v>
      </c>
      <c r="E4903" s="49">
        <v>45440</v>
      </c>
      <c r="F4903" t="s">
        <v>4565</v>
      </c>
      <c r="G4903" t="s">
        <v>2194</v>
      </c>
      <c r="H4903">
        <v>4</v>
      </c>
      <c r="I4903">
        <v>97.96</v>
      </c>
      <c r="J4903" s="50">
        <v>391.84</v>
      </c>
      <c r="K4903" t="s">
        <v>1632</v>
      </c>
      <c r="M4903" t="s">
        <v>1624</v>
      </c>
      <c r="N4903">
        <v>51.7</v>
      </c>
      <c r="O4903" s="49">
        <v>45442</v>
      </c>
      <c r="P4903" s="50">
        <v>176.328</v>
      </c>
    </row>
    <row r="4904" spans="4:16" x14ac:dyDescent="0.2">
      <c r="D4904">
        <v>100002930</v>
      </c>
      <c r="E4904" s="49">
        <v>45306</v>
      </c>
      <c r="F4904" t="s">
        <v>4566</v>
      </c>
      <c r="G4904" t="s">
        <v>2039</v>
      </c>
      <c r="H4904">
        <v>6</v>
      </c>
      <c r="I4904">
        <v>80.94</v>
      </c>
      <c r="J4904" s="50">
        <v>485.64</v>
      </c>
      <c r="K4904" t="s">
        <v>1632</v>
      </c>
      <c r="L4904" t="s">
        <v>4567</v>
      </c>
      <c r="M4904" t="s">
        <v>1627</v>
      </c>
      <c r="N4904">
        <v>42.72</v>
      </c>
      <c r="O4904" s="49">
        <v>45309</v>
      </c>
      <c r="P4904" s="50">
        <v>218.53800000000001</v>
      </c>
    </row>
    <row r="4905" spans="4:16" x14ac:dyDescent="0.2">
      <c r="D4905">
        <v>100002930</v>
      </c>
      <c r="E4905" s="49">
        <v>45357</v>
      </c>
      <c r="F4905" t="s">
        <v>4566</v>
      </c>
      <c r="G4905" t="s">
        <v>2088</v>
      </c>
      <c r="H4905">
        <v>2</v>
      </c>
      <c r="I4905">
        <v>20.94</v>
      </c>
      <c r="J4905" s="50">
        <v>41.88</v>
      </c>
      <c r="K4905" t="s">
        <v>1632</v>
      </c>
      <c r="L4905" t="s">
        <v>4567</v>
      </c>
      <c r="M4905" t="s">
        <v>1619</v>
      </c>
      <c r="N4905">
        <v>11.05</v>
      </c>
      <c r="O4905" s="49">
        <v>45362</v>
      </c>
      <c r="P4905" s="50">
        <v>18.846</v>
      </c>
    </row>
    <row r="4906" spans="4:16" x14ac:dyDescent="0.2">
      <c r="D4906">
        <v>100002930</v>
      </c>
      <c r="E4906" s="49">
        <v>44810</v>
      </c>
      <c r="F4906" t="s">
        <v>4566</v>
      </c>
      <c r="G4906" t="s">
        <v>2163</v>
      </c>
      <c r="H4906">
        <v>3</v>
      </c>
      <c r="I4906">
        <v>89.84</v>
      </c>
      <c r="J4906" s="50">
        <v>269.52</v>
      </c>
      <c r="K4906" t="s">
        <v>1632</v>
      </c>
      <c r="L4906" t="s">
        <v>4567</v>
      </c>
      <c r="M4906" t="s">
        <v>1624</v>
      </c>
      <c r="N4906">
        <v>47.42</v>
      </c>
      <c r="O4906" s="49">
        <v>44812</v>
      </c>
      <c r="P4906" s="50">
        <v>121.28399999999999</v>
      </c>
    </row>
    <row r="4907" spans="4:16" x14ac:dyDescent="0.2">
      <c r="D4907">
        <v>100002931</v>
      </c>
      <c r="E4907" s="49">
        <v>45186</v>
      </c>
      <c r="F4907" t="s">
        <v>4568</v>
      </c>
      <c r="G4907" t="s">
        <v>1722</v>
      </c>
      <c r="H4907">
        <v>3</v>
      </c>
      <c r="I4907">
        <v>118.05</v>
      </c>
      <c r="J4907" s="50">
        <v>354.15</v>
      </c>
      <c r="K4907" t="s">
        <v>1618</v>
      </c>
      <c r="M4907" t="s">
        <v>1619</v>
      </c>
      <c r="N4907">
        <v>62.3</v>
      </c>
      <c r="O4907" s="49">
        <v>45189</v>
      </c>
      <c r="P4907" s="50">
        <v>159.36750000000001</v>
      </c>
    </row>
    <row r="4908" spans="4:16" x14ac:dyDescent="0.2">
      <c r="D4908">
        <v>100002933</v>
      </c>
      <c r="E4908" s="49">
        <v>44374</v>
      </c>
      <c r="F4908" t="s">
        <v>4569</v>
      </c>
      <c r="G4908" t="s">
        <v>2207</v>
      </c>
      <c r="H4908">
        <v>9</v>
      </c>
      <c r="I4908">
        <v>77.45</v>
      </c>
      <c r="J4908" s="50">
        <v>697.05000000000007</v>
      </c>
      <c r="K4908" t="s">
        <v>1618</v>
      </c>
      <c r="M4908" t="s">
        <v>1624</v>
      </c>
      <c r="N4908">
        <v>40.880000000000003</v>
      </c>
      <c r="O4908" s="49">
        <v>44379</v>
      </c>
      <c r="P4908" s="50">
        <v>313.67250000000001</v>
      </c>
    </row>
    <row r="4909" spans="4:16" x14ac:dyDescent="0.2">
      <c r="D4909">
        <v>100002933</v>
      </c>
      <c r="E4909" s="49">
        <v>44731</v>
      </c>
      <c r="F4909" t="s">
        <v>4569</v>
      </c>
      <c r="G4909" t="s">
        <v>2217</v>
      </c>
      <c r="H4909">
        <v>10</v>
      </c>
      <c r="I4909">
        <v>64.95</v>
      </c>
      <c r="J4909" s="50">
        <v>649.5</v>
      </c>
      <c r="K4909" t="s">
        <v>1618</v>
      </c>
      <c r="M4909" t="s">
        <v>1627</v>
      </c>
      <c r="N4909">
        <v>34.28</v>
      </c>
      <c r="O4909" s="49">
        <v>44734</v>
      </c>
      <c r="P4909" s="50">
        <v>292.27500000000003</v>
      </c>
    </row>
    <row r="4910" spans="4:16" x14ac:dyDescent="0.2">
      <c r="D4910">
        <v>100002933</v>
      </c>
      <c r="E4910" s="49">
        <v>45230</v>
      </c>
      <c r="F4910" t="s">
        <v>4569</v>
      </c>
      <c r="G4910" t="s">
        <v>1877</v>
      </c>
      <c r="H4910">
        <v>7</v>
      </c>
      <c r="I4910">
        <v>111.11</v>
      </c>
      <c r="J4910" s="50">
        <v>777.77</v>
      </c>
      <c r="K4910" t="s">
        <v>1618</v>
      </c>
      <c r="M4910" t="s">
        <v>1627</v>
      </c>
      <c r="N4910">
        <v>58.64</v>
      </c>
      <c r="O4910" s="49">
        <v>45234</v>
      </c>
      <c r="P4910" s="50">
        <v>349.99650000000003</v>
      </c>
    </row>
    <row r="4911" spans="4:16" x14ac:dyDescent="0.2">
      <c r="D4911">
        <v>100002934</v>
      </c>
      <c r="E4911" s="49">
        <v>45449</v>
      </c>
      <c r="F4911" t="s">
        <v>4570</v>
      </c>
      <c r="G4911" t="s">
        <v>1834</v>
      </c>
      <c r="H4911">
        <v>2</v>
      </c>
      <c r="I4911">
        <v>56.59</v>
      </c>
      <c r="J4911" s="50">
        <v>113.18</v>
      </c>
      <c r="K4911" t="s">
        <v>1632</v>
      </c>
      <c r="M4911" t="s">
        <v>1621</v>
      </c>
      <c r="N4911">
        <v>29.87</v>
      </c>
      <c r="O4911" s="49">
        <v>45452</v>
      </c>
      <c r="P4911" s="50">
        <v>50.931000000000004</v>
      </c>
    </row>
    <row r="4912" spans="4:16" x14ac:dyDescent="0.2">
      <c r="D4912">
        <v>100002934</v>
      </c>
      <c r="E4912" s="49">
        <v>45408</v>
      </c>
      <c r="F4912" t="s">
        <v>4570</v>
      </c>
      <c r="G4912" t="s">
        <v>1820</v>
      </c>
      <c r="H4912">
        <v>9</v>
      </c>
      <c r="I4912">
        <v>66.11</v>
      </c>
      <c r="J4912" s="50">
        <v>594.99</v>
      </c>
      <c r="K4912" t="s">
        <v>1632</v>
      </c>
      <c r="M4912" t="s">
        <v>1629</v>
      </c>
      <c r="N4912">
        <v>34.89</v>
      </c>
      <c r="O4912" s="49">
        <v>45412</v>
      </c>
      <c r="P4912" s="50">
        <v>267.74549999999999</v>
      </c>
    </row>
    <row r="4913" spans="4:16" x14ac:dyDescent="0.2">
      <c r="D4913">
        <v>100002935</v>
      </c>
      <c r="E4913" s="49">
        <v>44903</v>
      </c>
      <c r="F4913" t="s">
        <v>4571</v>
      </c>
      <c r="G4913" t="s">
        <v>2090</v>
      </c>
      <c r="H4913">
        <v>8</v>
      </c>
      <c r="I4913">
        <v>89.73</v>
      </c>
      <c r="J4913" s="50">
        <v>717.84</v>
      </c>
      <c r="K4913" t="s">
        <v>1632</v>
      </c>
      <c r="M4913" t="s">
        <v>1621</v>
      </c>
      <c r="N4913">
        <v>47.36</v>
      </c>
      <c r="O4913" s="49">
        <v>44908</v>
      </c>
      <c r="P4913" s="50">
        <v>323.02800000000002</v>
      </c>
    </row>
    <row r="4914" spans="4:16" x14ac:dyDescent="0.2">
      <c r="D4914">
        <v>100002935</v>
      </c>
      <c r="E4914" s="49">
        <v>44725</v>
      </c>
      <c r="F4914" t="s">
        <v>4571</v>
      </c>
      <c r="G4914" t="s">
        <v>1947</v>
      </c>
      <c r="H4914">
        <v>4</v>
      </c>
      <c r="I4914">
        <v>82.6</v>
      </c>
      <c r="J4914" s="50">
        <v>330.4</v>
      </c>
      <c r="K4914" t="s">
        <v>1632</v>
      </c>
      <c r="M4914" t="s">
        <v>1627</v>
      </c>
      <c r="N4914">
        <v>43.59</v>
      </c>
      <c r="O4914" s="49">
        <v>44729</v>
      </c>
      <c r="P4914" s="50">
        <v>148.68</v>
      </c>
    </row>
    <row r="4915" spans="4:16" x14ac:dyDescent="0.2">
      <c r="D4915">
        <v>100002935</v>
      </c>
      <c r="E4915" s="49">
        <v>44671</v>
      </c>
      <c r="F4915" t="s">
        <v>4571</v>
      </c>
      <c r="G4915" t="s">
        <v>1754</v>
      </c>
      <c r="H4915">
        <v>6</v>
      </c>
      <c r="I4915">
        <v>77.66</v>
      </c>
      <c r="J4915" s="50">
        <v>465.96</v>
      </c>
      <c r="K4915" t="s">
        <v>1632</v>
      </c>
      <c r="M4915" t="s">
        <v>1621</v>
      </c>
      <c r="N4915">
        <v>40.99</v>
      </c>
      <c r="O4915" s="49">
        <v>44672</v>
      </c>
      <c r="P4915" s="50">
        <v>209.68199999999999</v>
      </c>
    </row>
    <row r="4916" spans="4:16" x14ac:dyDescent="0.2">
      <c r="D4916">
        <v>100002935</v>
      </c>
      <c r="E4916" s="49">
        <v>44488</v>
      </c>
      <c r="F4916" t="s">
        <v>4571</v>
      </c>
      <c r="G4916" t="s">
        <v>2393</v>
      </c>
      <c r="H4916">
        <v>8</v>
      </c>
      <c r="I4916">
        <v>58.88</v>
      </c>
      <c r="J4916" s="50">
        <v>471.04</v>
      </c>
      <c r="K4916" t="s">
        <v>1632</v>
      </c>
      <c r="M4916" t="s">
        <v>1621</v>
      </c>
      <c r="N4916">
        <v>31.08</v>
      </c>
      <c r="O4916" s="49">
        <v>44491</v>
      </c>
      <c r="P4916" s="50">
        <v>211.96800000000002</v>
      </c>
    </row>
    <row r="4917" spans="4:16" x14ac:dyDescent="0.2">
      <c r="D4917">
        <v>100002937</v>
      </c>
      <c r="E4917" s="49">
        <v>45572</v>
      </c>
      <c r="F4917" t="s">
        <v>4572</v>
      </c>
      <c r="G4917" t="s">
        <v>1928</v>
      </c>
      <c r="H4917">
        <v>8</v>
      </c>
      <c r="I4917">
        <v>62.09</v>
      </c>
      <c r="J4917" s="50">
        <v>496.72</v>
      </c>
      <c r="K4917" t="s">
        <v>1632</v>
      </c>
      <c r="M4917" t="s">
        <v>1619</v>
      </c>
      <c r="N4917">
        <v>32.770000000000003</v>
      </c>
      <c r="O4917" s="49">
        <v>45575</v>
      </c>
      <c r="P4917" s="50">
        <v>223.52400000000003</v>
      </c>
    </row>
    <row r="4918" spans="4:16" x14ac:dyDescent="0.2">
      <c r="D4918">
        <v>100002937</v>
      </c>
      <c r="E4918" s="49">
        <v>45260</v>
      </c>
      <c r="F4918" t="s">
        <v>4572</v>
      </c>
      <c r="G4918" t="s">
        <v>1636</v>
      </c>
      <c r="H4918">
        <v>3</v>
      </c>
      <c r="I4918">
        <v>50.07</v>
      </c>
      <c r="J4918" s="50">
        <v>150.21</v>
      </c>
      <c r="K4918" t="s">
        <v>1632</v>
      </c>
      <c r="M4918" t="s">
        <v>1624</v>
      </c>
      <c r="N4918">
        <v>26.43</v>
      </c>
      <c r="O4918" s="49">
        <v>45265</v>
      </c>
      <c r="P4918" s="50">
        <v>67.594500000000011</v>
      </c>
    </row>
    <row r="4919" spans="4:16" x14ac:dyDescent="0.2">
      <c r="D4919">
        <v>100002937</v>
      </c>
      <c r="E4919" s="49">
        <v>45509</v>
      </c>
      <c r="F4919" t="s">
        <v>4572</v>
      </c>
      <c r="G4919" t="s">
        <v>2357</v>
      </c>
      <c r="H4919">
        <v>10</v>
      </c>
      <c r="I4919">
        <v>111.76</v>
      </c>
      <c r="J4919" s="50">
        <v>1117.5999999999999</v>
      </c>
      <c r="K4919" t="s">
        <v>1632</v>
      </c>
      <c r="M4919" t="s">
        <v>1627</v>
      </c>
      <c r="N4919">
        <v>58.98</v>
      </c>
      <c r="O4919" s="49">
        <v>45510</v>
      </c>
      <c r="P4919" s="50">
        <v>502.91999999999996</v>
      </c>
    </row>
    <row r="4920" spans="4:16" x14ac:dyDescent="0.2">
      <c r="D4920">
        <v>100002939</v>
      </c>
      <c r="E4920" s="49">
        <v>44363</v>
      </c>
      <c r="F4920" t="s">
        <v>4573</v>
      </c>
      <c r="G4920" t="s">
        <v>1663</v>
      </c>
      <c r="H4920">
        <v>5</v>
      </c>
      <c r="I4920">
        <v>94.2</v>
      </c>
      <c r="J4920" s="50">
        <v>471</v>
      </c>
      <c r="K4920" t="s">
        <v>1618</v>
      </c>
      <c r="L4920" t="s">
        <v>4574</v>
      </c>
      <c r="M4920" t="s">
        <v>1621</v>
      </c>
      <c r="N4920">
        <v>49.72</v>
      </c>
      <c r="O4920" s="49">
        <v>44364</v>
      </c>
      <c r="P4920" s="50">
        <v>211.95000000000002</v>
      </c>
    </row>
    <row r="4921" spans="4:16" x14ac:dyDescent="0.2">
      <c r="D4921">
        <v>100002940</v>
      </c>
      <c r="E4921" s="49">
        <v>45149</v>
      </c>
      <c r="F4921" t="s">
        <v>4575</v>
      </c>
      <c r="G4921" t="s">
        <v>1643</v>
      </c>
      <c r="H4921">
        <v>8</v>
      </c>
      <c r="I4921">
        <v>77.2</v>
      </c>
      <c r="J4921" s="50">
        <v>617.6</v>
      </c>
      <c r="K4921" t="s">
        <v>1632</v>
      </c>
      <c r="M4921" t="s">
        <v>1627</v>
      </c>
      <c r="N4921">
        <v>40.74</v>
      </c>
      <c r="O4921" s="49">
        <v>45152</v>
      </c>
      <c r="P4921" s="50">
        <v>277.92</v>
      </c>
    </row>
    <row r="4922" spans="4:16" x14ac:dyDescent="0.2">
      <c r="D4922">
        <v>100002941</v>
      </c>
      <c r="E4922" s="49">
        <v>44853</v>
      </c>
      <c r="F4922" t="s">
        <v>4576</v>
      </c>
      <c r="G4922" t="s">
        <v>2378</v>
      </c>
      <c r="H4922">
        <v>2</v>
      </c>
      <c r="I4922">
        <v>21.56</v>
      </c>
      <c r="J4922" s="50">
        <v>43.12</v>
      </c>
      <c r="K4922" t="s">
        <v>1632</v>
      </c>
      <c r="M4922" t="s">
        <v>1629</v>
      </c>
      <c r="N4922">
        <v>11.38</v>
      </c>
      <c r="O4922" s="49">
        <v>44857</v>
      </c>
      <c r="P4922" s="50">
        <v>19.404</v>
      </c>
    </row>
    <row r="4923" spans="4:16" x14ac:dyDescent="0.2">
      <c r="D4923">
        <v>100002941</v>
      </c>
      <c r="E4923" s="49">
        <v>45201</v>
      </c>
      <c r="F4923" t="s">
        <v>4576</v>
      </c>
      <c r="G4923" t="s">
        <v>1890</v>
      </c>
      <c r="H4923">
        <v>2</v>
      </c>
      <c r="I4923">
        <v>40.799999999999997</v>
      </c>
      <c r="J4923" s="50">
        <v>81.599999999999994</v>
      </c>
      <c r="K4923" t="s">
        <v>1632</v>
      </c>
      <c r="M4923" t="s">
        <v>1619</v>
      </c>
      <c r="N4923">
        <v>21.53</v>
      </c>
      <c r="O4923" s="49">
        <v>45205</v>
      </c>
      <c r="P4923" s="50">
        <v>36.72</v>
      </c>
    </row>
    <row r="4924" spans="4:16" x14ac:dyDescent="0.2">
      <c r="D4924">
        <v>100002941</v>
      </c>
      <c r="E4924" s="49">
        <v>44767</v>
      </c>
      <c r="F4924" t="s">
        <v>4576</v>
      </c>
      <c r="G4924" t="s">
        <v>1958</v>
      </c>
      <c r="H4924">
        <v>10</v>
      </c>
      <c r="I4924">
        <v>96.41</v>
      </c>
      <c r="J4924" s="50">
        <v>964.09999999999991</v>
      </c>
      <c r="K4924" t="s">
        <v>1632</v>
      </c>
      <c r="M4924" t="s">
        <v>1619</v>
      </c>
      <c r="N4924">
        <v>50.88</v>
      </c>
      <c r="O4924" s="49">
        <v>44769</v>
      </c>
      <c r="P4924" s="50">
        <v>433.84499999999997</v>
      </c>
    </row>
    <row r="4925" spans="4:16" x14ac:dyDescent="0.2">
      <c r="D4925">
        <v>100002942</v>
      </c>
      <c r="E4925" s="49">
        <v>44428</v>
      </c>
      <c r="F4925" t="s">
        <v>4577</v>
      </c>
      <c r="G4925" t="s">
        <v>2191</v>
      </c>
      <c r="H4925">
        <v>3</v>
      </c>
      <c r="I4925">
        <v>10.220000000000001</v>
      </c>
      <c r="J4925" s="50">
        <v>30.66</v>
      </c>
      <c r="K4925" t="s">
        <v>1632</v>
      </c>
      <c r="L4925" t="s">
        <v>4578</v>
      </c>
      <c r="M4925" t="s">
        <v>1627</v>
      </c>
      <c r="N4925">
        <v>5.39</v>
      </c>
      <c r="O4925" s="49">
        <v>44431</v>
      </c>
      <c r="P4925" s="50">
        <v>13.797000000000001</v>
      </c>
    </row>
    <row r="4926" spans="4:16" x14ac:dyDescent="0.2">
      <c r="D4926">
        <v>100002942</v>
      </c>
      <c r="E4926" s="49">
        <v>44218</v>
      </c>
      <c r="F4926" t="s">
        <v>4577</v>
      </c>
      <c r="G4926" t="s">
        <v>1762</v>
      </c>
      <c r="H4926">
        <v>3</v>
      </c>
      <c r="I4926">
        <v>112.07</v>
      </c>
      <c r="J4926" s="50">
        <v>336.21</v>
      </c>
      <c r="K4926" t="s">
        <v>1632</v>
      </c>
      <c r="L4926" t="s">
        <v>4578</v>
      </c>
      <c r="M4926" t="s">
        <v>1619</v>
      </c>
      <c r="N4926">
        <v>59.15</v>
      </c>
      <c r="O4926" s="49">
        <v>44220</v>
      </c>
      <c r="P4926" s="50">
        <v>151.2945</v>
      </c>
    </row>
    <row r="4927" spans="4:16" x14ac:dyDescent="0.2">
      <c r="D4927">
        <v>100002942</v>
      </c>
      <c r="E4927" s="49">
        <v>44933</v>
      </c>
      <c r="F4927" t="s">
        <v>4577</v>
      </c>
      <c r="G4927" t="s">
        <v>1848</v>
      </c>
      <c r="H4927">
        <v>10</v>
      </c>
      <c r="I4927">
        <v>97.56</v>
      </c>
      <c r="J4927" s="50">
        <v>975.6</v>
      </c>
      <c r="K4927" t="s">
        <v>1632</v>
      </c>
      <c r="L4927" t="s">
        <v>4578</v>
      </c>
      <c r="M4927" t="s">
        <v>1619</v>
      </c>
      <c r="N4927">
        <v>51.49</v>
      </c>
      <c r="O4927" s="49">
        <v>44934</v>
      </c>
      <c r="P4927" s="50">
        <v>439.02000000000004</v>
      </c>
    </row>
    <row r="4928" spans="4:16" x14ac:dyDescent="0.2">
      <c r="D4928">
        <v>100002942</v>
      </c>
      <c r="E4928" s="49">
        <v>44371</v>
      </c>
      <c r="F4928" t="s">
        <v>4577</v>
      </c>
      <c r="G4928" t="s">
        <v>1664</v>
      </c>
      <c r="H4928">
        <v>7</v>
      </c>
      <c r="I4928">
        <v>112.66</v>
      </c>
      <c r="J4928" s="50">
        <v>788.62</v>
      </c>
      <c r="K4928" t="s">
        <v>1632</v>
      </c>
      <c r="L4928" t="s">
        <v>4578</v>
      </c>
      <c r="M4928" t="s">
        <v>1624</v>
      </c>
      <c r="N4928">
        <v>59.46</v>
      </c>
      <c r="O4928" s="49">
        <v>44372</v>
      </c>
      <c r="P4928" s="50">
        <v>354.87900000000002</v>
      </c>
    </row>
    <row r="4929" spans="4:16" x14ac:dyDescent="0.2">
      <c r="D4929">
        <v>100002943</v>
      </c>
      <c r="E4929" s="49">
        <v>44481</v>
      </c>
      <c r="F4929" t="s">
        <v>4579</v>
      </c>
      <c r="G4929" t="s">
        <v>2378</v>
      </c>
      <c r="H4929">
        <v>3</v>
      </c>
      <c r="I4929">
        <v>78.22</v>
      </c>
      <c r="J4929" s="50">
        <v>234.66</v>
      </c>
      <c r="K4929" t="s">
        <v>1618</v>
      </c>
      <c r="M4929" t="s">
        <v>1624</v>
      </c>
      <c r="N4929">
        <v>41.28</v>
      </c>
      <c r="O4929" s="49">
        <v>44482</v>
      </c>
      <c r="P4929" s="50">
        <v>105.59699999999999</v>
      </c>
    </row>
    <row r="4930" spans="4:16" x14ac:dyDescent="0.2">
      <c r="D4930">
        <v>100002943</v>
      </c>
      <c r="E4930" s="49">
        <v>45260</v>
      </c>
      <c r="F4930" t="s">
        <v>4579</v>
      </c>
      <c r="G4930" t="s">
        <v>1720</v>
      </c>
      <c r="H4930">
        <v>1</v>
      </c>
      <c r="I4930">
        <v>33.450000000000003</v>
      </c>
      <c r="J4930" s="50">
        <v>33.450000000000003</v>
      </c>
      <c r="K4930" t="s">
        <v>1618</v>
      </c>
      <c r="M4930" t="s">
        <v>1629</v>
      </c>
      <c r="N4930">
        <v>17.649999999999999</v>
      </c>
      <c r="O4930" s="49">
        <v>45264</v>
      </c>
      <c r="P4930" s="50">
        <v>15.052500000000002</v>
      </c>
    </row>
    <row r="4931" spans="4:16" x14ac:dyDescent="0.2">
      <c r="D4931">
        <v>100002943</v>
      </c>
      <c r="E4931" s="49">
        <v>44391</v>
      </c>
      <c r="F4931" t="s">
        <v>4579</v>
      </c>
      <c r="G4931" t="s">
        <v>1767</v>
      </c>
      <c r="H4931">
        <v>7</v>
      </c>
      <c r="I4931">
        <v>115.27</v>
      </c>
      <c r="J4931" s="50">
        <v>806.89</v>
      </c>
      <c r="K4931" t="s">
        <v>1618</v>
      </c>
      <c r="M4931" t="s">
        <v>1621</v>
      </c>
      <c r="N4931">
        <v>60.84</v>
      </c>
      <c r="O4931" s="49">
        <v>44394</v>
      </c>
      <c r="P4931" s="50">
        <v>363.10050000000001</v>
      </c>
    </row>
    <row r="4932" spans="4:16" x14ac:dyDescent="0.2">
      <c r="D4932">
        <v>100002944</v>
      </c>
      <c r="E4932" s="49">
        <v>45079</v>
      </c>
      <c r="F4932" t="s">
        <v>4580</v>
      </c>
      <c r="G4932" t="s">
        <v>1866</v>
      </c>
      <c r="H4932">
        <v>8</v>
      </c>
      <c r="I4932">
        <v>89.71</v>
      </c>
      <c r="J4932" s="50">
        <v>717.68</v>
      </c>
      <c r="K4932" t="s">
        <v>1618</v>
      </c>
      <c r="M4932" t="s">
        <v>1629</v>
      </c>
      <c r="N4932">
        <v>47.35</v>
      </c>
      <c r="O4932" s="49">
        <v>45080</v>
      </c>
      <c r="P4932" s="50">
        <v>322.95599999999996</v>
      </c>
    </row>
    <row r="4933" spans="4:16" x14ac:dyDescent="0.2">
      <c r="D4933">
        <v>100002946</v>
      </c>
      <c r="E4933" s="49">
        <v>44752</v>
      </c>
      <c r="F4933" t="s">
        <v>4581</v>
      </c>
      <c r="G4933" t="s">
        <v>1982</v>
      </c>
      <c r="H4933">
        <v>7</v>
      </c>
      <c r="I4933">
        <v>53.62</v>
      </c>
      <c r="J4933" s="50">
        <v>375.34</v>
      </c>
      <c r="K4933" t="s">
        <v>1618</v>
      </c>
      <c r="M4933" t="s">
        <v>1619</v>
      </c>
      <c r="N4933">
        <v>28.3</v>
      </c>
      <c r="O4933" s="49">
        <v>44755</v>
      </c>
      <c r="P4933" s="50">
        <v>168.90299999999999</v>
      </c>
    </row>
    <row r="4934" spans="4:16" x14ac:dyDescent="0.2">
      <c r="D4934">
        <v>100002947</v>
      </c>
      <c r="E4934" s="49">
        <v>45370</v>
      </c>
      <c r="F4934" t="s">
        <v>4582</v>
      </c>
      <c r="G4934" t="s">
        <v>2302</v>
      </c>
      <c r="H4934">
        <v>6</v>
      </c>
      <c r="I4934">
        <v>59.07</v>
      </c>
      <c r="J4934" s="50">
        <v>354.42</v>
      </c>
      <c r="K4934" t="s">
        <v>1632</v>
      </c>
      <c r="M4934" t="s">
        <v>1619</v>
      </c>
      <c r="N4934">
        <v>31.18</v>
      </c>
      <c r="O4934" s="49">
        <v>45374</v>
      </c>
      <c r="P4934" s="50">
        <v>159.489</v>
      </c>
    </row>
    <row r="4935" spans="4:16" x14ac:dyDescent="0.2">
      <c r="D4935">
        <v>100002949</v>
      </c>
      <c r="E4935" s="49">
        <v>45279</v>
      </c>
      <c r="F4935" t="s">
        <v>4583</v>
      </c>
      <c r="G4935" t="s">
        <v>2232</v>
      </c>
      <c r="H4935">
        <v>2</v>
      </c>
      <c r="I4935">
        <v>69.5</v>
      </c>
      <c r="J4935" s="50">
        <v>139</v>
      </c>
      <c r="K4935" t="s">
        <v>1632</v>
      </c>
      <c r="M4935" t="s">
        <v>1621</v>
      </c>
      <c r="N4935">
        <v>36.68</v>
      </c>
      <c r="O4935" s="49">
        <v>45283</v>
      </c>
      <c r="P4935" s="50">
        <v>62.550000000000004</v>
      </c>
    </row>
    <row r="4936" spans="4:16" x14ac:dyDescent="0.2">
      <c r="D4936">
        <v>100002949</v>
      </c>
      <c r="E4936" s="49">
        <v>45529</v>
      </c>
      <c r="F4936" t="s">
        <v>4583</v>
      </c>
      <c r="G4936" t="s">
        <v>2431</v>
      </c>
      <c r="H4936">
        <v>1</v>
      </c>
      <c r="I4936">
        <v>76.06</v>
      </c>
      <c r="J4936" s="50">
        <v>76.06</v>
      </c>
      <c r="K4936" t="s">
        <v>1632</v>
      </c>
      <c r="M4936" t="s">
        <v>1619</v>
      </c>
      <c r="N4936">
        <v>40.14</v>
      </c>
      <c r="O4936" s="49">
        <v>45531</v>
      </c>
      <c r="P4936" s="50">
        <v>34.227000000000004</v>
      </c>
    </row>
    <row r="4937" spans="4:16" x14ac:dyDescent="0.2">
      <c r="D4937">
        <v>100002952</v>
      </c>
      <c r="E4937" s="49">
        <v>45207</v>
      </c>
      <c r="F4937" t="s">
        <v>4584</v>
      </c>
      <c r="G4937" t="s">
        <v>1944</v>
      </c>
      <c r="H4937">
        <v>1</v>
      </c>
      <c r="I4937">
        <v>18.57</v>
      </c>
      <c r="J4937" s="50">
        <v>18.57</v>
      </c>
      <c r="K4937" t="s">
        <v>1632</v>
      </c>
      <c r="M4937" t="s">
        <v>1621</v>
      </c>
      <c r="N4937">
        <v>9.8000000000000007</v>
      </c>
      <c r="O4937" s="49">
        <v>45210</v>
      </c>
      <c r="P4937" s="50">
        <v>8.3565000000000005</v>
      </c>
    </row>
    <row r="4938" spans="4:16" x14ac:dyDescent="0.2">
      <c r="D4938">
        <v>100002952</v>
      </c>
      <c r="E4938" s="49">
        <v>44379</v>
      </c>
      <c r="F4938" t="s">
        <v>4584</v>
      </c>
      <c r="G4938" t="s">
        <v>2217</v>
      </c>
      <c r="H4938">
        <v>10</v>
      </c>
      <c r="I4938">
        <v>92.51</v>
      </c>
      <c r="J4938" s="50">
        <v>925.1</v>
      </c>
      <c r="K4938" t="s">
        <v>1632</v>
      </c>
      <c r="M4938" t="s">
        <v>1629</v>
      </c>
      <c r="N4938">
        <v>48.82</v>
      </c>
      <c r="O4938" s="49">
        <v>44380</v>
      </c>
      <c r="P4938" s="50">
        <v>416.29500000000002</v>
      </c>
    </row>
    <row r="4939" spans="4:16" x14ac:dyDescent="0.2">
      <c r="D4939">
        <v>100002953</v>
      </c>
      <c r="E4939" s="49">
        <v>45267</v>
      </c>
      <c r="F4939" t="s">
        <v>4585</v>
      </c>
      <c r="G4939" t="s">
        <v>2025</v>
      </c>
      <c r="H4939">
        <v>3</v>
      </c>
      <c r="I4939">
        <v>25.1</v>
      </c>
      <c r="J4939" s="50">
        <v>75.300000000000011</v>
      </c>
      <c r="K4939" t="s">
        <v>1618</v>
      </c>
      <c r="M4939" t="s">
        <v>1619</v>
      </c>
      <c r="N4939">
        <v>13.25</v>
      </c>
      <c r="O4939" s="49">
        <v>45270</v>
      </c>
      <c r="P4939" s="50">
        <v>33.885000000000005</v>
      </c>
    </row>
    <row r="4940" spans="4:16" x14ac:dyDescent="0.2">
      <c r="D4940">
        <v>100002954</v>
      </c>
      <c r="E4940" s="49">
        <v>44983</v>
      </c>
      <c r="F4940" t="s">
        <v>4586</v>
      </c>
      <c r="G4940" t="s">
        <v>1704</v>
      </c>
      <c r="H4940">
        <v>5</v>
      </c>
      <c r="I4940">
        <v>65.900000000000006</v>
      </c>
      <c r="J4940" s="50">
        <v>329.5</v>
      </c>
      <c r="K4940" t="s">
        <v>1618</v>
      </c>
      <c r="M4940" t="s">
        <v>1624</v>
      </c>
      <c r="N4940">
        <v>34.78</v>
      </c>
      <c r="O4940" s="49">
        <v>44986</v>
      </c>
      <c r="P4940" s="50">
        <v>148.27500000000001</v>
      </c>
    </row>
    <row r="4941" spans="4:16" x14ac:dyDescent="0.2">
      <c r="D4941">
        <v>100002954</v>
      </c>
      <c r="E4941" s="49">
        <v>45610</v>
      </c>
      <c r="F4941" t="s">
        <v>4586</v>
      </c>
      <c r="G4941" t="s">
        <v>2447</v>
      </c>
      <c r="H4941">
        <v>4</v>
      </c>
      <c r="I4941">
        <v>91.08</v>
      </c>
      <c r="J4941" s="50">
        <v>364.32</v>
      </c>
      <c r="K4941" t="s">
        <v>1618</v>
      </c>
      <c r="M4941" t="s">
        <v>1624</v>
      </c>
      <c r="N4941">
        <v>48.07</v>
      </c>
      <c r="O4941" s="49">
        <v>45612</v>
      </c>
      <c r="P4941" s="50">
        <v>163.94399999999999</v>
      </c>
    </row>
    <row r="4942" spans="4:16" x14ac:dyDescent="0.2">
      <c r="D4942">
        <v>100002954</v>
      </c>
      <c r="E4942" s="49">
        <v>45111</v>
      </c>
      <c r="F4942" t="s">
        <v>4586</v>
      </c>
      <c r="G4942" t="s">
        <v>1865</v>
      </c>
      <c r="H4942">
        <v>8</v>
      </c>
      <c r="I4942">
        <v>28.71</v>
      </c>
      <c r="J4942" s="50">
        <v>229.68</v>
      </c>
      <c r="K4942" t="s">
        <v>1618</v>
      </c>
      <c r="M4942" t="s">
        <v>1624</v>
      </c>
      <c r="N4942">
        <v>15.15</v>
      </c>
      <c r="O4942" s="49">
        <v>45113</v>
      </c>
      <c r="P4942" s="50">
        <v>103.35600000000001</v>
      </c>
    </row>
    <row r="4943" spans="4:16" x14ac:dyDescent="0.2">
      <c r="D4943">
        <v>100002954</v>
      </c>
      <c r="E4943" s="49">
        <v>44751</v>
      </c>
      <c r="F4943" t="s">
        <v>4586</v>
      </c>
      <c r="G4943" t="s">
        <v>1695</v>
      </c>
      <c r="H4943">
        <v>6</v>
      </c>
      <c r="I4943">
        <v>73.56</v>
      </c>
      <c r="J4943" s="50">
        <v>441.36</v>
      </c>
      <c r="K4943" t="s">
        <v>1618</v>
      </c>
      <c r="M4943" t="s">
        <v>1621</v>
      </c>
      <c r="N4943">
        <v>38.82</v>
      </c>
      <c r="O4943" s="49">
        <v>44753</v>
      </c>
      <c r="P4943" s="50">
        <v>198.61200000000002</v>
      </c>
    </row>
    <row r="4944" spans="4:16" x14ac:dyDescent="0.2">
      <c r="D4944">
        <v>100002954</v>
      </c>
      <c r="E4944" s="49">
        <v>45500</v>
      </c>
      <c r="F4944" t="s">
        <v>4586</v>
      </c>
      <c r="G4944" t="s">
        <v>2217</v>
      </c>
      <c r="H4944">
        <v>6</v>
      </c>
      <c r="I4944">
        <v>74.08</v>
      </c>
      <c r="J4944" s="50">
        <v>444.48</v>
      </c>
      <c r="K4944" t="s">
        <v>1618</v>
      </c>
      <c r="M4944" t="s">
        <v>1624</v>
      </c>
      <c r="N4944">
        <v>39.1</v>
      </c>
      <c r="O4944" s="49">
        <v>45504</v>
      </c>
      <c r="P4944" s="50">
        <v>200.01600000000002</v>
      </c>
    </row>
    <row r="4945" spans="4:16" x14ac:dyDescent="0.2">
      <c r="D4945">
        <v>100002955</v>
      </c>
      <c r="E4945" s="49">
        <v>45084</v>
      </c>
      <c r="F4945" t="s">
        <v>4587</v>
      </c>
      <c r="G4945" t="s">
        <v>1944</v>
      </c>
      <c r="H4945">
        <v>7</v>
      </c>
      <c r="I4945">
        <v>29.33</v>
      </c>
      <c r="J4945" s="50">
        <v>205.31</v>
      </c>
      <c r="K4945" t="s">
        <v>1632</v>
      </c>
      <c r="M4945" t="s">
        <v>1624</v>
      </c>
      <c r="N4945">
        <v>15.48</v>
      </c>
      <c r="O4945" s="49">
        <v>45089</v>
      </c>
      <c r="P4945" s="50">
        <v>92.389499999999998</v>
      </c>
    </row>
    <row r="4946" spans="4:16" x14ac:dyDescent="0.2">
      <c r="D4946">
        <v>100002956</v>
      </c>
      <c r="E4946" s="49">
        <v>45236</v>
      </c>
      <c r="F4946" t="s">
        <v>4588</v>
      </c>
      <c r="G4946" t="s">
        <v>1864</v>
      </c>
      <c r="H4946">
        <v>2</v>
      </c>
      <c r="I4946">
        <v>16.25</v>
      </c>
      <c r="J4946" s="50">
        <v>32.5</v>
      </c>
      <c r="K4946" t="s">
        <v>1618</v>
      </c>
      <c r="L4946" t="s">
        <v>4365</v>
      </c>
      <c r="M4946" t="s">
        <v>1629</v>
      </c>
      <c r="N4946">
        <v>8.58</v>
      </c>
      <c r="O4946" s="49">
        <v>45239</v>
      </c>
      <c r="P4946" s="50">
        <v>14.625</v>
      </c>
    </row>
    <row r="4947" spans="4:16" x14ac:dyDescent="0.2">
      <c r="D4947">
        <v>100002956</v>
      </c>
      <c r="E4947" s="49">
        <v>44520</v>
      </c>
      <c r="F4947" t="s">
        <v>4588</v>
      </c>
      <c r="G4947" t="s">
        <v>2057</v>
      </c>
      <c r="H4947">
        <v>2</v>
      </c>
      <c r="I4947">
        <v>94.23</v>
      </c>
      <c r="J4947" s="50">
        <v>188.46</v>
      </c>
      <c r="K4947" t="s">
        <v>1618</v>
      </c>
      <c r="L4947" t="s">
        <v>4365</v>
      </c>
      <c r="M4947" t="s">
        <v>1624</v>
      </c>
      <c r="N4947">
        <v>49.73</v>
      </c>
      <c r="O4947" s="49">
        <v>44522</v>
      </c>
      <c r="P4947" s="50">
        <v>84.807000000000002</v>
      </c>
    </row>
    <row r="4948" spans="4:16" x14ac:dyDescent="0.2">
      <c r="D4948">
        <v>100002956</v>
      </c>
      <c r="E4948" s="49">
        <v>44795</v>
      </c>
      <c r="F4948" t="s">
        <v>4588</v>
      </c>
      <c r="G4948" t="s">
        <v>2028</v>
      </c>
      <c r="H4948">
        <v>6</v>
      </c>
      <c r="I4948">
        <v>34.18</v>
      </c>
      <c r="J4948" s="50">
        <v>205.08</v>
      </c>
      <c r="K4948" t="s">
        <v>1618</v>
      </c>
      <c r="L4948" t="s">
        <v>4365</v>
      </c>
      <c r="M4948" t="s">
        <v>1619</v>
      </c>
      <c r="N4948">
        <v>18.04</v>
      </c>
      <c r="O4948" s="49">
        <v>44796</v>
      </c>
      <c r="P4948" s="50">
        <v>92.286000000000001</v>
      </c>
    </row>
    <row r="4949" spans="4:16" x14ac:dyDescent="0.2">
      <c r="D4949">
        <v>100002956</v>
      </c>
      <c r="E4949" s="49">
        <v>44732</v>
      </c>
      <c r="F4949" t="s">
        <v>4588</v>
      </c>
      <c r="G4949" t="s">
        <v>2050</v>
      </c>
      <c r="H4949">
        <v>3</v>
      </c>
      <c r="I4949">
        <v>17.53</v>
      </c>
      <c r="J4949" s="50">
        <v>52.59</v>
      </c>
      <c r="K4949" t="s">
        <v>1618</v>
      </c>
      <c r="L4949" t="s">
        <v>4365</v>
      </c>
      <c r="M4949" t="s">
        <v>1627</v>
      </c>
      <c r="N4949">
        <v>9.25</v>
      </c>
      <c r="O4949" s="49">
        <v>44736</v>
      </c>
      <c r="P4949" s="50">
        <v>23.665500000000002</v>
      </c>
    </row>
    <row r="4950" spans="4:16" x14ac:dyDescent="0.2">
      <c r="D4950">
        <v>100002957</v>
      </c>
      <c r="E4950" s="49">
        <v>45150</v>
      </c>
      <c r="F4950" t="s">
        <v>4589</v>
      </c>
      <c r="G4950" t="s">
        <v>2301</v>
      </c>
      <c r="H4950">
        <v>7</v>
      </c>
      <c r="I4950">
        <v>113.47</v>
      </c>
      <c r="J4950" s="50">
        <v>794.29</v>
      </c>
      <c r="K4950" t="s">
        <v>1618</v>
      </c>
      <c r="M4950" t="s">
        <v>1621</v>
      </c>
      <c r="N4950">
        <v>59.89</v>
      </c>
      <c r="O4950" s="49">
        <v>45153</v>
      </c>
      <c r="P4950" s="50">
        <v>357.43049999999999</v>
      </c>
    </row>
    <row r="4951" spans="4:16" x14ac:dyDescent="0.2">
      <c r="D4951">
        <v>100002959</v>
      </c>
      <c r="E4951" s="49">
        <v>45064</v>
      </c>
      <c r="F4951" t="s">
        <v>4590</v>
      </c>
      <c r="G4951" t="s">
        <v>1797</v>
      </c>
      <c r="H4951">
        <v>4</v>
      </c>
      <c r="I4951">
        <v>33.17</v>
      </c>
      <c r="J4951" s="50">
        <v>132.68</v>
      </c>
      <c r="K4951" t="s">
        <v>1618</v>
      </c>
      <c r="M4951" t="s">
        <v>1619</v>
      </c>
      <c r="N4951">
        <v>17.510000000000002</v>
      </c>
      <c r="O4951" s="49">
        <v>45067</v>
      </c>
      <c r="P4951" s="50">
        <v>59.706000000000003</v>
      </c>
    </row>
    <row r="4952" spans="4:16" x14ac:dyDescent="0.2">
      <c r="D4952">
        <v>100002960</v>
      </c>
      <c r="E4952" s="49">
        <v>44614</v>
      </c>
      <c r="F4952" t="s">
        <v>4591</v>
      </c>
      <c r="G4952" t="s">
        <v>1990</v>
      </c>
      <c r="H4952">
        <v>1</v>
      </c>
      <c r="I4952">
        <v>37.4</v>
      </c>
      <c r="J4952" s="50">
        <v>37.4</v>
      </c>
      <c r="K4952" t="s">
        <v>1632</v>
      </c>
      <c r="M4952" t="s">
        <v>1624</v>
      </c>
      <c r="N4952">
        <v>19.739999999999998</v>
      </c>
      <c r="O4952" s="49">
        <v>44616</v>
      </c>
      <c r="P4952" s="50">
        <v>16.829999999999998</v>
      </c>
    </row>
    <row r="4953" spans="4:16" x14ac:dyDescent="0.2">
      <c r="D4953">
        <v>100002961</v>
      </c>
      <c r="E4953" s="49">
        <v>45192</v>
      </c>
      <c r="F4953" t="s">
        <v>4592</v>
      </c>
      <c r="G4953" t="s">
        <v>1737</v>
      </c>
      <c r="H4953">
        <v>2</v>
      </c>
      <c r="I4953">
        <v>119.8</v>
      </c>
      <c r="J4953" s="50">
        <v>239.6</v>
      </c>
      <c r="K4953" t="s">
        <v>1632</v>
      </c>
      <c r="M4953" t="s">
        <v>1619</v>
      </c>
      <c r="N4953">
        <v>63.23</v>
      </c>
      <c r="O4953" s="49">
        <v>45194</v>
      </c>
      <c r="P4953" s="50">
        <v>107.82</v>
      </c>
    </row>
    <row r="4954" spans="4:16" x14ac:dyDescent="0.2">
      <c r="D4954">
        <v>100002962</v>
      </c>
      <c r="E4954" s="49">
        <v>45573</v>
      </c>
      <c r="F4954" t="s">
        <v>4593</v>
      </c>
      <c r="G4954" t="s">
        <v>1644</v>
      </c>
      <c r="H4954">
        <v>1</v>
      </c>
      <c r="I4954">
        <v>119.49</v>
      </c>
      <c r="J4954" s="50">
        <v>119.49</v>
      </c>
      <c r="K4954" t="s">
        <v>1632</v>
      </c>
      <c r="M4954" t="s">
        <v>1621</v>
      </c>
      <c r="N4954">
        <v>63.06</v>
      </c>
      <c r="O4954" s="49">
        <v>45577</v>
      </c>
      <c r="P4954" s="50">
        <v>53.770499999999998</v>
      </c>
    </row>
    <row r="4955" spans="4:16" x14ac:dyDescent="0.2">
      <c r="D4955">
        <v>100002963</v>
      </c>
      <c r="E4955" s="49">
        <v>45545</v>
      </c>
      <c r="F4955" t="s">
        <v>4204</v>
      </c>
      <c r="G4955" t="s">
        <v>2096</v>
      </c>
      <c r="H4955">
        <v>4</v>
      </c>
      <c r="I4955">
        <v>49.39</v>
      </c>
      <c r="J4955" s="50">
        <v>197.56</v>
      </c>
      <c r="K4955" t="s">
        <v>1632</v>
      </c>
      <c r="M4955" t="s">
        <v>1621</v>
      </c>
      <c r="N4955">
        <v>26.07</v>
      </c>
      <c r="O4955" s="49">
        <v>45548</v>
      </c>
      <c r="P4955" s="50">
        <v>88.902000000000001</v>
      </c>
    </row>
    <row r="4956" spans="4:16" x14ac:dyDescent="0.2">
      <c r="D4956">
        <v>100002963</v>
      </c>
      <c r="E4956" s="49">
        <v>45652</v>
      </c>
      <c r="F4956" t="s">
        <v>4204</v>
      </c>
      <c r="G4956" t="s">
        <v>2484</v>
      </c>
      <c r="H4956">
        <v>1</v>
      </c>
      <c r="I4956">
        <v>42.79</v>
      </c>
      <c r="J4956" s="50">
        <v>42.79</v>
      </c>
      <c r="K4956" t="s">
        <v>1632</v>
      </c>
      <c r="M4956" t="s">
        <v>1627</v>
      </c>
      <c r="N4956">
        <v>22.58</v>
      </c>
      <c r="O4956" s="49">
        <v>45656</v>
      </c>
      <c r="P4956" s="50">
        <v>19.255500000000001</v>
      </c>
    </row>
    <row r="4957" spans="4:16" x14ac:dyDescent="0.2">
      <c r="D4957">
        <v>100002963</v>
      </c>
      <c r="E4957" s="49">
        <v>44945</v>
      </c>
      <c r="F4957" t="s">
        <v>4204</v>
      </c>
      <c r="G4957" t="s">
        <v>1650</v>
      </c>
      <c r="H4957">
        <v>2</v>
      </c>
      <c r="I4957">
        <v>47.54</v>
      </c>
      <c r="J4957" s="50">
        <v>95.08</v>
      </c>
      <c r="K4957" t="s">
        <v>1632</v>
      </c>
      <c r="M4957" t="s">
        <v>1627</v>
      </c>
      <c r="N4957">
        <v>25.09</v>
      </c>
      <c r="O4957" s="49">
        <v>44950</v>
      </c>
      <c r="P4957" s="50">
        <v>42.786000000000001</v>
      </c>
    </row>
    <row r="4958" spans="4:16" x14ac:dyDescent="0.2">
      <c r="D4958">
        <v>100002963</v>
      </c>
      <c r="E4958" s="49">
        <v>45369</v>
      </c>
      <c r="F4958" t="s">
        <v>4204</v>
      </c>
      <c r="G4958" t="s">
        <v>1634</v>
      </c>
      <c r="H4958">
        <v>6</v>
      </c>
      <c r="I4958">
        <v>103.88</v>
      </c>
      <c r="J4958" s="50">
        <v>623.28</v>
      </c>
      <c r="K4958" t="s">
        <v>1632</v>
      </c>
      <c r="M4958" t="s">
        <v>1621</v>
      </c>
      <c r="N4958">
        <v>54.83</v>
      </c>
      <c r="O4958" s="49">
        <v>45373</v>
      </c>
      <c r="P4958" s="50">
        <v>280.476</v>
      </c>
    </row>
    <row r="4959" spans="4:16" x14ac:dyDescent="0.2">
      <c r="D4959">
        <v>100002963</v>
      </c>
      <c r="E4959" s="49">
        <v>44792</v>
      </c>
      <c r="F4959" t="s">
        <v>4204</v>
      </c>
      <c r="G4959" t="s">
        <v>1665</v>
      </c>
      <c r="H4959">
        <v>10</v>
      </c>
      <c r="I4959">
        <v>103.95</v>
      </c>
      <c r="J4959" s="50">
        <v>1039.5</v>
      </c>
      <c r="K4959" t="s">
        <v>1632</v>
      </c>
      <c r="M4959" t="s">
        <v>1619</v>
      </c>
      <c r="N4959">
        <v>54.86</v>
      </c>
      <c r="O4959" s="49">
        <v>44793</v>
      </c>
      <c r="P4959" s="50">
        <v>467.77500000000003</v>
      </c>
    </row>
    <row r="4960" spans="4:16" x14ac:dyDescent="0.2">
      <c r="D4960">
        <v>100002964</v>
      </c>
      <c r="E4960" s="49">
        <v>44784</v>
      </c>
      <c r="F4960" t="s">
        <v>3069</v>
      </c>
      <c r="G4960" t="s">
        <v>1985</v>
      </c>
      <c r="H4960">
        <v>5</v>
      </c>
      <c r="I4960">
        <v>45.2</v>
      </c>
      <c r="J4960" s="50">
        <v>226</v>
      </c>
      <c r="K4960" t="s">
        <v>1632</v>
      </c>
      <c r="M4960" t="s">
        <v>1621</v>
      </c>
      <c r="N4960">
        <v>23.86</v>
      </c>
      <c r="O4960" s="49">
        <v>44788</v>
      </c>
      <c r="P4960" s="50">
        <v>101.7</v>
      </c>
    </row>
    <row r="4961" spans="4:16" x14ac:dyDescent="0.2">
      <c r="D4961">
        <v>100002967</v>
      </c>
      <c r="E4961" s="49">
        <v>44334</v>
      </c>
      <c r="F4961" t="s">
        <v>4594</v>
      </c>
      <c r="G4961" t="s">
        <v>1789</v>
      </c>
      <c r="H4961">
        <v>6</v>
      </c>
      <c r="I4961">
        <v>79.069999999999993</v>
      </c>
      <c r="J4961" s="50">
        <v>474.42</v>
      </c>
      <c r="K4961" t="s">
        <v>1632</v>
      </c>
      <c r="M4961" t="s">
        <v>1627</v>
      </c>
      <c r="N4961">
        <v>41.73</v>
      </c>
      <c r="O4961" s="49">
        <v>44338</v>
      </c>
      <c r="P4961" s="50">
        <v>213.489</v>
      </c>
    </row>
    <row r="4962" spans="4:16" x14ac:dyDescent="0.2">
      <c r="D4962">
        <v>100002969</v>
      </c>
      <c r="E4962" s="49">
        <v>45191</v>
      </c>
      <c r="F4962" t="s">
        <v>4595</v>
      </c>
      <c r="G4962" t="s">
        <v>2202</v>
      </c>
      <c r="H4962">
        <v>3</v>
      </c>
      <c r="I4962">
        <v>82.09</v>
      </c>
      <c r="J4962" s="50">
        <v>246.27</v>
      </c>
      <c r="K4962" t="s">
        <v>1618</v>
      </c>
      <c r="M4962" t="s">
        <v>1619</v>
      </c>
      <c r="N4962">
        <v>43.32</v>
      </c>
      <c r="O4962" s="49">
        <v>45194</v>
      </c>
      <c r="P4962" s="50">
        <v>110.8215</v>
      </c>
    </row>
    <row r="4963" spans="4:16" x14ac:dyDescent="0.2">
      <c r="D4963">
        <v>100002969</v>
      </c>
      <c r="E4963" s="49">
        <v>44800</v>
      </c>
      <c r="F4963" t="s">
        <v>4595</v>
      </c>
      <c r="G4963" t="s">
        <v>2180</v>
      </c>
      <c r="H4963">
        <v>9</v>
      </c>
      <c r="I4963">
        <v>111.8</v>
      </c>
      <c r="J4963" s="50">
        <v>1006.2</v>
      </c>
      <c r="K4963" t="s">
        <v>1618</v>
      </c>
      <c r="M4963" t="s">
        <v>1624</v>
      </c>
      <c r="N4963">
        <v>59.01</v>
      </c>
      <c r="O4963" s="49">
        <v>44804</v>
      </c>
      <c r="P4963" s="50">
        <v>452.79</v>
      </c>
    </row>
    <row r="4964" spans="4:16" x14ac:dyDescent="0.2">
      <c r="D4964">
        <v>100002969</v>
      </c>
      <c r="E4964" s="49">
        <v>44600</v>
      </c>
      <c r="F4964" t="s">
        <v>4595</v>
      </c>
      <c r="G4964" t="s">
        <v>2069</v>
      </c>
      <c r="H4964">
        <v>3</v>
      </c>
      <c r="I4964">
        <v>20.13</v>
      </c>
      <c r="J4964" s="50">
        <v>60.39</v>
      </c>
      <c r="K4964" t="s">
        <v>1618</v>
      </c>
      <c r="M4964" t="s">
        <v>1621</v>
      </c>
      <c r="N4964">
        <v>10.62</v>
      </c>
      <c r="O4964" s="49">
        <v>44603</v>
      </c>
      <c r="P4964" s="50">
        <v>27.1755</v>
      </c>
    </row>
    <row r="4965" spans="4:16" x14ac:dyDescent="0.2">
      <c r="D4965">
        <v>100002969</v>
      </c>
      <c r="E4965" s="49">
        <v>45501</v>
      </c>
      <c r="F4965" t="s">
        <v>4595</v>
      </c>
      <c r="G4965" t="s">
        <v>1841</v>
      </c>
      <c r="H4965">
        <v>6</v>
      </c>
      <c r="I4965">
        <v>81.14</v>
      </c>
      <c r="J4965" s="50">
        <v>486.84</v>
      </c>
      <c r="K4965" t="s">
        <v>1618</v>
      </c>
      <c r="M4965" t="s">
        <v>1619</v>
      </c>
      <c r="N4965">
        <v>42.82</v>
      </c>
      <c r="O4965" s="49">
        <v>45503</v>
      </c>
      <c r="P4965" s="50">
        <v>219.078</v>
      </c>
    </row>
    <row r="4966" spans="4:16" x14ac:dyDescent="0.2">
      <c r="D4966">
        <v>100002970</v>
      </c>
      <c r="E4966" s="49">
        <v>45560</v>
      </c>
      <c r="F4966" t="s">
        <v>4596</v>
      </c>
      <c r="G4966" t="s">
        <v>1663</v>
      </c>
      <c r="H4966">
        <v>2</v>
      </c>
      <c r="I4966">
        <v>70.94</v>
      </c>
      <c r="J4966" s="50">
        <v>141.88</v>
      </c>
      <c r="K4966" t="s">
        <v>1632</v>
      </c>
      <c r="M4966" t="s">
        <v>1621</v>
      </c>
      <c r="N4966">
        <v>37.44</v>
      </c>
      <c r="O4966" s="49">
        <v>45564</v>
      </c>
      <c r="P4966" s="50">
        <v>63.845999999999997</v>
      </c>
    </row>
    <row r="4967" spans="4:16" x14ac:dyDescent="0.2">
      <c r="D4967">
        <v>100002970</v>
      </c>
      <c r="E4967" s="49">
        <v>45460</v>
      </c>
      <c r="F4967" t="s">
        <v>4596</v>
      </c>
      <c r="G4967" t="s">
        <v>2585</v>
      </c>
      <c r="H4967">
        <v>6</v>
      </c>
      <c r="I4967">
        <v>22.59</v>
      </c>
      <c r="J4967" s="50">
        <v>135.54</v>
      </c>
      <c r="K4967" t="s">
        <v>1632</v>
      </c>
      <c r="M4967" t="s">
        <v>1621</v>
      </c>
      <c r="N4967">
        <v>11.92</v>
      </c>
      <c r="O4967" s="49">
        <v>45461</v>
      </c>
      <c r="P4967" s="50">
        <v>60.992999999999995</v>
      </c>
    </row>
    <row r="4968" spans="4:16" x14ac:dyDescent="0.2">
      <c r="D4968">
        <v>100002970</v>
      </c>
      <c r="E4968" s="49">
        <v>44556</v>
      </c>
      <c r="F4968" t="s">
        <v>4596</v>
      </c>
      <c r="G4968" t="s">
        <v>1787</v>
      </c>
      <c r="H4968">
        <v>8</v>
      </c>
      <c r="I4968">
        <v>60.28</v>
      </c>
      <c r="J4968" s="50">
        <v>482.24</v>
      </c>
      <c r="K4968" t="s">
        <v>1632</v>
      </c>
      <c r="M4968" t="s">
        <v>1624</v>
      </c>
      <c r="N4968">
        <v>31.81</v>
      </c>
      <c r="O4968" s="49">
        <v>44561</v>
      </c>
      <c r="P4968" s="50">
        <v>217.00800000000001</v>
      </c>
    </row>
    <row r="4969" spans="4:16" x14ac:dyDescent="0.2">
      <c r="D4969">
        <v>100002971</v>
      </c>
      <c r="E4969" s="49">
        <v>44992</v>
      </c>
      <c r="F4969" t="s">
        <v>4597</v>
      </c>
      <c r="G4969" t="s">
        <v>1943</v>
      </c>
      <c r="H4969">
        <v>3</v>
      </c>
      <c r="I4969">
        <v>78.89</v>
      </c>
      <c r="J4969" s="50">
        <v>236.67</v>
      </c>
      <c r="K4969" t="s">
        <v>1618</v>
      </c>
      <c r="L4969" t="s">
        <v>1891</v>
      </c>
      <c r="M4969" t="s">
        <v>1627</v>
      </c>
      <c r="N4969">
        <v>41.64</v>
      </c>
      <c r="O4969" s="49">
        <v>44996</v>
      </c>
      <c r="P4969" s="50">
        <v>106.50149999999999</v>
      </c>
    </row>
    <row r="4970" spans="4:16" x14ac:dyDescent="0.2">
      <c r="D4970">
        <v>100002972</v>
      </c>
      <c r="E4970" s="49">
        <v>44382</v>
      </c>
      <c r="F4970" t="s">
        <v>4598</v>
      </c>
      <c r="G4970" t="s">
        <v>1740</v>
      </c>
      <c r="H4970">
        <v>9</v>
      </c>
      <c r="I4970">
        <v>36.54</v>
      </c>
      <c r="J4970" s="50">
        <v>328.86</v>
      </c>
      <c r="K4970" t="s">
        <v>1618</v>
      </c>
      <c r="M4970" t="s">
        <v>1621</v>
      </c>
      <c r="N4970">
        <v>19.28</v>
      </c>
      <c r="O4970" s="49">
        <v>44385</v>
      </c>
      <c r="P4970" s="50">
        <v>147.98700000000002</v>
      </c>
    </row>
    <row r="4971" spans="4:16" x14ac:dyDescent="0.2">
      <c r="D4971">
        <v>100002973</v>
      </c>
      <c r="E4971" s="49">
        <v>44955</v>
      </c>
      <c r="F4971" t="s">
        <v>4599</v>
      </c>
      <c r="G4971" t="s">
        <v>2278</v>
      </c>
      <c r="H4971">
        <v>1</v>
      </c>
      <c r="I4971">
        <v>37.19</v>
      </c>
      <c r="J4971" s="50">
        <v>37.19</v>
      </c>
      <c r="K4971" t="s">
        <v>1618</v>
      </c>
      <c r="M4971" t="s">
        <v>1624</v>
      </c>
      <c r="N4971">
        <v>19.63</v>
      </c>
      <c r="O4971" s="49">
        <v>44958</v>
      </c>
      <c r="P4971" s="50">
        <v>16.735499999999998</v>
      </c>
    </row>
    <row r="4972" spans="4:16" x14ac:dyDescent="0.2">
      <c r="D4972">
        <v>100002974</v>
      </c>
      <c r="E4972" s="49">
        <v>45414</v>
      </c>
      <c r="F4972" t="s">
        <v>4600</v>
      </c>
      <c r="G4972" t="s">
        <v>1688</v>
      </c>
      <c r="H4972">
        <v>8</v>
      </c>
      <c r="I4972">
        <v>65.11</v>
      </c>
      <c r="J4972" s="50">
        <v>520.88</v>
      </c>
      <c r="K4972" t="s">
        <v>1632</v>
      </c>
      <c r="M4972" t="s">
        <v>1629</v>
      </c>
      <c r="N4972">
        <v>34.36</v>
      </c>
      <c r="O4972" s="49">
        <v>45419</v>
      </c>
      <c r="P4972" s="50">
        <v>234.39600000000002</v>
      </c>
    </row>
    <row r="4973" spans="4:16" x14ac:dyDescent="0.2">
      <c r="D4973">
        <v>100002975</v>
      </c>
      <c r="E4973" s="49">
        <v>44292</v>
      </c>
      <c r="F4973" t="s">
        <v>4601</v>
      </c>
      <c r="G4973" t="s">
        <v>1775</v>
      </c>
      <c r="H4973">
        <v>7</v>
      </c>
      <c r="I4973">
        <v>66.2</v>
      </c>
      <c r="J4973" s="50">
        <v>463.4</v>
      </c>
      <c r="K4973" t="s">
        <v>1618</v>
      </c>
      <c r="M4973" t="s">
        <v>1621</v>
      </c>
      <c r="N4973">
        <v>34.94</v>
      </c>
      <c r="O4973" s="49">
        <v>44294</v>
      </c>
      <c r="P4973" s="50">
        <v>208.53</v>
      </c>
    </row>
    <row r="4974" spans="4:16" x14ac:dyDescent="0.2">
      <c r="D4974">
        <v>100002975</v>
      </c>
      <c r="E4974" s="49">
        <v>44197</v>
      </c>
      <c r="F4974" t="s">
        <v>4601</v>
      </c>
      <c r="G4974" t="s">
        <v>2427</v>
      </c>
      <c r="H4974">
        <v>5</v>
      </c>
      <c r="I4974">
        <v>29.02</v>
      </c>
      <c r="J4974" s="50">
        <v>145.1</v>
      </c>
      <c r="K4974" t="s">
        <v>1618</v>
      </c>
      <c r="M4974" t="s">
        <v>1629</v>
      </c>
      <c r="N4974">
        <v>15.32</v>
      </c>
      <c r="O4974" s="49">
        <v>44199</v>
      </c>
      <c r="P4974" s="50">
        <v>65.295000000000002</v>
      </c>
    </row>
    <row r="4975" spans="4:16" x14ac:dyDescent="0.2">
      <c r="D4975">
        <v>100002976</v>
      </c>
      <c r="E4975" s="49">
        <v>45503</v>
      </c>
      <c r="F4975" t="s">
        <v>4602</v>
      </c>
      <c r="G4975" t="s">
        <v>1639</v>
      </c>
      <c r="H4975">
        <v>10</v>
      </c>
      <c r="I4975">
        <v>113.51</v>
      </c>
      <c r="J4975" s="50">
        <v>1135.0999999999999</v>
      </c>
      <c r="K4975" t="s">
        <v>1618</v>
      </c>
      <c r="L4975" t="s">
        <v>1996</v>
      </c>
      <c r="M4975" t="s">
        <v>1621</v>
      </c>
      <c r="N4975">
        <v>59.91</v>
      </c>
      <c r="O4975" s="49">
        <v>45507</v>
      </c>
      <c r="P4975" s="50">
        <v>510.79499999999996</v>
      </c>
    </row>
    <row r="4976" spans="4:16" x14ac:dyDescent="0.2">
      <c r="D4976">
        <v>100002976</v>
      </c>
      <c r="E4976" s="49">
        <v>45031</v>
      </c>
      <c r="F4976" t="s">
        <v>4602</v>
      </c>
      <c r="G4976" t="s">
        <v>2393</v>
      </c>
      <c r="H4976">
        <v>7</v>
      </c>
      <c r="I4976">
        <v>105.11</v>
      </c>
      <c r="J4976" s="50">
        <v>735.77</v>
      </c>
      <c r="K4976" t="s">
        <v>1618</v>
      </c>
      <c r="L4976" t="s">
        <v>1996</v>
      </c>
      <c r="M4976" t="s">
        <v>1627</v>
      </c>
      <c r="N4976">
        <v>55.47</v>
      </c>
      <c r="O4976" s="49">
        <v>45034</v>
      </c>
      <c r="P4976" s="50">
        <v>331.09649999999999</v>
      </c>
    </row>
    <row r="4977" spans="4:16" x14ac:dyDescent="0.2">
      <c r="D4977">
        <v>100002977</v>
      </c>
      <c r="E4977" s="49">
        <v>45121</v>
      </c>
      <c r="F4977" t="s">
        <v>4603</v>
      </c>
      <c r="G4977" t="s">
        <v>1758</v>
      </c>
      <c r="H4977">
        <v>10</v>
      </c>
      <c r="I4977">
        <v>116.66</v>
      </c>
      <c r="J4977" s="50">
        <v>1166.5999999999999</v>
      </c>
      <c r="K4977" t="s">
        <v>1632</v>
      </c>
      <c r="M4977" t="s">
        <v>1621</v>
      </c>
      <c r="N4977">
        <v>61.57</v>
      </c>
      <c r="O4977" s="49">
        <v>45123</v>
      </c>
      <c r="P4977" s="50">
        <v>524.97</v>
      </c>
    </row>
    <row r="4978" spans="4:16" x14ac:dyDescent="0.2">
      <c r="D4978">
        <v>100002977</v>
      </c>
      <c r="E4978" s="49">
        <v>44621</v>
      </c>
      <c r="F4978" t="s">
        <v>4603</v>
      </c>
      <c r="G4978" t="s">
        <v>1781</v>
      </c>
      <c r="H4978">
        <v>1</v>
      </c>
      <c r="I4978">
        <v>97.18</v>
      </c>
      <c r="J4978" s="50">
        <v>97.18</v>
      </c>
      <c r="K4978" t="s">
        <v>1632</v>
      </c>
      <c r="M4978" t="s">
        <v>1627</v>
      </c>
      <c r="N4978">
        <v>51.29</v>
      </c>
      <c r="O4978" s="49">
        <v>44625</v>
      </c>
      <c r="P4978" s="50">
        <v>43.731000000000002</v>
      </c>
    </row>
    <row r="4979" spans="4:16" x14ac:dyDescent="0.2">
      <c r="D4979">
        <v>100002977</v>
      </c>
      <c r="E4979" s="49">
        <v>45583</v>
      </c>
      <c r="F4979" t="s">
        <v>4603</v>
      </c>
      <c r="G4979" t="s">
        <v>2628</v>
      </c>
      <c r="H4979">
        <v>9</v>
      </c>
      <c r="I4979">
        <v>30.94</v>
      </c>
      <c r="J4979" s="50">
        <v>278.45999999999998</v>
      </c>
      <c r="K4979" t="s">
        <v>1632</v>
      </c>
      <c r="M4979" t="s">
        <v>1627</v>
      </c>
      <c r="N4979">
        <v>16.329999999999998</v>
      </c>
      <c r="O4979" s="49">
        <v>45587</v>
      </c>
      <c r="P4979" s="50">
        <v>125.30699999999999</v>
      </c>
    </row>
    <row r="4980" spans="4:16" x14ac:dyDescent="0.2">
      <c r="D4980">
        <v>100002977</v>
      </c>
      <c r="E4980" s="49">
        <v>44545</v>
      </c>
      <c r="F4980" t="s">
        <v>4603</v>
      </c>
      <c r="G4980" t="s">
        <v>2514</v>
      </c>
      <c r="H4980">
        <v>7</v>
      </c>
      <c r="I4980">
        <v>46.78</v>
      </c>
      <c r="J4980" s="50">
        <v>327.45999999999998</v>
      </c>
      <c r="K4980" t="s">
        <v>1632</v>
      </c>
      <c r="M4980" t="s">
        <v>1627</v>
      </c>
      <c r="N4980">
        <v>24.69</v>
      </c>
      <c r="O4980" s="49">
        <v>44550</v>
      </c>
      <c r="P4980" s="50">
        <v>147.357</v>
      </c>
    </row>
    <row r="4981" spans="4:16" x14ac:dyDescent="0.2">
      <c r="D4981">
        <v>100002977</v>
      </c>
      <c r="E4981" s="49">
        <v>44869</v>
      </c>
      <c r="F4981" t="s">
        <v>4603</v>
      </c>
      <c r="G4981" t="s">
        <v>2159</v>
      </c>
      <c r="H4981">
        <v>7</v>
      </c>
      <c r="I4981">
        <v>113.46</v>
      </c>
      <c r="J4981" s="50">
        <v>794.21999999999991</v>
      </c>
      <c r="K4981" t="s">
        <v>1632</v>
      </c>
      <c r="M4981" t="s">
        <v>1627</v>
      </c>
      <c r="N4981">
        <v>59.88</v>
      </c>
      <c r="O4981" s="49">
        <v>44873</v>
      </c>
      <c r="P4981" s="50">
        <v>357.39899999999994</v>
      </c>
    </row>
    <row r="4982" spans="4:16" x14ac:dyDescent="0.2">
      <c r="D4982">
        <v>100002977</v>
      </c>
      <c r="E4982" s="49">
        <v>44481</v>
      </c>
      <c r="F4982" t="s">
        <v>4603</v>
      </c>
      <c r="G4982" t="s">
        <v>2086</v>
      </c>
      <c r="H4982">
        <v>6</v>
      </c>
      <c r="I4982">
        <v>87.79</v>
      </c>
      <c r="J4982" s="50">
        <v>526.74</v>
      </c>
      <c r="K4982" t="s">
        <v>1632</v>
      </c>
      <c r="M4982" t="s">
        <v>1619</v>
      </c>
      <c r="N4982">
        <v>46.33</v>
      </c>
      <c r="O4982" s="49">
        <v>44483</v>
      </c>
      <c r="P4982" s="50">
        <v>237.03300000000002</v>
      </c>
    </row>
    <row r="4983" spans="4:16" x14ac:dyDescent="0.2">
      <c r="D4983">
        <v>100002977</v>
      </c>
      <c r="E4983" s="49">
        <v>45186</v>
      </c>
      <c r="F4983" t="s">
        <v>4603</v>
      </c>
      <c r="G4983" t="s">
        <v>2147</v>
      </c>
      <c r="H4983">
        <v>6</v>
      </c>
      <c r="I4983">
        <v>82.48</v>
      </c>
      <c r="J4983" s="50">
        <v>494.88</v>
      </c>
      <c r="K4983" t="s">
        <v>1632</v>
      </c>
      <c r="M4983" t="s">
        <v>1624</v>
      </c>
      <c r="N4983">
        <v>43.53</v>
      </c>
      <c r="O4983" s="49">
        <v>45188</v>
      </c>
      <c r="P4983" s="50">
        <v>222.696</v>
      </c>
    </row>
    <row r="4984" spans="4:16" x14ac:dyDescent="0.2">
      <c r="D4984">
        <v>100002979</v>
      </c>
      <c r="E4984" s="49">
        <v>45589</v>
      </c>
      <c r="F4984" t="s">
        <v>4604</v>
      </c>
      <c r="G4984" t="s">
        <v>2155</v>
      </c>
      <c r="H4984">
        <v>9</v>
      </c>
      <c r="I4984">
        <v>66.41</v>
      </c>
      <c r="J4984" s="50">
        <v>597.68999999999994</v>
      </c>
      <c r="K4984" t="s">
        <v>1618</v>
      </c>
      <c r="M4984" t="s">
        <v>1619</v>
      </c>
      <c r="N4984">
        <v>35.049999999999997</v>
      </c>
      <c r="O4984" s="49">
        <v>45594</v>
      </c>
      <c r="P4984" s="50">
        <v>268.96049999999997</v>
      </c>
    </row>
    <row r="4985" spans="4:16" x14ac:dyDescent="0.2">
      <c r="D4985">
        <v>100002980</v>
      </c>
      <c r="E4985" s="49">
        <v>44850</v>
      </c>
      <c r="F4985" t="s">
        <v>4605</v>
      </c>
      <c r="G4985" t="s">
        <v>1765</v>
      </c>
      <c r="H4985">
        <v>3</v>
      </c>
      <c r="I4985">
        <v>32.630000000000003</v>
      </c>
      <c r="J4985" s="50">
        <v>97.890000000000015</v>
      </c>
      <c r="K4985" t="s">
        <v>1632</v>
      </c>
      <c r="M4985" t="s">
        <v>1621</v>
      </c>
      <c r="N4985">
        <v>17.22</v>
      </c>
      <c r="O4985" s="49">
        <v>44854</v>
      </c>
      <c r="P4985" s="50">
        <v>44.050500000000007</v>
      </c>
    </row>
    <row r="4986" spans="4:16" x14ac:dyDescent="0.2">
      <c r="D4986">
        <v>100002981</v>
      </c>
      <c r="E4986" s="49">
        <v>45131</v>
      </c>
      <c r="F4986" t="s">
        <v>4606</v>
      </c>
      <c r="G4986" t="s">
        <v>2180</v>
      </c>
      <c r="H4986">
        <v>2</v>
      </c>
      <c r="I4986">
        <v>104.55</v>
      </c>
      <c r="J4986" s="50">
        <v>209.1</v>
      </c>
      <c r="K4986" t="s">
        <v>1618</v>
      </c>
      <c r="M4986" t="s">
        <v>1629</v>
      </c>
      <c r="N4986">
        <v>55.18</v>
      </c>
      <c r="O4986" s="49">
        <v>45134</v>
      </c>
      <c r="P4986" s="50">
        <v>94.094999999999999</v>
      </c>
    </row>
    <row r="4987" spans="4:16" x14ac:dyDescent="0.2">
      <c r="D4987">
        <v>100002982</v>
      </c>
      <c r="E4987" s="49">
        <v>45259</v>
      </c>
      <c r="F4987" t="s">
        <v>4607</v>
      </c>
      <c r="G4987" t="s">
        <v>3135</v>
      </c>
      <c r="H4987">
        <v>6</v>
      </c>
      <c r="I4987">
        <v>51.26</v>
      </c>
      <c r="J4987" s="50">
        <v>307.56</v>
      </c>
      <c r="K4987" t="s">
        <v>1618</v>
      </c>
      <c r="M4987" t="s">
        <v>1627</v>
      </c>
      <c r="N4987">
        <v>27.05</v>
      </c>
      <c r="O4987" s="49">
        <v>45261</v>
      </c>
      <c r="P4987" s="50">
        <v>138.40200000000002</v>
      </c>
    </row>
    <row r="4988" spans="4:16" x14ac:dyDescent="0.2">
      <c r="D4988">
        <v>100002982</v>
      </c>
      <c r="E4988" s="49">
        <v>44623</v>
      </c>
      <c r="F4988" t="s">
        <v>4607</v>
      </c>
      <c r="G4988" t="s">
        <v>1976</v>
      </c>
      <c r="H4988">
        <v>1</v>
      </c>
      <c r="I4988">
        <v>90.28</v>
      </c>
      <c r="J4988" s="50">
        <v>90.28</v>
      </c>
      <c r="K4988" t="s">
        <v>1618</v>
      </c>
      <c r="M4988" t="s">
        <v>1629</v>
      </c>
      <c r="N4988">
        <v>47.65</v>
      </c>
      <c r="O4988" s="49">
        <v>44628</v>
      </c>
      <c r="P4988" s="50">
        <v>40.626000000000005</v>
      </c>
    </row>
    <row r="4989" spans="4:16" x14ac:dyDescent="0.2">
      <c r="D4989">
        <v>100002982</v>
      </c>
      <c r="E4989" s="49">
        <v>44938</v>
      </c>
      <c r="F4989" t="s">
        <v>4607</v>
      </c>
      <c r="G4989" t="s">
        <v>2603</v>
      </c>
      <c r="H4989">
        <v>1</v>
      </c>
      <c r="I4989">
        <v>90.16</v>
      </c>
      <c r="J4989" s="50">
        <v>90.16</v>
      </c>
      <c r="K4989" t="s">
        <v>1618</v>
      </c>
      <c r="M4989" t="s">
        <v>1621</v>
      </c>
      <c r="N4989">
        <v>47.58</v>
      </c>
      <c r="O4989" s="49">
        <v>44940</v>
      </c>
      <c r="P4989" s="50">
        <v>40.572000000000003</v>
      </c>
    </row>
    <row r="4990" spans="4:16" x14ac:dyDescent="0.2">
      <c r="D4990">
        <v>100002982</v>
      </c>
      <c r="E4990" s="49">
        <v>45117</v>
      </c>
      <c r="F4990" t="s">
        <v>4607</v>
      </c>
      <c r="G4990" t="s">
        <v>1877</v>
      </c>
      <c r="H4990">
        <v>6</v>
      </c>
      <c r="I4990">
        <v>87.71</v>
      </c>
      <c r="J4990" s="50">
        <v>526.26</v>
      </c>
      <c r="K4990" t="s">
        <v>1618</v>
      </c>
      <c r="M4990" t="s">
        <v>1624</v>
      </c>
      <c r="N4990">
        <v>46.29</v>
      </c>
      <c r="O4990" s="49">
        <v>45118</v>
      </c>
      <c r="P4990" s="50">
        <v>236.81700000000001</v>
      </c>
    </row>
    <row r="4991" spans="4:16" x14ac:dyDescent="0.2">
      <c r="D4991">
        <v>100002983</v>
      </c>
      <c r="E4991" s="49">
        <v>45299</v>
      </c>
      <c r="F4991" t="s">
        <v>4608</v>
      </c>
      <c r="G4991" t="s">
        <v>1702</v>
      </c>
      <c r="H4991">
        <v>8</v>
      </c>
      <c r="I4991">
        <v>49.12</v>
      </c>
      <c r="J4991" s="50">
        <v>392.96</v>
      </c>
      <c r="K4991" t="s">
        <v>1618</v>
      </c>
      <c r="M4991" t="s">
        <v>1627</v>
      </c>
      <c r="N4991">
        <v>25.92</v>
      </c>
      <c r="O4991" s="49">
        <v>45303</v>
      </c>
      <c r="P4991" s="50">
        <v>176.83199999999999</v>
      </c>
    </row>
    <row r="4992" spans="4:16" x14ac:dyDescent="0.2">
      <c r="D4992">
        <v>100002983</v>
      </c>
      <c r="E4992" s="49">
        <v>45370</v>
      </c>
      <c r="F4992" t="s">
        <v>4608</v>
      </c>
      <c r="G4992" t="s">
        <v>1712</v>
      </c>
      <c r="H4992">
        <v>2</v>
      </c>
      <c r="I4992">
        <v>52.89</v>
      </c>
      <c r="J4992" s="50">
        <v>105.78</v>
      </c>
      <c r="K4992" t="s">
        <v>1618</v>
      </c>
      <c r="M4992" t="s">
        <v>1619</v>
      </c>
      <c r="N4992">
        <v>27.91</v>
      </c>
      <c r="O4992" s="49">
        <v>45371</v>
      </c>
      <c r="P4992" s="50">
        <v>47.600999999999999</v>
      </c>
    </row>
    <row r="4993" spans="4:16" x14ac:dyDescent="0.2">
      <c r="D4993">
        <v>100002983</v>
      </c>
      <c r="E4993" s="49">
        <v>45096</v>
      </c>
      <c r="F4993" t="s">
        <v>4608</v>
      </c>
      <c r="G4993" t="s">
        <v>2390</v>
      </c>
      <c r="H4993">
        <v>2</v>
      </c>
      <c r="I4993">
        <v>75.150000000000006</v>
      </c>
      <c r="J4993" s="50">
        <v>150.30000000000001</v>
      </c>
      <c r="K4993" t="s">
        <v>1618</v>
      </c>
      <c r="M4993" t="s">
        <v>1624</v>
      </c>
      <c r="N4993">
        <v>39.659999999999997</v>
      </c>
      <c r="O4993" s="49">
        <v>45100</v>
      </c>
      <c r="P4993" s="50">
        <v>67.635000000000005</v>
      </c>
    </row>
    <row r="4994" spans="4:16" x14ac:dyDescent="0.2">
      <c r="D4994">
        <v>100002984</v>
      </c>
      <c r="E4994" s="49">
        <v>45021</v>
      </c>
      <c r="F4994" t="s">
        <v>4609</v>
      </c>
      <c r="G4994" t="s">
        <v>1937</v>
      </c>
      <c r="H4994">
        <v>4</v>
      </c>
      <c r="I4994">
        <v>14.37</v>
      </c>
      <c r="J4994" s="50">
        <v>57.48</v>
      </c>
      <c r="K4994" t="s">
        <v>1632</v>
      </c>
      <c r="M4994" t="s">
        <v>1621</v>
      </c>
      <c r="N4994">
        <v>7.58</v>
      </c>
      <c r="O4994" s="49">
        <v>45022</v>
      </c>
      <c r="P4994" s="50">
        <v>25.866</v>
      </c>
    </row>
    <row r="4995" spans="4:16" x14ac:dyDescent="0.2">
      <c r="D4995">
        <v>100002984</v>
      </c>
      <c r="E4995" s="49">
        <v>44422</v>
      </c>
      <c r="F4995" t="s">
        <v>4609</v>
      </c>
      <c r="G4995" t="s">
        <v>2416</v>
      </c>
      <c r="H4995">
        <v>4</v>
      </c>
      <c r="I4995">
        <v>114.35</v>
      </c>
      <c r="J4995" s="50">
        <v>457.4</v>
      </c>
      <c r="K4995" t="s">
        <v>1632</v>
      </c>
      <c r="M4995" t="s">
        <v>1619</v>
      </c>
      <c r="N4995">
        <v>60.35</v>
      </c>
      <c r="O4995" s="49">
        <v>44424</v>
      </c>
      <c r="P4995" s="50">
        <v>205.82999999999998</v>
      </c>
    </row>
    <row r="4996" spans="4:16" x14ac:dyDescent="0.2">
      <c r="D4996">
        <v>100002986</v>
      </c>
      <c r="E4996" s="49">
        <v>45427</v>
      </c>
      <c r="F4996" t="s">
        <v>4610</v>
      </c>
      <c r="G4996" t="s">
        <v>2016</v>
      </c>
      <c r="H4996">
        <v>3</v>
      </c>
      <c r="I4996">
        <v>48.4</v>
      </c>
      <c r="J4996" s="50">
        <v>145.19999999999999</v>
      </c>
      <c r="K4996" t="s">
        <v>1618</v>
      </c>
      <c r="M4996" t="s">
        <v>1621</v>
      </c>
      <c r="N4996">
        <v>25.54</v>
      </c>
      <c r="O4996" s="49">
        <v>45428</v>
      </c>
      <c r="P4996" s="50">
        <v>65.34</v>
      </c>
    </row>
    <row r="4997" spans="4:16" x14ac:dyDescent="0.2">
      <c r="D4997">
        <v>100002986</v>
      </c>
      <c r="E4997" s="49">
        <v>45457</v>
      </c>
      <c r="F4997" t="s">
        <v>4610</v>
      </c>
      <c r="G4997" t="s">
        <v>1645</v>
      </c>
      <c r="H4997">
        <v>10</v>
      </c>
      <c r="I4997">
        <v>94.94</v>
      </c>
      <c r="J4997" s="50">
        <v>949.4</v>
      </c>
      <c r="K4997" t="s">
        <v>1618</v>
      </c>
      <c r="M4997" t="s">
        <v>1629</v>
      </c>
      <c r="N4997">
        <v>50.11</v>
      </c>
      <c r="O4997" s="49">
        <v>45462</v>
      </c>
      <c r="P4997" s="50">
        <v>427.23</v>
      </c>
    </row>
    <row r="4998" spans="4:16" x14ac:dyDescent="0.2">
      <c r="D4998">
        <v>100002988</v>
      </c>
      <c r="E4998" s="49">
        <v>44643</v>
      </c>
      <c r="F4998" t="s">
        <v>4326</v>
      </c>
      <c r="G4998" t="s">
        <v>1838</v>
      </c>
      <c r="H4998">
        <v>10</v>
      </c>
      <c r="I4998">
        <v>19.22</v>
      </c>
      <c r="J4998" s="50">
        <v>192.2</v>
      </c>
      <c r="K4998" t="s">
        <v>1632</v>
      </c>
      <c r="L4998" t="s">
        <v>1871</v>
      </c>
      <c r="M4998" t="s">
        <v>1619</v>
      </c>
      <c r="N4998">
        <v>10.14</v>
      </c>
      <c r="O4998" s="49">
        <v>44644</v>
      </c>
      <c r="P4998" s="50">
        <v>86.49</v>
      </c>
    </row>
    <row r="4999" spans="4:16" x14ac:dyDescent="0.2">
      <c r="D4999">
        <v>100002989</v>
      </c>
      <c r="E4999" s="49">
        <v>45453</v>
      </c>
      <c r="F4999" t="s">
        <v>4611</v>
      </c>
      <c r="G4999" t="s">
        <v>2130</v>
      </c>
      <c r="H4999">
        <v>2</v>
      </c>
      <c r="I4999">
        <v>110.9</v>
      </c>
      <c r="J4999" s="50">
        <v>221.8</v>
      </c>
      <c r="K4999" t="s">
        <v>1618</v>
      </c>
      <c r="M4999" t="s">
        <v>1624</v>
      </c>
      <c r="N4999">
        <v>58.53</v>
      </c>
      <c r="O4999" s="49">
        <v>45458</v>
      </c>
      <c r="P4999" s="50">
        <v>99.81</v>
      </c>
    </row>
    <row r="5000" spans="4:16" x14ac:dyDescent="0.2">
      <c r="D5000">
        <v>100002989</v>
      </c>
      <c r="E5000" s="49">
        <v>44491</v>
      </c>
      <c r="F5000" t="s">
        <v>4611</v>
      </c>
      <c r="G5000" t="s">
        <v>2344</v>
      </c>
      <c r="H5000">
        <v>3</v>
      </c>
      <c r="I5000">
        <v>92.03</v>
      </c>
      <c r="J5000" s="50">
        <v>276.08999999999997</v>
      </c>
      <c r="K5000" t="s">
        <v>1618</v>
      </c>
      <c r="M5000" t="s">
        <v>1624</v>
      </c>
      <c r="N5000">
        <v>48.57</v>
      </c>
      <c r="O5000" s="49">
        <v>44496</v>
      </c>
      <c r="P5000" s="50">
        <v>124.2405</v>
      </c>
    </row>
    <row r="5001" spans="4:16" x14ac:dyDescent="0.2">
      <c r="D5001">
        <v>100002989</v>
      </c>
      <c r="E5001" s="49">
        <v>45348</v>
      </c>
      <c r="F5001" t="s">
        <v>4611</v>
      </c>
      <c r="G5001" t="s">
        <v>1967</v>
      </c>
      <c r="H5001">
        <v>3</v>
      </c>
      <c r="I5001">
        <v>57.92</v>
      </c>
      <c r="J5001" s="50">
        <v>173.76</v>
      </c>
      <c r="K5001" t="s">
        <v>1618</v>
      </c>
      <c r="M5001" t="s">
        <v>1619</v>
      </c>
      <c r="N5001">
        <v>30.57</v>
      </c>
      <c r="O5001" s="49">
        <v>45349</v>
      </c>
      <c r="P5001" s="50">
        <v>78.191999999999993</v>
      </c>
    </row>
    <row r="5002" spans="4:16" x14ac:dyDescent="0.2">
      <c r="D5002">
        <v>100002989</v>
      </c>
      <c r="E5002" s="49">
        <v>45482</v>
      </c>
      <c r="F5002" t="s">
        <v>4611</v>
      </c>
      <c r="G5002" t="s">
        <v>1760</v>
      </c>
      <c r="H5002">
        <v>2</v>
      </c>
      <c r="I5002">
        <v>108.51</v>
      </c>
      <c r="J5002" s="50">
        <v>217.02</v>
      </c>
      <c r="K5002" t="s">
        <v>1618</v>
      </c>
      <c r="M5002" t="s">
        <v>1629</v>
      </c>
      <c r="N5002">
        <v>57.27</v>
      </c>
      <c r="O5002" s="49">
        <v>45487</v>
      </c>
      <c r="P5002" s="50">
        <v>97.659000000000006</v>
      </c>
    </row>
    <row r="5003" spans="4:16" x14ac:dyDescent="0.2">
      <c r="D5003">
        <v>100002990</v>
      </c>
      <c r="E5003" s="49">
        <v>45239</v>
      </c>
      <c r="F5003" t="s">
        <v>3755</v>
      </c>
      <c r="G5003" t="s">
        <v>1754</v>
      </c>
      <c r="H5003">
        <v>4</v>
      </c>
      <c r="I5003">
        <v>106.7</v>
      </c>
      <c r="J5003" s="50">
        <v>426.8</v>
      </c>
      <c r="K5003" t="s">
        <v>1618</v>
      </c>
      <c r="M5003" t="s">
        <v>1621</v>
      </c>
      <c r="N5003">
        <v>56.31</v>
      </c>
      <c r="O5003" s="49">
        <v>45241</v>
      </c>
      <c r="P5003" s="50">
        <v>192.06</v>
      </c>
    </row>
    <row r="5004" spans="4:16" x14ac:dyDescent="0.2">
      <c r="D5004">
        <v>100002990</v>
      </c>
      <c r="E5004" s="49">
        <v>44367</v>
      </c>
      <c r="F5004" t="s">
        <v>3755</v>
      </c>
      <c r="G5004" t="s">
        <v>2745</v>
      </c>
      <c r="H5004">
        <v>6</v>
      </c>
      <c r="I5004">
        <v>83.83</v>
      </c>
      <c r="J5004" s="50">
        <v>502.98</v>
      </c>
      <c r="K5004" t="s">
        <v>1618</v>
      </c>
      <c r="M5004" t="s">
        <v>1627</v>
      </c>
      <c r="N5004">
        <v>44.24</v>
      </c>
      <c r="O5004" s="49">
        <v>44370</v>
      </c>
      <c r="P5004" s="50">
        <v>226.34100000000001</v>
      </c>
    </row>
    <row r="5005" spans="4:16" x14ac:dyDescent="0.2">
      <c r="D5005">
        <v>100002990</v>
      </c>
      <c r="E5005" s="49">
        <v>44233</v>
      </c>
      <c r="F5005" t="s">
        <v>3755</v>
      </c>
      <c r="G5005" t="s">
        <v>2191</v>
      </c>
      <c r="H5005">
        <v>4</v>
      </c>
      <c r="I5005">
        <v>110.57</v>
      </c>
      <c r="J5005" s="50">
        <v>442.28</v>
      </c>
      <c r="K5005" t="s">
        <v>1618</v>
      </c>
      <c r="M5005" t="s">
        <v>1627</v>
      </c>
      <c r="N5005">
        <v>58.36</v>
      </c>
      <c r="O5005" s="49">
        <v>44234</v>
      </c>
      <c r="P5005" s="50">
        <v>199.02599999999998</v>
      </c>
    </row>
    <row r="5006" spans="4:16" x14ac:dyDescent="0.2">
      <c r="D5006">
        <v>100002990</v>
      </c>
      <c r="E5006" s="49">
        <v>45374</v>
      </c>
      <c r="F5006" t="s">
        <v>3755</v>
      </c>
      <c r="G5006" t="s">
        <v>2005</v>
      </c>
      <c r="H5006">
        <v>10</v>
      </c>
      <c r="I5006">
        <v>28.65</v>
      </c>
      <c r="J5006" s="50">
        <v>286.5</v>
      </c>
      <c r="K5006" t="s">
        <v>1618</v>
      </c>
      <c r="M5006" t="s">
        <v>1627</v>
      </c>
      <c r="N5006">
        <v>15.12</v>
      </c>
      <c r="O5006" s="49">
        <v>45379</v>
      </c>
      <c r="P5006" s="50">
        <v>128.92500000000001</v>
      </c>
    </row>
    <row r="5007" spans="4:16" x14ac:dyDescent="0.2">
      <c r="D5007">
        <v>100002990</v>
      </c>
      <c r="E5007" s="49">
        <v>44476</v>
      </c>
      <c r="F5007" t="s">
        <v>3755</v>
      </c>
      <c r="G5007" t="s">
        <v>1924</v>
      </c>
      <c r="H5007">
        <v>1</v>
      </c>
      <c r="I5007">
        <v>74.319999999999993</v>
      </c>
      <c r="J5007" s="50">
        <v>74.319999999999993</v>
      </c>
      <c r="K5007" t="s">
        <v>1618</v>
      </c>
      <c r="M5007" t="s">
        <v>1621</v>
      </c>
      <c r="N5007">
        <v>39.22</v>
      </c>
      <c r="O5007" s="49">
        <v>44477</v>
      </c>
      <c r="P5007" s="50">
        <v>33.443999999999996</v>
      </c>
    </row>
    <row r="5008" spans="4:16" x14ac:dyDescent="0.2">
      <c r="D5008">
        <v>100002990</v>
      </c>
      <c r="E5008" s="49">
        <v>44525</v>
      </c>
      <c r="F5008" t="s">
        <v>3755</v>
      </c>
      <c r="G5008" t="s">
        <v>1691</v>
      </c>
      <c r="H5008">
        <v>9</v>
      </c>
      <c r="I5008">
        <v>22.23</v>
      </c>
      <c r="J5008" s="50">
        <v>200.07</v>
      </c>
      <c r="K5008" t="s">
        <v>1618</v>
      </c>
      <c r="M5008" t="s">
        <v>1627</v>
      </c>
      <c r="N5008">
        <v>11.73</v>
      </c>
      <c r="O5008" s="49">
        <v>44528</v>
      </c>
      <c r="P5008" s="50">
        <v>90.031499999999994</v>
      </c>
    </row>
    <row r="5009" spans="4:16" x14ac:dyDescent="0.2">
      <c r="D5009">
        <v>100002992</v>
      </c>
      <c r="E5009" s="49">
        <v>44873</v>
      </c>
      <c r="F5009" t="s">
        <v>4612</v>
      </c>
      <c r="G5009" t="s">
        <v>2302</v>
      </c>
      <c r="H5009">
        <v>5</v>
      </c>
      <c r="I5009">
        <v>48.47</v>
      </c>
      <c r="J5009" s="50">
        <v>242.35</v>
      </c>
      <c r="K5009" t="s">
        <v>1618</v>
      </c>
      <c r="M5009" t="s">
        <v>1624</v>
      </c>
      <c r="N5009">
        <v>25.58</v>
      </c>
      <c r="O5009" s="49">
        <v>44877</v>
      </c>
      <c r="P5009" s="50">
        <v>109.0575</v>
      </c>
    </row>
    <row r="5010" spans="4:16" x14ac:dyDescent="0.2">
      <c r="D5010">
        <v>100002994</v>
      </c>
      <c r="E5010" s="49">
        <v>45300</v>
      </c>
      <c r="F5010" t="s">
        <v>4613</v>
      </c>
      <c r="G5010" t="s">
        <v>2125</v>
      </c>
      <c r="H5010">
        <v>10</v>
      </c>
      <c r="I5010">
        <v>55.89</v>
      </c>
      <c r="J5010" s="50">
        <v>558.9</v>
      </c>
      <c r="K5010" t="s">
        <v>1632</v>
      </c>
      <c r="M5010" t="s">
        <v>1619</v>
      </c>
      <c r="N5010">
        <v>29.5</v>
      </c>
      <c r="O5010" s="49">
        <v>45303</v>
      </c>
      <c r="P5010" s="50">
        <v>251.505</v>
      </c>
    </row>
    <row r="5011" spans="4:16" x14ac:dyDescent="0.2">
      <c r="D5011">
        <v>100002996</v>
      </c>
      <c r="E5011" s="49">
        <v>45481</v>
      </c>
      <c r="F5011" t="s">
        <v>4614</v>
      </c>
      <c r="G5011" t="s">
        <v>2766</v>
      </c>
      <c r="H5011">
        <v>3</v>
      </c>
      <c r="I5011">
        <v>66.81</v>
      </c>
      <c r="J5011" s="50">
        <v>200.43</v>
      </c>
      <c r="K5011" t="s">
        <v>1618</v>
      </c>
      <c r="M5011" t="s">
        <v>1627</v>
      </c>
      <c r="N5011">
        <v>35.26</v>
      </c>
      <c r="O5011" s="49">
        <v>45483</v>
      </c>
      <c r="P5011" s="50">
        <v>90.1935</v>
      </c>
    </row>
    <row r="5012" spans="4:16" x14ac:dyDescent="0.2">
      <c r="D5012">
        <v>100002997</v>
      </c>
      <c r="E5012" s="49">
        <v>45180</v>
      </c>
      <c r="F5012" t="s">
        <v>3044</v>
      </c>
      <c r="G5012" t="s">
        <v>1726</v>
      </c>
      <c r="H5012">
        <v>5</v>
      </c>
      <c r="I5012">
        <v>30.82</v>
      </c>
      <c r="J5012" s="50">
        <v>154.1</v>
      </c>
      <c r="K5012" t="s">
        <v>1618</v>
      </c>
      <c r="L5012" t="s">
        <v>4615</v>
      </c>
      <c r="M5012" t="s">
        <v>1627</v>
      </c>
      <c r="N5012">
        <v>16.27</v>
      </c>
      <c r="O5012" s="49">
        <v>45183</v>
      </c>
      <c r="P5012" s="50">
        <v>69.344999999999999</v>
      </c>
    </row>
    <row r="5013" spans="4:16" x14ac:dyDescent="0.2">
      <c r="D5013">
        <v>100002997</v>
      </c>
      <c r="E5013" s="49">
        <v>45224</v>
      </c>
      <c r="F5013" t="s">
        <v>3044</v>
      </c>
      <c r="G5013" t="s">
        <v>1693</v>
      </c>
      <c r="H5013">
        <v>2</v>
      </c>
      <c r="I5013">
        <v>20.11</v>
      </c>
      <c r="J5013" s="50">
        <v>40.22</v>
      </c>
      <c r="K5013" t="s">
        <v>1618</v>
      </c>
      <c r="L5013" t="s">
        <v>4615</v>
      </c>
      <c r="M5013" t="s">
        <v>1624</v>
      </c>
      <c r="N5013">
        <v>10.61</v>
      </c>
      <c r="O5013" s="49">
        <v>45226</v>
      </c>
      <c r="P5013" s="50">
        <v>18.099</v>
      </c>
    </row>
    <row r="5014" spans="4:16" x14ac:dyDescent="0.2">
      <c r="D5014">
        <v>100002998</v>
      </c>
      <c r="E5014" s="49">
        <v>45437</v>
      </c>
      <c r="F5014" t="s">
        <v>4616</v>
      </c>
      <c r="G5014" t="s">
        <v>1987</v>
      </c>
      <c r="H5014">
        <v>9</v>
      </c>
      <c r="I5014">
        <v>66.680000000000007</v>
      </c>
      <c r="J5014" s="50">
        <v>600.12000000000012</v>
      </c>
      <c r="K5014" t="s">
        <v>1632</v>
      </c>
      <c r="M5014" t="s">
        <v>1619</v>
      </c>
      <c r="N5014">
        <v>35.19</v>
      </c>
      <c r="O5014" s="49">
        <v>45438</v>
      </c>
      <c r="P5014" s="50">
        <v>270.05400000000009</v>
      </c>
    </row>
    <row r="5015" spans="4:16" x14ac:dyDescent="0.2">
      <c r="D5015">
        <v>100002998</v>
      </c>
      <c r="E5015" s="49">
        <v>45405</v>
      </c>
      <c r="F5015" t="s">
        <v>4616</v>
      </c>
      <c r="G5015" t="s">
        <v>2330</v>
      </c>
      <c r="H5015">
        <v>5</v>
      </c>
      <c r="I5015">
        <v>59.66</v>
      </c>
      <c r="J5015" s="50">
        <v>298.3</v>
      </c>
      <c r="K5015" t="s">
        <v>1632</v>
      </c>
      <c r="M5015" t="s">
        <v>1624</v>
      </c>
      <c r="N5015">
        <v>31.49</v>
      </c>
      <c r="O5015" s="49">
        <v>45407</v>
      </c>
      <c r="P5015" s="50">
        <v>134.23500000000001</v>
      </c>
    </row>
    <row r="5016" spans="4:16" x14ac:dyDescent="0.2">
      <c r="D5016">
        <v>100002998</v>
      </c>
      <c r="E5016" s="49">
        <v>45432</v>
      </c>
      <c r="F5016" t="s">
        <v>4616</v>
      </c>
      <c r="G5016" t="s">
        <v>2217</v>
      </c>
      <c r="H5016">
        <v>5</v>
      </c>
      <c r="I5016">
        <v>109.25</v>
      </c>
      <c r="J5016" s="50">
        <v>546.25</v>
      </c>
      <c r="K5016" t="s">
        <v>1632</v>
      </c>
      <c r="M5016" t="s">
        <v>1619</v>
      </c>
      <c r="N5016">
        <v>57.66</v>
      </c>
      <c r="O5016" s="49">
        <v>45433</v>
      </c>
      <c r="P5016" s="50">
        <v>245.8125</v>
      </c>
    </row>
    <row r="5017" spans="4:16" x14ac:dyDescent="0.2">
      <c r="D5017">
        <v>100002999</v>
      </c>
      <c r="E5017" s="49">
        <v>45589</v>
      </c>
      <c r="F5017" t="s">
        <v>4617</v>
      </c>
      <c r="G5017" t="s">
        <v>1910</v>
      </c>
      <c r="H5017">
        <v>1</v>
      </c>
      <c r="I5017">
        <v>94.29</v>
      </c>
      <c r="J5017" s="50">
        <v>94.29</v>
      </c>
      <c r="K5017" t="s">
        <v>1618</v>
      </c>
      <c r="L5017" t="s">
        <v>4618</v>
      </c>
      <c r="M5017" t="s">
        <v>1624</v>
      </c>
      <c r="N5017">
        <v>49.76</v>
      </c>
      <c r="O5017" s="49">
        <v>45593</v>
      </c>
      <c r="P5017" s="50">
        <v>42.430500000000002</v>
      </c>
    </row>
    <row r="5018" spans="4:16" x14ac:dyDescent="0.2">
      <c r="D5018">
        <v>100003000</v>
      </c>
      <c r="E5018" s="49">
        <v>44201</v>
      </c>
      <c r="F5018" t="s">
        <v>4619</v>
      </c>
      <c r="G5018" t="s">
        <v>2553</v>
      </c>
      <c r="H5018">
        <v>5</v>
      </c>
      <c r="I5018">
        <v>73.48</v>
      </c>
      <c r="J5018" s="50">
        <v>367.4</v>
      </c>
      <c r="K5018" t="s">
        <v>1618</v>
      </c>
      <c r="M5018" t="s">
        <v>1619</v>
      </c>
      <c r="N5018">
        <v>38.78</v>
      </c>
      <c r="O5018" s="49">
        <v>44206</v>
      </c>
      <c r="P5018" s="50">
        <v>165.32999999999998</v>
      </c>
    </row>
    <row r="5019" spans="4:16" x14ac:dyDescent="0.2">
      <c r="D5019">
        <v>100003001</v>
      </c>
      <c r="E5019" s="49">
        <v>44571</v>
      </c>
      <c r="F5019" t="s">
        <v>4620</v>
      </c>
      <c r="G5019" t="s">
        <v>1705</v>
      </c>
      <c r="H5019">
        <v>6</v>
      </c>
      <c r="I5019">
        <v>32.840000000000003</v>
      </c>
      <c r="J5019" s="50">
        <v>197.04</v>
      </c>
      <c r="K5019" t="s">
        <v>1618</v>
      </c>
      <c r="M5019" t="s">
        <v>1627</v>
      </c>
      <c r="N5019">
        <v>17.329999999999998</v>
      </c>
      <c r="O5019" s="49">
        <v>44573</v>
      </c>
      <c r="P5019" s="50">
        <v>88.667999999999992</v>
      </c>
    </row>
    <row r="5020" spans="4:16" x14ac:dyDescent="0.2">
      <c r="D5020">
        <v>100003001</v>
      </c>
      <c r="E5020" s="49">
        <v>44777</v>
      </c>
      <c r="F5020" t="s">
        <v>4620</v>
      </c>
      <c r="G5020" t="s">
        <v>1890</v>
      </c>
      <c r="H5020">
        <v>2</v>
      </c>
      <c r="I5020">
        <v>50.75</v>
      </c>
      <c r="J5020" s="50">
        <v>101.5</v>
      </c>
      <c r="K5020" t="s">
        <v>1618</v>
      </c>
      <c r="M5020" t="s">
        <v>1624</v>
      </c>
      <c r="N5020">
        <v>26.78</v>
      </c>
      <c r="O5020" s="49">
        <v>44780</v>
      </c>
      <c r="P5020" s="50">
        <v>45.675000000000004</v>
      </c>
    </row>
    <row r="5021" spans="4:16" x14ac:dyDescent="0.2">
      <c r="D5021">
        <v>100003003</v>
      </c>
      <c r="E5021" s="49">
        <v>44328</v>
      </c>
      <c r="F5021" t="s">
        <v>4621</v>
      </c>
      <c r="G5021" t="s">
        <v>1663</v>
      </c>
      <c r="H5021">
        <v>8</v>
      </c>
      <c r="I5021">
        <v>63.41</v>
      </c>
      <c r="J5021" s="50">
        <v>507.28</v>
      </c>
      <c r="K5021" t="s">
        <v>1632</v>
      </c>
      <c r="M5021" t="s">
        <v>1621</v>
      </c>
      <c r="N5021">
        <v>33.47</v>
      </c>
      <c r="O5021" s="49">
        <v>44331</v>
      </c>
      <c r="P5021" s="50">
        <v>228.27599999999998</v>
      </c>
    </row>
    <row r="5022" spans="4:16" x14ac:dyDescent="0.2">
      <c r="D5022">
        <v>100003004</v>
      </c>
      <c r="E5022" s="49">
        <v>45552</v>
      </c>
      <c r="F5022" t="s">
        <v>4622</v>
      </c>
      <c r="G5022" t="s">
        <v>1882</v>
      </c>
      <c r="H5022">
        <v>10</v>
      </c>
      <c r="I5022">
        <v>89.05</v>
      </c>
      <c r="J5022" s="50">
        <v>890.5</v>
      </c>
      <c r="K5022" t="s">
        <v>1618</v>
      </c>
      <c r="M5022" t="s">
        <v>1624</v>
      </c>
      <c r="N5022">
        <v>47</v>
      </c>
      <c r="O5022" s="49">
        <v>45557</v>
      </c>
      <c r="P5022" s="50">
        <v>400.72500000000002</v>
      </c>
    </row>
    <row r="5023" spans="4:16" x14ac:dyDescent="0.2">
      <c r="D5023">
        <v>100003004</v>
      </c>
      <c r="E5023" s="49">
        <v>44906</v>
      </c>
      <c r="F5023" t="s">
        <v>4622</v>
      </c>
      <c r="G5023" t="s">
        <v>1855</v>
      </c>
      <c r="H5023">
        <v>7</v>
      </c>
      <c r="I5023">
        <v>55.2</v>
      </c>
      <c r="J5023" s="50">
        <v>386.4</v>
      </c>
      <c r="K5023" t="s">
        <v>1618</v>
      </c>
      <c r="M5023" t="s">
        <v>1624</v>
      </c>
      <c r="N5023">
        <v>29.13</v>
      </c>
      <c r="O5023" s="49">
        <v>44907</v>
      </c>
      <c r="P5023" s="50">
        <v>173.88</v>
      </c>
    </row>
    <row r="5024" spans="4:16" x14ac:dyDescent="0.2">
      <c r="D5024">
        <v>100003004</v>
      </c>
      <c r="E5024" s="49">
        <v>44854</v>
      </c>
      <c r="F5024" t="s">
        <v>4622</v>
      </c>
      <c r="G5024" t="s">
        <v>1651</v>
      </c>
      <c r="H5024">
        <v>10</v>
      </c>
      <c r="I5024">
        <v>107.77</v>
      </c>
      <c r="J5024" s="50">
        <v>1077.7</v>
      </c>
      <c r="K5024" t="s">
        <v>1618</v>
      </c>
      <c r="M5024" t="s">
        <v>1629</v>
      </c>
      <c r="N5024">
        <v>56.88</v>
      </c>
      <c r="O5024" s="49">
        <v>44859</v>
      </c>
      <c r="P5024" s="50">
        <v>484.96500000000003</v>
      </c>
    </row>
    <row r="5025" spans="4:16" x14ac:dyDescent="0.2">
      <c r="D5025">
        <v>100003004</v>
      </c>
      <c r="E5025" s="49">
        <v>45481</v>
      </c>
      <c r="F5025" t="s">
        <v>4622</v>
      </c>
      <c r="G5025" t="s">
        <v>1664</v>
      </c>
      <c r="H5025">
        <v>1</v>
      </c>
      <c r="I5025">
        <v>50.13</v>
      </c>
      <c r="J5025" s="50">
        <v>50.13</v>
      </c>
      <c r="K5025" t="s">
        <v>1618</v>
      </c>
      <c r="M5025" t="s">
        <v>1627</v>
      </c>
      <c r="N5025">
        <v>26.46</v>
      </c>
      <c r="O5025" s="49">
        <v>45486</v>
      </c>
      <c r="P5025" s="50">
        <v>22.558500000000002</v>
      </c>
    </row>
    <row r="5026" spans="4:16" x14ac:dyDescent="0.2">
      <c r="D5026">
        <v>100003004</v>
      </c>
      <c r="E5026" s="49">
        <v>45321</v>
      </c>
      <c r="F5026" t="s">
        <v>4622</v>
      </c>
      <c r="G5026" t="s">
        <v>2465</v>
      </c>
      <c r="H5026">
        <v>5</v>
      </c>
      <c r="I5026">
        <v>59.39</v>
      </c>
      <c r="J5026" s="50">
        <v>296.95</v>
      </c>
      <c r="K5026" t="s">
        <v>1618</v>
      </c>
      <c r="M5026" t="s">
        <v>1629</v>
      </c>
      <c r="N5026">
        <v>31.34</v>
      </c>
      <c r="O5026" s="49">
        <v>45325</v>
      </c>
      <c r="P5026" s="50">
        <v>133.6275</v>
      </c>
    </row>
    <row r="5027" spans="4:16" x14ac:dyDescent="0.2">
      <c r="D5027">
        <v>100003004</v>
      </c>
      <c r="E5027" s="49">
        <v>44330</v>
      </c>
      <c r="F5027" t="s">
        <v>4622</v>
      </c>
      <c r="G5027" t="s">
        <v>1686</v>
      </c>
      <c r="H5027">
        <v>9</v>
      </c>
      <c r="I5027">
        <v>55.94</v>
      </c>
      <c r="J5027" s="50">
        <v>503.46</v>
      </c>
      <c r="K5027" t="s">
        <v>1618</v>
      </c>
      <c r="M5027" t="s">
        <v>1619</v>
      </c>
      <c r="N5027">
        <v>29.52</v>
      </c>
      <c r="O5027" s="49">
        <v>44333</v>
      </c>
      <c r="P5027" s="50">
        <v>226.55699999999999</v>
      </c>
    </row>
    <row r="5028" spans="4:16" x14ac:dyDescent="0.2">
      <c r="D5028">
        <v>100003004</v>
      </c>
      <c r="E5028" s="49">
        <v>45096</v>
      </c>
      <c r="F5028" t="s">
        <v>4622</v>
      </c>
      <c r="G5028" t="s">
        <v>2390</v>
      </c>
      <c r="H5028">
        <v>5</v>
      </c>
      <c r="I5028">
        <v>105.56</v>
      </c>
      <c r="J5028" s="50">
        <v>527.79999999999995</v>
      </c>
      <c r="K5028" t="s">
        <v>1618</v>
      </c>
      <c r="M5028" t="s">
        <v>1624</v>
      </c>
      <c r="N5028">
        <v>55.71</v>
      </c>
      <c r="O5028" s="49">
        <v>45100</v>
      </c>
      <c r="P5028" s="50">
        <v>237.51</v>
      </c>
    </row>
    <row r="5029" spans="4:16" x14ac:dyDescent="0.2">
      <c r="D5029">
        <v>100003004</v>
      </c>
      <c r="E5029" s="49">
        <v>45610</v>
      </c>
      <c r="F5029" t="s">
        <v>4622</v>
      </c>
      <c r="G5029" t="s">
        <v>1882</v>
      </c>
      <c r="H5029">
        <v>5</v>
      </c>
      <c r="I5029">
        <v>107.4</v>
      </c>
      <c r="J5029" s="50">
        <v>537</v>
      </c>
      <c r="K5029" t="s">
        <v>1618</v>
      </c>
      <c r="M5029" t="s">
        <v>1619</v>
      </c>
      <c r="N5029">
        <v>56.68</v>
      </c>
      <c r="O5029" s="49">
        <v>45615</v>
      </c>
      <c r="P5029" s="50">
        <v>241.65</v>
      </c>
    </row>
    <row r="5030" spans="4:16" x14ac:dyDescent="0.2">
      <c r="D5030">
        <v>100003004</v>
      </c>
      <c r="E5030" s="49">
        <v>45159</v>
      </c>
      <c r="F5030" t="s">
        <v>4622</v>
      </c>
      <c r="G5030" t="s">
        <v>2023</v>
      </c>
      <c r="H5030">
        <v>5</v>
      </c>
      <c r="I5030">
        <v>32.590000000000003</v>
      </c>
      <c r="J5030" s="50">
        <v>162.94999999999999</v>
      </c>
      <c r="K5030" t="s">
        <v>1618</v>
      </c>
      <c r="M5030" t="s">
        <v>1627</v>
      </c>
      <c r="N5030">
        <v>17.2</v>
      </c>
      <c r="O5030" s="49">
        <v>45162</v>
      </c>
      <c r="P5030" s="50">
        <v>73.327500000000001</v>
      </c>
    </row>
    <row r="5031" spans="4:16" x14ac:dyDescent="0.2">
      <c r="D5031">
        <v>100003005</v>
      </c>
      <c r="E5031" s="49">
        <v>45045</v>
      </c>
      <c r="F5031" t="s">
        <v>4623</v>
      </c>
      <c r="G5031" t="s">
        <v>2766</v>
      </c>
      <c r="H5031">
        <v>9</v>
      </c>
      <c r="I5031">
        <v>28.06</v>
      </c>
      <c r="J5031" s="50">
        <v>252.54</v>
      </c>
      <c r="K5031" t="s">
        <v>1632</v>
      </c>
      <c r="L5031" t="s">
        <v>4624</v>
      </c>
      <c r="M5031" t="s">
        <v>1624</v>
      </c>
      <c r="N5031">
        <v>14.81</v>
      </c>
      <c r="O5031" s="49">
        <v>45048</v>
      </c>
      <c r="P5031" s="50">
        <v>113.643</v>
      </c>
    </row>
    <row r="5032" spans="4:16" x14ac:dyDescent="0.2">
      <c r="D5032">
        <v>100003005</v>
      </c>
      <c r="E5032" s="49">
        <v>44548</v>
      </c>
      <c r="F5032" t="s">
        <v>4623</v>
      </c>
      <c r="G5032" t="s">
        <v>1982</v>
      </c>
      <c r="H5032">
        <v>10</v>
      </c>
      <c r="I5032">
        <v>14.93</v>
      </c>
      <c r="J5032" s="50">
        <v>149.30000000000001</v>
      </c>
      <c r="K5032" t="s">
        <v>1632</v>
      </c>
      <c r="L5032" t="s">
        <v>4624</v>
      </c>
      <c r="M5032" t="s">
        <v>1627</v>
      </c>
      <c r="N5032">
        <v>7.88</v>
      </c>
      <c r="O5032" s="49">
        <v>44551</v>
      </c>
      <c r="P5032" s="50">
        <v>67.185000000000002</v>
      </c>
    </row>
    <row r="5033" spans="4:16" x14ac:dyDescent="0.2">
      <c r="D5033">
        <v>100003005</v>
      </c>
      <c r="E5033" s="49">
        <v>44343</v>
      </c>
      <c r="F5033" t="s">
        <v>4623</v>
      </c>
      <c r="G5033" t="s">
        <v>1787</v>
      </c>
      <c r="H5033">
        <v>2</v>
      </c>
      <c r="I5033">
        <v>46.8</v>
      </c>
      <c r="J5033" s="50">
        <v>93.6</v>
      </c>
      <c r="K5033" t="s">
        <v>1632</v>
      </c>
      <c r="L5033" t="s">
        <v>4624</v>
      </c>
      <c r="M5033" t="s">
        <v>1621</v>
      </c>
      <c r="N5033">
        <v>24.7</v>
      </c>
      <c r="O5033" s="49">
        <v>44345</v>
      </c>
      <c r="P5033" s="50">
        <v>42.12</v>
      </c>
    </row>
    <row r="5034" spans="4:16" x14ac:dyDescent="0.2">
      <c r="D5034">
        <v>100003008</v>
      </c>
      <c r="E5034" s="49">
        <v>44595</v>
      </c>
      <c r="F5034" t="s">
        <v>4625</v>
      </c>
      <c r="G5034" t="s">
        <v>2174</v>
      </c>
      <c r="H5034">
        <v>3</v>
      </c>
      <c r="I5034">
        <v>21.95</v>
      </c>
      <c r="J5034" s="50">
        <v>65.849999999999994</v>
      </c>
      <c r="K5034" t="s">
        <v>1618</v>
      </c>
      <c r="M5034" t="s">
        <v>1619</v>
      </c>
      <c r="N5034">
        <v>11.58</v>
      </c>
      <c r="O5034" s="49">
        <v>44598</v>
      </c>
      <c r="P5034" s="50">
        <v>29.632499999999997</v>
      </c>
    </row>
    <row r="5035" spans="4:16" x14ac:dyDescent="0.2">
      <c r="D5035">
        <v>100003010</v>
      </c>
      <c r="E5035" s="49">
        <v>45319</v>
      </c>
      <c r="F5035" t="s">
        <v>4626</v>
      </c>
      <c r="G5035" t="s">
        <v>2078</v>
      </c>
      <c r="H5035">
        <v>3</v>
      </c>
      <c r="I5035">
        <v>110.04</v>
      </c>
      <c r="J5035" s="50">
        <v>330.12</v>
      </c>
      <c r="K5035" t="s">
        <v>1632</v>
      </c>
      <c r="M5035" t="s">
        <v>1621</v>
      </c>
      <c r="N5035">
        <v>58.08</v>
      </c>
      <c r="O5035" s="49">
        <v>45321</v>
      </c>
      <c r="P5035" s="50">
        <v>148.554</v>
      </c>
    </row>
    <row r="5036" spans="4:16" x14ac:dyDescent="0.2">
      <c r="D5036">
        <v>100003010</v>
      </c>
      <c r="E5036" s="49">
        <v>44797</v>
      </c>
      <c r="F5036" t="s">
        <v>4626</v>
      </c>
      <c r="G5036" t="s">
        <v>2198</v>
      </c>
      <c r="H5036">
        <v>4</v>
      </c>
      <c r="I5036">
        <v>75.72</v>
      </c>
      <c r="J5036" s="50">
        <v>302.88</v>
      </c>
      <c r="K5036" t="s">
        <v>1632</v>
      </c>
      <c r="M5036" t="s">
        <v>1627</v>
      </c>
      <c r="N5036">
        <v>39.96</v>
      </c>
      <c r="O5036" s="49">
        <v>44798</v>
      </c>
      <c r="P5036" s="50">
        <v>136.29599999999999</v>
      </c>
    </row>
    <row r="5037" spans="4:16" x14ac:dyDescent="0.2">
      <c r="D5037">
        <v>100003010</v>
      </c>
      <c r="E5037" s="49">
        <v>45134</v>
      </c>
      <c r="F5037" t="s">
        <v>4626</v>
      </c>
      <c r="G5037" t="s">
        <v>1617</v>
      </c>
      <c r="H5037">
        <v>10</v>
      </c>
      <c r="I5037">
        <v>100.27</v>
      </c>
      <c r="J5037" s="50">
        <v>1002.7</v>
      </c>
      <c r="K5037" t="s">
        <v>1632</v>
      </c>
      <c r="M5037" t="s">
        <v>1619</v>
      </c>
      <c r="N5037">
        <v>52.92</v>
      </c>
      <c r="O5037" s="49">
        <v>45137</v>
      </c>
      <c r="P5037" s="50">
        <v>451.21500000000003</v>
      </c>
    </row>
    <row r="5038" spans="4:16" x14ac:dyDescent="0.2">
      <c r="D5038">
        <v>100003012</v>
      </c>
      <c r="E5038" s="49">
        <v>44665</v>
      </c>
      <c r="F5038" t="s">
        <v>4627</v>
      </c>
      <c r="G5038" t="s">
        <v>2028</v>
      </c>
      <c r="H5038">
        <v>10</v>
      </c>
      <c r="I5038">
        <v>67.25</v>
      </c>
      <c r="J5038" s="50">
        <v>672.5</v>
      </c>
      <c r="K5038" t="s">
        <v>1618</v>
      </c>
      <c r="M5038" t="s">
        <v>1624</v>
      </c>
      <c r="N5038">
        <v>35.49</v>
      </c>
      <c r="O5038" s="49">
        <v>44668</v>
      </c>
      <c r="P5038" s="50">
        <v>302.625</v>
      </c>
    </row>
    <row r="5039" spans="4:16" x14ac:dyDescent="0.2">
      <c r="D5039">
        <v>100003012</v>
      </c>
      <c r="E5039" s="49">
        <v>44995</v>
      </c>
      <c r="F5039" t="s">
        <v>4627</v>
      </c>
      <c r="G5039" t="s">
        <v>1827</v>
      </c>
      <c r="H5039">
        <v>1</v>
      </c>
      <c r="I5039">
        <v>48.46</v>
      </c>
      <c r="J5039" s="50">
        <v>48.46</v>
      </c>
      <c r="K5039" t="s">
        <v>1618</v>
      </c>
      <c r="M5039" t="s">
        <v>1627</v>
      </c>
      <c r="N5039">
        <v>25.58</v>
      </c>
      <c r="O5039" s="49">
        <v>44998</v>
      </c>
      <c r="P5039" s="50">
        <v>21.807000000000002</v>
      </c>
    </row>
    <row r="5040" spans="4:16" x14ac:dyDescent="0.2">
      <c r="D5040">
        <v>100003013</v>
      </c>
      <c r="E5040" s="49">
        <v>45030</v>
      </c>
      <c r="F5040" t="s">
        <v>3947</v>
      </c>
      <c r="G5040" t="s">
        <v>1945</v>
      </c>
      <c r="H5040">
        <v>2</v>
      </c>
      <c r="I5040">
        <v>67.83</v>
      </c>
      <c r="J5040" s="50">
        <v>135.66</v>
      </c>
      <c r="K5040" t="s">
        <v>1618</v>
      </c>
      <c r="M5040" t="s">
        <v>1629</v>
      </c>
      <c r="N5040">
        <v>35.799999999999997</v>
      </c>
      <c r="O5040" s="49">
        <v>45034</v>
      </c>
      <c r="P5040" s="50">
        <v>61.046999999999997</v>
      </c>
    </row>
    <row r="5041" spans="4:16" x14ac:dyDescent="0.2">
      <c r="D5041">
        <v>100003015</v>
      </c>
      <c r="E5041" s="49">
        <v>44750</v>
      </c>
      <c r="F5041" t="s">
        <v>4628</v>
      </c>
      <c r="G5041" t="s">
        <v>1895</v>
      </c>
      <c r="H5041">
        <v>8</v>
      </c>
      <c r="I5041">
        <v>80.069999999999993</v>
      </c>
      <c r="J5041" s="50">
        <v>640.55999999999995</v>
      </c>
      <c r="K5041" t="s">
        <v>1632</v>
      </c>
      <c r="L5041" t="s">
        <v>4629</v>
      </c>
      <c r="M5041" t="s">
        <v>1619</v>
      </c>
      <c r="N5041">
        <v>42.26</v>
      </c>
      <c r="O5041" s="49">
        <v>44753</v>
      </c>
      <c r="P5041" s="50">
        <v>288.25200000000001</v>
      </c>
    </row>
    <row r="5042" spans="4:16" x14ac:dyDescent="0.2">
      <c r="D5042">
        <v>100003015</v>
      </c>
      <c r="E5042" s="49">
        <v>45427</v>
      </c>
      <c r="F5042" t="s">
        <v>4628</v>
      </c>
      <c r="G5042" t="s">
        <v>1686</v>
      </c>
      <c r="H5042">
        <v>2</v>
      </c>
      <c r="I5042">
        <v>90.69</v>
      </c>
      <c r="J5042" s="50">
        <v>181.38</v>
      </c>
      <c r="K5042" t="s">
        <v>1632</v>
      </c>
      <c r="L5042" t="s">
        <v>4629</v>
      </c>
      <c r="M5042" t="s">
        <v>1627</v>
      </c>
      <c r="N5042">
        <v>47.86</v>
      </c>
      <c r="O5042" s="49">
        <v>45429</v>
      </c>
      <c r="P5042" s="50">
        <v>81.620999999999995</v>
      </c>
    </row>
    <row r="5043" spans="4:16" x14ac:dyDescent="0.2">
      <c r="D5043">
        <v>100003016</v>
      </c>
      <c r="E5043" s="49">
        <v>44553</v>
      </c>
      <c r="F5043" t="s">
        <v>4630</v>
      </c>
      <c r="G5043" t="s">
        <v>1990</v>
      </c>
      <c r="H5043">
        <v>10</v>
      </c>
      <c r="I5043">
        <v>23.01</v>
      </c>
      <c r="J5043" s="50">
        <v>230.1</v>
      </c>
      <c r="K5043" t="s">
        <v>1632</v>
      </c>
      <c r="L5043" t="s">
        <v>2971</v>
      </c>
      <c r="M5043" t="s">
        <v>1621</v>
      </c>
      <c r="N5043">
        <v>12.14</v>
      </c>
      <c r="O5043" s="49">
        <v>44558</v>
      </c>
      <c r="P5043" s="50">
        <v>103.545</v>
      </c>
    </row>
    <row r="5044" spans="4:16" x14ac:dyDescent="0.2">
      <c r="D5044">
        <v>100003016</v>
      </c>
      <c r="E5044" s="49">
        <v>44821</v>
      </c>
      <c r="F5044" t="s">
        <v>4630</v>
      </c>
      <c r="G5044" t="s">
        <v>1801</v>
      </c>
      <c r="H5044">
        <v>9</v>
      </c>
      <c r="I5044">
        <v>80.209999999999994</v>
      </c>
      <c r="J5044" s="50">
        <v>721.89</v>
      </c>
      <c r="K5044" t="s">
        <v>1632</v>
      </c>
      <c r="L5044" t="s">
        <v>2971</v>
      </c>
      <c r="M5044" t="s">
        <v>1619</v>
      </c>
      <c r="N5044">
        <v>42.33</v>
      </c>
      <c r="O5044" s="49">
        <v>44826</v>
      </c>
      <c r="P5044" s="50">
        <v>324.85050000000001</v>
      </c>
    </row>
    <row r="5045" spans="4:16" x14ac:dyDescent="0.2">
      <c r="D5045">
        <v>100003016</v>
      </c>
      <c r="E5045" s="49">
        <v>45046</v>
      </c>
      <c r="F5045" t="s">
        <v>4630</v>
      </c>
      <c r="G5045" t="s">
        <v>1752</v>
      </c>
      <c r="H5045">
        <v>1</v>
      </c>
      <c r="I5045">
        <v>57.52</v>
      </c>
      <c r="J5045" s="50">
        <v>57.52</v>
      </c>
      <c r="K5045" t="s">
        <v>1632</v>
      </c>
      <c r="L5045" t="s">
        <v>2971</v>
      </c>
      <c r="M5045" t="s">
        <v>1629</v>
      </c>
      <c r="N5045">
        <v>30.36</v>
      </c>
      <c r="O5045" s="49">
        <v>45047</v>
      </c>
      <c r="P5045" s="50">
        <v>25.884</v>
      </c>
    </row>
    <row r="5046" spans="4:16" x14ac:dyDescent="0.2">
      <c r="D5046">
        <v>100003018</v>
      </c>
      <c r="E5046" s="49">
        <v>44626</v>
      </c>
      <c r="F5046" t="s">
        <v>4631</v>
      </c>
      <c r="G5046" t="s">
        <v>2064</v>
      </c>
      <c r="H5046">
        <v>9</v>
      </c>
      <c r="I5046">
        <v>31.42</v>
      </c>
      <c r="J5046" s="50">
        <v>282.77999999999997</v>
      </c>
      <c r="K5046" t="s">
        <v>1632</v>
      </c>
      <c r="M5046" t="s">
        <v>1627</v>
      </c>
      <c r="N5046">
        <v>16.579999999999998</v>
      </c>
      <c r="O5046" s="49">
        <v>44630</v>
      </c>
      <c r="P5046" s="50">
        <v>127.25099999999999</v>
      </c>
    </row>
    <row r="5047" spans="4:16" x14ac:dyDescent="0.2">
      <c r="D5047">
        <v>100003018</v>
      </c>
      <c r="E5047" s="49">
        <v>45562</v>
      </c>
      <c r="F5047" t="s">
        <v>4631</v>
      </c>
      <c r="G5047" t="s">
        <v>1808</v>
      </c>
      <c r="H5047">
        <v>8</v>
      </c>
      <c r="I5047">
        <v>12.65</v>
      </c>
      <c r="J5047" s="50">
        <v>101.2</v>
      </c>
      <c r="K5047" t="s">
        <v>1632</v>
      </c>
      <c r="M5047" t="s">
        <v>1621</v>
      </c>
      <c r="N5047">
        <v>6.68</v>
      </c>
      <c r="O5047" s="49">
        <v>45567</v>
      </c>
      <c r="P5047" s="50">
        <v>45.54</v>
      </c>
    </row>
    <row r="5048" spans="4:16" x14ac:dyDescent="0.2">
      <c r="D5048">
        <v>100003019</v>
      </c>
      <c r="E5048" s="49">
        <v>44513</v>
      </c>
      <c r="F5048" t="s">
        <v>4632</v>
      </c>
      <c r="G5048" t="s">
        <v>1893</v>
      </c>
      <c r="H5048">
        <v>10</v>
      </c>
      <c r="I5048">
        <v>35.28</v>
      </c>
      <c r="J5048" s="50">
        <v>352.8</v>
      </c>
      <c r="K5048" t="s">
        <v>1632</v>
      </c>
      <c r="L5048" t="s">
        <v>4633</v>
      </c>
      <c r="M5048" t="s">
        <v>1627</v>
      </c>
      <c r="N5048">
        <v>18.62</v>
      </c>
      <c r="O5048" s="49">
        <v>44516</v>
      </c>
      <c r="P5048" s="50">
        <v>158.76000000000002</v>
      </c>
    </row>
    <row r="5049" spans="4:16" x14ac:dyDescent="0.2">
      <c r="D5049">
        <v>100003019</v>
      </c>
      <c r="E5049" s="49">
        <v>44705</v>
      </c>
      <c r="F5049" t="s">
        <v>4632</v>
      </c>
      <c r="G5049" t="s">
        <v>2278</v>
      </c>
      <c r="H5049">
        <v>1</v>
      </c>
      <c r="I5049">
        <v>94.96</v>
      </c>
      <c r="J5049" s="50">
        <v>94.96</v>
      </c>
      <c r="K5049" t="s">
        <v>1632</v>
      </c>
      <c r="L5049" t="s">
        <v>4633</v>
      </c>
      <c r="M5049" t="s">
        <v>1629</v>
      </c>
      <c r="N5049">
        <v>50.12</v>
      </c>
      <c r="O5049" s="49">
        <v>44707</v>
      </c>
      <c r="P5049" s="50">
        <v>42.731999999999999</v>
      </c>
    </row>
    <row r="5050" spans="4:16" x14ac:dyDescent="0.2">
      <c r="D5050">
        <v>100003019</v>
      </c>
      <c r="E5050" s="49">
        <v>44494</v>
      </c>
      <c r="F5050" t="s">
        <v>4632</v>
      </c>
      <c r="G5050" t="s">
        <v>1817</v>
      </c>
      <c r="H5050">
        <v>9</v>
      </c>
      <c r="I5050">
        <v>41.07</v>
      </c>
      <c r="J5050" s="50">
        <v>369.63</v>
      </c>
      <c r="K5050" t="s">
        <v>1632</v>
      </c>
      <c r="L5050" t="s">
        <v>4633</v>
      </c>
      <c r="M5050" t="s">
        <v>1619</v>
      </c>
      <c r="N5050">
        <v>21.68</v>
      </c>
      <c r="O5050" s="49">
        <v>44498</v>
      </c>
      <c r="P5050" s="50">
        <v>166.33350000000002</v>
      </c>
    </row>
    <row r="5051" spans="4:16" x14ac:dyDescent="0.2">
      <c r="D5051">
        <v>100003020</v>
      </c>
      <c r="E5051" s="49">
        <v>45315</v>
      </c>
      <c r="F5051" t="s">
        <v>4634</v>
      </c>
      <c r="G5051" t="s">
        <v>2571</v>
      </c>
      <c r="H5051">
        <v>9</v>
      </c>
      <c r="I5051">
        <v>35.36</v>
      </c>
      <c r="J5051" s="50">
        <v>318.24</v>
      </c>
      <c r="K5051" t="s">
        <v>1618</v>
      </c>
      <c r="M5051" t="s">
        <v>1621</v>
      </c>
      <c r="N5051">
        <v>18.66</v>
      </c>
      <c r="O5051" s="49">
        <v>45317</v>
      </c>
      <c r="P5051" s="50">
        <v>143.208</v>
      </c>
    </row>
    <row r="5052" spans="4:16" x14ac:dyDescent="0.2">
      <c r="D5052">
        <v>100003021</v>
      </c>
      <c r="E5052" s="49">
        <v>45224</v>
      </c>
      <c r="F5052" t="s">
        <v>4635</v>
      </c>
      <c r="G5052" t="s">
        <v>1901</v>
      </c>
      <c r="H5052">
        <v>9</v>
      </c>
      <c r="I5052">
        <v>10.71</v>
      </c>
      <c r="J5052" s="50">
        <v>96.390000000000015</v>
      </c>
      <c r="K5052" t="s">
        <v>1618</v>
      </c>
      <c r="L5052" t="s">
        <v>4636</v>
      </c>
      <c r="M5052" t="s">
        <v>1627</v>
      </c>
      <c r="N5052">
        <v>5.65</v>
      </c>
      <c r="O5052" s="49">
        <v>45225</v>
      </c>
      <c r="P5052" s="50">
        <v>43.375500000000009</v>
      </c>
    </row>
    <row r="5053" spans="4:16" x14ac:dyDescent="0.2">
      <c r="D5053">
        <v>100003021</v>
      </c>
      <c r="E5053" s="49">
        <v>44391</v>
      </c>
      <c r="F5053" t="s">
        <v>4635</v>
      </c>
      <c r="G5053" t="s">
        <v>1672</v>
      </c>
      <c r="H5053">
        <v>4</v>
      </c>
      <c r="I5053">
        <v>52.81</v>
      </c>
      <c r="J5053" s="50">
        <v>211.24</v>
      </c>
      <c r="K5053" t="s">
        <v>1618</v>
      </c>
      <c r="L5053" t="s">
        <v>4636</v>
      </c>
      <c r="M5053" t="s">
        <v>1629</v>
      </c>
      <c r="N5053">
        <v>27.87</v>
      </c>
      <c r="O5053" s="49">
        <v>44393</v>
      </c>
      <c r="P5053" s="50">
        <v>95.058000000000007</v>
      </c>
    </row>
    <row r="5054" spans="4:16" x14ac:dyDescent="0.2">
      <c r="D5054">
        <v>100003024</v>
      </c>
      <c r="E5054" s="49">
        <v>44390</v>
      </c>
      <c r="F5054" t="s">
        <v>4637</v>
      </c>
      <c r="G5054" t="s">
        <v>2125</v>
      </c>
      <c r="H5054">
        <v>5</v>
      </c>
      <c r="I5054">
        <v>79.040000000000006</v>
      </c>
      <c r="J5054" s="50">
        <v>395.2</v>
      </c>
      <c r="K5054" t="s">
        <v>1618</v>
      </c>
      <c r="L5054" t="s">
        <v>4638</v>
      </c>
      <c r="M5054" t="s">
        <v>1629</v>
      </c>
      <c r="N5054">
        <v>41.72</v>
      </c>
      <c r="O5054" s="49">
        <v>44394</v>
      </c>
      <c r="P5054" s="50">
        <v>177.84</v>
      </c>
    </row>
    <row r="5055" spans="4:16" x14ac:dyDescent="0.2">
      <c r="D5055">
        <v>100003024</v>
      </c>
      <c r="E5055" s="49">
        <v>45549</v>
      </c>
      <c r="F5055" t="s">
        <v>4637</v>
      </c>
      <c r="G5055" t="s">
        <v>1672</v>
      </c>
      <c r="H5055">
        <v>8</v>
      </c>
      <c r="I5055">
        <v>82.88</v>
      </c>
      <c r="J5055" s="50">
        <v>663.04</v>
      </c>
      <c r="K5055" t="s">
        <v>1618</v>
      </c>
      <c r="L5055" t="s">
        <v>4638</v>
      </c>
      <c r="M5055" t="s">
        <v>1624</v>
      </c>
      <c r="N5055">
        <v>43.74</v>
      </c>
      <c r="O5055" s="49">
        <v>45553</v>
      </c>
      <c r="P5055" s="50">
        <v>298.36799999999999</v>
      </c>
    </row>
    <row r="5056" spans="4:16" x14ac:dyDescent="0.2">
      <c r="D5056">
        <v>100003024</v>
      </c>
      <c r="E5056" s="49">
        <v>45111</v>
      </c>
      <c r="F5056" t="s">
        <v>4637</v>
      </c>
      <c r="G5056" t="s">
        <v>1941</v>
      </c>
      <c r="H5056">
        <v>6</v>
      </c>
      <c r="I5056">
        <v>20.32</v>
      </c>
      <c r="J5056" s="50">
        <v>121.92</v>
      </c>
      <c r="K5056" t="s">
        <v>1618</v>
      </c>
      <c r="L5056" t="s">
        <v>4638</v>
      </c>
      <c r="M5056" t="s">
        <v>1621</v>
      </c>
      <c r="N5056">
        <v>10.72</v>
      </c>
      <c r="O5056" s="49">
        <v>45114</v>
      </c>
      <c r="P5056" s="50">
        <v>54.864000000000004</v>
      </c>
    </row>
    <row r="5057" spans="4:16" x14ac:dyDescent="0.2">
      <c r="D5057">
        <v>100003025</v>
      </c>
      <c r="E5057" s="49">
        <v>44773</v>
      </c>
      <c r="F5057" t="s">
        <v>4639</v>
      </c>
      <c r="G5057" t="s">
        <v>1631</v>
      </c>
      <c r="H5057">
        <v>6</v>
      </c>
      <c r="I5057">
        <v>68.64</v>
      </c>
      <c r="J5057" s="50">
        <v>411.84</v>
      </c>
      <c r="K5057" t="s">
        <v>1632</v>
      </c>
      <c r="M5057" t="s">
        <v>1619</v>
      </c>
      <c r="N5057">
        <v>36.229999999999997</v>
      </c>
      <c r="O5057" s="49">
        <v>44776</v>
      </c>
      <c r="P5057" s="50">
        <v>185.328</v>
      </c>
    </row>
    <row r="5058" spans="4:16" x14ac:dyDescent="0.2">
      <c r="D5058">
        <v>100003026</v>
      </c>
      <c r="E5058" s="49">
        <v>45399</v>
      </c>
      <c r="F5058" t="s">
        <v>4640</v>
      </c>
      <c r="G5058" t="s">
        <v>1722</v>
      </c>
      <c r="H5058">
        <v>3</v>
      </c>
      <c r="I5058">
        <v>112.04</v>
      </c>
      <c r="J5058" s="50">
        <v>336.12</v>
      </c>
      <c r="K5058" t="s">
        <v>1632</v>
      </c>
      <c r="L5058" t="s">
        <v>4641</v>
      </c>
      <c r="M5058" t="s">
        <v>1629</v>
      </c>
      <c r="N5058">
        <v>59.13</v>
      </c>
      <c r="O5058" s="49">
        <v>45402</v>
      </c>
      <c r="P5058" s="50">
        <v>151.25400000000002</v>
      </c>
    </row>
    <row r="5059" spans="4:16" x14ac:dyDescent="0.2">
      <c r="D5059">
        <v>100003026</v>
      </c>
      <c r="E5059" s="49">
        <v>44718</v>
      </c>
      <c r="F5059" t="s">
        <v>4640</v>
      </c>
      <c r="G5059" t="s">
        <v>1730</v>
      </c>
      <c r="H5059">
        <v>6</v>
      </c>
      <c r="I5059">
        <v>96.63</v>
      </c>
      <c r="J5059" s="50">
        <v>579.78</v>
      </c>
      <c r="K5059" t="s">
        <v>1632</v>
      </c>
      <c r="L5059" t="s">
        <v>4641</v>
      </c>
      <c r="M5059" t="s">
        <v>1624</v>
      </c>
      <c r="N5059">
        <v>51</v>
      </c>
      <c r="O5059" s="49">
        <v>44722</v>
      </c>
      <c r="P5059" s="50">
        <v>260.90100000000001</v>
      </c>
    </row>
    <row r="5060" spans="4:16" x14ac:dyDescent="0.2">
      <c r="D5060">
        <v>100003026</v>
      </c>
      <c r="E5060" s="49">
        <v>44572</v>
      </c>
      <c r="F5060" t="s">
        <v>4640</v>
      </c>
      <c r="G5060" t="s">
        <v>1864</v>
      </c>
      <c r="H5060">
        <v>2</v>
      </c>
      <c r="I5060">
        <v>109.93</v>
      </c>
      <c r="J5060" s="50">
        <v>219.86</v>
      </c>
      <c r="K5060" t="s">
        <v>1632</v>
      </c>
      <c r="L5060" t="s">
        <v>4641</v>
      </c>
      <c r="M5060" t="s">
        <v>1624</v>
      </c>
      <c r="N5060">
        <v>58.02</v>
      </c>
      <c r="O5060" s="49">
        <v>44576</v>
      </c>
      <c r="P5060" s="50">
        <v>98.937000000000012</v>
      </c>
    </row>
    <row r="5061" spans="4:16" x14ac:dyDescent="0.2">
      <c r="D5061">
        <v>100003027</v>
      </c>
      <c r="E5061" s="49">
        <v>44859</v>
      </c>
      <c r="F5061" t="s">
        <v>4642</v>
      </c>
      <c r="G5061" t="s">
        <v>1851</v>
      </c>
      <c r="H5061">
        <v>7</v>
      </c>
      <c r="I5061">
        <v>71.38</v>
      </c>
      <c r="J5061" s="50">
        <v>499.66</v>
      </c>
      <c r="K5061" t="s">
        <v>1618</v>
      </c>
      <c r="M5061" t="s">
        <v>1627</v>
      </c>
      <c r="N5061">
        <v>37.67</v>
      </c>
      <c r="O5061" s="49">
        <v>44863</v>
      </c>
      <c r="P5061" s="50">
        <v>224.84700000000001</v>
      </c>
    </row>
    <row r="5062" spans="4:16" x14ac:dyDescent="0.2">
      <c r="D5062">
        <v>100003028</v>
      </c>
      <c r="E5062" s="49">
        <v>45233</v>
      </c>
      <c r="F5062" t="s">
        <v>4643</v>
      </c>
      <c r="G5062" t="s">
        <v>1623</v>
      </c>
      <c r="H5062">
        <v>2</v>
      </c>
      <c r="I5062">
        <v>33.76</v>
      </c>
      <c r="J5062" s="50">
        <v>67.52</v>
      </c>
      <c r="K5062" t="s">
        <v>1618</v>
      </c>
      <c r="M5062" t="s">
        <v>1629</v>
      </c>
      <c r="N5062">
        <v>17.82</v>
      </c>
      <c r="O5062" s="49">
        <v>45234</v>
      </c>
      <c r="P5062" s="50">
        <v>30.384</v>
      </c>
    </row>
    <row r="5063" spans="4:16" x14ac:dyDescent="0.2">
      <c r="D5063">
        <v>100003030</v>
      </c>
      <c r="E5063" s="49">
        <v>44990</v>
      </c>
      <c r="F5063" t="s">
        <v>4644</v>
      </c>
      <c r="G5063" t="s">
        <v>2762</v>
      </c>
      <c r="H5063">
        <v>10</v>
      </c>
      <c r="I5063">
        <v>108.43</v>
      </c>
      <c r="J5063" s="50">
        <v>1084.3</v>
      </c>
      <c r="K5063" t="s">
        <v>1618</v>
      </c>
      <c r="L5063" t="s">
        <v>4253</v>
      </c>
      <c r="M5063" t="s">
        <v>1619</v>
      </c>
      <c r="N5063">
        <v>57.23</v>
      </c>
      <c r="O5063" s="49">
        <v>44993</v>
      </c>
      <c r="P5063" s="50">
        <v>487.935</v>
      </c>
    </row>
    <row r="5064" spans="4:16" x14ac:dyDescent="0.2">
      <c r="D5064">
        <v>100003030</v>
      </c>
      <c r="E5064" s="49">
        <v>45037</v>
      </c>
      <c r="F5064" t="s">
        <v>4644</v>
      </c>
      <c r="G5064" t="s">
        <v>2060</v>
      </c>
      <c r="H5064">
        <v>10</v>
      </c>
      <c r="I5064">
        <v>112.75</v>
      </c>
      <c r="J5064" s="50">
        <v>1127.5</v>
      </c>
      <c r="K5064" t="s">
        <v>1618</v>
      </c>
      <c r="L5064" t="s">
        <v>4253</v>
      </c>
      <c r="M5064" t="s">
        <v>1619</v>
      </c>
      <c r="N5064">
        <v>59.51</v>
      </c>
      <c r="O5064" s="49">
        <v>45038</v>
      </c>
      <c r="P5064" s="50">
        <v>507.375</v>
      </c>
    </row>
    <row r="5065" spans="4:16" x14ac:dyDescent="0.2">
      <c r="D5065">
        <v>100003031</v>
      </c>
      <c r="E5065" s="49">
        <v>44306</v>
      </c>
      <c r="F5065" t="s">
        <v>4645</v>
      </c>
      <c r="G5065" t="s">
        <v>1787</v>
      </c>
      <c r="H5065">
        <v>3</v>
      </c>
      <c r="I5065">
        <v>62.48</v>
      </c>
      <c r="J5065" s="50">
        <v>187.44</v>
      </c>
      <c r="K5065" t="s">
        <v>1618</v>
      </c>
      <c r="L5065" t="s">
        <v>3526</v>
      </c>
      <c r="M5065" t="s">
        <v>1624</v>
      </c>
      <c r="N5065">
        <v>32.979999999999997</v>
      </c>
      <c r="O5065" s="49">
        <v>44308</v>
      </c>
      <c r="P5065" s="50">
        <v>84.347999999999999</v>
      </c>
    </row>
    <row r="5066" spans="4:16" x14ac:dyDescent="0.2">
      <c r="D5066">
        <v>100003032</v>
      </c>
      <c r="E5066" s="49">
        <v>45083</v>
      </c>
      <c r="F5066" t="s">
        <v>4646</v>
      </c>
      <c r="G5066" t="s">
        <v>1737</v>
      </c>
      <c r="H5066">
        <v>6</v>
      </c>
      <c r="I5066">
        <v>32.68</v>
      </c>
      <c r="J5066" s="50">
        <v>196.08</v>
      </c>
      <c r="K5066" t="s">
        <v>1618</v>
      </c>
      <c r="L5066" t="s">
        <v>4136</v>
      </c>
      <c r="M5066" t="s">
        <v>1624</v>
      </c>
      <c r="N5066">
        <v>17.25</v>
      </c>
      <c r="O5066" s="49">
        <v>45087</v>
      </c>
      <c r="P5066" s="50">
        <v>88.236000000000004</v>
      </c>
    </row>
    <row r="5067" spans="4:16" x14ac:dyDescent="0.2">
      <c r="D5067">
        <v>100003032</v>
      </c>
      <c r="E5067" s="49">
        <v>44834</v>
      </c>
      <c r="F5067" t="s">
        <v>4646</v>
      </c>
      <c r="G5067" t="s">
        <v>1649</v>
      </c>
      <c r="H5067">
        <v>5</v>
      </c>
      <c r="I5067">
        <v>13.02</v>
      </c>
      <c r="J5067" s="50">
        <v>65.099999999999994</v>
      </c>
      <c r="K5067" t="s">
        <v>1618</v>
      </c>
      <c r="L5067" t="s">
        <v>4136</v>
      </c>
      <c r="M5067" t="s">
        <v>1621</v>
      </c>
      <c r="N5067">
        <v>6.87</v>
      </c>
      <c r="O5067" s="49">
        <v>44839</v>
      </c>
      <c r="P5067" s="50">
        <v>29.294999999999998</v>
      </c>
    </row>
    <row r="5068" spans="4:16" x14ac:dyDescent="0.2">
      <c r="D5068">
        <v>100003032</v>
      </c>
      <c r="E5068" s="49">
        <v>44365</v>
      </c>
      <c r="F5068" t="s">
        <v>4646</v>
      </c>
      <c r="G5068" t="s">
        <v>1857</v>
      </c>
      <c r="H5068">
        <v>7</v>
      </c>
      <c r="I5068">
        <v>56.52</v>
      </c>
      <c r="J5068" s="50">
        <v>395.64</v>
      </c>
      <c r="K5068" t="s">
        <v>1618</v>
      </c>
      <c r="L5068" t="s">
        <v>4136</v>
      </c>
      <c r="M5068" t="s">
        <v>1624</v>
      </c>
      <c r="N5068">
        <v>29.83</v>
      </c>
      <c r="O5068" s="49">
        <v>44366</v>
      </c>
      <c r="P5068" s="50">
        <v>178.03800000000001</v>
      </c>
    </row>
    <row r="5069" spans="4:16" x14ac:dyDescent="0.2">
      <c r="D5069">
        <v>100003032</v>
      </c>
      <c r="E5069" s="49">
        <v>44862</v>
      </c>
      <c r="F5069" t="s">
        <v>4646</v>
      </c>
      <c r="G5069" t="s">
        <v>2192</v>
      </c>
      <c r="H5069">
        <v>4</v>
      </c>
      <c r="I5069">
        <v>13.59</v>
      </c>
      <c r="J5069" s="50">
        <v>54.36</v>
      </c>
      <c r="K5069" t="s">
        <v>1618</v>
      </c>
      <c r="L5069" t="s">
        <v>4136</v>
      </c>
      <c r="M5069" t="s">
        <v>1619</v>
      </c>
      <c r="N5069">
        <v>7.17</v>
      </c>
      <c r="O5069" s="49">
        <v>44865</v>
      </c>
      <c r="P5069" s="50">
        <v>24.462</v>
      </c>
    </row>
    <row r="5070" spans="4:16" x14ac:dyDescent="0.2">
      <c r="D5070">
        <v>100003034</v>
      </c>
      <c r="E5070" s="49">
        <v>44533</v>
      </c>
      <c r="F5070" t="s">
        <v>4647</v>
      </c>
      <c r="G5070" t="s">
        <v>2161</v>
      </c>
      <c r="H5070">
        <v>9</v>
      </c>
      <c r="I5070">
        <v>85.25</v>
      </c>
      <c r="J5070" s="50">
        <v>767.25</v>
      </c>
      <c r="K5070" t="s">
        <v>1618</v>
      </c>
      <c r="M5070" t="s">
        <v>1621</v>
      </c>
      <c r="N5070">
        <v>44.99</v>
      </c>
      <c r="O5070" s="49">
        <v>44536</v>
      </c>
      <c r="P5070" s="50">
        <v>345.26249999999999</v>
      </c>
    </row>
    <row r="5071" spans="4:16" x14ac:dyDescent="0.2">
      <c r="D5071">
        <v>100003035</v>
      </c>
      <c r="E5071" s="49">
        <v>44200</v>
      </c>
      <c r="F5071" t="s">
        <v>4648</v>
      </c>
      <c r="G5071" t="s">
        <v>2633</v>
      </c>
      <c r="H5071">
        <v>4</v>
      </c>
      <c r="I5071">
        <v>48.21</v>
      </c>
      <c r="J5071" s="50">
        <v>192.84</v>
      </c>
      <c r="K5071" t="s">
        <v>1618</v>
      </c>
      <c r="M5071" t="s">
        <v>1621</v>
      </c>
      <c r="N5071">
        <v>25.44</v>
      </c>
      <c r="O5071" s="49">
        <v>44203</v>
      </c>
      <c r="P5071" s="50">
        <v>86.778000000000006</v>
      </c>
    </row>
    <row r="5072" spans="4:16" x14ac:dyDescent="0.2">
      <c r="D5072">
        <v>100003035</v>
      </c>
      <c r="E5072" s="49">
        <v>45247</v>
      </c>
      <c r="F5072" t="s">
        <v>4648</v>
      </c>
      <c r="G5072" t="s">
        <v>1880</v>
      </c>
      <c r="H5072">
        <v>9</v>
      </c>
      <c r="I5072">
        <v>46.01</v>
      </c>
      <c r="J5072" s="50">
        <v>414.09</v>
      </c>
      <c r="K5072" t="s">
        <v>1618</v>
      </c>
      <c r="M5072" t="s">
        <v>1624</v>
      </c>
      <c r="N5072">
        <v>24.28</v>
      </c>
      <c r="O5072" s="49">
        <v>45252</v>
      </c>
      <c r="P5072" s="50">
        <v>186.34049999999999</v>
      </c>
    </row>
    <row r="5073" spans="4:16" x14ac:dyDescent="0.2">
      <c r="D5073">
        <v>100003035</v>
      </c>
      <c r="E5073" s="49">
        <v>45129</v>
      </c>
      <c r="F5073" t="s">
        <v>4648</v>
      </c>
      <c r="G5073" t="s">
        <v>2147</v>
      </c>
      <c r="H5073">
        <v>9</v>
      </c>
      <c r="I5073">
        <v>55.1</v>
      </c>
      <c r="J5073" s="50">
        <v>495.9</v>
      </c>
      <c r="K5073" t="s">
        <v>1618</v>
      </c>
      <c r="M5073" t="s">
        <v>1621</v>
      </c>
      <c r="N5073">
        <v>29.08</v>
      </c>
      <c r="O5073" s="49">
        <v>45130</v>
      </c>
      <c r="P5073" s="50">
        <v>223.155</v>
      </c>
    </row>
    <row r="5074" spans="4:16" x14ac:dyDescent="0.2">
      <c r="D5074">
        <v>100003036</v>
      </c>
      <c r="E5074" s="49">
        <v>44553</v>
      </c>
      <c r="F5074" t="s">
        <v>4649</v>
      </c>
      <c r="G5074" t="s">
        <v>1841</v>
      </c>
      <c r="H5074">
        <v>10</v>
      </c>
      <c r="I5074">
        <v>88.64</v>
      </c>
      <c r="J5074" s="50">
        <v>886.4</v>
      </c>
      <c r="K5074" t="s">
        <v>1632</v>
      </c>
      <c r="L5074" t="s">
        <v>2244</v>
      </c>
      <c r="M5074" t="s">
        <v>1624</v>
      </c>
      <c r="N5074">
        <v>46.78</v>
      </c>
      <c r="O5074" s="49">
        <v>44556</v>
      </c>
      <c r="P5074" s="50">
        <v>398.88</v>
      </c>
    </row>
    <row r="5075" spans="4:16" x14ac:dyDescent="0.2">
      <c r="D5075">
        <v>100003036</v>
      </c>
      <c r="E5075" s="49">
        <v>44945</v>
      </c>
      <c r="F5075" t="s">
        <v>4649</v>
      </c>
      <c r="G5075" t="s">
        <v>1828</v>
      </c>
      <c r="H5075">
        <v>2</v>
      </c>
      <c r="I5075">
        <v>119.31</v>
      </c>
      <c r="J5075" s="50">
        <v>238.62</v>
      </c>
      <c r="K5075" t="s">
        <v>1632</v>
      </c>
      <c r="L5075" t="s">
        <v>2244</v>
      </c>
      <c r="M5075" t="s">
        <v>1621</v>
      </c>
      <c r="N5075">
        <v>62.97</v>
      </c>
      <c r="O5075" s="49">
        <v>44950</v>
      </c>
      <c r="P5075" s="50">
        <v>107.379</v>
      </c>
    </row>
    <row r="5076" spans="4:16" x14ac:dyDescent="0.2">
      <c r="D5076">
        <v>100003037</v>
      </c>
      <c r="E5076" s="49">
        <v>45566</v>
      </c>
      <c r="F5076" t="s">
        <v>4650</v>
      </c>
      <c r="G5076" t="s">
        <v>1820</v>
      </c>
      <c r="H5076">
        <v>7</v>
      </c>
      <c r="I5076">
        <v>76.260000000000005</v>
      </c>
      <c r="J5076" s="50">
        <v>533.82000000000005</v>
      </c>
      <c r="K5076" t="s">
        <v>1632</v>
      </c>
      <c r="M5076" t="s">
        <v>1627</v>
      </c>
      <c r="N5076">
        <v>40.25</v>
      </c>
      <c r="O5076" s="49">
        <v>45569</v>
      </c>
      <c r="P5076" s="50">
        <v>240.21900000000002</v>
      </c>
    </row>
    <row r="5077" spans="4:16" x14ac:dyDescent="0.2">
      <c r="D5077">
        <v>100003037</v>
      </c>
      <c r="E5077" s="49">
        <v>44948</v>
      </c>
      <c r="F5077" t="s">
        <v>4650</v>
      </c>
      <c r="G5077" t="s">
        <v>2132</v>
      </c>
      <c r="H5077">
        <v>6</v>
      </c>
      <c r="I5077">
        <v>23.35</v>
      </c>
      <c r="J5077" s="50">
        <v>140.1</v>
      </c>
      <c r="K5077" t="s">
        <v>1632</v>
      </c>
      <c r="M5077" t="s">
        <v>1627</v>
      </c>
      <c r="N5077">
        <v>12.32</v>
      </c>
      <c r="O5077" s="49">
        <v>44950</v>
      </c>
      <c r="P5077" s="50">
        <v>63.045000000000002</v>
      </c>
    </row>
    <row r="5078" spans="4:16" x14ac:dyDescent="0.2">
      <c r="D5078">
        <v>100003039</v>
      </c>
      <c r="E5078" s="49">
        <v>44563</v>
      </c>
      <c r="F5078" t="s">
        <v>4651</v>
      </c>
      <c r="G5078" t="s">
        <v>2217</v>
      </c>
      <c r="H5078">
        <v>2</v>
      </c>
      <c r="I5078">
        <v>96.76</v>
      </c>
      <c r="J5078" s="50">
        <v>193.52</v>
      </c>
      <c r="K5078" t="s">
        <v>1618</v>
      </c>
      <c r="M5078" t="s">
        <v>1624</v>
      </c>
      <c r="N5078">
        <v>51.07</v>
      </c>
      <c r="O5078" s="49">
        <v>44567</v>
      </c>
      <c r="P5078" s="50">
        <v>87.084000000000003</v>
      </c>
    </row>
    <row r="5079" spans="4:16" x14ac:dyDescent="0.2">
      <c r="D5079">
        <v>100003039</v>
      </c>
      <c r="E5079" s="49">
        <v>45378</v>
      </c>
      <c r="F5079" t="s">
        <v>4651</v>
      </c>
      <c r="G5079" t="s">
        <v>1941</v>
      </c>
      <c r="H5079">
        <v>8</v>
      </c>
      <c r="I5079">
        <v>21.53</v>
      </c>
      <c r="J5079" s="50">
        <v>172.24</v>
      </c>
      <c r="K5079" t="s">
        <v>1618</v>
      </c>
      <c r="M5079" t="s">
        <v>1629</v>
      </c>
      <c r="N5079">
        <v>11.36</v>
      </c>
      <c r="O5079" s="49">
        <v>45382</v>
      </c>
      <c r="P5079" s="50">
        <v>77.50800000000001</v>
      </c>
    </row>
    <row r="5080" spans="4:16" x14ac:dyDescent="0.2">
      <c r="D5080">
        <v>100003041</v>
      </c>
      <c r="E5080" s="49">
        <v>45212</v>
      </c>
      <c r="F5080" t="s">
        <v>4652</v>
      </c>
      <c r="G5080" t="s">
        <v>1910</v>
      </c>
      <c r="H5080">
        <v>8</v>
      </c>
      <c r="I5080">
        <v>19.739999999999998</v>
      </c>
      <c r="J5080" s="50">
        <v>157.91999999999999</v>
      </c>
      <c r="K5080" t="s">
        <v>1618</v>
      </c>
      <c r="L5080" t="s">
        <v>4653</v>
      </c>
      <c r="M5080" t="s">
        <v>1624</v>
      </c>
      <c r="N5080">
        <v>10.42</v>
      </c>
      <c r="O5080" s="49">
        <v>45217</v>
      </c>
      <c r="P5080" s="50">
        <v>71.063999999999993</v>
      </c>
    </row>
    <row r="5081" spans="4:16" x14ac:dyDescent="0.2">
      <c r="D5081">
        <v>100003042</v>
      </c>
      <c r="E5081" s="49">
        <v>44493</v>
      </c>
      <c r="F5081" t="s">
        <v>4654</v>
      </c>
      <c r="G5081" t="s">
        <v>2733</v>
      </c>
      <c r="H5081">
        <v>7</v>
      </c>
      <c r="I5081">
        <v>70.94</v>
      </c>
      <c r="J5081" s="50">
        <v>496.58</v>
      </c>
      <c r="K5081" t="s">
        <v>1632</v>
      </c>
      <c r="M5081" t="s">
        <v>1624</v>
      </c>
      <c r="N5081">
        <v>37.44</v>
      </c>
      <c r="O5081" s="49">
        <v>44496</v>
      </c>
      <c r="P5081" s="50">
        <v>223.46099999999998</v>
      </c>
    </row>
    <row r="5082" spans="4:16" x14ac:dyDescent="0.2">
      <c r="D5082">
        <v>100003042</v>
      </c>
      <c r="E5082" s="49">
        <v>44781</v>
      </c>
      <c r="F5082" t="s">
        <v>4654</v>
      </c>
      <c r="G5082" t="s">
        <v>1719</v>
      </c>
      <c r="H5082">
        <v>1</v>
      </c>
      <c r="I5082">
        <v>114.56</v>
      </c>
      <c r="J5082" s="50">
        <v>114.56</v>
      </c>
      <c r="K5082" t="s">
        <v>1632</v>
      </c>
      <c r="M5082" t="s">
        <v>1624</v>
      </c>
      <c r="N5082">
        <v>60.46</v>
      </c>
      <c r="O5082" s="49">
        <v>44785</v>
      </c>
      <c r="P5082" s="50">
        <v>51.552</v>
      </c>
    </row>
    <row r="5083" spans="4:16" x14ac:dyDescent="0.2">
      <c r="D5083">
        <v>100003043</v>
      </c>
      <c r="E5083" s="49">
        <v>45330</v>
      </c>
      <c r="F5083" t="s">
        <v>4142</v>
      </c>
      <c r="G5083" t="s">
        <v>1737</v>
      </c>
      <c r="H5083">
        <v>5</v>
      </c>
      <c r="I5083">
        <v>85.29</v>
      </c>
      <c r="J5083" s="50">
        <v>426.45</v>
      </c>
      <c r="K5083" t="s">
        <v>1632</v>
      </c>
      <c r="M5083" t="s">
        <v>1619</v>
      </c>
      <c r="N5083">
        <v>45.01</v>
      </c>
      <c r="O5083" s="49">
        <v>45334</v>
      </c>
      <c r="P5083" s="50">
        <v>191.9025</v>
      </c>
    </row>
    <row r="5084" spans="4:16" x14ac:dyDescent="0.2">
      <c r="D5084">
        <v>100003043</v>
      </c>
      <c r="E5084" s="49">
        <v>44713</v>
      </c>
      <c r="F5084" t="s">
        <v>4142</v>
      </c>
      <c r="G5084" t="s">
        <v>2766</v>
      </c>
      <c r="H5084">
        <v>10</v>
      </c>
      <c r="I5084">
        <v>62.52</v>
      </c>
      <c r="J5084" s="50">
        <v>625.20000000000005</v>
      </c>
      <c r="K5084" t="s">
        <v>1632</v>
      </c>
      <c r="M5084" t="s">
        <v>1629</v>
      </c>
      <c r="N5084">
        <v>33</v>
      </c>
      <c r="O5084" s="49">
        <v>44717</v>
      </c>
      <c r="P5084" s="50">
        <v>281.34000000000003</v>
      </c>
    </row>
    <row r="5085" spans="4:16" x14ac:dyDescent="0.2">
      <c r="D5085">
        <v>100003043</v>
      </c>
      <c r="E5085" s="49">
        <v>44600</v>
      </c>
      <c r="F5085" t="s">
        <v>4142</v>
      </c>
      <c r="G5085" t="s">
        <v>1828</v>
      </c>
      <c r="H5085">
        <v>9</v>
      </c>
      <c r="I5085">
        <v>16.96</v>
      </c>
      <c r="J5085" s="50">
        <v>152.63999999999999</v>
      </c>
      <c r="K5085" t="s">
        <v>1632</v>
      </c>
      <c r="M5085" t="s">
        <v>1619</v>
      </c>
      <c r="N5085">
        <v>8.9499999999999993</v>
      </c>
      <c r="O5085" s="49">
        <v>44603</v>
      </c>
      <c r="P5085" s="50">
        <v>68.688000000000002</v>
      </c>
    </row>
    <row r="5086" spans="4:16" x14ac:dyDescent="0.2">
      <c r="D5086">
        <v>100003047</v>
      </c>
      <c r="E5086" s="49">
        <v>45464</v>
      </c>
      <c r="F5086" t="s">
        <v>4655</v>
      </c>
      <c r="G5086" t="s">
        <v>2344</v>
      </c>
      <c r="H5086">
        <v>10</v>
      </c>
      <c r="I5086">
        <v>40.5</v>
      </c>
      <c r="J5086" s="50">
        <v>405</v>
      </c>
      <c r="K5086" t="s">
        <v>1632</v>
      </c>
      <c r="L5086" t="s">
        <v>4656</v>
      </c>
      <c r="M5086" t="s">
        <v>1619</v>
      </c>
      <c r="N5086">
        <v>21.37</v>
      </c>
      <c r="O5086" s="49">
        <v>45469</v>
      </c>
      <c r="P5086" s="50">
        <v>182.25</v>
      </c>
    </row>
    <row r="5087" spans="4:16" x14ac:dyDescent="0.2">
      <c r="D5087">
        <v>100003048</v>
      </c>
      <c r="E5087" s="49">
        <v>44612</v>
      </c>
      <c r="F5087" t="s">
        <v>4657</v>
      </c>
      <c r="G5087" t="s">
        <v>1797</v>
      </c>
      <c r="H5087">
        <v>1</v>
      </c>
      <c r="I5087">
        <v>83.03</v>
      </c>
      <c r="J5087" s="50">
        <v>83.03</v>
      </c>
      <c r="K5087" t="s">
        <v>1632</v>
      </c>
      <c r="L5087" t="s">
        <v>4658</v>
      </c>
      <c r="M5087" t="s">
        <v>1624</v>
      </c>
      <c r="N5087">
        <v>43.82</v>
      </c>
      <c r="O5087" s="49">
        <v>44614</v>
      </c>
      <c r="P5087" s="50">
        <v>37.363500000000002</v>
      </c>
    </row>
    <row r="5088" spans="4:16" x14ac:dyDescent="0.2">
      <c r="D5088">
        <v>100003049</v>
      </c>
      <c r="E5088" s="49">
        <v>44232</v>
      </c>
      <c r="F5088" t="s">
        <v>4659</v>
      </c>
      <c r="G5088" t="s">
        <v>2242</v>
      </c>
      <c r="H5088">
        <v>6</v>
      </c>
      <c r="I5088">
        <v>99.31</v>
      </c>
      <c r="J5088" s="50">
        <v>595.86</v>
      </c>
      <c r="K5088" t="s">
        <v>1632</v>
      </c>
      <c r="M5088" t="s">
        <v>1629</v>
      </c>
      <c r="N5088">
        <v>52.41</v>
      </c>
      <c r="O5088" s="49">
        <v>44234</v>
      </c>
      <c r="P5088" s="50">
        <v>268.137</v>
      </c>
    </row>
    <row r="5089" spans="4:16" x14ac:dyDescent="0.2">
      <c r="D5089">
        <v>100003049</v>
      </c>
      <c r="E5089" s="49">
        <v>44800</v>
      </c>
      <c r="F5089" t="s">
        <v>4659</v>
      </c>
      <c r="G5089" t="s">
        <v>1853</v>
      </c>
      <c r="H5089">
        <v>9</v>
      </c>
      <c r="I5089">
        <v>81.19</v>
      </c>
      <c r="J5089" s="50">
        <v>730.71</v>
      </c>
      <c r="K5089" t="s">
        <v>1632</v>
      </c>
      <c r="M5089" t="s">
        <v>1629</v>
      </c>
      <c r="N5089">
        <v>42.85</v>
      </c>
      <c r="O5089" s="49">
        <v>44804</v>
      </c>
      <c r="P5089" s="50">
        <v>328.81950000000001</v>
      </c>
    </row>
    <row r="5090" spans="4:16" x14ac:dyDescent="0.2">
      <c r="D5090">
        <v>100003049</v>
      </c>
      <c r="E5090" s="49">
        <v>44566</v>
      </c>
      <c r="F5090" t="s">
        <v>4659</v>
      </c>
      <c r="G5090" t="s">
        <v>1856</v>
      </c>
      <c r="H5090">
        <v>9</v>
      </c>
      <c r="I5090">
        <v>22.67</v>
      </c>
      <c r="J5090" s="50">
        <v>204.03</v>
      </c>
      <c r="K5090" t="s">
        <v>1632</v>
      </c>
      <c r="M5090" t="s">
        <v>1627</v>
      </c>
      <c r="N5090">
        <v>11.96</v>
      </c>
      <c r="O5090" s="49">
        <v>44568</v>
      </c>
      <c r="P5090" s="50">
        <v>91.813500000000005</v>
      </c>
    </row>
    <row r="5091" spans="4:16" x14ac:dyDescent="0.2">
      <c r="D5091">
        <v>100003050</v>
      </c>
      <c r="E5091" s="49">
        <v>44624</v>
      </c>
      <c r="F5091" t="s">
        <v>4660</v>
      </c>
      <c r="G5091" t="s">
        <v>1856</v>
      </c>
      <c r="H5091">
        <v>7</v>
      </c>
      <c r="I5091">
        <v>19.350000000000001</v>
      </c>
      <c r="J5091" s="50">
        <v>135.44999999999999</v>
      </c>
      <c r="K5091" t="s">
        <v>1618</v>
      </c>
      <c r="M5091" t="s">
        <v>1621</v>
      </c>
      <c r="N5091">
        <v>10.210000000000001</v>
      </c>
      <c r="O5091" s="49">
        <v>44628</v>
      </c>
      <c r="P5091" s="50">
        <v>60.952499999999993</v>
      </c>
    </row>
    <row r="5092" spans="4:16" x14ac:dyDescent="0.2">
      <c r="D5092">
        <v>100003050</v>
      </c>
      <c r="E5092" s="49">
        <v>45456</v>
      </c>
      <c r="F5092" t="s">
        <v>4660</v>
      </c>
      <c r="G5092" t="s">
        <v>2086</v>
      </c>
      <c r="H5092">
        <v>9</v>
      </c>
      <c r="I5092">
        <v>38.15</v>
      </c>
      <c r="J5092" s="50">
        <v>343.35</v>
      </c>
      <c r="K5092" t="s">
        <v>1618</v>
      </c>
      <c r="M5092" t="s">
        <v>1627</v>
      </c>
      <c r="N5092">
        <v>20.13</v>
      </c>
      <c r="O5092" s="49">
        <v>45460</v>
      </c>
      <c r="P5092" s="50">
        <v>154.50750000000002</v>
      </c>
    </row>
    <row r="5093" spans="4:16" x14ac:dyDescent="0.2">
      <c r="D5093">
        <v>100003050</v>
      </c>
      <c r="E5093" s="49">
        <v>44531</v>
      </c>
      <c r="F5093" t="s">
        <v>4660</v>
      </c>
      <c r="G5093" t="s">
        <v>1644</v>
      </c>
      <c r="H5093">
        <v>6</v>
      </c>
      <c r="I5093">
        <v>34.57</v>
      </c>
      <c r="J5093" s="50">
        <v>207.42</v>
      </c>
      <c r="K5093" t="s">
        <v>1618</v>
      </c>
      <c r="M5093" t="s">
        <v>1624</v>
      </c>
      <c r="N5093">
        <v>18.25</v>
      </c>
      <c r="O5093" s="49">
        <v>44532</v>
      </c>
      <c r="P5093" s="50">
        <v>93.338999999999999</v>
      </c>
    </row>
    <row r="5094" spans="4:16" x14ac:dyDescent="0.2">
      <c r="D5094">
        <v>100003050</v>
      </c>
      <c r="E5094" s="49">
        <v>44620</v>
      </c>
      <c r="F5094" t="s">
        <v>4660</v>
      </c>
      <c r="G5094" t="s">
        <v>2057</v>
      </c>
      <c r="H5094">
        <v>3</v>
      </c>
      <c r="I5094">
        <v>113.88</v>
      </c>
      <c r="J5094" s="50">
        <v>341.64</v>
      </c>
      <c r="K5094" t="s">
        <v>1618</v>
      </c>
      <c r="M5094" t="s">
        <v>1624</v>
      </c>
      <c r="N5094">
        <v>60.1</v>
      </c>
      <c r="O5094" s="49">
        <v>44624</v>
      </c>
      <c r="P5094" s="50">
        <v>153.738</v>
      </c>
    </row>
    <row r="5095" spans="4:16" x14ac:dyDescent="0.2">
      <c r="D5095">
        <v>100003051</v>
      </c>
      <c r="E5095" s="49">
        <v>45359</v>
      </c>
      <c r="F5095" t="s">
        <v>4661</v>
      </c>
      <c r="G5095" t="s">
        <v>1831</v>
      </c>
      <c r="H5095">
        <v>8</v>
      </c>
      <c r="I5095">
        <v>113.57</v>
      </c>
      <c r="J5095" s="50">
        <v>908.56</v>
      </c>
      <c r="K5095" t="s">
        <v>1632</v>
      </c>
      <c r="M5095" t="s">
        <v>1629</v>
      </c>
      <c r="N5095">
        <v>59.94</v>
      </c>
      <c r="O5095" s="49">
        <v>45363</v>
      </c>
      <c r="P5095" s="50">
        <v>408.85199999999998</v>
      </c>
    </row>
    <row r="5096" spans="4:16" x14ac:dyDescent="0.2">
      <c r="D5096">
        <v>100003052</v>
      </c>
      <c r="E5096" s="49">
        <v>45614</v>
      </c>
      <c r="F5096" t="s">
        <v>4662</v>
      </c>
      <c r="G5096" t="s">
        <v>2024</v>
      </c>
      <c r="H5096">
        <v>9</v>
      </c>
      <c r="I5096">
        <v>106.56</v>
      </c>
      <c r="J5096" s="50">
        <v>959.04</v>
      </c>
      <c r="K5096" t="s">
        <v>1618</v>
      </c>
      <c r="L5096" t="s">
        <v>4328</v>
      </c>
      <c r="M5096" t="s">
        <v>1629</v>
      </c>
      <c r="N5096">
        <v>56.24</v>
      </c>
      <c r="O5096" s="49">
        <v>45615</v>
      </c>
      <c r="P5096" s="50">
        <v>431.56799999999998</v>
      </c>
    </row>
    <row r="5097" spans="4:16" x14ac:dyDescent="0.2">
      <c r="D5097">
        <v>100003053</v>
      </c>
      <c r="E5097" s="49">
        <v>44526</v>
      </c>
      <c r="F5097" t="s">
        <v>4663</v>
      </c>
      <c r="G5097" t="s">
        <v>1748</v>
      </c>
      <c r="H5097">
        <v>7</v>
      </c>
      <c r="I5097">
        <v>23.32</v>
      </c>
      <c r="J5097" s="50">
        <v>163.24</v>
      </c>
      <c r="K5097" t="s">
        <v>1618</v>
      </c>
      <c r="M5097" t="s">
        <v>1627</v>
      </c>
      <c r="N5097">
        <v>12.31</v>
      </c>
      <c r="O5097" s="49">
        <v>44527</v>
      </c>
      <c r="P5097" s="50">
        <v>73.458000000000013</v>
      </c>
    </row>
    <row r="5098" spans="4:16" x14ac:dyDescent="0.2">
      <c r="D5098">
        <v>100003053</v>
      </c>
      <c r="E5098" s="49">
        <v>44773</v>
      </c>
      <c r="F5098" t="s">
        <v>4663</v>
      </c>
      <c r="G5098" t="s">
        <v>2099</v>
      </c>
      <c r="H5098">
        <v>6</v>
      </c>
      <c r="I5098">
        <v>74.73</v>
      </c>
      <c r="J5098" s="50">
        <v>448.38</v>
      </c>
      <c r="K5098" t="s">
        <v>1618</v>
      </c>
      <c r="M5098" t="s">
        <v>1624</v>
      </c>
      <c r="N5098">
        <v>39.44</v>
      </c>
      <c r="O5098" s="49">
        <v>44776</v>
      </c>
      <c r="P5098" s="50">
        <v>201.77100000000002</v>
      </c>
    </row>
    <row r="5099" spans="4:16" x14ac:dyDescent="0.2">
      <c r="D5099">
        <v>100003053</v>
      </c>
      <c r="E5099" s="49">
        <v>45418</v>
      </c>
      <c r="F5099" t="s">
        <v>4663</v>
      </c>
      <c r="G5099" t="s">
        <v>2062</v>
      </c>
      <c r="H5099">
        <v>3</v>
      </c>
      <c r="I5099">
        <v>105.43</v>
      </c>
      <c r="J5099" s="50">
        <v>316.29000000000002</v>
      </c>
      <c r="K5099" t="s">
        <v>1618</v>
      </c>
      <c r="M5099" t="s">
        <v>1619</v>
      </c>
      <c r="N5099">
        <v>55.64</v>
      </c>
      <c r="O5099" s="49">
        <v>45421</v>
      </c>
      <c r="P5099" s="50">
        <v>142.3305</v>
      </c>
    </row>
    <row r="5100" spans="4:16" x14ac:dyDescent="0.2">
      <c r="D5100">
        <v>100003053</v>
      </c>
      <c r="E5100" s="49">
        <v>45278</v>
      </c>
      <c r="F5100" t="s">
        <v>4663</v>
      </c>
      <c r="G5100" t="s">
        <v>2130</v>
      </c>
      <c r="H5100">
        <v>6</v>
      </c>
      <c r="I5100">
        <v>95.35</v>
      </c>
      <c r="J5100" s="50">
        <v>572.09999999999991</v>
      </c>
      <c r="K5100" t="s">
        <v>1618</v>
      </c>
      <c r="M5100" t="s">
        <v>1627</v>
      </c>
      <c r="N5100">
        <v>50.32</v>
      </c>
      <c r="O5100" s="49">
        <v>45281</v>
      </c>
      <c r="P5100" s="50">
        <v>257.44499999999999</v>
      </c>
    </row>
    <row r="5101" spans="4:16" x14ac:dyDescent="0.2">
      <c r="D5101">
        <v>100003053</v>
      </c>
      <c r="E5101" s="49">
        <v>45232</v>
      </c>
      <c r="F5101" t="s">
        <v>4663</v>
      </c>
      <c r="G5101" t="s">
        <v>1642</v>
      </c>
      <c r="H5101">
        <v>1</v>
      </c>
      <c r="I5101">
        <v>71.97</v>
      </c>
      <c r="J5101" s="50">
        <v>71.97</v>
      </c>
      <c r="K5101" t="s">
        <v>1618</v>
      </c>
      <c r="M5101" t="s">
        <v>1627</v>
      </c>
      <c r="N5101">
        <v>37.979999999999997</v>
      </c>
      <c r="O5101" s="49">
        <v>45237</v>
      </c>
      <c r="P5101" s="50">
        <v>32.386499999999998</v>
      </c>
    </row>
    <row r="5102" spans="4:16" x14ac:dyDescent="0.2">
      <c r="D5102">
        <v>100003053</v>
      </c>
      <c r="E5102" s="49">
        <v>44453</v>
      </c>
      <c r="F5102" t="s">
        <v>4663</v>
      </c>
      <c r="G5102" t="s">
        <v>1705</v>
      </c>
      <c r="H5102">
        <v>10</v>
      </c>
      <c r="I5102">
        <v>17.72</v>
      </c>
      <c r="J5102" s="50">
        <v>177.2</v>
      </c>
      <c r="K5102" t="s">
        <v>1618</v>
      </c>
      <c r="M5102" t="s">
        <v>1621</v>
      </c>
      <c r="N5102">
        <v>9.35</v>
      </c>
      <c r="O5102" s="49">
        <v>44457</v>
      </c>
      <c r="P5102" s="50">
        <v>79.739999999999995</v>
      </c>
    </row>
    <row r="5103" spans="4:16" x14ac:dyDescent="0.2">
      <c r="D5103">
        <v>100003054</v>
      </c>
      <c r="E5103" s="49">
        <v>44774</v>
      </c>
      <c r="F5103" t="s">
        <v>4664</v>
      </c>
      <c r="G5103" t="s">
        <v>1760</v>
      </c>
      <c r="H5103">
        <v>4</v>
      </c>
      <c r="I5103">
        <v>38.479999999999997</v>
      </c>
      <c r="J5103" s="50">
        <v>153.91999999999999</v>
      </c>
      <c r="K5103" t="s">
        <v>1618</v>
      </c>
      <c r="M5103" t="s">
        <v>1627</v>
      </c>
      <c r="N5103">
        <v>20.309999999999999</v>
      </c>
      <c r="O5103" s="49">
        <v>44778</v>
      </c>
      <c r="P5103" s="50">
        <v>69.263999999999996</v>
      </c>
    </row>
    <row r="5104" spans="4:16" x14ac:dyDescent="0.2">
      <c r="D5104">
        <v>100003054</v>
      </c>
      <c r="E5104" s="49">
        <v>44680</v>
      </c>
      <c r="F5104" t="s">
        <v>4664</v>
      </c>
      <c r="G5104" t="s">
        <v>1712</v>
      </c>
      <c r="H5104">
        <v>3</v>
      </c>
      <c r="I5104">
        <v>58.94</v>
      </c>
      <c r="J5104" s="50">
        <v>176.82</v>
      </c>
      <c r="K5104" t="s">
        <v>1618</v>
      </c>
      <c r="M5104" t="s">
        <v>1619</v>
      </c>
      <c r="N5104">
        <v>31.11</v>
      </c>
      <c r="O5104" s="49">
        <v>44682</v>
      </c>
      <c r="P5104" s="50">
        <v>79.569000000000003</v>
      </c>
    </row>
    <row r="5105" spans="4:16" x14ac:dyDescent="0.2">
      <c r="D5105">
        <v>100003056</v>
      </c>
      <c r="E5105" s="49">
        <v>44928</v>
      </c>
      <c r="F5105" t="s">
        <v>4665</v>
      </c>
      <c r="G5105" t="s">
        <v>2571</v>
      </c>
      <c r="H5105">
        <v>4</v>
      </c>
      <c r="I5105">
        <v>10.64</v>
      </c>
      <c r="J5105" s="50">
        <v>42.56</v>
      </c>
      <c r="K5105" t="s">
        <v>1618</v>
      </c>
      <c r="M5105" t="s">
        <v>1619</v>
      </c>
      <c r="N5105">
        <v>5.62</v>
      </c>
      <c r="O5105" s="49">
        <v>44932</v>
      </c>
      <c r="P5105" s="50">
        <v>19.152000000000001</v>
      </c>
    </row>
    <row r="5106" spans="4:16" x14ac:dyDescent="0.2">
      <c r="D5106">
        <v>100003057</v>
      </c>
      <c r="E5106" s="49">
        <v>44941</v>
      </c>
      <c r="F5106" t="s">
        <v>4666</v>
      </c>
      <c r="G5106" t="s">
        <v>1645</v>
      </c>
      <c r="H5106">
        <v>8</v>
      </c>
      <c r="I5106">
        <v>31.21</v>
      </c>
      <c r="J5106" s="50">
        <v>249.68</v>
      </c>
      <c r="K5106" t="s">
        <v>1618</v>
      </c>
      <c r="M5106" t="s">
        <v>1627</v>
      </c>
      <c r="N5106">
        <v>16.47</v>
      </c>
      <c r="O5106" s="49">
        <v>44946</v>
      </c>
      <c r="P5106" s="50">
        <v>112.35600000000001</v>
      </c>
    </row>
    <row r="5107" spans="4:16" x14ac:dyDescent="0.2">
      <c r="D5107">
        <v>100003057</v>
      </c>
      <c r="E5107" s="49">
        <v>44493</v>
      </c>
      <c r="F5107" t="s">
        <v>4666</v>
      </c>
      <c r="G5107" t="s">
        <v>1799</v>
      </c>
      <c r="H5107">
        <v>2</v>
      </c>
      <c r="I5107">
        <v>52.06</v>
      </c>
      <c r="J5107" s="50">
        <v>104.12</v>
      </c>
      <c r="K5107" t="s">
        <v>1618</v>
      </c>
      <c r="M5107" t="s">
        <v>1627</v>
      </c>
      <c r="N5107">
        <v>27.48</v>
      </c>
      <c r="O5107" s="49">
        <v>44496</v>
      </c>
      <c r="P5107" s="50">
        <v>46.854000000000006</v>
      </c>
    </row>
    <row r="5108" spans="4:16" x14ac:dyDescent="0.2">
      <c r="D5108">
        <v>100003059</v>
      </c>
      <c r="E5108" s="49">
        <v>45398</v>
      </c>
      <c r="F5108" t="s">
        <v>4667</v>
      </c>
      <c r="G5108" t="s">
        <v>2431</v>
      </c>
      <c r="H5108">
        <v>7</v>
      </c>
      <c r="I5108">
        <v>56.85</v>
      </c>
      <c r="J5108" s="50">
        <v>397.95</v>
      </c>
      <c r="K5108" t="s">
        <v>1618</v>
      </c>
      <c r="M5108" t="s">
        <v>1624</v>
      </c>
      <c r="N5108">
        <v>30</v>
      </c>
      <c r="O5108" s="49">
        <v>45402</v>
      </c>
      <c r="P5108" s="50">
        <v>179.07749999999999</v>
      </c>
    </row>
    <row r="5109" spans="4:16" x14ac:dyDescent="0.2">
      <c r="D5109">
        <v>100003060</v>
      </c>
      <c r="E5109" s="49">
        <v>45278</v>
      </c>
      <c r="F5109" t="s">
        <v>4668</v>
      </c>
      <c r="G5109" t="s">
        <v>2065</v>
      </c>
      <c r="H5109">
        <v>3</v>
      </c>
      <c r="I5109">
        <v>25.84</v>
      </c>
      <c r="J5109" s="50">
        <v>77.52</v>
      </c>
      <c r="K5109" t="s">
        <v>1632</v>
      </c>
      <c r="L5109" t="s">
        <v>4669</v>
      </c>
      <c r="M5109" t="s">
        <v>1627</v>
      </c>
      <c r="N5109">
        <v>13.64</v>
      </c>
      <c r="O5109" s="49">
        <v>45282</v>
      </c>
      <c r="P5109" s="50">
        <v>34.884</v>
      </c>
    </row>
    <row r="5110" spans="4:16" x14ac:dyDescent="0.2">
      <c r="D5110">
        <v>100003062</v>
      </c>
      <c r="E5110" s="49">
        <v>44882</v>
      </c>
      <c r="F5110" t="s">
        <v>4670</v>
      </c>
      <c r="G5110" t="s">
        <v>1737</v>
      </c>
      <c r="H5110">
        <v>5</v>
      </c>
      <c r="I5110">
        <v>24.15</v>
      </c>
      <c r="J5110" s="50">
        <v>120.75</v>
      </c>
      <c r="K5110" t="s">
        <v>1618</v>
      </c>
      <c r="M5110" t="s">
        <v>1619</v>
      </c>
      <c r="N5110">
        <v>12.75</v>
      </c>
      <c r="O5110" s="49">
        <v>44883</v>
      </c>
      <c r="P5110" s="50">
        <v>54.337499999999999</v>
      </c>
    </row>
    <row r="5111" spans="4:16" x14ac:dyDescent="0.2">
      <c r="D5111">
        <v>100003062</v>
      </c>
      <c r="E5111" s="49">
        <v>44845</v>
      </c>
      <c r="F5111" t="s">
        <v>4670</v>
      </c>
      <c r="G5111" t="s">
        <v>1999</v>
      </c>
      <c r="H5111">
        <v>8</v>
      </c>
      <c r="I5111">
        <v>114.88</v>
      </c>
      <c r="J5111" s="50">
        <v>919.04</v>
      </c>
      <c r="K5111" t="s">
        <v>1618</v>
      </c>
      <c r="M5111" t="s">
        <v>1629</v>
      </c>
      <c r="N5111">
        <v>60.63</v>
      </c>
      <c r="O5111" s="49">
        <v>44850</v>
      </c>
      <c r="P5111" s="50">
        <v>413.56799999999998</v>
      </c>
    </row>
    <row r="5112" spans="4:16" x14ac:dyDescent="0.2">
      <c r="D5112">
        <v>100003062</v>
      </c>
      <c r="E5112" s="49">
        <v>45198</v>
      </c>
      <c r="F5112" t="s">
        <v>4670</v>
      </c>
      <c r="G5112" t="s">
        <v>2098</v>
      </c>
      <c r="H5112">
        <v>7</v>
      </c>
      <c r="I5112">
        <v>66.63</v>
      </c>
      <c r="J5112" s="50">
        <v>466.41</v>
      </c>
      <c r="K5112" t="s">
        <v>1618</v>
      </c>
      <c r="M5112" t="s">
        <v>1619</v>
      </c>
      <c r="N5112">
        <v>35.17</v>
      </c>
      <c r="O5112" s="49">
        <v>45200</v>
      </c>
      <c r="P5112" s="50">
        <v>209.8845</v>
      </c>
    </row>
    <row r="5113" spans="4:16" x14ac:dyDescent="0.2">
      <c r="D5113">
        <v>100003062</v>
      </c>
      <c r="E5113" s="49">
        <v>44781</v>
      </c>
      <c r="F5113" t="s">
        <v>4670</v>
      </c>
      <c r="G5113" t="s">
        <v>1872</v>
      </c>
      <c r="H5113">
        <v>8</v>
      </c>
      <c r="I5113">
        <v>39.57</v>
      </c>
      <c r="J5113" s="50">
        <v>316.56</v>
      </c>
      <c r="K5113" t="s">
        <v>1618</v>
      </c>
      <c r="M5113" t="s">
        <v>1619</v>
      </c>
      <c r="N5113">
        <v>20.88</v>
      </c>
      <c r="O5113" s="49">
        <v>44786</v>
      </c>
      <c r="P5113" s="50">
        <v>142.452</v>
      </c>
    </row>
    <row r="5114" spans="4:16" x14ac:dyDescent="0.2">
      <c r="D5114">
        <v>100003064</v>
      </c>
      <c r="E5114" s="49">
        <v>44555</v>
      </c>
      <c r="F5114" t="s">
        <v>4671</v>
      </c>
      <c r="G5114" t="s">
        <v>1729</v>
      </c>
      <c r="H5114">
        <v>10</v>
      </c>
      <c r="I5114">
        <v>68.87</v>
      </c>
      <c r="J5114" s="50">
        <v>688.7</v>
      </c>
      <c r="K5114" t="s">
        <v>1618</v>
      </c>
      <c r="M5114" t="s">
        <v>1621</v>
      </c>
      <c r="N5114">
        <v>36.35</v>
      </c>
      <c r="O5114" s="49">
        <v>44559</v>
      </c>
      <c r="P5114" s="50">
        <v>309.91500000000002</v>
      </c>
    </row>
    <row r="5115" spans="4:16" x14ac:dyDescent="0.2">
      <c r="D5115">
        <v>100003065</v>
      </c>
      <c r="E5115" s="49">
        <v>44537</v>
      </c>
      <c r="F5115" t="s">
        <v>4672</v>
      </c>
      <c r="G5115" t="s">
        <v>1717</v>
      </c>
      <c r="H5115">
        <v>7</v>
      </c>
      <c r="I5115">
        <v>43.99</v>
      </c>
      <c r="J5115" s="50">
        <v>307.93</v>
      </c>
      <c r="K5115" t="s">
        <v>1632</v>
      </c>
      <c r="M5115" t="s">
        <v>1624</v>
      </c>
      <c r="N5115">
        <v>23.22</v>
      </c>
      <c r="O5115" s="49">
        <v>44540</v>
      </c>
      <c r="P5115" s="50">
        <v>138.5685</v>
      </c>
    </row>
    <row r="5116" spans="4:16" x14ac:dyDescent="0.2">
      <c r="D5116">
        <v>100003066</v>
      </c>
      <c r="E5116" s="49">
        <v>45550</v>
      </c>
      <c r="F5116" t="s">
        <v>3803</v>
      </c>
      <c r="G5116" t="s">
        <v>1723</v>
      </c>
      <c r="H5116">
        <v>2</v>
      </c>
      <c r="I5116">
        <v>90.7</v>
      </c>
      <c r="J5116" s="50">
        <v>181.4</v>
      </c>
      <c r="K5116" t="s">
        <v>1618</v>
      </c>
      <c r="M5116" t="s">
        <v>1629</v>
      </c>
      <c r="N5116">
        <v>47.87</v>
      </c>
      <c r="O5116" s="49">
        <v>45553</v>
      </c>
      <c r="P5116" s="50">
        <v>81.63000000000001</v>
      </c>
    </row>
    <row r="5117" spans="4:16" x14ac:dyDescent="0.2">
      <c r="D5117">
        <v>100003066</v>
      </c>
      <c r="E5117" s="49">
        <v>45025</v>
      </c>
      <c r="F5117" t="s">
        <v>3803</v>
      </c>
      <c r="G5117" t="s">
        <v>1980</v>
      </c>
      <c r="H5117">
        <v>4</v>
      </c>
      <c r="I5117">
        <v>112.28</v>
      </c>
      <c r="J5117" s="50">
        <v>449.12</v>
      </c>
      <c r="K5117" t="s">
        <v>1618</v>
      </c>
      <c r="M5117" t="s">
        <v>1629</v>
      </c>
      <c r="N5117">
        <v>59.26</v>
      </c>
      <c r="O5117" s="49">
        <v>45028</v>
      </c>
      <c r="P5117" s="50">
        <v>202.10400000000001</v>
      </c>
    </row>
    <row r="5118" spans="4:16" x14ac:dyDescent="0.2">
      <c r="D5118">
        <v>100003067</v>
      </c>
      <c r="E5118" s="49">
        <v>45088</v>
      </c>
      <c r="F5118" t="s">
        <v>4673</v>
      </c>
      <c r="G5118" t="s">
        <v>1844</v>
      </c>
      <c r="H5118">
        <v>4</v>
      </c>
      <c r="I5118">
        <v>87.28</v>
      </c>
      <c r="J5118" s="50">
        <v>349.12</v>
      </c>
      <c r="K5118" t="s">
        <v>1618</v>
      </c>
      <c r="L5118" t="s">
        <v>1869</v>
      </c>
      <c r="M5118" t="s">
        <v>1629</v>
      </c>
      <c r="N5118">
        <v>46.06</v>
      </c>
      <c r="O5118" s="49">
        <v>45091</v>
      </c>
      <c r="P5118" s="50">
        <v>157.10400000000001</v>
      </c>
    </row>
    <row r="5119" spans="4:16" x14ac:dyDescent="0.2">
      <c r="D5119">
        <v>100003070</v>
      </c>
      <c r="E5119" s="49">
        <v>45578</v>
      </c>
      <c r="F5119" t="s">
        <v>4674</v>
      </c>
      <c r="G5119" t="s">
        <v>2090</v>
      </c>
      <c r="H5119">
        <v>8</v>
      </c>
      <c r="I5119">
        <v>110.45</v>
      </c>
      <c r="J5119" s="50">
        <v>883.6</v>
      </c>
      <c r="K5119" t="s">
        <v>1618</v>
      </c>
      <c r="M5119" t="s">
        <v>1619</v>
      </c>
      <c r="N5119">
        <v>58.29</v>
      </c>
      <c r="O5119" s="49">
        <v>45581</v>
      </c>
      <c r="P5119" s="50">
        <v>397.62</v>
      </c>
    </row>
    <row r="5120" spans="4:16" x14ac:dyDescent="0.2">
      <c r="D5120">
        <v>100003070</v>
      </c>
      <c r="E5120" s="49">
        <v>44446</v>
      </c>
      <c r="F5120" t="s">
        <v>4674</v>
      </c>
      <c r="G5120" t="s">
        <v>1691</v>
      </c>
      <c r="H5120">
        <v>10</v>
      </c>
      <c r="I5120">
        <v>77.28</v>
      </c>
      <c r="J5120" s="50">
        <v>772.8</v>
      </c>
      <c r="K5120" t="s">
        <v>1618</v>
      </c>
      <c r="M5120" t="s">
        <v>1621</v>
      </c>
      <c r="N5120">
        <v>40.79</v>
      </c>
      <c r="O5120" s="49">
        <v>44447</v>
      </c>
      <c r="P5120" s="50">
        <v>347.76</v>
      </c>
    </row>
    <row r="5121" spans="4:16" x14ac:dyDescent="0.2">
      <c r="D5121">
        <v>100003072</v>
      </c>
      <c r="E5121" s="49">
        <v>44588</v>
      </c>
      <c r="F5121" t="s">
        <v>4675</v>
      </c>
      <c r="G5121" t="s">
        <v>1686</v>
      </c>
      <c r="H5121">
        <v>3</v>
      </c>
      <c r="I5121">
        <v>68.650000000000006</v>
      </c>
      <c r="J5121" s="50">
        <v>205.95</v>
      </c>
      <c r="K5121" t="s">
        <v>1632</v>
      </c>
      <c r="M5121" t="s">
        <v>1619</v>
      </c>
      <c r="N5121">
        <v>36.229999999999997</v>
      </c>
      <c r="O5121" s="49">
        <v>44592</v>
      </c>
      <c r="P5121" s="50">
        <v>92.677499999999995</v>
      </c>
    </row>
    <row r="5122" spans="4:16" x14ac:dyDescent="0.2">
      <c r="D5122">
        <v>100003073</v>
      </c>
      <c r="E5122" s="49">
        <v>44827</v>
      </c>
      <c r="F5122" t="s">
        <v>4676</v>
      </c>
      <c r="G5122" t="s">
        <v>1643</v>
      </c>
      <c r="H5122">
        <v>3</v>
      </c>
      <c r="I5122">
        <v>36.43</v>
      </c>
      <c r="J5122" s="50">
        <v>109.29</v>
      </c>
      <c r="K5122" t="s">
        <v>1618</v>
      </c>
      <c r="M5122" t="s">
        <v>1621</v>
      </c>
      <c r="N5122">
        <v>19.23</v>
      </c>
      <c r="O5122" s="49">
        <v>44830</v>
      </c>
      <c r="P5122" s="50">
        <v>49.180500000000002</v>
      </c>
    </row>
    <row r="5123" spans="4:16" x14ac:dyDescent="0.2">
      <c r="D5123">
        <v>100003073</v>
      </c>
      <c r="E5123" s="49">
        <v>44690</v>
      </c>
      <c r="F5123" t="s">
        <v>4676</v>
      </c>
      <c r="G5123" t="s">
        <v>1639</v>
      </c>
      <c r="H5123">
        <v>1</v>
      </c>
      <c r="I5123">
        <v>20.76</v>
      </c>
      <c r="J5123" s="50">
        <v>20.76</v>
      </c>
      <c r="K5123" t="s">
        <v>1618</v>
      </c>
      <c r="M5123" t="s">
        <v>1619</v>
      </c>
      <c r="N5123">
        <v>10.96</v>
      </c>
      <c r="O5123" s="49">
        <v>44695</v>
      </c>
      <c r="P5123" s="50">
        <v>9.3420000000000005</v>
      </c>
    </row>
    <row r="5124" spans="4:16" x14ac:dyDescent="0.2">
      <c r="D5124">
        <v>100003074</v>
      </c>
      <c r="E5124" s="49">
        <v>44381</v>
      </c>
      <c r="F5124" t="s">
        <v>4677</v>
      </c>
      <c r="G5124" t="s">
        <v>2263</v>
      </c>
      <c r="H5124">
        <v>3</v>
      </c>
      <c r="I5124">
        <v>16.7</v>
      </c>
      <c r="J5124" s="50">
        <v>50.099999999999987</v>
      </c>
      <c r="K5124" t="s">
        <v>1632</v>
      </c>
      <c r="L5124" t="s">
        <v>4615</v>
      </c>
      <c r="M5124" t="s">
        <v>1624</v>
      </c>
      <c r="N5124">
        <v>8.81</v>
      </c>
      <c r="O5124" s="49">
        <v>44386</v>
      </c>
      <c r="P5124" s="50">
        <v>22.544999999999995</v>
      </c>
    </row>
    <row r="5125" spans="4:16" x14ac:dyDescent="0.2">
      <c r="D5125">
        <v>100003074</v>
      </c>
      <c r="E5125" s="49">
        <v>45178</v>
      </c>
      <c r="F5125" t="s">
        <v>4677</v>
      </c>
      <c r="G5125" t="s">
        <v>1639</v>
      </c>
      <c r="H5125">
        <v>2</v>
      </c>
      <c r="I5125">
        <v>102.44</v>
      </c>
      <c r="J5125" s="50">
        <v>204.88</v>
      </c>
      <c r="K5125" t="s">
        <v>1632</v>
      </c>
      <c r="L5125" t="s">
        <v>4615</v>
      </c>
      <c r="M5125" t="s">
        <v>1627</v>
      </c>
      <c r="N5125">
        <v>54.07</v>
      </c>
      <c r="O5125" s="49">
        <v>45182</v>
      </c>
      <c r="P5125" s="50">
        <v>92.195999999999998</v>
      </c>
    </row>
    <row r="5126" spans="4:16" x14ac:dyDescent="0.2">
      <c r="D5126">
        <v>100003074</v>
      </c>
      <c r="E5126" s="49">
        <v>45265</v>
      </c>
      <c r="F5126" t="s">
        <v>4677</v>
      </c>
      <c r="G5126" t="s">
        <v>2042</v>
      </c>
      <c r="H5126">
        <v>10</v>
      </c>
      <c r="I5126">
        <v>117.65</v>
      </c>
      <c r="J5126" s="50">
        <v>1176.5</v>
      </c>
      <c r="K5126" t="s">
        <v>1632</v>
      </c>
      <c r="L5126" t="s">
        <v>4615</v>
      </c>
      <c r="M5126" t="s">
        <v>1624</v>
      </c>
      <c r="N5126">
        <v>62.09</v>
      </c>
      <c r="O5126" s="49">
        <v>45268</v>
      </c>
      <c r="P5126" s="50">
        <v>529.42500000000007</v>
      </c>
    </row>
    <row r="5127" spans="4:16" x14ac:dyDescent="0.2">
      <c r="D5127">
        <v>100003074</v>
      </c>
      <c r="E5127" s="49">
        <v>45573</v>
      </c>
      <c r="F5127" t="s">
        <v>4677</v>
      </c>
      <c r="G5127" t="s">
        <v>1956</v>
      </c>
      <c r="H5127">
        <v>4</v>
      </c>
      <c r="I5127">
        <v>17.440000000000001</v>
      </c>
      <c r="J5127" s="50">
        <v>69.760000000000005</v>
      </c>
      <c r="K5127" t="s">
        <v>1632</v>
      </c>
      <c r="L5127" t="s">
        <v>4615</v>
      </c>
      <c r="M5127" t="s">
        <v>1621</v>
      </c>
      <c r="N5127">
        <v>9.1999999999999993</v>
      </c>
      <c r="O5127" s="49">
        <v>45576</v>
      </c>
      <c r="P5127" s="50">
        <v>31.392000000000003</v>
      </c>
    </row>
    <row r="5128" spans="4:16" x14ac:dyDescent="0.2">
      <c r="D5128">
        <v>100003074</v>
      </c>
      <c r="E5128" s="49">
        <v>45064</v>
      </c>
      <c r="F5128" t="s">
        <v>4677</v>
      </c>
      <c r="G5128" t="s">
        <v>1647</v>
      </c>
      <c r="H5128">
        <v>5</v>
      </c>
      <c r="I5128">
        <v>94.73</v>
      </c>
      <c r="J5128" s="50">
        <v>473.65</v>
      </c>
      <c r="K5128" t="s">
        <v>1632</v>
      </c>
      <c r="L5128" t="s">
        <v>4615</v>
      </c>
      <c r="M5128" t="s">
        <v>1624</v>
      </c>
      <c r="N5128">
        <v>50</v>
      </c>
      <c r="O5128" s="49">
        <v>45069</v>
      </c>
      <c r="P5128" s="50">
        <v>213.14249999999998</v>
      </c>
    </row>
    <row r="5129" spans="4:16" x14ac:dyDescent="0.2">
      <c r="D5129">
        <v>100003075</v>
      </c>
      <c r="E5129" s="49">
        <v>45425</v>
      </c>
      <c r="F5129" t="s">
        <v>4678</v>
      </c>
      <c r="G5129" t="s">
        <v>2202</v>
      </c>
      <c r="H5129">
        <v>7</v>
      </c>
      <c r="I5129">
        <v>27.61</v>
      </c>
      <c r="J5129" s="50">
        <v>193.27</v>
      </c>
      <c r="K5129" t="s">
        <v>1632</v>
      </c>
      <c r="L5129" t="s">
        <v>4679</v>
      </c>
      <c r="M5129" t="s">
        <v>1621</v>
      </c>
      <c r="N5129">
        <v>14.57</v>
      </c>
      <c r="O5129" s="49">
        <v>45426</v>
      </c>
      <c r="P5129" s="50">
        <v>86.971500000000006</v>
      </c>
    </row>
    <row r="5130" spans="4:16" x14ac:dyDescent="0.2">
      <c r="D5130">
        <v>100003075</v>
      </c>
      <c r="E5130" s="49">
        <v>44903</v>
      </c>
      <c r="F5130" t="s">
        <v>4678</v>
      </c>
      <c r="G5130" t="s">
        <v>1702</v>
      </c>
      <c r="H5130">
        <v>10</v>
      </c>
      <c r="I5130">
        <v>107.35</v>
      </c>
      <c r="J5130" s="50">
        <v>1073.5</v>
      </c>
      <c r="K5130" t="s">
        <v>1632</v>
      </c>
      <c r="L5130" t="s">
        <v>4679</v>
      </c>
      <c r="M5130" t="s">
        <v>1627</v>
      </c>
      <c r="N5130">
        <v>56.66</v>
      </c>
      <c r="O5130" s="49">
        <v>44908</v>
      </c>
      <c r="P5130" s="50">
        <v>483.07499999999999</v>
      </c>
    </row>
    <row r="5131" spans="4:16" x14ac:dyDescent="0.2">
      <c r="D5131">
        <v>100003076</v>
      </c>
      <c r="E5131" s="49">
        <v>44808</v>
      </c>
      <c r="F5131" t="s">
        <v>4680</v>
      </c>
      <c r="G5131" t="s">
        <v>1666</v>
      </c>
      <c r="H5131">
        <v>3</v>
      </c>
      <c r="I5131">
        <v>52.97</v>
      </c>
      <c r="J5131" s="50">
        <v>158.91</v>
      </c>
      <c r="K5131" t="s">
        <v>1632</v>
      </c>
      <c r="M5131" t="s">
        <v>1624</v>
      </c>
      <c r="N5131">
        <v>27.96</v>
      </c>
      <c r="O5131" s="49">
        <v>44810</v>
      </c>
      <c r="P5131" s="50">
        <v>71.509500000000003</v>
      </c>
    </row>
    <row r="5132" spans="4:16" x14ac:dyDescent="0.2">
      <c r="D5132">
        <v>100003076</v>
      </c>
      <c r="E5132" s="49">
        <v>44926</v>
      </c>
      <c r="F5132" t="s">
        <v>4680</v>
      </c>
      <c r="G5132" t="s">
        <v>1797</v>
      </c>
      <c r="H5132">
        <v>10</v>
      </c>
      <c r="I5132">
        <v>96.16</v>
      </c>
      <c r="J5132" s="50">
        <v>961.59999999999991</v>
      </c>
      <c r="K5132" t="s">
        <v>1632</v>
      </c>
      <c r="M5132" t="s">
        <v>1624</v>
      </c>
      <c r="N5132">
        <v>50.75</v>
      </c>
      <c r="O5132" s="49">
        <v>44928</v>
      </c>
      <c r="P5132" s="50">
        <v>432.71999999999997</v>
      </c>
    </row>
    <row r="5133" spans="4:16" x14ac:dyDescent="0.2">
      <c r="D5133">
        <v>100003077</v>
      </c>
      <c r="E5133" s="49">
        <v>45438</v>
      </c>
      <c r="F5133" t="s">
        <v>4681</v>
      </c>
      <c r="G5133" t="s">
        <v>2039</v>
      </c>
      <c r="H5133">
        <v>7</v>
      </c>
      <c r="I5133">
        <v>51.68</v>
      </c>
      <c r="J5133" s="50">
        <v>361.76</v>
      </c>
      <c r="K5133" t="s">
        <v>1632</v>
      </c>
      <c r="M5133" t="s">
        <v>1621</v>
      </c>
      <c r="N5133">
        <v>27.28</v>
      </c>
      <c r="O5133" s="49">
        <v>45439</v>
      </c>
      <c r="P5133" s="50">
        <v>162.792</v>
      </c>
    </row>
    <row r="5134" spans="4:16" x14ac:dyDescent="0.2">
      <c r="D5134">
        <v>100003079</v>
      </c>
      <c r="E5134" s="49">
        <v>45090</v>
      </c>
      <c r="F5134" t="s">
        <v>4682</v>
      </c>
      <c r="G5134" t="s">
        <v>1636</v>
      </c>
      <c r="H5134">
        <v>10</v>
      </c>
      <c r="I5134">
        <v>24.16</v>
      </c>
      <c r="J5134" s="50">
        <v>241.6</v>
      </c>
      <c r="K5134" t="s">
        <v>1632</v>
      </c>
      <c r="M5134" t="s">
        <v>1624</v>
      </c>
      <c r="N5134">
        <v>12.75</v>
      </c>
      <c r="O5134" s="49">
        <v>45095</v>
      </c>
      <c r="P5134" s="50">
        <v>108.72</v>
      </c>
    </row>
    <row r="5135" spans="4:16" x14ac:dyDescent="0.2">
      <c r="D5135">
        <v>100003079</v>
      </c>
      <c r="E5135" s="49">
        <v>44240</v>
      </c>
      <c r="F5135" t="s">
        <v>4682</v>
      </c>
      <c r="G5135" t="s">
        <v>1699</v>
      </c>
      <c r="H5135">
        <v>3</v>
      </c>
      <c r="I5135">
        <v>95.95</v>
      </c>
      <c r="J5135" s="50">
        <v>287.85000000000002</v>
      </c>
      <c r="K5135" t="s">
        <v>1632</v>
      </c>
      <c r="M5135" t="s">
        <v>1629</v>
      </c>
      <c r="N5135">
        <v>50.64</v>
      </c>
      <c r="O5135" s="49">
        <v>44243</v>
      </c>
      <c r="P5135" s="50">
        <v>129.53250000000003</v>
      </c>
    </row>
    <row r="5136" spans="4:16" x14ac:dyDescent="0.2">
      <c r="D5136">
        <v>100003079</v>
      </c>
      <c r="E5136" s="49">
        <v>44971</v>
      </c>
      <c r="F5136" t="s">
        <v>4682</v>
      </c>
      <c r="G5136" t="s">
        <v>2132</v>
      </c>
      <c r="H5136">
        <v>2</v>
      </c>
      <c r="I5136">
        <v>47.68</v>
      </c>
      <c r="J5136" s="50">
        <v>95.36</v>
      </c>
      <c r="K5136" t="s">
        <v>1632</v>
      </c>
      <c r="M5136" t="s">
        <v>1627</v>
      </c>
      <c r="N5136">
        <v>25.16</v>
      </c>
      <c r="O5136" s="49">
        <v>44972</v>
      </c>
      <c r="P5136" s="50">
        <v>42.911999999999999</v>
      </c>
    </row>
    <row r="5137" spans="4:16" x14ac:dyDescent="0.2">
      <c r="D5137">
        <v>100003079</v>
      </c>
      <c r="E5137" s="49">
        <v>44408</v>
      </c>
      <c r="F5137" t="s">
        <v>4682</v>
      </c>
      <c r="G5137" t="s">
        <v>2550</v>
      </c>
      <c r="H5137">
        <v>3</v>
      </c>
      <c r="I5137">
        <v>98.38</v>
      </c>
      <c r="J5137" s="50">
        <v>295.14</v>
      </c>
      <c r="K5137" t="s">
        <v>1632</v>
      </c>
      <c r="M5137" t="s">
        <v>1621</v>
      </c>
      <c r="N5137">
        <v>51.92</v>
      </c>
      <c r="O5137" s="49">
        <v>44411</v>
      </c>
      <c r="P5137" s="50">
        <v>132.81299999999999</v>
      </c>
    </row>
    <row r="5138" spans="4:16" x14ac:dyDescent="0.2">
      <c r="D5138">
        <v>100003079</v>
      </c>
      <c r="E5138" s="49">
        <v>44748</v>
      </c>
      <c r="F5138" t="s">
        <v>4682</v>
      </c>
      <c r="G5138" t="s">
        <v>1702</v>
      </c>
      <c r="H5138">
        <v>3</v>
      </c>
      <c r="I5138">
        <v>55.03</v>
      </c>
      <c r="J5138" s="50">
        <v>165.09</v>
      </c>
      <c r="K5138" t="s">
        <v>1632</v>
      </c>
      <c r="M5138" t="s">
        <v>1627</v>
      </c>
      <c r="N5138">
        <v>29.04</v>
      </c>
      <c r="O5138" s="49">
        <v>44753</v>
      </c>
      <c r="P5138" s="50">
        <v>74.290500000000009</v>
      </c>
    </row>
    <row r="5139" spans="4:16" x14ac:dyDescent="0.2">
      <c r="D5139">
        <v>100003079</v>
      </c>
      <c r="E5139" s="49">
        <v>44251</v>
      </c>
      <c r="F5139" t="s">
        <v>4682</v>
      </c>
      <c r="G5139" t="s">
        <v>1890</v>
      </c>
      <c r="H5139">
        <v>2</v>
      </c>
      <c r="I5139">
        <v>34.9</v>
      </c>
      <c r="J5139" s="50">
        <v>69.8</v>
      </c>
      <c r="K5139" t="s">
        <v>1632</v>
      </c>
      <c r="M5139" t="s">
        <v>1621</v>
      </c>
      <c r="N5139">
        <v>18.420000000000002</v>
      </c>
      <c r="O5139" s="49">
        <v>44252</v>
      </c>
      <c r="P5139" s="50">
        <v>31.41</v>
      </c>
    </row>
    <row r="5140" spans="4:16" x14ac:dyDescent="0.2">
      <c r="D5140">
        <v>100003079</v>
      </c>
      <c r="E5140" s="49">
        <v>44873</v>
      </c>
      <c r="F5140" t="s">
        <v>4682</v>
      </c>
      <c r="G5140" t="s">
        <v>2574</v>
      </c>
      <c r="H5140">
        <v>1</v>
      </c>
      <c r="I5140">
        <v>113.46</v>
      </c>
      <c r="J5140" s="50">
        <v>113.46</v>
      </c>
      <c r="K5140" t="s">
        <v>1632</v>
      </c>
      <c r="M5140" t="s">
        <v>1627</v>
      </c>
      <c r="N5140">
        <v>59.88</v>
      </c>
      <c r="O5140" s="49">
        <v>44877</v>
      </c>
      <c r="P5140" s="50">
        <v>51.056999999999995</v>
      </c>
    </row>
    <row r="5141" spans="4:16" x14ac:dyDescent="0.2">
      <c r="D5141">
        <v>100003080</v>
      </c>
      <c r="E5141" s="49">
        <v>44886</v>
      </c>
      <c r="F5141" t="s">
        <v>4683</v>
      </c>
      <c r="G5141" t="s">
        <v>2331</v>
      </c>
      <c r="H5141">
        <v>1</v>
      </c>
      <c r="I5141">
        <v>94.38</v>
      </c>
      <c r="J5141" s="50">
        <v>94.38</v>
      </c>
      <c r="K5141" t="s">
        <v>1618</v>
      </c>
      <c r="M5141" t="s">
        <v>1619</v>
      </c>
      <c r="N5141">
        <v>49.81</v>
      </c>
      <c r="O5141" s="49">
        <v>44887</v>
      </c>
      <c r="P5141" s="50">
        <v>42.470999999999997</v>
      </c>
    </row>
    <row r="5142" spans="4:16" x14ac:dyDescent="0.2">
      <c r="D5142">
        <v>100003080</v>
      </c>
      <c r="E5142" s="49">
        <v>44981</v>
      </c>
      <c r="F5142" t="s">
        <v>4683</v>
      </c>
      <c r="G5142" t="s">
        <v>2698</v>
      </c>
      <c r="H5142">
        <v>2</v>
      </c>
      <c r="I5142">
        <v>59.81</v>
      </c>
      <c r="J5142" s="50">
        <v>119.62</v>
      </c>
      <c r="K5142" t="s">
        <v>1618</v>
      </c>
      <c r="M5142" t="s">
        <v>1629</v>
      </c>
      <c r="N5142">
        <v>31.57</v>
      </c>
      <c r="O5142" s="49">
        <v>44983</v>
      </c>
      <c r="P5142" s="50">
        <v>53.829000000000001</v>
      </c>
    </row>
    <row r="5143" spans="4:16" x14ac:dyDescent="0.2">
      <c r="D5143">
        <v>100003080</v>
      </c>
      <c r="E5143" s="49">
        <v>45648</v>
      </c>
      <c r="F5143" t="s">
        <v>4683</v>
      </c>
      <c r="G5143" t="s">
        <v>1728</v>
      </c>
      <c r="H5143">
        <v>8</v>
      </c>
      <c r="I5143">
        <v>95.03</v>
      </c>
      <c r="J5143" s="50">
        <v>760.24</v>
      </c>
      <c r="K5143" t="s">
        <v>1618</v>
      </c>
      <c r="M5143" t="s">
        <v>1627</v>
      </c>
      <c r="N5143">
        <v>50.15</v>
      </c>
      <c r="O5143" s="49">
        <v>45650</v>
      </c>
      <c r="P5143" s="50">
        <v>342.108</v>
      </c>
    </row>
    <row r="5144" spans="4:16" x14ac:dyDescent="0.2">
      <c r="D5144">
        <v>100003080</v>
      </c>
      <c r="E5144" s="49">
        <v>45099</v>
      </c>
      <c r="F5144" t="s">
        <v>4683</v>
      </c>
      <c r="G5144" t="s">
        <v>1963</v>
      </c>
      <c r="H5144">
        <v>10</v>
      </c>
      <c r="I5144">
        <v>47.85</v>
      </c>
      <c r="J5144" s="50">
        <v>478.5</v>
      </c>
      <c r="K5144" t="s">
        <v>1618</v>
      </c>
      <c r="M5144" t="s">
        <v>1621</v>
      </c>
      <c r="N5144">
        <v>25.25</v>
      </c>
      <c r="O5144" s="49">
        <v>45100</v>
      </c>
      <c r="P5144" s="50">
        <v>215.32500000000002</v>
      </c>
    </row>
    <row r="5145" spans="4:16" x14ac:dyDescent="0.2">
      <c r="D5145">
        <v>100003080</v>
      </c>
      <c r="E5145" s="49">
        <v>45238</v>
      </c>
      <c r="F5145" t="s">
        <v>4683</v>
      </c>
      <c r="G5145" t="s">
        <v>2337</v>
      </c>
      <c r="H5145">
        <v>1</v>
      </c>
      <c r="I5145">
        <v>99.11</v>
      </c>
      <c r="J5145" s="50">
        <v>99.11</v>
      </c>
      <c r="K5145" t="s">
        <v>1618</v>
      </c>
      <c r="M5145" t="s">
        <v>1624</v>
      </c>
      <c r="N5145">
        <v>52.31</v>
      </c>
      <c r="O5145" s="49">
        <v>45239</v>
      </c>
      <c r="P5145" s="50">
        <v>44.599499999999999</v>
      </c>
    </row>
    <row r="5146" spans="4:16" x14ac:dyDescent="0.2">
      <c r="D5146">
        <v>100003081</v>
      </c>
      <c r="E5146" s="49">
        <v>44919</v>
      </c>
      <c r="F5146" t="s">
        <v>3828</v>
      </c>
      <c r="G5146" t="s">
        <v>2093</v>
      </c>
      <c r="H5146">
        <v>2</v>
      </c>
      <c r="I5146">
        <v>14.25</v>
      </c>
      <c r="J5146" s="50">
        <v>28.5</v>
      </c>
      <c r="K5146" t="s">
        <v>1618</v>
      </c>
      <c r="L5146" t="s">
        <v>3380</v>
      </c>
      <c r="M5146" t="s">
        <v>1621</v>
      </c>
      <c r="N5146">
        <v>7.52</v>
      </c>
      <c r="O5146" s="49">
        <v>44920</v>
      </c>
      <c r="P5146" s="50">
        <v>12.825000000000001</v>
      </c>
    </row>
    <row r="5147" spans="4:16" x14ac:dyDescent="0.2">
      <c r="D5147">
        <v>100003081</v>
      </c>
      <c r="E5147" s="49">
        <v>45490</v>
      </c>
      <c r="F5147" t="s">
        <v>3828</v>
      </c>
      <c r="G5147" t="s">
        <v>1701</v>
      </c>
      <c r="H5147">
        <v>5</v>
      </c>
      <c r="I5147">
        <v>65.489999999999995</v>
      </c>
      <c r="J5147" s="50">
        <v>327.45</v>
      </c>
      <c r="K5147" t="s">
        <v>1618</v>
      </c>
      <c r="L5147" t="s">
        <v>3380</v>
      </c>
      <c r="M5147" t="s">
        <v>1619</v>
      </c>
      <c r="N5147">
        <v>34.56</v>
      </c>
      <c r="O5147" s="49">
        <v>45495</v>
      </c>
      <c r="P5147" s="50">
        <v>147.35249999999999</v>
      </c>
    </row>
    <row r="5148" spans="4:16" x14ac:dyDescent="0.2">
      <c r="D5148">
        <v>100003081</v>
      </c>
      <c r="E5148" s="49">
        <v>44699</v>
      </c>
      <c r="F5148" t="s">
        <v>3828</v>
      </c>
      <c r="G5148" t="s">
        <v>1652</v>
      </c>
      <c r="H5148">
        <v>9</v>
      </c>
      <c r="I5148">
        <v>28.38</v>
      </c>
      <c r="J5148" s="50">
        <v>255.42</v>
      </c>
      <c r="K5148" t="s">
        <v>1618</v>
      </c>
      <c r="L5148" t="s">
        <v>3380</v>
      </c>
      <c r="M5148" t="s">
        <v>1621</v>
      </c>
      <c r="N5148">
        <v>14.98</v>
      </c>
      <c r="O5148" s="49">
        <v>44700</v>
      </c>
      <c r="P5148" s="50">
        <v>114.93899999999999</v>
      </c>
    </row>
    <row r="5149" spans="4:16" x14ac:dyDescent="0.2">
      <c r="D5149">
        <v>100003081</v>
      </c>
      <c r="E5149" s="49">
        <v>45400</v>
      </c>
      <c r="F5149" t="s">
        <v>3828</v>
      </c>
      <c r="G5149" t="s">
        <v>2142</v>
      </c>
      <c r="H5149">
        <v>4</v>
      </c>
      <c r="I5149">
        <v>52.12</v>
      </c>
      <c r="J5149" s="50">
        <v>208.48</v>
      </c>
      <c r="K5149" t="s">
        <v>1618</v>
      </c>
      <c r="L5149" t="s">
        <v>3380</v>
      </c>
      <c r="M5149" t="s">
        <v>1621</v>
      </c>
      <c r="N5149">
        <v>27.51</v>
      </c>
      <c r="O5149" s="49">
        <v>45402</v>
      </c>
      <c r="P5149" s="50">
        <v>93.816000000000003</v>
      </c>
    </row>
    <row r="5150" spans="4:16" x14ac:dyDescent="0.2">
      <c r="D5150">
        <v>100003084</v>
      </c>
      <c r="E5150" s="49">
        <v>44801</v>
      </c>
      <c r="F5150" t="s">
        <v>4684</v>
      </c>
      <c r="G5150" t="s">
        <v>2168</v>
      </c>
      <c r="H5150">
        <v>1</v>
      </c>
      <c r="I5150">
        <v>93.26</v>
      </c>
      <c r="J5150" s="50">
        <v>93.26</v>
      </c>
      <c r="K5150" t="s">
        <v>1618</v>
      </c>
      <c r="L5150" t="s">
        <v>4428</v>
      </c>
      <c r="M5150" t="s">
        <v>1621</v>
      </c>
      <c r="N5150">
        <v>49.22</v>
      </c>
      <c r="O5150" s="49">
        <v>44804</v>
      </c>
      <c r="P5150" s="50">
        <v>41.967000000000006</v>
      </c>
    </row>
    <row r="5151" spans="4:16" x14ac:dyDescent="0.2">
      <c r="D5151">
        <v>100003084</v>
      </c>
      <c r="E5151" s="49">
        <v>44566</v>
      </c>
      <c r="F5151" t="s">
        <v>4684</v>
      </c>
      <c r="G5151" t="s">
        <v>1664</v>
      </c>
      <c r="H5151">
        <v>6</v>
      </c>
      <c r="I5151">
        <v>100.58</v>
      </c>
      <c r="J5151" s="50">
        <v>603.48</v>
      </c>
      <c r="K5151" t="s">
        <v>1618</v>
      </c>
      <c r="L5151" t="s">
        <v>4428</v>
      </c>
      <c r="M5151" t="s">
        <v>1624</v>
      </c>
      <c r="N5151">
        <v>53.08</v>
      </c>
      <c r="O5151" s="49">
        <v>44570</v>
      </c>
      <c r="P5151" s="50">
        <v>271.56600000000003</v>
      </c>
    </row>
    <row r="5152" spans="4:16" x14ac:dyDescent="0.2">
      <c r="D5152">
        <v>100003084</v>
      </c>
      <c r="E5152" s="49">
        <v>44391</v>
      </c>
      <c r="F5152" t="s">
        <v>4684</v>
      </c>
      <c r="G5152" t="s">
        <v>1866</v>
      </c>
      <c r="H5152">
        <v>2</v>
      </c>
      <c r="I5152">
        <v>106.06</v>
      </c>
      <c r="J5152" s="50">
        <v>212.12</v>
      </c>
      <c r="K5152" t="s">
        <v>1618</v>
      </c>
      <c r="L5152" t="s">
        <v>4428</v>
      </c>
      <c r="M5152" t="s">
        <v>1629</v>
      </c>
      <c r="N5152">
        <v>55.98</v>
      </c>
      <c r="O5152" s="49">
        <v>44392</v>
      </c>
      <c r="P5152" s="50">
        <v>95.454000000000008</v>
      </c>
    </row>
    <row r="5153" spans="4:16" x14ac:dyDescent="0.2">
      <c r="D5153">
        <v>100003084</v>
      </c>
      <c r="E5153" s="49">
        <v>45577</v>
      </c>
      <c r="F5153" t="s">
        <v>4684</v>
      </c>
      <c r="G5153" t="s">
        <v>1831</v>
      </c>
      <c r="H5153">
        <v>9</v>
      </c>
      <c r="I5153">
        <v>12.34</v>
      </c>
      <c r="J5153" s="50">
        <v>111.06</v>
      </c>
      <c r="K5153" t="s">
        <v>1618</v>
      </c>
      <c r="L5153" t="s">
        <v>4428</v>
      </c>
      <c r="M5153" t="s">
        <v>1619</v>
      </c>
      <c r="N5153">
        <v>6.51</v>
      </c>
      <c r="O5153" s="49">
        <v>45580</v>
      </c>
      <c r="P5153" s="50">
        <v>49.977000000000004</v>
      </c>
    </row>
    <row r="5154" spans="4:16" x14ac:dyDescent="0.2">
      <c r="D5154">
        <v>100003084</v>
      </c>
      <c r="E5154" s="49">
        <v>44387</v>
      </c>
      <c r="F5154" t="s">
        <v>4684</v>
      </c>
      <c r="G5154" t="s">
        <v>2098</v>
      </c>
      <c r="H5154">
        <v>6</v>
      </c>
      <c r="I5154">
        <v>44.36</v>
      </c>
      <c r="J5154" s="50">
        <v>266.16000000000003</v>
      </c>
      <c r="K5154" t="s">
        <v>1618</v>
      </c>
      <c r="L5154" t="s">
        <v>4428</v>
      </c>
      <c r="M5154" t="s">
        <v>1619</v>
      </c>
      <c r="N5154">
        <v>23.41</v>
      </c>
      <c r="O5154" s="49">
        <v>44391</v>
      </c>
      <c r="P5154" s="50">
        <v>119.77200000000002</v>
      </c>
    </row>
    <row r="5155" spans="4:16" x14ac:dyDescent="0.2">
      <c r="D5155">
        <v>100003084</v>
      </c>
      <c r="E5155" s="49">
        <v>44695</v>
      </c>
      <c r="F5155" t="s">
        <v>4684</v>
      </c>
      <c r="G5155" t="s">
        <v>1665</v>
      </c>
      <c r="H5155">
        <v>6</v>
      </c>
      <c r="I5155">
        <v>107.8</v>
      </c>
      <c r="J5155" s="50">
        <v>646.79999999999995</v>
      </c>
      <c r="K5155" t="s">
        <v>1618</v>
      </c>
      <c r="L5155" t="s">
        <v>4428</v>
      </c>
      <c r="M5155" t="s">
        <v>1627</v>
      </c>
      <c r="N5155">
        <v>56.89</v>
      </c>
      <c r="O5155" s="49">
        <v>44697</v>
      </c>
      <c r="P5155" s="50">
        <v>291.06</v>
      </c>
    </row>
    <row r="5156" spans="4:16" x14ac:dyDescent="0.2">
      <c r="D5156">
        <v>100003084</v>
      </c>
      <c r="E5156" s="49">
        <v>44604</v>
      </c>
      <c r="F5156" t="s">
        <v>4684</v>
      </c>
      <c r="G5156" t="s">
        <v>1831</v>
      </c>
      <c r="H5156">
        <v>9</v>
      </c>
      <c r="I5156">
        <v>26.77</v>
      </c>
      <c r="J5156" s="50">
        <v>240.93</v>
      </c>
      <c r="K5156" t="s">
        <v>1618</v>
      </c>
      <c r="L5156" t="s">
        <v>4428</v>
      </c>
      <c r="M5156" t="s">
        <v>1619</v>
      </c>
      <c r="N5156">
        <v>14.13</v>
      </c>
      <c r="O5156" s="49">
        <v>44607</v>
      </c>
      <c r="P5156" s="50">
        <v>108.41850000000001</v>
      </c>
    </row>
    <row r="5157" spans="4:16" x14ac:dyDescent="0.2">
      <c r="D5157">
        <v>100003085</v>
      </c>
      <c r="E5157" s="49">
        <v>45349</v>
      </c>
      <c r="F5157" t="s">
        <v>4685</v>
      </c>
      <c r="G5157" t="s">
        <v>2278</v>
      </c>
      <c r="H5157">
        <v>10</v>
      </c>
      <c r="I5157">
        <v>70</v>
      </c>
      <c r="J5157" s="50">
        <v>700</v>
      </c>
      <c r="K5157" t="s">
        <v>1618</v>
      </c>
      <c r="L5157" t="s">
        <v>4686</v>
      </c>
      <c r="M5157" t="s">
        <v>1627</v>
      </c>
      <c r="N5157">
        <v>36.94</v>
      </c>
      <c r="O5157" s="49">
        <v>45350</v>
      </c>
      <c r="P5157" s="50">
        <v>315</v>
      </c>
    </row>
    <row r="5158" spans="4:16" x14ac:dyDescent="0.2">
      <c r="D5158">
        <v>100003085</v>
      </c>
      <c r="E5158" s="49">
        <v>44481</v>
      </c>
      <c r="F5158" t="s">
        <v>4685</v>
      </c>
      <c r="G5158" t="s">
        <v>1639</v>
      </c>
      <c r="H5158">
        <v>2</v>
      </c>
      <c r="I5158">
        <v>11.77</v>
      </c>
      <c r="J5158" s="50">
        <v>23.54</v>
      </c>
      <c r="K5158" t="s">
        <v>1618</v>
      </c>
      <c r="L5158" t="s">
        <v>4686</v>
      </c>
      <c r="M5158" t="s">
        <v>1627</v>
      </c>
      <c r="N5158">
        <v>6.21</v>
      </c>
      <c r="O5158" s="49">
        <v>44484</v>
      </c>
      <c r="P5158" s="50">
        <v>10.593</v>
      </c>
    </row>
    <row r="5159" spans="4:16" x14ac:dyDescent="0.2">
      <c r="D5159">
        <v>100003086</v>
      </c>
      <c r="E5159" s="49">
        <v>44910</v>
      </c>
      <c r="F5159" t="s">
        <v>4687</v>
      </c>
      <c r="G5159" t="s">
        <v>1658</v>
      </c>
      <c r="H5159">
        <v>1</v>
      </c>
      <c r="I5159">
        <v>41.55</v>
      </c>
      <c r="J5159" s="50">
        <v>41.55</v>
      </c>
      <c r="K5159" t="s">
        <v>1632</v>
      </c>
      <c r="L5159" t="s">
        <v>4688</v>
      </c>
      <c r="M5159" t="s">
        <v>1629</v>
      </c>
      <c r="N5159">
        <v>21.93</v>
      </c>
      <c r="O5159" s="49">
        <v>44912</v>
      </c>
      <c r="P5159" s="50">
        <v>18.697499999999998</v>
      </c>
    </row>
    <row r="5160" spans="4:16" x14ac:dyDescent="0.2">
      <c r="D5160">
        <v>100003087</v>
      </c>
      <c r="E5160" s="49">
        <v>44297</v>
      </c>
      <c r="F5160" t="s">
        <v>4689</v>
      </c>
      <c r="G5160" t="s">
        <v>1693</v>
      </c>
      <c r="H5160">
        <v>1</v>
      </c>
      <c r="I5160">
        <v>81.59</v>
      </c>
      <c r="J5160" s="50">
        <v>81.59</v>
      </c>
      <c r="K5160" t="s">
        <v>1632</v>
      </c>
      <c r="M5160" t="s">
        <v>1629</v>
      </c>
      <c r="N5160">
        <v>43.06</v>
      </c>
      <c r="O5160" s="49">
        <v>44302</v>
      </c>
      <c r="P5160" s="50">
        <v>36.715500000000006</v>
      </c>
    </row>
    <row r="5161" spans="4:16" x14ac:dyDescent="0.2">
      <c r="D5161">
        <v>100003087</v>
      </c>
      <c r="E5161" s="49">
        <v>44708</v>
      </c>
      <c r="F5161" t="s">
        <v>4689</v>
      </c>
      <c r="G5161" t="s">
        <v>2159</v>
      </c>
      <c r="H5161">
        <v>5</v>
      </c>
      <c r="I5161">
        <v>71.31</v>
      </c>
      <c r="J5161" s="50">
        <v>356.55</v>
      </c>
      <c r="K5161" t="s">
        <v>1632</v>
      </c>
      <c r="M5161" t="s">
        <v>1627</v>
      </c>
      <c r="N5161">
        <v>37.64</v>
      </c>
      <c r="O5161" s="49">
        <v>44713</v>
      </c>
      <c r="P5161" s="50">
        <v>160.44750000000002</v>
      </c>
    </row>
    <row r="5162" spans="4:16" x14ac:dyDescent="0.2">
      <c r="D5162">
        <v>100003087</v>
      </c>
      <c r="E5162" s="49">
        <v>45030</v>
      </c>
      <c r="F5162" t="s">
        <v>4689</v>
      </c>
      <c r="G5162" t="s">
        <v>2393</v>
      </c>
      <c r="H5162">
        <v>8</v>
      </c>
      <c r="I5162">
        <v>82.76</v>
      </c>
      <c r="J5162" s="50">
        <v>662.08</v>
      </c>
      <c r="K5162" t="s">
        <v>1632</v>
      </c>
      <c r="M5162" t="s">
        <v>1621</v>
      </c>
      <c r="N5162">
        <v>43.68</v>
      </c>
      <c r="O5162" s="49">
        <v>45031</v>
      </c>
      <c r="P5162" s="50">
        <v>297.93600000000004</v>
      </c>
    </row>
    <row r="5163" spans="4:16" x14ac:dyDescent="0.2">
      <c r="D5163">
        <v>100003088</v>
      </c>
      <c r="E5163" s="49">
        <v>45334</v>
      </c>
      <c r="F5163" t="s">
        <v>4690</v>
      </c>
      <c r="G5163" t="s">
        <v>2147</v>
      </c>
      <c r="H5163">
        <v>7</v>
      </c>
      <c r="I5163">
        <v>12.71</v>
      </c>
      <c r="J5163" s="50">
        <v>88.97</v>
      </c>
      <c r="K5163" t="s">
        <v>1632</v>
      </c>
      <c r="M5163" t="s">
        <v>1629</v>
      </c>
      <c r="N5163">
        <v>6.71</v>
      </c>
      <c r="O5163" s="49">
        <v>45338</v>
      </c>
      <c r="P5163" s="50">
        <v>40.036500000000004</v>
      </c>
    </row>
    <row r="5164" spans="4:16" x14ac:dyDescent="0.2">
      <c r="D5164">
        <v>100003088</v>
      </c>
      <c r="E5164" s="49">
        <v>44911</v>
      </c>
      <c r="F5164" t="s">
        <v>4690</v>
      </c>
      <c r="G5164" t="s">
        <v>1805</v>
      </c>
      <c r="H5164">
        <v>3</v>
      </c>
      <c r="I5164">
        <v>89.72</v>
      </c>
      <c r="J5164" s="50">
        <v>269.16000000000003</v>
      </c>
      <c r="K5164" t="s">
        <v>1632</v>
      </c>
      <c r="M5164" t="s">
        <v>1624</v>
      </c>
      <c r="N5164">
        <v>47.35</v>
      </c>
      <c r="O5164" s="49">
        <v>44912</v>
      </c>
      <c r="P5164" s="50">
        <v>121.12200000000001</v>
      </c>
    </row>
    <row r="5165" spans="4:16" x14ac:dyDescent="0.2">
      <c r="D5165">
        <v>100003088</v>
      </c>
      <c r="E5165" s="49">
        <v>45414</v>
      </c>
      <c r="F5165" t="s">
        <v>4690</v>
      </c>
      <c r="G5165" t="s">
        <v>2204</v>
      </c>
      <c r="H5165">
        <v>6</v>
      </c>
      <c r="I5165">
        <v>75.11</v>
      </c>
      <c r="J5165" s="50">
        <v>450.66</v>
      </c>
      <c r="K5165" t="s">
        <v>1632</v>
      </c>
      <c r="M5165" t="s">
        <v>1627</v>
      </c>
      <c r="N5165">
        <v>39.64</v>
      </c>
      <c r="O5165" s="49">
        <v>45416</v>
      </c>
      <c r="P5165" s="50">
        <v>202.79700000000003</v>
      </c>
    </row>
    <row r="5166" spans="4:16" x14ac:dyDescent="0.2">
      <c r="D5166">
        <v>100003088</v>
      </c>
      <c r="E5166" s="49">
        <v>45524</v>
      </c>
      <c r="F5166" t="s">
        <v>4690</v>
      </c>
      <c r="G5166" t="s">
        <v>1767</v>
      </c>
      <c r="H5166">
        <v>9</v>
      </c>
      <c r="I5166">
        <v>117.12</v>
      </c>
      <c r="J5166" s="50">
        <v>1054.08</v>
      </c>
      <c r="K5166" t="s">
        <v>1632</v>
      </c>
      <c r="M5166" t="s">
        <v>1619</v>
      </c>
      <c r="N5166">
        <v>61.81</v>
      </c>
      <c r="O5166" s="49">
        <v>45529</v>
      </c>
      <c r="P5166" s="50">
        <v>474.33599999999996</v>
      </c>
    </row>
    <row r="5167" spans="4:16" x14ac:dyDescent="0.2">
      <c r="D5167">
        <v>100003090</v>
      </c>
      <c r="E5167" s="49">
        <v>44391</v>
      </c>
      <c r="F5167" t="s">
        <v>3357</v>
      </c>
      <c r="G5167" t="s">
        <v>2023</v>
      </c>
      <c r="H5167">
        <v>6</v>
      </c>
      <c r="I5167">
        <v>48.22</v>
      </c>
      <c r="J5167" s="50">
        <v>289.32</v>
      </c>
      <c r="K5167" t="s">
        <v>1618</v>
      </c>
      <c r="L5167" t="s">
        <v>2276</v>
      </c>
      <c r="M5167" t="s">
        <v>1629</v>
      </c>
      <c r="N5167">
        <v>25.45</v>
      </c>
      <c r="O5167" s="49">
        <v>44393</v>
      </c>
      <c r="P5167" s="50">
        <v>130.19399999999999</v>
      </c>
    </row>
    <row r="5168" spans="4:16" x14ac:dyDescent="0.2">
      <c r="D5168">
        <v>100003092</v>
      </c>
      <c r="E5168" s="49">
        <v>44768</v>
      </c>
      <c r="F5168" t="s">
        <v>4691</v>
      </c>
      <c r="G5168" t="s">
        <v>2084</v>
      </c>
      <c r="H5168">
        <v>4</v>
      </c>
      <c r="I5168">
        <v>110.06</v>
      </c>
      <c r="J5168" s="50">
        <v>440.24</v>
      </c>
      <c r="K5168" t="s">
        <v>1618</v>
      </c>
      <c r="M5168" t="s">
        <v>1619</v>
      </c>
      <c r="N5168">
        <v>58.09</v>
      </c>
      <c r="O5168" s="49">
        <v>44772</v>
      </c>
      <c r="P5168" s="50">
        <v>198.108</v>
      </c>
    </row>
    <row r="5169" spans="4:16" x14ac:dyDescent="0.2">
      <c r="D5169">
        <v>100003093</v>
      </c>
      <c r="E5169" s="49">
        <v>44549</v>
      </c>
      <c r="F5169" t="s">
        <v>4692</v>
      </c>
      <c r="G5169" t="s">
        <v>1710</v>
      </c>
      <c r="H5169">
        <v>2</v>
      </c>
      <c r="I5169">
        <v>20.38</v>
      </c>
      <c r="J5169" s="50">
        <v>40.76</v>
      </c>
      <c r="K5169" t="s">
        <v>1618</v>
      </c>
      <c r="L5169" t="s">
        <v>2276</v>
      </c>
      <c r="M5169" t="s">
        <v>1621</v>
      </c>
      <c r="N5169">
        <v>10.76</v>
      </c>
      <c r="O5169" s="49">
        <v>44551</v>
      </c>
      <c r="P5169" s="50">
        <v>18.341999999999999</v>
      </c>
    </row>
    <row r="5170" spans="4:16" x14ac:dyDescent="0.2">
      <c r="D5170">
        <v>100003093</v>
      </c>
      <c r="E5170" s="49">
        <v>44287</v>
      </c>
      <c r="F5170" t="s">
        <v>4692</v>
      </c>
      <c r="G5170" t="s">
        <v>1749</v>
      </c>
      <c r="H5170">
        <v>1</v>
      </c>
      <c r="I5170">
        <v>59.74</v>
      </c>
      <c r="J5170" s="50">
        <v>59.74</v>
      </c>
      <c r="K5170" t="s">
        <v>1618</v>
      </c>
      <c r="L5170" t="s">
        <v>2276</v>
      </c>
      <c r="M5170" t="s">
        <v>1624</v>
      </c>
      <c r="N5170">
        <v>31.53</v>
      </c>
      <c r="O5170" s="49">
        <v>44291</v>
      </c>
      <c r="P5170" s="50">
        <v>26.883000000000003</v>
      </c>
    </row>
    <row r="5171" spans="4:16" x14ac:dyDescent="0.2">
      <c r="D5171">
        <v>100003093</v>
      </c>
      <c r="E5171" s="49">
        <v>45372</v>
      </c>
      <c r="F5171" t="s">
        <v>4692</v>
      </c>
      <c r="G5171" t="s">
        <v>2278</v>
      </c>
      <c r="H5171">
        <v>4</v>
      </c>
      <c r="I5171">
        <v>80.83</v>
      </c>
      <c r="J5171" s="50">
        <v>323.32</v>
      </c>
      <c r="K5171" t="s">
        <v>1618</v>
      </c>
      <c r="L5171" t="s">
        <v>2276</v>
      </c>
      <c r="M5171" t="s">
        <v>1629</v>
      </c>
      <c r="N5171">
        <v>42.66</v>
      </c>
      <c r="O5171" s="49">
        <v>45375</v>
      </c>
      <c r="P5171" s="50">
        <v>145.494</v>
      </c>
    </row>
    <row r="5172" spans="4:16" x14ac:dyDescent="0.2">
      <c r="D5172">
        <v>100003094</v>
      </c>
      <c r="E5172" s="49">
        <v>44705</v>
      </c>
      <c r="F5172" t="s">
        <v>4693</v>
      </c>
      <c r="G5172" t="s">
        <v>1864</v>
      </c>
      <c r="H5172">
        <v>4</v>
      </c>
      <c r="I5172">
        <v>112.07</v>
      </c>
      <c r="J5172" s="50">
        <v>448.28</v>
      </c>
      <c r="K5172" t="s">
        <v>1632</v>
      </c>
      <c r="M5172" t="s">
        <v>1619</v>
      </c>
      <c r="N5172">
        <v>59.15</v>
      </c>
      <c r="O5172" s="49">
        <v>44706</v>
      </c>
      <c r="P5172" s="50">
        <v>201.726</v>
      </c>
    </row>
    <row r="5173" spans="4:16" x14ac:dyDescent="0.2">
      <c r="D5173">
        <v>100003094</v>
      </c>
      <c r="E5173" s="49">
        <v>44992</v>
      </c>
      <c r="F5173" t="s">
        <v>4693</v>
      </c>
      <c r="G5173" t="s">
        <v>2378</v>
      </c>
      <c r="H5173">
        <v>8</v>
      </c>
      <c r="I5173">
        <v>75.72</v>
      </c>
      <c r="J5173" s="50">
        <v>605.76</v>
      </c>
      <c r="K5173" t="s">
        <v>1632</v>
      </c>
      <c r="M5173" t="s">
        <v>1621</v>
      </c>
      <c r="N5173">
        <v>39.96</v>
      </c>
      <c r="O5173" s="49">
        <v>44995</v>
      </c>
      <c r="P5173" s="50">
        <v>272.59199999999998</v>
      </c>
    </row>
    <row r="5174" spans="4:16" x14ac:dyDescent="0.2">
      <c r="D5174">
        <v>100003094</v>
      </c>
      <c r="E5174" s="49">
        <v>45154</v>
      </c>
      <c r="F5174" t="s">
        <v>4693</v>
      </c>
      <c r="G5174" t="s">
        <v>2136</v>
      </c>
      <c r="H5174">
        <v>2</v>
      </c>
      <c r="I5174">
        <v>105.36</v>
      </c>
      <c r="J5174" s="50">
        <v>210.72</v>
      </c>
      <c r="K5174" t="s">
        <v>1632</v>
      </c>
      <c r="M5174" t="s">
        <v>1627</v>
      </c>
      <c r="N5174">
        <v>55.61</v>
      </c>
      <c r="O5174" s="49">
        <v>45157</v>
      </c>
      <c r="P5174" s="50">
        <v>94.823999999999998</v>
      </c>
    </row>
    <row r="5175" spans="4:16" x14ac:dyDescent="0.2">
      <c r="D5175">
        <v>100003096</v>
      </c>
      <c r="E5175" s="49">
        <v>45469</v>
      </c>
      <c r="F5175" t="s">
        <v>4694</v>
      </c>
      <c r="G5175" t="s">
        <v>1990</v>
      </c>
      <c r="H5175">
        <v>10</v>
      </c>
      <c r="I5175">
        <v>10.65</v>
      </c>
      <c r="J5175" s="50">
        <v>106.5</v>
      </c>
      <c r="K5175" t="s">
        <v>1618</v>
      </c>
      <c r="M5175" t="s">
        <v>1621</v>
      </c>
      <c r="N5175">
        <v>5.62</v>
      </c>
      <c r="O5175" s="49">
        <v>45472</v>
      </c>
      <c r="P5175" s="50">
        <v>47.925000000000004</v>
      </c>
    </row>
    <row r="5176" spans="4:16" x14ac:dyDescent="0.2">
      <c r="D5176">
        <v>100003096</v>
      </c>
      <c r="E5176" s="49">
        <v>44522</v>
      </c>
      <c r="F5176" t="s">
        <v>4694</v>
      </c>
      <c r="G5176" t="s">
        <v>2707</v>
      </c>
      <c r="H5176">
        <v>2</v>
      </c>
      <c r="I5176">
        <v>108.1</v>
      </c>
      <c r="J5176" s="50">
        <v>216.2</v>
      </c>
      <c r="K5176" t="s">
        <v>1618</v>
      </c>
      <c r="M5176" t="s">
        <v>1624</v>
      </c>
      <c r="N5176">
        <v>57.05</v>
      </c>
      <c r="O5176" s="49">
        <v>44523</v>
      </c>
      <c r="P5176" s="50">
        <v>97.289999999999992</v>
      </c>
    </row>
    <row r="5177" spans="4:16" x14ac:dyDescent="0.2">
      <c r="D5177">
        <v>100003096</v>
      </c>
      <c r="E5177" s="49">
        <v>44929</v>
      </c>
      <c r="F5177" t="s">
        <v>4694</v>
      </c>
      <c r="G5177" t="s">
        <v>2023</v>
      </c>
      <c r="H5177">
        <v>9</v>
      </c>
      <c r="I5177">
        <v>57.83</v>
      </c>
      <c r="J5177" s="50">
        <v>520.47</v>
      </c>
      <c r="K5177" t="s">
        <v>1618</v>
      </c>
      <c r="M5177" t="s">
        <v>1621</v>
      </c>
      <c r="N5177">
        <v>30.52</v>
      </c>
      <c r="O5177" s="49">
        <v>44933</v>
      </c>
      <c r="P5177" s="50">
        <v>234.21150000000003</v>
      </c>
    </row>
    <row r="5178" spans="4:16" x14ac:dyDescent="0.2">
      <c r="D5178">
        <v>100003096</v>
      </c>
      <c r="E5178" s="49">
        <v>45649</v>
      </c>
      <c r="F5178" t="s">
        <v>4694</v>
      </c>
      <c r="G5178" t="s">
        <v>2574</v>
      </c>
      <c r="H5178">
        <v>6</v>
      </c>
      <c r="I5178">
        <v>19.38</v>
      </c>
      <c r="J5178" s="50">
        <v>116.28</v>
      </c>
      <c r="K5178" t="s">
        <v>1618</v>
      </c>
      <c r="M5178" t="s">
        <v>1627</v>
      </c>
      <c r="N5178">
        <v>10.23</v>
      </c>
      <c r="O5178" s="49">
        <v>45654</v>
      </c>
      <c r="P5178" s="50">
        <v>52.326000000000001</v>
      </c>
    </row>
    <row r="5179" spans="4:16" x14ac:dyDescent="0.2">
      <c r="D5179">
        <v>100003096</v>
      </c>
      <c r="E5179" s="49">
        <v>44782</v>
      </c>
      <c r="F5179" t="s">
        <v>4694</v>
      </c>
      <c r="G5179" t="s">
        <v>2168</v>
      </c>
      <c r="H5179">
        <v>9</v>
      </c>
      <c r="I5179">
        <v>33.700000000000003</v>
      </c>
      <c r="J5179" s="50">
        <v>303.3</v>
      </c>
      <c r="K5179" t="s">
        <v>1618</v>
      </c>
      <c r="M5179" t="s">
        <v>1619</v>
      </c>
      <c r="N5179">
        <v>17.79</v>
      </c>
      <c r="O5179" s="49">
        <v>44784</v>
      </c>
      <c r="P5179" s="50">
        <v>136.48500000000001</v>
      </c>
    </row>
    <row r="5180" spans="4:16" x14ac:dyDescent="0.2">
      <c r="D5180">
        <v>100003097</v>
      </c>
      <c r="E5180" s="49">
        <v>45545</v>
      </c>
      <c r="F5180" t="s">
        <v>4695</v>
      </c>
      <c r="G5180" t="s">
        <v>2111</v>
      </c>
      <c r="H5180">
        <v>3</v>
      </c>
      <c r="I5180">
        <v>14.47</v>
      </c>
      <c r="J5180" s="50">
        <v>43.41</v>
      </c>
      <c r="K5180" t="s">
        <v>1632</v>
      </c>
      <c r="M5180" t="s">
        <v>1619</v>
      </c>
      <c r="N5180">
        <v>7.64</v>
      </c>
      <c r="O5180" s="49">
        <v>45550</v>
      </c>
      <c r="P5180" s="50">
        <v>19.534499999999998</v>
      </c>
    </row>
    <row r="5181" spans="4:16" x14ac:dyDescent="0.2">
      <c r="D5181">
        <v>100003097</v>
      </c>
      <c r="E5181" s="49">
        <v>45186</v>
      </c>
      <c r="F5181" t="s">
        <v>4695</v>
      </c>
      <c r="G5181" t="s">
        <v>1748</v>
      </c>
      <c r="H5181">
        <v>9</v>
      </c>
      <c r="I5181">
        <v>93.6</v>
      </c>
      <c r="J5181" s="50">
        <v>842.4</v>
      </c>
      <c r="K5181" t="s">
        <v>1632</v>
      </c>
      <c r="M5181" t="s">
        <v>1621</v>
      </c>
      <c r="N5181">
        <v>49.4</v>
      </c>
      <c r="O5181" s="49">
        <v>45187</v>
      </c>
      <c r="P5181" s="50">
        <v>379.08</v>
      </c>
    </row>
    <row r="5182" spans="4:16" x14ac:dyDescent="0.2">
      <c r="D5182">
        <v>100003097</v>
      </c>
      <c r="E5182" s="49">
        <v>44549</v>
      </c>
      <c r="F5182" t="s">
        <v>4695</v>
      </c>
      <c r="G5182" t="s">
        <v>1893</v>
      </c>
      <c r="H5182">
        <v>6</v>
      </c>
      <c r="I5182">
        <v>18.68</v>
      </c>
      <c r="J5182" s="50">
        <v>112.08</v>
      </c>
      <c r="K5182" t="s">
        <v>1632</v>
      </c>
      <c r="M5182" t="s">
        <v>1629</v>
      </c>
      <c r="N5182">
        <v>9.86</v>
      </c>
      <c r="O5182" s="49">
        <v>44554</v>
      </c>
      <c r="P5182" s="50">
        <v>50.436</v>
      </c>
    </row>
    <row r="5183" spans="4:16" x14ac:dyDescent="0.2">
      <c r="D5183">
        <v>100003097</v>
      </c>
      <c r="E5183" s="49">
        <v>44376</v>
      </c>
      <c r="F5183" t="s">
        <v>4695</v>
      </c>
      <c r="G5183" t="s">
        <v>1641</v>
      </c>
      <c r="H5183">
        <v>1</v>
      </c>
      <c r="I5183">
        <v>115.48</v>
      </c>
      <c r="J5183" s="50">
        <v>115.48</v>
      </c>
      <c r="K5183" t="s">
        <v>1632</v>
      </c>
      <c r="M5183" t="s">
        <v>1629</v>
      </c>
      <c r="N5183">
        <v>60.95</v>
      </c>
      <c r="O5183" s="49">
        <v>44381</v>
      </c>
      <c r="P5183" s="50">
        <v>51.966000000000001</v>
      </c>
    </row>
    <row r="5184" spans="4:16" x14ac:dyDescent="0.2">
      <c r="D5184">
        <v>100003098</v>
      </c>
      <c r="E5184" s="49">
        <v>44717</v>
      </c>
      <c r="F5184" t="s">
        <v>4696</v>
      </c>
      <c r="G5184" t="s">
        <v>1760</v>
      </c>
      <c r="H5184">
        <v>10</v>
      </c>
      <c r="I5184">
        <v>59.65</v>
      </c>
      <c r="J5184" s="50">
        <v>596.5</v>
      </c>
      <c r="K5184" t="s">
        <v>1618</v>
      </c>
      <c r="M5184" t="s">
        <v>1627</v>
      </c>
      <c r="N5184">
        <v>31.48</v>
      </c>
      <c r="O5184" s="49">
        <v>44719</v>
      </c>
      <c r="P5184" s="50">
        <v>268.42500000000001</v>
      </c>
    </row>
    <row r="5185" spans="4:16" x14ac:dyDescent="0.2">
      <c r="D5185">
        <v>100003098</v>
      </c>
      <c r="E5185" s="49">
        <v>44534</v>
      </c>
      <c r="F5185" t="s">
        <v>4696</v>
      </c>
      <c r="G5185" t="s">
        <v>1645</v>
      </c>
      <c r="H5185">
        <v>10</v>
      </c>
      <c r="I5185">
        <v>41.61</v>
      </c>
      <c r="J5185" s="50">
        <v>416.1</v>
      </c>
      <c r="K5185" t="s">
        <v>1618</v>
      </c>
      <c r="M5185" t="s">
        <v>1629</v>
      </c>
      <c r="N5185">
        <v>21.96</v>
      </c>
      <c r="O5185" s="49">
        <v>44538</v>
      </c>
      <c r="P5185" s="50">
        <v>187.245</v>
      </c>
    </row>
    <row r="5186" spans="4:16" x14ac:dyDescent="0.2">
      <c r="D5186">
        <v>100003099</v>
      </c>
      <c r="E5186" s="49">
        <v>44843</v>
      </c>
      <c r="F5186" t="s">
        <v>4493</v>
      </c>
      <c r="G5186" t="s">
        <v>2412</v>
      </c>
      <c r="H5186">
        <v>10</v>
      </c>
      <c r="I5186">
        <v>99.17</v>
      </c>
      <c r="J5186" s="50">
        <v>991.7</v>
      </c>
      <c r="K5186" t="s">
        <v>1618</v>
      </c>
      <c r="M5186" t="s">
        <v>1619</v>
      </c>
      <c r="N5186">
        <v>52.34</v>
      </c>
      <c r="O5186" s="49">
        <v>44847</v>
      </c>
      <c r="P5186" s="50">
        <v>446.26500000000004</v>
      </c>
    </row>
    <row r="5187" spans="4:16" x14ac:dyDescent="0.2">
      <c r="D5187">
        <v>100003100</v>
      </c>
      <c r="E5187" s="49">
        <v>44608</v>
      </c>
      <c r="F5187" t="s">
        <v>4697</v>
      </c>
      <c r="G5187" t="s">
        <v>1707</v>
      </c>
      <c r="H5187">
        <v>10</v>
      </c>
      <c r="I5187">
        <v>98.11</v>
      </c>
      <c r="J5187" s="50">
        <v>981.1</v>
      </c>
      <c r="K5187" t="s">
        <v>1632</v>
      </c>
      <c r="L5187" t="s">
        <v>4698</v>
      </c>
      <c r="M5187" t="s">
        <v>1621</v>
      </c>
      <c r="N5187">
        <v>51.78</v>
      </c>
      <c r="O5187" s="49">
        <v>44611</v>
      </c>
      <c r="P5187" s="50">
        <v>441.495</v>
      </c>
    </row>
    <row r="5188" spans="4:16" x14ac:dyDescent="0.2">
      <c r="D5188">
        <v>100003100</v>
      </c>
      <c r="E5188" s="49">
        <v>45297</v>
      </c>
      <c r="F5188" t="s">
        <v>4697</v>
      </c>
      <c r="G5188" t="s">
        <v>1895</v>
      </c>
      <c r="H5188">
        <v>7</v>
      </c>
      <c r="I5188">
        <v>47.95</v>
      </c>
      <c r="J5188" s="50">
        <v>335.65</v>
      </c>
      <c r="K5188" t="s">
        <v>1632</v>
      </c>
      <c r="L5188" t="s">
        <v>4698</v>
      </c>
      <c r="M5188" t="s">
        <v>1621</v>
      </c>
      <c r="N5188">
        <v>25.31</v>
      </c>
      <c r="O5188" s="49">
        <v>45300</v>
      </c>
      <c r="P5188" s="50">
        <v>151.04249999999999</v>
      </c>
    </row>
    <row r="5189" spans="4:16" x14ac:dyDescent="0.2">
      <c r="D5189">
        <v>100003101</v>
      </c>
      <c r="E5189" s="49">
        <v>45558</v>
      </c>
      <c r="F5189" t="s">
        <v>4699</v>
      </c>
      <c r="G5189" t="s">
        <v>1645</v>
      </c>
      <c r="H5189">
        <v>8</v>
      </c>
      <c r="I5189">
        <v>91.09</v>
      </c>
      <c r="J5189" s="50">
        <v>728.72</v>
      </c>
      <c r="K5189" t="s">
        <v>1632</v>
      </c>
      <c r="M5189" t="s">
        <v>1624</v>
      </c>
      <c r="N5189">
        <v>48.07</v>
      </c>
      <c r="O5189" s="49">
        <v>45559</v>
      </c>
      <c r="P5189" s="50">
        <v>327.92400000000004</v>
      </c>
    </row>
    <row r="5190" spans="4:16" x14ac:dyDescent="0.2">
      <c r="D5190">
        <v>100003102</v>
      </c>
      <c r="E5190" s="49">
        <v>44641</v>
      </c>
      <c r="F5190" t="s">
        <v>4700</v>
      </c>
      <c r="G5190" t="s">
        <v>1691</v>
      </c>
      <c r="H5190">
        <v>2</v>
      </c>
      <c r="I5190">
        <v>22.34</v>
      </c>
      <c r="J5190" s="50">
        <v>44.68</v>
      </c>
      <c r="K5190" t="s">
        <v>1618</v>
      </c>
      <c r="M5190" t="s">
        <v>1624</v>
      </c>
      <c r="N5190">
        <v>11.79</v>
      </c>
      <c r="O5190" s="49">
        <v>44646</v>
      </c>
      <c r="P5190" s="50">
        <v>20.106000000000002</v>
      </c>
    </row>
    <row r="5191" spans="4:16" x14ac:dyDescent="0.2">
      <c r="D5191">
        <v>100003102</v>
      </c>
      <c r="E5191" s="49">
        <v>44349</v>
      </c>
      <c r="F5191" t="s">
        <v>4700</v>
      </c>
      <c r="G5191" t="s">
        <v>2480</v>
      </c>
      <c r="H5191">
        <v>9</v>
      </c>
      <c r="I5191">
        <v>48.37</v>
      </c>
      <c r="J5191" s="50">
        <v>435.33</v>
      </c>
      <c r="K5191" t="s">
        <v>1618</v>
      </c>
      <c r="M5191" t="s">
        <v>1621</v>
      </c>
      <c r="N5191">
        <v>25.53</v>
      </c>
      <c r="O5191" s="49">
        <v>44351</v>
      </c>
      <c r="P5191" s="50">
        <v>195.89849999999998</v>
      </c>
    </row>
    <row r="5192" spans="4:16" x14ac:dyDescent="0.2">
      <c r="D5192">
        <v>100003102</v>
      </c>
      <c r="E5192" s="49">
        <v>45460</v>
      </c>
      <c r="F5192" t="s">
        <v>4700</v>
      </c>
      <c r="G5192" t="s">
        <v>2380</v>
      </c>
      <c r="H5192">
        <v>9</v>
      </c>
      <c r="I5192">
        <v>109.7</v>
      </c>
      <c r="J5192" s="50">
        <v>987.30000000000007</v>
      </c>
      <c r="K5192" t="s">
        <v>1618</v>
      </c>
      <c r="M5192" t="s">
        <v>1629</v>
      </c>
      <c r="N5192">
        <v>57.9</v>
      </c>
      <c r="O5192" s="49">
        <v>45465</v>
      </c>
      <c r="P5192" s="50">
        <v>444.28500000000003</v>
      </c>
    </row>
    <row r="5193" spans="4:16" x14ac:dyDescent="0.2">
      <c r="D5193">
        <v>100003103</v>
      </c>
      <c r="E5193" s="49">
        <v>44450</v>
      </c>
      <c r="F5193" t="s">
        <v>4701</v>
      </c>
      <c r="G5193" t="s">
        <v>2484</v>
      </c>
      <c r="H5193">
        <v>6</v>
      </c>
      <c r="I5193">
        <v>57.51</v>
      </c>
      <c r="J5193" s="50">
        <v>345.06</v>
      </c>
      <c r="K5193" t="s">
        <v>1618</v>
      </c>
      <c r="M5193" t="s">
        <v>1627</v>
      </c>
      <c r="N5193">
        <v>30.35</v>
      </c>
      <c r="O5193" s="49">
        <v>44454</v>
      </c>
      <c r="P5193" s="50">
        <v>155.27700000000002</v>
      </c>
    </row>
    <row r="5194" spans="4:16" x14ac:dyDescent="0.2">
      <c r="D5194">
        <v>100003103</v>
      </c>
      <c r="E5194" s="49">
        <v>44876</v>
      </c>
      <c r="F5194" t="s">
        <v>4701</v>
      </c>
      <c r="G5194" t="s">
        <v>2263</v>
      </c>
      <c r="H5194">
        <v>1</v>
      </c>
      <c r="I5194">
        <v>54.74</v>
      </c>
      <c r="J5194" s="50">
        <v>54.74</v>
      </c>
      <c r="K5194" t="s">
        <v>1618</v>
      </c>
      <c r="M5194" t="s">
        <v>1627</v>
      </c>
      <c r="N5194">
        <v>28.89</v>
      </c>
      <c r="O5194" s="49">
        <v>44881</v>
      </c>
      <c r="P5194" s="50">
        <v>24.633000000000003</v>
      </c>
    </row>
    <row r="5195" spans="4:16" x14ac:dyDescent="0.2">
      <c r="D5195">
        <v>100003103</v>
      </c>
      <c r="E5195" s="49">
        <v>44701</v>
      </c>
      <c r="F5195" t="s">
        <v>4701</v>
      </c>
      <c r="G5195" t="s">
        <v>2745</v>
      </c>
      <c r="H5195">
        <v>3</v>
      </c>
      <c r="I5195">
        <v>96.82</v>
      </c>
      <c r="J5195" s="50">
        <v>290.45999999999998</v>
      </c>
      <c r="K5195" t="s">
        <v>1618</v>
      </c>
      <c r="M5195" t="s">
        <v>1629</v>
      </c>
      <c r="N5195">
        <v>51.1</v>
      </c>
      <c r="O5195" s="49">
        <v>44703</v>
      </c>
      <c r="P5195" s="50">
        <v>130.70699999999999</v>
      </c>
    </row>
    <row r="5196" spans="4:16" x14ac:dyDescent="0.2">
      <c r="D5196">
        <v>100003103</v>
      </c>
      <c r="E5196" s="49">
        <v>45129</v>
      </c>
      <c r="F5196" t="s">
        <v>4701</v>
      </c>
      <c r="G5196" t="s">
        <v>2150</v>
      </c>
      <c r="H5196">
        <v>8</v>
      </c>
      <c r="I5196">
        <v>87.85</v>
      </c>
      <c r="J5196" s="50">
        <v>702.8</v>
      </c>
      <c r="K5196" t="s">
        <v>1618</v>
      </c>
      <c r="M5196" t="s">
        <v>1619</v>
      </c>
      <c r="N5196">
        <v>46.36</v>
      </c>
      <c r="O5196" s="49">
        <v>45130</v>
      </c>
      <c r="P5196" s="50">
        <v>316.26</v>
      </c>
    </row>
    <row r="5197" spans="4:16" x14ac:dyDescent="0.2">
      <c r="D5197">
        <v>100003103</v>
      </c>
      <c r="E5197" s="49">
        <v>44621</v>
      </c>
      <c r="F5197" t="s">
        <v>4701</v>
      </c>
      <c r="G5197" t="s">
        <v>2217</v>
      </c>
      <c r="H5197">
        <v>8</v>
      </c>
      <c r="I5197">
        <v>71.33</v>
      </c>
      <c r="J5197" s="50">
        <v>570.64</v>
      </c>
      <c r="K5197" t="s">
        <v>1618</v>
      </c>
      <c r="M5197" t="s">
        <v>1629</v>
      </c>
      <c r="N5197">
        <v>37.65</v>
      </c>
      <c r="O5197" s="49">
        <v>44625</v>
      </c>
      <c r="P5197" s="50">
        <v>256.78800000000001</v>
      </c>
    </row>
    <row r="5198" spans="4:16" x14ac:dyDescent="0.2">
      <c r="D5198">
        <v>100003105</v>
      </c>
      <c r="E5198" s="49">
        <v>45580</v>
      </c>
      <c r="F5198" t="s">
        <v>4702</v>
      </c>
      <c r="G5198" t="s">
        <v>2078</v>
      </c>
      <c r="H5198">
        <v>10</v>
      </c>
      <c r="I5198">
        <v>51.46</v>
      </c>
      <c r="J5198" s="50">
        <v>514.6</v>
      </c>
      <c r="K5198" t="s">
        <v>1632</v>
      </c>
      <c r="M5198" t="s">
        <v>1629</v>
      </c>
      <c r="N5198">
        <v>27.16</v>
      </c>
      <c r="O5198" s="49">
        <v>45585</v>
      </c>
      <c r="P5198" s="50">
        <v>231.57000000000002</v>
      </c>
    </row>
    <row r="5199" spans="4:16" x14ac:dyDescent="0.2">
      <c r="D5199">
        <v>100003105</v>
      </c>
      <c r="E5199" s="49">
        <v>44573</v>
      </c>
      <c r="F5199" t="s">
        <v>4702</v>
      </c>
      <c r="G5199" t="s">
        <v>2213</v>
      </c>
      <c r="H5199">
        <v>6</v>
      </c>
      <c r="I5199">
        <v>94.81</v>
      </c>
      <c r="J5199" s="50">
        <v>568.86</v>
      </c>
      <c r="K5199" t="s">
        <v>1632</v>
      </c>
      <c r="M5199" t="s">
        <v>1629</v>
      </c>
      <c r="N5199">
        <v>50.04</v>
      </c>
      <c r="O5199" s="49">
        <v>44578</v>
      </c>
      <c r="P5199" s="50">
        <v>255.98700000000002</v>
      </c>
    </row>
    <row r="5200" spans="4:16" x14ac:dyDescent="0.2">
      <c r="D5200">
        <v>100003105</v>
      </c>
      <c r="E5200" s="49">
        <v>45135</v>
      </c>
      <c r="F5200" t="s">
        <v>4702</v>
      </c>
      <c r="G5200" t="s">
        <v>1812</v>
      </c>
      <c r="H5200">
        <v>7</v>
      </c>
      <c r="I5200">
        <v>110.46</v>
      </c>
      <c r="J5200" s="50">
        <v>773.21999999999991</v>
      </c>
      <c r="K5200" t="s">
        <v>1632</v>
      </c>
      <c r="M5200" t="s">
        <v>1627</v>
      </c>
      <c r="N5200">
        <v>58.3</v>
      </c>
      <c r="O5200" s="49">
        <v>45136</v>
      </c>
      <c r="P5200" s="50">
        <v>347.94899999999996</v>
      </c>
    </row>
    <row r="5201" spans="4:16" x14ac:dyDescent="0.2">
      <c r="D5201">
        <v>100003106</v>
      </c>
      <c r="E5201" s="49">
        <v>44700</v>
      </c>
      <c r="F5201" t="s">
        <v>4703</v>
      </c>
      <c r="G5201" t="s">
        <v>1677</v>
      </c>
      <c r="H5201">
        <v>8</v>
      </c>
      <c r="I5201">
        <v>67.010000000000005</v>
      </c>
      <c r="J5201" s="50">
        <v>536.08000000000004</v>
      </c>
      <c r="K5201" t="s">
        <v>1618</v>
      </c>
      <c r="M5201" t="s">
        <v>1619</v>
      </c>
      <c r="N5201">
        <v>35.369999999999997</v>
      </c>
      <c r="O5201" s="49">
        <v>44704</v>
      </c>
      <c r="P5201" s="50">
        <v>241.23600000000002</v>
      </c>
    </row>
    <row r="5202" spans="4:16" x14ac:dyDescent="0.2">
      <c r="D5202">
        <v>100003108</v>
      </c>
      <c r="E5202" s="49">
        <v>44379</v>
      </c>
      <c r="F5202" t="s">
        <v>4704</v>
      </c>
      <c r="G5202" t="s">
        <v>1901</v>
      </c>
      <c r="H5202">
        <v>2</v>
      </c>
      <c r="I5202">
        <v>88.11</v>
      </c>
      <c r="J5202" s="50">
        <v>176.22</v>
      </c>
      <c r="K5202" t="s">
        <v>1618</v>
      </c>
      <c r="L5202" t="s">
        <v>4440</v>
      </c>
      <c r="M5202" t="s">
        <v>1624</v>
      </c>
      <c r="N5202">
        <v>46.5</v>
      </c>
      <c r="O5202" s="49">
        <v>44382</v>
      </c>
      <c r="P5202" s="50">
        <v>79.299000000000007</v>
      </c>
    </row>
    <row r="5203" spans="4:16" x14ac:dyDescent="0.2">
      <c r="D5203">
        <v>100003109</v>
      </c>
      <c r="E5203" s="49">
        <v>44474</v>
      </c>
      <c r="F5203" t="s">
        <v>4705</v>
      </c>
      <c r="G5203" t="s">
        <v>1644</v>
      </c>
      <c r="H5203">
        <v>7</v>
      </c>
      <c r="I5203">
        <v>52.94</v>
      </c>
      <c r="J5203" s="50">
        <v>370.58</v>
      </c>
      <c r="K5203" t="s">
        <v>1618</v>
      </c>
      <c r="M5203" t="s">
        <v>1621</v>
      </c>
      <c r="N5203">
        <v>27.94</v>
      </c>
      <c r="O5203" s="49">
        <v>44476</v>
      </c>
      <c r="P5203" s="50">
        <v>166.761</v>
      </c>
    </row>
    <row r="5204" spans="4:16" x14ac:dyDescent="0.2">
      <c r="D5204">
        <v>100003111</v>
      </c>
      <c r="E5204" s="49">
        <v>45282</v>
      </c>
      <c r="F5204" t="s">
        <v>4706</v>
      </c>
      <c r="G5204" t="s">
        <v>2112</v>
      </c>
      <c r="H5204">
        <v>2</v>
      </c>
      <c r="I5204">
        <v>114.53</v>
      </c>
      <c r="J5204" s="50">
        <v>229.06</v>
      </c>
      <c r="K5204" t="s">
        <v>1632</v>
      </c>
      <c r="M5204" t="s">
        <v>1619</v>
      </c>
      <c r="N5204">
        <v>60.45</v>
      </c>
      <c r="O5204" s="49">
        <v>45286</v>
      </c>
      <c r="P5204" s="50">
        <v>103.077</v>
      </c>
    </row>
    <row r="5205" spans="4:16" x14ac:dyDescent="0.2">
      <c r="D5205">
        <v>100003113</v>
      </c>
      <c r="E5205" s="49">
        <v>45391</v>
      </c>
      <c r="F5205" t="s">
        <v>4707</v>
      </c>
      <c r="G5205" t="s">
        <v>2301</v>
      </c>
      <c r="H5205">
        <v>3</v>
      </c>
      <c r="I5205">
        <v>51.51</v>
      </c>
      <c r="J5205" s="50">
        <v>154.53</v>
      </c>
      <c r="K5205" t="s">
        <v>1632</v>
      </c>
      <c r="M5205" t="s">
        <v>1627</v>
      </c>
      <c r="N5205">
        <v>27.19</v>
      </c>
      <c r="O5205" s="49">
        <v>45394</v>
      </c>
      <c r="P5205" s="50">
        <v>69.538499999999999</v>
      </c>
    </row>
    <row r="5206" spans="4:16" x14ac:dyDescent="0.2">
      <c r="D5206">
        <v>100003113</v>
      </c>
      <c r="E5206" s="49">
        <v>44437</v>
      </c>
      <c r="F5206" t="s">
        <v>4707</v>
      </c>
      <c r="G5206" t="s">
        <v>1831</v>
      </c>
      <c r="H5206">
        <v>2</v>
      </c>
      <c r="I5206">
        <v>117.49</v>
      </c>
      <c r="J5206" s="50">
        <v>234.98</v>
      </c>
      <c r="K5206" t="s">
        <v>1632</v>
      </c>
      <c r="M5206" t="s">
        <v>1621</v>
      </c>
      <c r="N5206">
        <v>62.01</v>
      </c>
      <c r="O5206" s="49">
        <v>44438</v>
      </c>
      <c r="P5206" s="50">
        <v>105.741</v>
      </c>
    </row>
    <row r="5207" spans="4:16" x14ac:dyDescent="0.2">
      <c r="D5207">
        <v>100003113</v>
      </c>
      <c r="E5207" s="49">
        <v>44355</v>
      </c>
      <c r="F5207" t="s">
        <v>4707</v>
      </c>
      <c r="G5207" t="s">
        <v>1897</v>
      </c>
      <c r="H5207">
        <v>3</v>
      </c>
      <c r="I5207">
        <v>20.72</v>
      </c>
      <c r="J5207" s="50">
        <v>62.16</v>
      </c>
      <c r="K5207" t="s">
        <v>1632</v>
      </c>
      <c r="M5207" t="s">
        <v>1621</v>
      </c>
      <c r="N5207">
        <v>10.94</v>
      </c>
      <c r="O5207" s="49">
        <v>44358</v>
      </c>
      <c r="P5207" s="50">
        <v>27.971999999999998</v>
      </c>
    </row>
    <row r="5208" spans="4:16" x14ac:dyDescent="0.2">
      <c r="D5208">
        <v>100003114</v>
      </c>
      <c r="E5208" s="49">
        <v>45547</v>
      </c>
      <c r="F5208" t="s">
        <v>4708</v>
      </c>
      <c r="G5208" t="s">
        <v>1885</v>
      </c>
      <c r="H5208">
        <v>10</v>
      </c>
      <c r="I5208">
        <v>119.38</v>
      </c>
      <c r="J5208" s="50">
        <v>1193.8</v>
      </c>
      <c r="K5208" t="s">
        <v>1618</v>
      </c>
      <c r="M5208" t="s">
        <v>1627</v>
      </c>
      <c r="N5208">
        <v>63.01</v>
      </c>
      <c r="O5208" s="49">
        <v>45549</v>
      </c>
      <c r="P5208" s="50">
        <v>537.21</v>
      </c>
    </row>
    <row r="5209" spans="4:16" x14ac:dyDescent="0.2">
      <c r="D5209">
        <v>100003114</v>
      </c>
      <c r="E5209" s="49">
        <v>44756</v>
      </c>
      <c r="F5209" t="s">
        <v>4708</v>
      </c>
      <c r="G5209" t="s">
        <v>1748</v>
      </c>
      <c r="H5209">
        <v>3</v>
      </c>
      <c r="I5209">
        <v>62.17</v>
      </c>
      <c r="J5209" s="50">
        <v>186.51</v>
      </c>
      <c r="K5209" t="s">
        <v>1618</v>
      </c>
      <c r="M5209" t="s">
        <v>1629</v>
      </c>
      <c r="N5209">
        <v>32.81</v>
      </c>
      <c r="O5209" s="49">
        <v>44758</v>
      </c>
      <c r="P5209" s="50">
        <v>83.929500000000004</v>
      </c>
    </row>
    <row r="5210" spans="4:16" x14ac:dyDescent="0.2">
      <c r="D5210">
        <v>100003114</v>
      </c>
      <c r="E5210" s="49">
        <v>45382</v>
      </c>
      <c r="F5210" t="s">
        <v>4708</v>
      </c>
      <c r="G5210" t="s">
        <v>1766</v>
      </c>
      <c r="H5210">
        <v>1</v>
      </c>
      <c r="I5210">
        <v>80.28</v>
      </c>
      <c r="J5210" s="50">
        <v>80.28</v>
      </c>
      <c r="K5210" t="s">
        <v>1618</v>
      </c>
      <c r="M5210" t="s">
        <v>1619</v>
      </c>
      <c r="N5210">
        <v>42.37</v>
      </c>
      <c r="O5210" s="49">
        <v>45383</v>
      </c>
      <c r="P5210" s="50">
        <v>36.126000000000005</v>
      </c>
    </row>
    <row r="5211" spans="4:16" x14ac:dyDescent="0.2">
      <c r="D5211">
        <v>100003114</v>
      </c>
      <c r="E5211" s="49">
        <v>44776</v>
      </c>
      <c r="F5211" t="s">
        <v>4708</v>
      </c>
      <c r="G5211" t="s">
        <v>2390</v>
      </c>
      <c r="H5211">
        <v>1</v>
      </c>
      <c r="I5211">
        <v>77.650000000000006</v>
      </c>
      <c r="J5211" s="50">
        <v>77.650000000000006</v>
      </c>
      <c r="K5211" t="s">
        <v>1618</v>
      </c>
      <c r="M5211" t="s">
        <v>1627</v>
      </c>
      <c r="N5211">
        <v>40.98</v>
      </c>
      <c r="O5211" s="49">
        <v>44781</v>
      </c>
      <c r="P5211" s="50">
        <v>34.942500000000003</v>
      </c>
    </row>
    <row r="5212" spans="4:16" x14ac:dyDescent="0.2">
      <c r="D5212">
        <v>100003115</v>
      </c>
      <c r="E5212" s="49">
        <v>44287</v>
      </c>
      <c r="F5212" t="s">
        <v>4709</v>
      </c>
      <c r="G5212" t="s">
        <v>1707</v>
      </c>
      <c r="H5212">
        <v>2</v>
      </c>
      <c r="I5212">
        <v>46.15</v>
      </c>
      <c r="J5212" s="50">
        <v>92.3</v>
      </c>
      <c r="K5212" t="s">
        <v>1632</v>
      </c>
      <c r="M5212" t="s">
        <v>1624</v>
      </c>
      <c r="N5212">
        <v>24.36</v>
      </c>
      <c r="O5212" s="49">
        <v>44290</v>
      </c>
      <c r="P5212" s="50">
        <v>41.534999999999997</v>
      </c>
    </row>
    <row r="5213" spans="4:16" x14ac:dyDescent="0.2">
      <c r="D5213">
        <v>100003116</v>
      </c>
      <c r="E5213" s="49">
        <v>45019</v>
      </c>
      <c r="F5213" t="s">
        <v>4710</v>
      </c>
      <c r="G5213" t="s">
        <v>1945</v>
      </c>
      <c r="H5213">
        <v>10</v>
      </c>
      <c r="I5213">
        <v>56</v>
      </c>
      <c r="J5213" s="50">
        <v>560</v>
      </c>
      <c r="K5213" t="s">
        <v>1618</v>
      </c>
      <c r="M5213" t="s">
        <v>1619</v>
      </c>
      <c r="N5213">
        <v>29.56</v>
      </c>
      <c r="O5213" s="49">
        <v>45024</v>
      </c>
      <c r="P5213" s="50">
        <v>252</v>
      </c>
    </row>
    <row r="5214" spans="4:16" x14ac:dyDescent="0.2">
      <c r="D5214">
        <v>100003117</v>
      </c>
      <c r="E5214" s="49">
        <v>44961</v>
      </c>
      <c r="F5214" t="s">
        <v>4711</v>
      </c>
      <c r="G5214" t="s">
        <v>2447</v>
      </c>
      <c r="H5214">
        <v>2</v>
      </c>
      <c r="I5214">
        <v>24.04</v>
      </c>
      <c r="J5214" s="50">
        <v>48.08</v>
      </c>
      <c r="K5214" t="s">
        <v>1618</v>
      </c>
      <c r="M5214" t="s">
        <v>1621</v>
      </c>
      <c r="N5214">
        <v>12.69</v>
      </c>
      <c r="O5214" s="49">
        <v>44964</v>
      </c>
      <c r="P5214" s="50">
        <v>21.635999999999999</v>
      </c>
    </row>
    <row r="5215" spans="4:16" x14ac:dyDescent="0.2">
      <c r="D5215">
        <v>100003117</v>
      </c>
      <c r="E5215" s="49">
        <v>45417</v>
      </c>
      <c r="F5215" t="s">
        <v>4711</v>
      </c>
      <c r="G5215" t="s">
        <v>1833</v>
      </c>
      <c r="H5215">
        <v>4</v>
      </c>
      <c r="I5215">
        <v>58.52</v>
      </c>
      <c r="J5215" s="50">
        <v>234.08</v>
      </c>
      <c r="K5215" t="s">
        <v>1618</v>
      </c>
      <c r="M5215" t="s">
        <v>1619</v>
      </c>
      <c r="N5215">
        <v>30.89</v>
      </c>
      <c r="O5215" s="49">
        <v>45418</v>
      </c>
      <c r="P5215" s="50">
        <v>105.33600000000001</v>
      </c>
    </row>
    <row r="5216" spans="4:16" x14ac:dyDescent="0.2">
      <c r="D5216">
        <v>100003117</v>
      </c>
      <c r="E5216" s="49">
        <v>44435</v>
      </c>
      <c r="F5216" t="s">
        <v>4711</v>
      </c>
      <c r="G5216" t="s">
        <v>1794</v>
      </c>
      <c r="H5216">
        <v>5</v>
      </c>
      <c r="I5216">
        <v>55.69</v>
      </c>
      <c r="J5216" s="50">
        <v>278.45</v>
      </c>
      <c r="K5216" t="s">
        <v>1618</v>
      </c>
      <c r="M5216" t="s">
        <v>1629</v>
      </c>
      <c r="N5216">
        <v>29.39</v>
      </c>
      <c r="O5216" s="49">
        <v>44436</v>
      </c>
      <c r="P5216" s="50">
        <v>125.30249999999999</v>
      </c>
    </row>
    <row r="5217" spans="4:16" x14ac:dyDescent="0.2">
      <c r="D5217">
        <v>100003119</v>
      </c>
      <c r="E5217" s="49">
        <v>44907</v>
      </c>
      <c r="F5217" t="s">
        <v>4712</v>
      </c>
      <c r="G5217" t="s">
        <v>1865</v>
      </c>
      <c r="H5217">
        <v>9</v>
      </c>
      <c r="I5217">
        <v>36.5</v>
      </c>
      <c r="J5217" s="50">
        <v>328.5</v>
      </c>
      <c r="K5217" t="s">
        <v>1618</v>
      </c>
      <c r="L5217" t="s">
        <v>2214</v>
      </c>
      <c r="M5217" t="s">
        <v>1629</v>
      </c>
      <c r="N5217">
        <v>19.260000000000002</v>
      </c>
      <c r="O5217" s="49">
        <v>44908</v>
      </c>
      <c r="P5217" s="50">
        <v>147.82500000000002</v>
      </c>
    </row>
    <row r="5218" spans="4:16" x14ac:dyDescent="0.2">
      <c r="D5218">
        <v>100003119</v>
      </c>
      <c r="E5218" s="49">
        <v>44603</v>
      </c>
      <c r="F5218" t="s">
        <v>4712</v>
      </c>
      <c r="G5218" t="s">
        <v>1792</v>
      </c>
      <c r="H5218">
        <v>2</v>
      </c>
      <c r="I5218">
        <v>65.31</v>
      </c>
      <c r="J5218" s="50">
        <v>130.62</v>
      </c>
      <c r="K5218" t="s">
        <v>1618</v>
      </c>
      <c r="L5218" t="s">
        <v>2214</v>
      </c>
      <c r="M5218" t="s">
        <v>1619</v>
      </c>
      <c r="N5218">
        <v>34.47</v>
      </c>
      <c r="O5218" s="49">
        <v>44607</v>
      </c>
      <c r="P5218" s="50">
        <v>58.779000000000003</v>
      </c>
    </row>
    <row r="5219" spans="4:16" x14ac:dyDescent="0.2">
      <c r="D5219">
        <v>100003120</v>
      </c>
      <c r="E5219" s="49">
        <v>44574</v>
      </c>
      <c r="F5219" t="s">
        <v>4713</v>
      </c>
      <c r="G5219" t="s">
        <v>2762</v>
      </c>
      <c r="H5219">
        <v>6</v>
      </c>
      <c r="I5219">
        <v>100.19</v>
      </c>
      <c r="J5219" s="50">
        <v>601.14</v>
      </c>
      <c r="K5219" t="s">
        <v>1618</v>
      </c>
      <c r="M5219" t="s">
        <v>1624</v>
      </c>
      <c r="N5219">
        <v>52.88</v>
      </c>
      <c r="O5219" s="49">
        <v>44576</v>
      </c>
      <c r="P5219" s="50">
        <v>270.51299999999998</v>
      </c>
    </row>
    <row r="5220" spans="4:16" x14ac:dyDescent="0.2">
      <c r="D5220">
        <v>100003120</v>
      </c>
      <c r="E5220" s="49">
        <v>44251</v>
      </c>
      <c r="F5220" t="s">
        <v>4713</v>
      </c>
      <c r="G5220" t="s">
        <v>2210</v>
      </c>
      <c r="H5220">
        <v>3</v>
      </c>
      <c r="I5220">
        <v>58.06</v>
      </c>
      <c r="J5220" s="50">
        <v>174.18</v>
      </c>
      <c r="K5220" t="s">
        <v>1618</v>
      </c>
      <c r="M5220" t="s">
        <v>1624</v>
      </c>
      <c r="N5220">
        <v>30.64</v>
      </c>
      <c r="O5220" s="49">
        <v>44252</v>
      </c>
      <c r="P5220" s="50">
        <v>78.381</v>
      </c>
    </row>
    <row r="5221" spans="4:16" x14ac:dyDescent="0.2">
      <c r="D5221">
        <v>100003120</v>
      </c>
      <c r="E5221" s="49">
        <v>45416</v>
      </c>
      <c r="F5221" t="s">
        <v>4713</v>
      </c>
      <c r="G5221" t="s">
        <v>1834</v>
      </c>
      <c r="H5221">
        <v>8</v>
      </c>
      <c r="I5221">
        <v>106.51</v>
      </c>
      <c r="J5221" s="50">
        <v>852.08</v>
      </c>
      <c r="K5221" t="s">
        <v>1618</v>
      </c>
      <c r="M5221" t="s">
        <v>1629</v>
      </c>
      <c r="N5221">
        <v>56.21</v>
      </c>
      <c r="O5221" s="49">
        <v>45419</v>
      </c>
      <c r="P5221" s="50">
        <v>383.43600000000004</v>
      </c>
    </row>
    <row r="5222" spans="4:16" x14ac:dyDescent="0.2">
      <c r="D5222">
        <v>100003120</v>
      </c>
      <c r="E5222" s="49">
        <v>44326</v>
      </c>
      <c r="F5222" t="s">
        <v>4713</v>
      </c>
      <c r="G5222" t="s">
        <v>2121</v>
      </c>
      <c r="H5222">
        <v>4</v>
      </c>
      <c r="I5222">
        <v>44.02</v>
      </c>
      <c r="J5222" s="50">
        <v>176.08</v>
      </c>
      <c r="K5222" t="s">
        <v>1618</v>
      </c>
      <c r="M5222" t="s">
        <v>1624</v>
      </c>
      <c r="N5222">
        <v>23.23</v>
      </c>
      <c r="O5222" s="49">
        <v>44331</v>
      </c>
      <c r="P5222" s="50">
        <v>79.236000000000004</v>
      </c>
    </row>
    <row r="5223" spans="4:16" x14ac:dyDescent="0.2">
      <c r="D5223">
        <v>100003120</v>
      </c>
      <c r="E5223" s="49">
        <v>45039</v>
      </c>
      <c r="F5223" t="s">
        <v>4713</v>
      </c>
      <c r="G5223" t="s">
        <v>2086</v>
      </c>
      <c r="H5223">
        <v>1</v>
      </c>
      <c r="I5223">
        <v>24.76</v>
      </c>
      <c r="J5223" s="50">
        <v>24.76</v>
      </c>
      <c r="K5223" t="s">
        <v>1618</v>
      </c>
      <c r="M5223" t="s">
        <v>1629</v>
      </c>
      <c r="N5223">
        <v>13.07</v>
      </c>
      <c r="O5223" s="49">
        <v>45040</v>
      </c>
      <c r="P5223" s="50">
        <v>11.142000000000001</v>
      </c>
    </row>
    <row r="5224" spans="4:16" x14ac:dyDescent="0.2">
      <c r="D5224">
        <v>100003120</v>
      </c>
      <c r="E5224" s="49">
        <v>44822</v>
      </c>
      <c r="F5224" t="s">
        <v>4713</v>
      </c>
      <c r="G5224" t="s">
        <v>2733</v>
      </c>
      <c r="H5224">
        <v>10</v>
      </c>
      <c r="I5224">
        <v>27.81</v>
      </c>
      <c r="J5224" s="50">
        <v>278.10000000000002</v>
      </c>
      <c r="K5224" t="s">
        <v>1618</v>
      </c>
      <c r="M5224" t="s">
        <v>1627</v>
      </c>
      <c r="N5224">
        <v>14.68</v>
      </c>
      <c r="O5224" s="49">
        <v>44825</v>
      </c>
      <c r="P5224" s="50">
        <v>125.14500000000001</v>
      </c>
    </row>
    <row r="5225" spans="4:16" x14ac:dyDescent="0.2">
      <c r="D5225">
        <v>100003121</v>
      </c>
      <c r="E5225" s="49">
        <v>44452</v>
      </c>
      <c r="F5225" t="s">
        <v>4714</v>
      </c>
      <c r="G5225" t="s">
        <v>1944</v>
      </c>
      <c r="H5225">
        <v>3</v>
      </c>
      <c r="I5225">
        <v>96.73</v>
      </c>
      <c r="J5225" s="50">
        <v>290.19</v>
      </c>
      <c r="K5225" t="s">
        <v>1618</v>
      </c>
      <c r="M5225" t="s">
        <v>1619</v>
      </c>
      <c r="N5225">
        <v>51.05</v>
      </c>
      <c r="O5225" s="49">
        <v>44453</v>
      </c>
      <c r="P5225" s="50">
        <v>130.5855</v>
      </c>
    </row>
    <row r="5226" spans="4:16" x14ac:dyDescent="0.2">
      <c r="D5226">
        <v>100003122</v>
      </c>
      <c r="E5226" s="49">
        <v>44440</v>
      </c>
      <c r="F5226" t="s">
        <v>4715</v>
      </c>
      <c r="G5226" t="s">
        <v>1738</v>
      </c>
      <c r="H5226">
        <v>3</v>
      </c>
      <c r="I5226">
        <v>115.04</v>
      </c>
      <c r="J5226" s="50">
        <v>345.12</v>
      </c>
      <c r="K5226" t="s">
        <v>1632</v>
      </c>
      <c r="M5226" t="s">
        <v>1629</v>
      </c>
      <c r="N5226">
        <v>60.72</v>
      </c>
      <c r="O5226" s="49">
        <v>44441</v>
      </c>
      <c r="P5226" s="50">
        <v>155.304</v>
      </c>
    </row>
    <row r="5227" spans="4:16" x14ac:dyDescent="0.2">
      <c r="D5227">
        <v>100003122</v>
      </c>
      <c r="E5227" s="49">
        <v>44925</v>
      </c>
      <c r="F5227" t="s">
        <v>4715</v>
      </c>
      <c r="G5227" t="s">
        <v>2571</v>
      </c>
      <c r="H5227">
        <v>6</v>
      </c>
      <c r="I5227">
        <v>75.760000000000005</v>
      </c>
      <c r="J5227" s="50">
        <v>454.56000000000012</v>
      </c>
      <c r="K5227" t="s">
        <v>1632</v>
      </c>
      <c r="M5227" t="s">
        <v>1619</v>
      </c>
      <c r="N5227">
        <v>39.979999999999997</v>
      </c>
      <c r="O5227" s="49">
        <v>44928</v>
      </c>
      <c r="P5227" s="50">
        <v>204.55200000000005</v>
      </c>
    </row>
    <row r="5228" spans="4:16" x14ac:dyDescent="0.2">
      <c r="D5228">
        <v>100003123</v>
      </c>
      <c r="E5228" s="49">
        <v>44912</v>
      </c>
      <c r="F5228" t="s">
        <v>4716</v>
      </c>
      <c r="G5228" t="s">
        <v>2240</v>
      </c>
      <c r="H5228">
        <v>3</v>
      </c>
      <c r="I5228">
        <v>103.99</v>
      </c>
      <c r="J5228" s="50">
        <v>311.97000000000003</v>
      </c>
      <c r="K5228" t="s">
        <v>1632</v>
      </c>
      <c r="M5228" t="s">
        <v>1619</v>
      </c>
      <c r="N5228">
        <v>54.88</v>
      </c>
      <c r="O5228" s="49">
        <v>44915</v>
      </c>
      <c r="P5228" s="50">
        <v>140.38650000000001</v>
      </c>
    </row>
    <row r="5229" spans="4:16" x14ac:dyDescent="0.2">
      <c r="D5229">
        <v>100003124</v>
      </c>
      <c r="E5229" s="49">
        <v>44727</v>
      </c>
      <c r="F5229" t="s">
        <v>4717</v>
      </c>
      <c r="G5229" t="s">
        <v>1953</v>
      </c>
      <c r="H5229">
        <v>3</v>
      </c>
      <c r="I5229">
        <v>102.28</v>
      </c>
      <c r="J5229" s="50">
        <v>306.83999999999997</v>
      </c>
      <c r="K5229" t="s">
        <v>1618</v>
      </c>
      <c r="M5229" t="s">
        <v>1627</v>
      </c>
      <c r="N5229">
        <v>53.98</v>
      </c>
      <c r="O5229" s="49">
        <v>44731</v>
      </c>
      <c r="P5229" s="50">
        <v>138.078</v>
      </c>
    </row>
    <row r="5230" spans="4:16" x14ac:dyDescent="0.2">
      <c r="D5230">
        <v>100003124</v>
      </c>
      <c r="E5230" s="49">
        <v>45605</v>
      </c>
      <c r="F5230" t="s">
        <v>4717</v>
      </c>
      <c r="G5230" t="s">
        <v>1744</v>
      </c>
      <c r="H5230">
        <v>7</v>
      </c>
      <c r="I5230">
        <v>72.86</v>
      </c>
      <c r="J5230" s="50">
        <v>510.02</v>
      </c>
      <c r="K5230" t="s">
        <v>1618</v>
      </c>
      <c r="M5230" t="s">
        <v>1629</v>
      </c>
      <c r="N5230">
        <v>38.450000000000003</v>
      </c>
      <c r="O5230" s="49">
        <v>45608</v>
      </c>
      <c r="P5230" s="50">
        <v>229.50899999999999</v>
      </c>
    </row>
    <row r="5231" spans="4:16" x14ac:dyDescent="0.2">
      <c r="D5231">
        <v>100003124</v>
      </c>
      <c r="E5231" s="49">
        <v>44488</v>
      </c>
      <c r="F5231" t="s">
        <v>4717</v>
      </c>
      <c r="G5231" t="s">
        <v>1815</v>
      </c>
      <c r="H5231">
        <v>3</v>
      </c>
      <c r="I5231">
        <v>33.049999999999997</v>
      </c>
      <c r="J5231" s="50">
        <v>99.149999999999991</v>
      </c>
      <c r="K5231" t="s">
        <v>1618</v>
      </c>
      <c r="M5231" t="s">
        <v>1624</v>
      </c>
      <c r="N5231">
        <v>17.440000000000001</v>
      </c>
      <c r="O5231" s="49">
        <v>44493</v>
      </c>
      <c r="P5231" s="50">
        <v>44.6175</v>
      </c>
    </row>
    <row r="5232" spans="4:16" x14ac:dyDescent="0.2">
      <c r="D5232">
        <v>100003125</v>
      </c>
      <c r="E5232" s="49">
        <v>44255</v>
      </c>
      <c r="F5232" t="s">
        <v>4718</v>
      </c>
      <c r="G5232" t="s">
        <v>1797</v>
      </c>
      <c r="H5232">
        <v>4</v>
      </c>
      <c r="I5232">
        <v>110.2</v>
      </c>
      <c r="J5232" s="50">
        <v>440.8</v>
      </c>
      <c r="K5232" t="s">
        <v>1618</v>
      </c>
      <c r="M5232" t="s">
        <v>1619</v>
      </c>
      <c r="N5232">
        <v>58.16</v>
      </c>
      <c r="O5232" s="49">
        <v>44258</v>
      </c>
      <c r="P5232" s="50">
        <v>198.36</v>
      </c>
    </row>
    <row r="5233" spans="4:16" x14ac:dyDescent="0.2">
      <c r="D5233">
        <v>100003127</v>
      </c>
      <c r="E5233" s="49">
        <v>45264</v>
      </c>
      <c r="F5233" t="s">
        <v>4719</v>
      </c>
      <c r="G5233" t="s">
        <v>2042</v>
      </c>
      <c r="H5233">
        <v>4</v>
      </c>
      <c r="I5233">
        <v>34.340000000000003</v>
      </c>
      <c r="J5233" s="50">
        <v>137.36000000000001</v>
      </c>
      <c r="K5233" t="s">
        <v>1618</v>
      </c>
      <c r="M5233" t="s">
        <v>1619</v>
      </c>
      <c r="N5233">
        <v>18.12</v>
      </c>
      <c r="O5233" s="49">
        <v>45268</v>
      </c>
      <c r="P5233" s="50">
        <v>61.812000000000005</v>
      </c>
    </row>
    <row r="5234" spans="4:16" x14ac:dyDescent="0.2">
      <c r="D5234">
        <v>100003128</v>
      </c>
      <c r="E5234" s="49">
        <v>44938</v>
      </c>
      <c r="F5234" t="s">
        <v>4720</v>
      </c>
      <c r="G5234" t="s">
        <v>2132</v>
      </c>
      <c r="H5234">
        <v>6</v>
      </c>
      <c r="I5234">
        <v>84.78</v>
      </c>
      <c r="J5234" s="50">
        <v>508.68</v>
      </c>
      <c r="K5234" t="s">
        <v>1632</v>
      </c>
      <c r="M5234" t="s">
        <v>1624</v>
      </c>
      <c r="N5234">
        <v>44.74</v>
      </c>
      <c r="O5234" s="49">
        <v>44939</v>
      </c>
      <c r="P5234" s="50">
        <v>228.90600000000001</v>
      </c>
    </row>
    <row r="5235" spans="4:16" x14ac:dyDescent="0.2">
      <c r="D5235">
        <v>100003128</v>
      </c>
      <c r="E5235" s="49">
        <v>45598</v>
      </c>
      <c r="F5235" t="s">
        <v>4720</v>
      </c>
      <c r="G5235" t="s">
        <v>2101</v>
      </c>
      <c r="H5235">
        <v>4</v>
      </c>
      <c r="I5235">
        <v>15.52</v>
      </c>
      <c r="J5235" s="50">
        <v>62.08</v>
      </c>
      <c r="K5235" t="s">
        <v>1632</v>
      </c>
      <c r="M5235" t="s">
        <v>1629</v>
      </c>
      <c r="N5235">
        <v>8.19</v>
      </c>
      <c r="O5235" s="49">
        <v>45599</v>
      </c>
      <c r="P5235" s="50">
        <v>27.936</v>
      </c>
    </row>
    <row r="5236" spans="4:16" x14ac:dyDescent="0.2">
      <c r="D5236">
        <v>100003128</v>
      </c>
      <c r="E5236" s="49">
        <v>44890</v>
      </c>
      <c r="F5236" t="s">
        <v>4720</v>
      </c>
      <c r="G5236" t="s">
        <v>1768</v>
      </c>
      <c r="H5236">
        <v>1</v>
      </c>
      <c r="I5236">
        <v>119.47</v>
      </c>
      <c r="J5236" s="50">
        <v>119.47</v>
      </c>
      <c r="K5236" t="s">
        <v>1632</v>
      </c>
      <c r="M5236" t="s">
        <v>1629</v>
      </c>
      <c r="N5236">
        <v>63.05</v>
      </c>
      <c r="O5236" s="49">
        <v>44893</v>
      </c>
      <c r="P5236" s="50">
        <v>53.761499999999998</v>
      </c>
    </row>
    <row r="5237" spans="4:16" x14ac:dyDescent="0.2">
      <c r="D5237">
        <v>100003128</v>
      </c>
      <c r="E5237" s="49">
        <v>44612</v>
      </c>
      <c r="F5237" t="s">
        <v>4720</v>
      </c>
      <c r="G5237" t="s">
        <v>2213</v>
      </c>
      <c r="H5237">
        <v>4</v>
      </c>
      <c r="I5237">
        <v>13.63</v>
      </c>
      <c r="J5237" s="50">
        <v>54.52</v>
      </c>
      <c r="K5237" t="s">
        <v>1632</v>
      </c>
      <c r="M5237" t="s">
        <v>1624</v>
      </c>
      <c r="N5237">
        <v>7.19</v>
      </c>
      <c r="O5237" s="49">
        <v>44613</v>
      </c>
      <c r="P5237" s="50">
        <v>24.534000000000002</v>
      </c>
    </row>
    <row r="5238" spans="4:16" x14ac:dyDescent="0.2">
      <c r="D5238">
        <v>100003128</v>
      </c>
      <c r="E5238" s="49">
        <v>44651</v>
      </c>
      <c r="F5238" t="s">
        <v>4720</v>
      </c>
      <c r="G5238" t="s">
        <v>2291</v>
      </c>
      <c r="H5238">
        <v>4</v>
      </c>
      <c r="I5238">
        <v>95.82</v>
      </c>
      <c r="J5238" s="50">
        <v>383.28</v>
      </c>
      <c r="K5238" t="s">
        <v>1632</v>
      </c>
      <c r="M5238" t="s">
        <v>1621</v>
      </c>
      <c r="N5238">
        <v>50.57</v>
      </c>
      <c r="O5238" s="49">
        <v>44652</v>
      </c>
      <c r="P5238" s="50">
        <v>172.476</v>
      </c>
    </row>
    <row r="5239" spans="4:16" x14ac:dyDescent="0.2">
      <c r="D5239">
        <v>100003128</v>
      </c>
      <c r="E5239" s="49">
        <v>44547</v>
      </c>
      <c r="F5239" t="s">
        <v>4720</v>
      </c>
      <c r="G5239" t="s">
        <v>2762</v>
      </c>
      <c r="H5239">
        <v>9</v>
      </c>
      <c r="I5239">
        <v>91.68</v>
      </c>
      <c r="J5239" s="50">
        <v>825.12000000000012</v>
      </c>
      <c r="K5239" t="s">
        <v>1632</v>
      </c>
      <c r="M5239" t="s">
        <v>1624</v>
      </c>
      <c r="N5239">
        <v>48.39</v>
      </c>
      <c r="O5239" s="49">
        <v>44552</v>
      </c>
      <c r="P5239" s="50">
        <v>371.30400000000009</v>
      </c>
    </row>
    <row r="5240" spans="4:16" x14ac:dyDescent="0.2">
      <c r="D5240">
        <v>100003128</v>
      </c>
      <c r="E5240" s="49">
        <v>44418</v>
      </c>
      <c r="F5240" t="s">
        <v>4720</v>
      </c>
      <c r="G5240" t="s">
        <v>1760</v>
      </c>
      <c r="H5240">
        <v>5</v>
      </c>
      <c r="I5240">
        <v>64.95</v>
      </c>
      <c r="J5240" s="50">
        <v>324.75</v>
      </c>
      <c r="K5240" t="s">
        <v>1632</v>
      </c>
      <c r="M5240" t="s">
        <v>1619</v>
      </c>
      <c r="N5240">
        <v>34.28</v>
      </c>
      <c r="O5240" s="49">
        <v>44423</v>
      </c>
      <c r="P5240" s="50">
        <v>146.13750000000002</v>
      </c>
    </row>
    <row r="5241" spans="4:16" x14ac:dyDescent="0.2">
      <c r="D5241">
        <v>100003128</v>
      </c>
      <c r="E5241" s="49">
        <v>45323</v>
      </c>
      <c r="F5241" t="s">
        <v>4720</v>
      </c>
      <c r="G5241" t="s">
        <v>1701</v>
      </c>
      <c r="H5241">
        <v>8</v>
      </c>
      <c r="I5241">
        <v>46.47</v>
      </c>
      <c r="J5241" s="50">
        <v>371.76</v>
      </c>
      <c r="K5241" t="s">
        <v>1632</v>
      </c>
      <c r="M5241" t="s">
        <v>1627</v>
      </c>
      <c r="N5241">
        <v>24.53</v>
      </c>
      <c r="O5241" s="49">
        <v>45328</v>
      </c>
      <c r="P5241" s="50">
        <v>167.292</v>
      </c>
    </row>
    <row r="5242" spans="4:16" x14ac:dyDescent="0.2">
      <c r="D5242">
        <v>100003130</v>
      </c>
      <c r="E5242" s="49">
        <v>45433</v>
      </c>
      <c r="F5242" t="s">
        <v>4721</v>
      </c>
      <c r="G5242" t="s">
        <v>2163</v>
      </c>
      <c r="H5242">
        <v>5</v>
      </c>
      <c r="I5242">
        <v>19.170000000000002</v>
      </c>
      <c r="J5242" s="50">
        <v>95.850000000000009</v>
      </c>
      <c r="K5242" t="s">
        <v>1618</v>
      </c>
      <c r="M5242" t="s">
        <v>1624</v>
      </c>
      <c r="N5242">
        <v>10.119999999999999</v>
      </c>
      <c r="O5242" s="49">
        <v>45435</v>
      </c>
      <c r="P5242" s="50">
        <v>43.132500000000007</v>
      </c>
    </row>
    <row r="5243" spans="4:16" x14ac:dyDescent="0.2">
      <c r="D5243">
        <v>100003134</v>
      </c>
      <c r="E5243" s="49">
        <v>44667</v>
      </c>
      <c r="F5243" t="s">
        <v>4722</v>
      </c>
      <c r="G5243" t="s">
        <v>2064</v>
      </c>
      <c r="H5243">
        <v>4</v>
      </c>
      <c r="I5243">
        <v>61.92</v>
      </c>
      <c r="J5243" s="50">
        <v>247.68</v>
      </c>
      <c r="K5243" t="s">
        <v>1618</v>
      </c>
      <c r="L5243" t="s">
        <v>4723</v>
      </c>
      <c r="M5243" t="s">
        <v>1621</v>
      </c>
      <c r="N5243">
        <v>32.68</v>
      </c>
      <c r="O5243" s="49">
        <v>44670</v>
      </c>
      <c r="P5243" s="50">
        <v>111.456</v>
      </c>
    </row>
    <row r="5244" spans="4:16" x14ac:dyDescent="0.2">
      <c r="D5244">
        <v>100003135</v>
      </c>
      <c r="E5244" s="49">
        <v>45621</v>
      </c>
      <c r="F5244" t="s">
        <v>4724</v>
      </c>
      <c r="G5244" t="s">
        <v>2745</v>
      </c>
      <c r="H5244">
        <v>9</v>
      </c>
      <c r="I5244">
        <v>24.46</v>
      </c>
      <c r="J5244" s="50">
        <v>220.14</v>
      </c>
      <c r="K5244" t="s">
        <v>1632</v>
      </c>
      <c r="M5244" t="s">
        <v>1629</v>
      </c>
      <c r="N5244">
        <v>12.91</v>
      </c>
      <c r="O5244" s="49">
        <v>45625</v>
      </c>
      <c r="P5244" s="50">
        <v>99.063000000000002</v>
      </c>
    </row>
    <row r="5245" spans="4:16" x14ac:dyDescent="0.2">
      <c r="D5245">
        <v>100003136</v>
      </c>
      <c r="E5245" s="49">
        <v>44280</v>
      </c>
      <c r="F5245" t="s">
        <v>4725</v>
      </c>
      <c r="G5245" t="s">
        <v>1939</v>
      </c>
      <c r="H5245">
        <v>2</v>
      </c>
      <c r="I5245">
        <v>43.74</v>
      </c>
      <c r="J5245" s="50">
        <v>87.48</v>
      </c>
      <c r="K5245" t="s">
        <v>1618</v>
      </c>
      <c r="L5245" t="s">
        <v>4078</v>
      </c>
      <c r="M5245" t="s">
        <v>1619</v>
      </c>
      <c r="N5245">
        <v>23.08</v>
      </c>
      <c r="O5245" s="49">
        <v>44284</v>
      </c>
      <c r="P5245" s="50">
        <v>39.366</v>
      </c>
    </row>
    <row r="5246" spans="4:16" x14ac:dyDescent="0.2">
      <c r="D5246">
        <v>100003136</v>
      </c>
      <c r="E5246" s="49">
        <v>45480</v>
      </c>
      <c r="F5246" t="s">
        <v>4725</v>
      </c>
      <c r="G5246" t="s">
        <v>1688</v>
      </c>
      <c r="H5246">
        <v>3</v>
      </c>
      <c r="I5246">
        <v>119.84</v>
      </c>
      <c r="J5246" s="50">
        <v>359.52</v>
      </c>
      <c r="K5246" t="s">
        <v>1618</v>
      </c>
      <c r="L5246" t="s">
        <v>4078</v>
      </c>
      <c r="M5246" t="s">
        <v>1624</v>
      </c>
      <c r="N5246">
        <v>63.25</v>
      </c>
      <c r="O5246" s="49">
        <v>45484</v>
      </c>
      <c r="P5246" s="50">
        <v>161.78399999999999</v>
      </c>
    </row>
    <row r="5247" spans="4:16" x14ac:dyDescent="0.2">
      <c r="D5247">
        <v>100003138</v>
      </c>
      <c r="E5247" s="49">
        <v>44286</v>
      </c>
      <c r="F5247" t="s">
        <v>4726</v>
      </c>
      <c r="G5247" t="s">
        <v>1848</v>
      </c>
      <c r="H5247">
        <v>5</v>
      </c>
      <c r="I5247">
        <v>46.84</v>
      </c>
      <c r="J5247" s="50">
        <v>234.2</v>
      </c>
      <c r="K5247" t="s">
        <v>1618</v>
      </c>
      <c r="M5247" t="s">
        <v>1621</v>
      </c>
      <c r="N5247">
        <v>24.72</v>
      </c>
      <c r="O5247" s="49">
        <v>44291</v>
      </c>
      <c r="P5247" s="50">
        <v>105.39</v>
      </c>
    </row>
    <row r="5248" spans="4:16" x14ac:dyDescent="0.2">
      <c r="D5248">
        <v>100003138</v>
      </c>
      <c r="E5248" s="49">
        <v>45482</v>
      </c>
      <c r="F5248" t="s">
        <v>4726</v>
      </c>
      <c r="G5248" t="s">
        <v>2079</v>
      </c>
      <c r="H5248">
        <v>8</v>
      </c>
      <c r="I5248">
        <v>91.23</v>
      </c>
      <c r="J5248" s="50">
        <v>729.84</v>
      </c>
      <c r="K5248" t="s">
        <v>1618</v>
      </c>
      <c r="M5248" t="s">
        <v>1627</v>
      </c>
      <c r="N5248">
        <v>48.15</v>
      </c>
      <c r="O5248" s="49">
        <v>45486</v>
      </c>
      <c r="P5248" s="50">
        <v>328.428</v>
      </c>
    </row>
    <row r="5249" spans="4:16" x14ac:dyDescent="0.2">
      <c r="D5249">
        <v>100003138</v>
      </c>
      <c r="E5249" s="49">
        <v>44548</v>
      </c>
      <c r="F5249" t="s">
        <v>4726</v>
      </c>
      <c r="G5249" t="s">
        <v>1702</v>
      </c>
      <c r="H5249">
        <v>3</v>
      </c>
      <c r="I5249">
        <v>13.64</v>
      </c>
      <c r="J5249" s="50">
        <v>40.92</v>
      </c>
      <c r="K5249" t="s">
        <v>1618</v>
      </c>
      <c r="M5249" t="s">
        <v>1619</v>
      </c>
      <c r="N5249">
        <v>7.2</v>
      </c>
      <c r="O5249" s="49">
        <v>44550</v>
      </c>
      <c r="P5249" s="50">
        <v>18.414000000000001</v>
      </c>
    </row>
    <row r="5250" spans="4:16" x14ac:dyDescent="0.2">
      <c r="D5250">
        <v>100003139</v>
      </c>
      <c r="E5250" s="49">
        <v>45492</v>
      </c>
      <c r="F5250" t="s">
        <v>4727</v>
      </c>
      <c r="G5250" t="s">
        <v>2733</v>
      </c>
      <c r="H5250">
        <v>7</v>
      </c>
      <c r="I5250">
        <v>13.43</v>
      </c>
      <c r="J5250" s="50">
        <v>94.009999999999991</v>
      </c>
      <c r="K5250" t="s">
        <v>1618</v>
      </c>
      <c r="M5250" t="s">
        <v>1629</v>
      </c>
      <c r="N5250">
        <v>7.09</v>
      </c>
      <c r="O5250" s="49">
        <v>45495</v>
      </c>
      <c r="P5250" s="50">
        <v>42.304499999999997</v>
      </c>
    </row>
    <row r="5251" spans="4:16" x14ac:dyDescent="0.2">
      <c r="D5251">
        <v>100003139</v>
      </c>
      <c r="E5251" s="49">
        <v>45152</v>
      </c>
      <c r="F5251" t="s">
        <v>4727</v>
      </c>
      <c r="G5251" t="s">
        <v>2380</v>
      </c>
      <c r="H5251">
        <v>5</v>
      </c>
      <c r="I5251">
        <v>23.65</v>
      </c>
      <c r="J5251" s="50">
        <v>118.25</v>
      </c>
      <c r="K5251" t="s">
        <v>1618</v>
      </c>
      <c r="M5251" t="s">
        <v>1624</v>
      </c>
      <c r="N5251">
        <v>12.48</v>
      </c>
      <c r="O5251" s="49">
        <v>45154</v>
      </c>
      <c r="P5251" s="50">
        <v>53.212499999999999</v>
      </c>
    </row>
    <row r="5252" spans="4:16" x14ac:dyDescent="0.2">
      <c r="D5252">
        <v>100003140</v>
      </c>
      <c r="E5252" s="49">
        <v>44809</v>
      </c>
      <c r="F5252" t="s">
        <v>4728</v>
      </c>
      <c r="G5252" t="s">
        <v>1900</v>
      </c>
      <c r="H5252">
        <v>6</v>
      </c>
      <c r="I5252">
        <v>25.92</v>
      </c>
      <c r="J5252" s="50">
        <v>155.52000000000001</v>
      </c>
      <c r="K5252" t="s">
        <v>1632</v>
      </c>
      <c r="M5252" t="s">
        <v>1624</v>
      </c>
      <c r="N5252">
        <v>13.68</v>
      </c>
      <c r="O5252" s="49">
        <v>44814</v>
      </c>
      <c r="P5252" s="50">
        <v>69.984000000000009</v>
      </c>
    </row>
    <row r="5253" spans="4:16" x14ac:dyDescent="0.2">
      <c r="D5253">
        <v>100003140</v>
      </c>
      <c r="E5253" s="49">
        <v>44821</v>
      </c>
      <c r="F5253" t="s">
        <v>4728</v>
      </c>
      <c r="G5253" t="s">
        <v>2090</v>
      </c>
      <c r="H5253">
        <v>2</v>
      </c>
      <c r="I5253">
        <v>36.92</v>
      </c>
      <c r="J5253" s="50">
        <v>73.84</v>
      </c>
      <c r="K5253" t="s">
        <v>1632</v>
      </c>
      <c r="M5253" t="s">
        <v>1621</v>
      </c>
      <c r="N5253">
        <v>19.489999999999998</v>
      </c>
      <c r="O5253" s="49">
        <v>44823</v>
      </c>
      <c r="P5253" s="50">
        <v>33.228000000000002</v>
      </c>
    </row>
    <row r="5254" spans="4:16" x14ac:dyDescent="0.2">
      <c r="D5254">
        <v>100003140</v>
      </c>
      <c r="E5254" s="49">
        <v>44949</v>
      </c>
      <c r="F5254" t="s">
        <v>4728</v>
      </c>
      <c r="G5254" t="s">
        <v>2380</v>
      </c>
      <c r="H5254">
        <v>5</v>
      </c>
      <c r="I5254">
        <v>107.6</v>
      </c>
      <c r="J5254" s="50">
        <v>538</v>
      </c>
      <c r="K5254" t="s">
        <v>1632</v>
      </c>
      <c r="M5254" t="s">
        <v>1621</v>
      </c>
      <c r="N5254">
        <v>56.79</v>
      </c>
      <c r="O5254" s="49">
        <v>44950</v>
      </c>
      <c r="P5254" s="50">
        <v>242.1</v>
      </c>
    </row>
    <row r="5255" spans="4:16" x14ac:dyDescent="0.2">
      <c r="D5255">
        <v>100003141</v>
      </c>
      <c r="E5255" s="49">
        <v>45476</v>
      </c>
      <c r="F5255" t="s">
        <v>4729</v>
      </c>
      <c r="G5255" t="s">
        <v>2069</v>
      </c>
      <c r="H5255">
        <v>5</v>
      </c>
      <c r="I5255">
        <v>109.95</v>
      </c>
      <c r="J5255" s="50">
        <v>549.75</v>
      </c>
      <c r="K5255" t="s">
        <v>1618</v>
      </c>
      <c r="M5255" t="s">
        <v>1629</v>
      </c>
      <c r="N5255">
        <v>58.03</v>
      </c>
      <c r="O5255" s="49">
        <v>45478</v>
      </c>
      <c r="P5255" s="50">
        <v>247.38750000000002</v>
      </c>
    </row>
    <row r="5256" spans="4:16" x14ac:dyDescent="0.2">
      <c r="D5256">
        <v>100003143</v>
      </c>
      <c r="E5256" s="49">
        <v>44577</v>
      </c>
      <c r="F5256" t="s">
        <v>4730</v>
      </c>
      <c r="G5256" t="s">
        <v>1644</v>
      </c>
      <c r="H5256">
        <v>9</v>
      </c>
      <c r="I5256">
        <v>118.93</v>
      </c>
      <c r="J5256" s="50">
        <v>1070.3699999999999</v>
      </c>
      <c r="K5256" t="s">
        <v>1618</v>
      </c>
      <c r="M5256" t="s">
        <v>1627</v>
      </c>
      <c r="N5256">
        <v>62.77</v>
      </c>
      <c r="O5256" s="49">
        <v>44580</v>
      </c>
      <c r="P5256" s="50">
        <v>481.66649999999998</v>
      </c>
    </row>
    <row r="5257" spans="4:16" x14ac:dyDescent="0.2">
      <c r="D5257">
        <v>100003143</v>
      </c>
      <c r="E5257" s="49">
        <v>44362</v>
      </c>
      <c r="F5257" t="s">
        <v>4730</v>
      </c>
      <c r="G5257" t="s">
        <v>1712</v>
      </c>
      <c r="H5257">
        <v>3</v>
      </c>
      <c r="I5257">
        <v>80.900000000000006</v>
      </c>
      <c r="J5257" s="50">
        <v>242.7</v>
      </c>
      <c r="K5257" t="s">
        <v>1618</v>
      </c>
      <c r="M5257" t="s">
        <v>1629</v>
      </c>
      <c r="N5257">
        <v>42.7</v>
      </c>
      <c r="O5257" s="49">
        <v>44366</v>
      </c>
      <c r="P5257" s="50">
        <v>109.215</v>
      </c>
    </row>
    <row r="5258" spans="4:16" x14ac:dyDescent="0.2">
      <c r="D5258">
        <v>100003144</v>
      </c>
      <c r="E5258" s="49">
        <v>44350</v>
      </c>
      <c r="F5258" t="s">
        <v>4731</v>
      </c>
      <c r="G5258" t="s">
        <v>1807</v>
      </c>
      <c r="H5258">
        <v>4</v>
      </c>
      <c r="I5258">
        <v>51.53</v>
      </c>
      <c r="J5258" s="50">
        <v>206.12</v>
      </c>
      <c r="K5258" t="s">
        <v>1618</v>
      </c>
      <c r="M5258" t="s">
        <v>1627</v>
      </c>
      <c r="N5258">
        <v>27.2</v>
      </c>
      <c r="O5258" s="49">
        <v>44355</v>
      </c>
      <c r="P5258" s="50">
        <v>92.754000000000005</v>
      </c>
    </row>
    <row r="5259" spans="4:16" x14ac:dyDescent="0.2">
      <c r="D5259">
        <v>100003144</v>
      </c>
      <c r="E5259" s="49">
        <v>45587</v>
      </c>
      <c r="F5259" t="s">
        <v>4731</v>
      </c>
      <c r="G5259" t="s">
        <v>2112</v>
      </c>
      <c r="H5259">
        <v>9</v>
      </c>
      <c r="I5259">
        <v>68.88</v>
      </c>
      <c r="J5259" s="50">
        <v>619.91999999999996</v>
      </c>
      <c r="K5259" t="s">
        <v>1618</v>
      </c>
      <c r="M5259" t="s">
        <v>1627</v>
      </c>
      <c r="N5259">
        <v>36.35</v>
      </c>
      <c r="O5259" s="49">
        <v>45588</v>
      </c>
      <c r="P5259" s="50">
        <v>278.964</v>
      </c>
    </row>
    <row r="5260" spans="4:16" x14ac:dyDescent="0.2">
      <c r="D5260">
        <v>100003144</v>
      </c>
      <c r="E5260" s="49">
        <v>44767</v>
      </c>
      <c r="F5260" t="s">
        <v>4731</v>
      </c>
      <c r="G5260" t="s">
        <v>1882</v>
      </c>
      <c r="H5260">
        <v>5</v>
      </c>
      <c r="I5260">
        <v>24.8</v>
      </c>
      <c r="J5260" s="50">
        <v>124</v>
      </c>
      <c r="K5260" t="s">
        <v>1618</v>
      </c>
      <c r="M5260" t="s">
        <v>1621</v>
      </c>
      <c r="N5260">
        <v>13.09</v>
      </c>
      <c r="O5260" s="49">
        <v>44768</v>
      </c>
      <c r="P5260" s="50">
        <v>55.800000000000004</v>
      </c>
    </row>
    <row r="5261" spans="4:16" x14ac:dyDescent="0.2">
      <c r="D5261">
        <v>100003144</v>
      </c>
      <c r="E5261" s="49">
        <v>44639</v>
      </c>
      <c r="F5261" t="s">
        <v>4731</v>
      </c>
      <c r="G5261" t="s">
        <v>1958</v>
      </c>
      <c r="H5261">
        <v>5</v>
      </c>
      <c r="I5261">
        <v>33.03</v>
      </c>
      <c r="J5261" s="50">
        <v>165.15</v>
      </c>
      <c r="K5261" t="s">
        <v>1618</v>
      </c>
      <c r="M5261" t="s">
        <v>1619</v>
      </c>
      <c r="N5261">
        <v>17.43</v>
      </c>
      <c r="O5261" s="49">
        <v>44644</v>
      </c>
      <c r="P5261" s="50">
        <v>74.31750000000001</v>
      </c>
    </row>
    <row r="5262" spans="4:16" x14ac:dyDescent="0.2">
      <c r="D5262">
        <v>100003147</v>
      </c>
      <c r="E5262" s="49">
        <v>45088</v>
      </c>
      <c r="F5262" t="s">
        <v>4732</v>
      </c>
      <c r="G5262" t="s">
        <v>1948</v>
      </c>
      <c r="H5262">
        <v>1</v>
      </c>
      <c r="I5262">
        <v>81.95</v>
      </c>
      <c r="J5262" s="50">
        <v>81.95</v>
      </c>
      <c r="K5262" t="s">
        <v>1618</v>
      </c>
      <c r="L5262" t="s">
        <v>4733</v>
      </c>
      <c r="M5262" t="s">
        <v>1629</v>
      </c>
      <c r="N5262">
        <v>43.25</v>
      </c>
      <c r="O5262" s="49">
        <v>45091</v>
      </c>
      <c r="P5262" s="50">
        <v>36.877500000000005</v>
      </c>
    </row>
    <row r="5263" spans="4:16" x14ac:dyDescent="0.2">
      <c r="D5263">
        <v>100003147</v>
      </c>
      <c r="E5263" s="49">
        <v>44530</v>
      </c>
      <c r="F5263" t="s">
        <v>4732</v>
      </c>
      <c r="G5263" t="s">
        <v>2553</v>
      </c>
      <c r="H5263">
        <v>7</v>
      </c>
      <c r="I5263">
        <v>44.32</v>
      </c>
      <c r="J5263" s="50">
        <v>310.24</v>
      </c>
      <c r="K5263" t="s">
        <v>1618</v>
      </c>
      <c r="L5263" t="s">
        <v>4733</v>
      </c>
      <c r="M5263" t="s">
        <v>1624</v>
      </c>
      <c r="N5263">
        <v>23.39</v>
      </c>
      <c r="O5263" s="49">
        <v>44534</v>
      </c>
      <c r="P5263" s="50">
        <v>139.608</v>
      </c>
    </row>
    <row r="5264" spans="4:16" x14ac:dyDescent="0.2">
      <c r="D5264">
        <v>100003148</v>
      </c>
      <c r="E5264" s="49">
        <v>44509</v>
      </c>
      <c r="F5264" t="s">
        <v>4734</v>
      </c>
      <c r="G5264" t="s">
        <v>3135</v>
      </c>
      <c r="H5264">
        <v>6</v>
      </c>
      <c r="I5264">
        <v>50.27</v>
      </c>
      <c r="J5264" s="50">
        <v>301.62</v>
      </c>
      <c r="K5264" t="s">
        <v>1618</v>
      </c>
      <c r="M5264" t="s">
        <v>1619</v>
      </c>
      <c r="N5264">
        <v>26.53</v>
      </c>
      <c r="O5264" s="49">
        <v>44511</v>
      </c>
      <c r="P5264" s="50">
        <v>135.72900000000001</v>
      </c>
    </row>
    <row r="5265" spans="4:16" x14ac:dyDescent="0.2">
      <c r="D5265">
        <v>100003149</v>
      </c>
      <c r="E5265" s="49">
        <v>44327</v>
      </c>
      <c r="F5265" t="s">
        <v>4735</v>
      </c>
      <c r="G5265" t="s">
        <v>2766</v>
      </c>
      <c r="H5265">
        <v>9</v>
      </c>
      <c r="I5265">
        <v>85.41</v>
      </c>
      <c r="J5265" s="50">
        <v>768.68999999999994</v>
      </c>
      <c r="K5265" t="s">
        <v>1618</v>
      </c>
      <c r="M5265" t="s">
        <v>1627</v>
      </c>
      <c r="N5265">
        <v>45.08</v>
      </c>
      <c r="O5265" s="49">
        <v>44329</v>
      </c>
      <c r="P5265" s="50">
        <v>345.91049999999996</v>
      </c>
    </row>
    <row r="5266" spans="4:16" x14ac:dyDescent="0.2">
      <c r="D5266">
        <v>100003149</v>
      </c>
      <c r="E5266" s="49">
        <v>45366</v>
      </c>
      <c r="F5266" t="s">
        <v>4735</v>
      </c>
      <c r="G5266" t="s">
        <v>2136</v>
      </c>
      <c r="H5266">
        <v>8</v>
      </c>
      <c r="I5266">
        <v>32.590000000000003</v>
      </c>
      <c r="J5266" s="50">
        <v>260.72000000000003</v>
      </c>
      <c r="K5266" t="s">
        <v>1618</v>
      </c>
      <c r="M5266" t="s">
        <v>1627</v>
      </c>
      <c r="N5266">
        <v>17.2</v>
      </c>
      <c r="O5266" s="49">
        <v>45368</v>
      </c>
      <c r="P5266" s="50">
        <v>117.32400000000001</v>
      </c>
    </row>
    <row r="5267" spans="4:16" x14ac:dyDescent="0.2">
      <c r="D5267">
        <v>100003149</v>
      </c>
      <c r="E5267" s="49">
        <v>44776</v>
      </c>
      <c r="F5267" t="s">
        <v>4735</v>
      </c>
      <c r="G5267" t="s">
        <v>2003</v>
      </c>
      <c r="H5267">
        <v>2</v>
      </c>
      <c r="I5267">
        <v>81.62</v>
      </c>
      <c r="J5267" s="50">
        <v>163.24</v>
      </c>
      <c r="K5267" t="s">
        <v>1618</v>
      </c>
      <c r="M5267" t="s">
        <v>1621</v>
      </c>
      <c r="N5267">
        <v>43.08</v>
      </c>
      <c r="O5267" s="49">
        <v>44778</v>
      </c>
      <c r="P5267" s="50">
        <v>73.458000000000013</v>
      </c>
    </row>
    <row r="5268" spans="4:16" x14ac:dyDescent="0.2">
      <c r="D5268">
        <v>100003150</v>
      </c>
      <c r="E5268" s="49">
        <v>44433</v>
      </c>
      <c r="F5268" t="s">
        <v>4736</v>
      </c>
      <c r="G5268" t="s">
        <v>1628</v>
      </c>
      <c r="H5268">
        <v>8</v>
      </c>
      <c r="I5268">
        <v>102.01</v>
      </c>
      <c r="J5268" s="50">
        <v>816.08</v>
      </c>
      <c r="K5268" t="s">
        <v>1618</v>
      </c>
      <c r="L5268" t="s">
        <v>4737</v>
      </c>
      <c r="M5268" t="s">
        <v>1619</v>
      </c>
      <c r="N5268">
        <v>53.84</v>
      </c>
      <c r="O5268" s="49">
        <v>44434</v>
      </c>
      <c r="P5268" s="50">
        <v>367.23600000000005</v>
      </c>
    </row>
    <row r="5269" spans="4:16" x14ac:dyDescent="0.2">
      <c r="D5269">
        <v>100003150</v>
      </c>
      <c r="E5269" s="49">
        <v>44617</v>
      </c>
      <c r="F5269" t="s">
        <v>4736</v>
      </c>
      <c r="G5269" t="s">
        <v>2328</v>
      </c>
      <c r="H5269">
        <v>6</v>
      </c>
      <c r="I5269">
        <v>45.33</v>
      </c>
      <c r="J5269" s="50">
        <v>271.98</v>
      </c>
      <c r="K5269" t="s">
        <v>1618</v>
      </c>
      <c r="L5269" t="s">
        <v>4737</v>
      </c>
      <c r="M5269" t="s">
        <v>1624</v>
      </c>
      <c r="N5269">
        <v>23.92</v>
      </c>
      <c r="O5269" s="49">
        <v>44621</v>
      </c>
      <c r="P5269" s="50">
        <v>122.39100000000001</v>
      </c>
    </row>
    <row r="5270" spans="4:16" x14ac:dyDescent="0.2">
      <c r="D5270">
        <v>100003150</v>
      </c>
      <c r="E5270" s="49">
        <v>45405</v>
      </c>
      <c r="F5270" t="s">
        <v>4736</v>
      </c>
      <c r="G5270" t="s">
        <v>1728</v>
      </c>
      <c r="H5270">
        <v>10</v>
      </c>
      <c r="I5270">
        <v>35.020000000000003</v>
      </c>
      <c r="J5270" s="50">
        <v>350.2</v>
      </c>
      <c r="K5270" t="s">
        <v>1618</v>
      </c>
      <c r="L5270" t="s">
        <v>4737</v>
      </c>
      <c r="M5270" t="s">
        <v>1621</v>
      </c>
      <c r="N5270">
        <v>18.48</v>
      </c>
      <c r="O5270" s="49">
        <v>45406</v>
      </c>
      <c r="P5270" s="50">
        <v>157.59</v>
      </c>
    </row>
    <row r="5271" spans="4:16" x14ac:dyDescent="0.2">
      <c r="D5271">
        <v>100003151</v>
      </c>
      <c r="E5271" s="49">
        <v>44247</v>
      </c>
      <c r="F5271" t="s">
        <v>4738</v>
      </c>
      <c r="G5271" t="s">
        <v>1958</v>
      </c>
      <c r="H5271">
        <v>6</v>
      </c>
      <c r="I5271">
        <v>39.6</v>
      </c>
      <c r="J5271" s="50">
        <v>237.6</v>
      </c>
      <c r="K5271" t="s">
        <v>1618</v>
      </c>
      <c r="M5271" t="s">
        <v>1621</v>
      </c>
      <c r="N5271">
        <v>20.9</v>
      </c>
      <c r="O5271" s="49">
        <v>44250</v>
      </c>
      <c r="P5271" s="50">
        <v>106.92</v>
      </c>
    </row>
    <row r="5272" spans="4:16" x14ac:dyDescent="0.2">
      <c r="D5272">
        <v>100003151</v>
      </c>
      <c r="E5272" s="49">
        <v>45274</v>
      </c>
      <c r="F5272" t="s">
        <v>4738</v>
      </c>
      <c r="G5272" t="s">
        <v>1705</v>
      </c>
      <c r="H5272">
        <v>10</v>
      </c>
      <c r="I5272">
        <v>95.83</v>
      </c>
      <c r="J5272" s="50">
        <v>958.3</v>
      </c>
      <c r="K5272" t="s">
        <v>1618</v>
      </c>
      <c r="M5272" t="s">
        <v>1629</v>
      </c>
      <c r="N5272">
        <v>50.58</v>
      </c>
      <c r="O5272" s="49">
        <v>45277</v>
      </c>
      <c r="P5272" s="50">
        <v>431.23500000000001</v>
      </c>
    </row>
    <row r="5273" spans="4:16" x14ac:dyDescent="0.2">
      <c r="D5273">
        <v>100003151</v>
      </c>
      <c r="E5273" s="49">
        <v>44370</v>
      </c>
      <c r="F5273" t="s">
        <v>4738</v>
      </c>
      <c r="G5273" t="s">
        <v>2261</v>
      </c>
      <c r="H5273">
        <v>4</v>
      </c>
      <c r="I5273">
        <v>14.06</v>
      </c>
      <c r="J5273" s="50">
        <v>56.24</v>
      </c>
      <c r="K5273" t="s">
        <v>1618</v>
      </c>
      <c r="M5273" t="s">
        <v>1621</v>
      </c>
      <c r="N5273">
        <v>7.42</v>
      </c>
      <c r="O5273" s="49">
        <v>44372</v>
      </c>
      <c r="P5273" s="50">
        <v>25.308</v>
      </c>
    </row>
    <row r="5274" spans="4:16" x14ac:dyDescent="0.2">
      <c r="D5274">
        <v>100003152</v>
      </c>
      <c r="E5274" s="49">
        <v>44984</v>
      </c>
      <c r="F5274" t="s">
        <v>4739</v>
      </c>
      <c r="G5274" t="s">
        <v>2159</v>
      </c>
      <c r="H5274">
        <v>4</v>
      </c>
      <c r="I5274">
        <v>29.01</v>
      </c>
      <c r="J5274" s="50">
        <v>116.04</v>
      </c>
      <c r="K5274" t="s">
        <v>1632</v>
      </c>
      <c r="M5274" t="s">
        <v>1619</v>
      </c>
      <c r="N5274">
        <v>15.31</v>
      </c>
      <c r="O5274" s="49">
        <v>44987</v>
      </c>
      <c r="P5274" s="50">
        <v>52.218000000000004</v>
      </c>
    </row>
    <row r="5275" spans="4:16" x14ac:dyDescent="0.2">
      <c r="D5275">
        <v>100003152</v>
      </c>
      <c r="E5275" s="49">
        <v>44545</v>
      </c>
      <c r="F5275" t="s">
        <v>4739</v>
      </c>
      <c r="G5275" t="s">
        <v>2060</v>
      </c>
      <c r="H5275">
        <v>9</v>
      </c>
      <c r="I5275">
        <v>62.06</v>
      </c>
      <c r="J5275" s="50">
        <v>558.54</v>
      </c>
      <c r="K5275" t="s">
        <v>1632</v>
      </c>
      <c r="M5275" t="s">
        <v>1627</v>
      </c>
      <c r="N5275">
        <v>32.75</v>
      </c>
      <c r="O5275" s="49">
        <v>44549</v>
      </c>
      <c r="P5275" s="50">
        <v>251.34299999999999</v>
      </c>
    </row>
    <row r="5276" spans="4:16" x14ac:dyDescent="0.2">
      <c r="D5276">
        <v>100003153</v>
      </c>
      <c r="E5276" s="49">
        <v>45312</v>
      </c>
      <c r="F5276" t="s">
        <v>4740</v>
      </c>
      <c r="G5276" t="s">
        <v>1943</v>
      </c>
      <c r="H5276">
        <v>10</v>
      </c>
      <c r="I5276">
        <v>33.46</v>
      </c>
      <c r="J5276" s="50">
        <v>334.6</v>
      </c>
      <c r="K5276" t="s">
        <v>1632</v>
      </c>
      <c r="M5276" t="s">
        <v>1619</v>
      </c>
      <c r="N5276">
        <v>17.66</v>
      </c>
      <c r="O5276" s="49">
        <v>45317</v>
      </c>
      <c r="P5276" s="50">
        <v>150.57000000000002</v>
      </c>
    </row>
    <row r="5277" spans="4:16" x14ac:dyDescent="0.2">
      <c r="D5277">
        <v>100003154</v>
      </c>
      <c r="E5277" s="49">
        <v>44829</v>
      </c>
      <c r="F5277" t="s">
        <v>4741</v>
      </c>
      <c r="G5277" t="s">
        <v>2161</v>
      </c>
      <c r="H5277">
        <v>5</v>
      </c>
      <c r="I5277">
        <v>91.76</v>
      </c>
      <c r="J5277" s="50">
        <v>458.8</v>
      </c>
      <c r="K5277" t="s">
        <v>1632</v>
      </c>
      <c r="L5277" t="s">
        <v>2939</v>
      </c>
      <c r="M5277" t="s">
        <v>1619</v>
      </c>
      <c r="N5277">
        <v>48.43</v>
      </c>
      <c r="O5277" s="49">
        <v>44832</v>
      </c>
      <c r="P5277" s="50">
        <v>206.46</v>
      </c>
    </row>
    <row r="5278" spans="4:16" x14ac:dyDescent="0.2">
      <c r="D5278">
        <v>100003154</v>
      </c>
      <c r="E5278" s="49">
        <v>45037</v>
      </c>
      <c r="F5278" t="s">
        <v>4741</v>
      </c>
      <c r="G5278" t="s">
        <v>2613</v>
      </c>
      <c r="H5278">
        <v>6</v>
      </c>
      <c r="I5278">
        <v>85.67</v>
      </c>
      <c r="J5278" s="50">
        <v>514.02</v>
      </c>
      <c r="K5278" t="s">
        <v>1632</v>
      </c>
      <c r="L5278" t="s">
        <v>2939</v>
      </c>
      <c r="M5278" t="s">
        <v>1627</v>
      </c>
      <c r="N5278">
        <v>45.21</v>
      </c>
      <c r="O5278" s="49">
        <v>45042</v>
      </c>
      <c r="P5278" s="50">
        <v>231.309</v>
      </c>
    </row>
    <row r="5279" spans="4:16" x14ac:dyDescent="0.2">
      <c r="D5279">
        <v>100003155</v>
      </c>
      <c r="E5279" s="49">
        <v>45550</v>
      </c>
      <c r="F5279" t="s">
        <v>4742</v>
      </c>
      <c r="G5279" t="s">
        <v>1865</v>
      </c>
      <c r="H5279">
        <v>1</v>
      </c>
      <c r="I5279">
        <v>118.63</v>
      </c>
      <c r="J5279" s="50">
        <v>118.63</v>
      </c>
      <c r="K5279" t="s">
        <v>1632</v>
      </c>
      <c r="L5279" t="s">
        <v>4743</v>
      </c>
      <c r="M5279" t="s">
        <v>1624</v>
      </c>
      <c r="N5279">
        <v>62.61</v>
      </c>
      <c r="O5279" s="49">
        <v>45555</v>
      </c>
      <c r="P5279" s="50">
        <v>53.383499999999998</v>
      </c>
    </row>
    <row r="5280" spans="4:16" x14ac:dyDescent="0.2">
      <c r="D5280">
        <v>100003156</v>
      </c>
      <c r="E5280" s="49">
        <v>45232</v>
      </c>
      <c r="F5280" t="s">
        <v>4744</v>
      </c>
      <c r="G5280" t="s">
        <v>2480</v>
      </c>
      <c r="H5280">
        <v>9</v>
      </c>
      <c r="I5280">
        <v>63</v>
      </c>
      <c r="J5280" s="50">
        <v>567</v>
      </c>
      <c r="K5280" t="s">
        <v>1618</v>
      </c>
      <c r="M5280" t="s">
        <v>1627</v>
      </c>
      <c r="N5280">
        <v>33.25</v>
      </c>
      <c r="O5280" s="49">
        <v>45234</v>
      </c>
      <c r="P5280" s="50">
        <v>255.15</v>
      </c>
    </row>
    <row r="5281" spans="4:16" x14ac:dyDescent="0.2">
      <c r="D5281">
        <v>100003157</v>
      </c>
      <c r="E5281" s="49">
        <v>45642</v>
      </c>
      <c r="F5281" t="s">
        <v>4745</v>
      </c>
      <c r="G5281" t="s">
        <v>1754</v>
      </c>
      <c r="H5281">
        <v>2</v>
      </c>
      <c r="I5281">
        <v>87.25</v>
      </c>
      <c r="J5281" s="50">
        <v>174.5</v>
      </c>
      <c r="K5281" t="s">
        <v>1618</v>
      </c>
      <c r="L5281" t="s">
        <v>4746</v>
      </c>
      <c r="M5281" t="s">
        <v>1629</v>
      </c>
      <c r="N5281">
        <v>46.05</v>
      </c>
      <c r="O5281" s="49">
        <v>45643</v>
      </c>
      <c r="P5281" s="50">
        <v>78.525000000000006</v>
      </c>
    </row>
    <row r="5282" spans="4:16" x14ac:dyDescent="0.2">
      <c r="D5282">
        <v>100003158</v>
      </c>
      <c r="E5282" s="49">
        <v>45629</v>
      </c>
      <c r="F5282" t="s">
        <v>4747</v>
      </c>
      <c r="G5282" t="s">
        <v>1722</v>
      </c>
      <c r="H5282">
        <v>5</v>
      </c>
      <c r="I5282">
        <v>61.43</v>
      </c>
      <c r="J5282" s="50">
        <v>307.14999999999998</v>
      </c>
      <c r="K5282" t="s">
        <v>1618</v>
      </c>
      <c r="M5282" t="s">
        <v>1621</v>
      </c>
      <c r="N5282">
        <v>32.42</v>
      </c>
      <c r="O5282" s="49">
        <v>45631</v>
      </c>
      <c r="P5282" s="50">
        <v>138.2175</v>
      </c>
    </row>
    <row r="5283" spans="4:16" x14ac:dyDescent="0.2">
      <c r="D5283">
        <v>100003158</v>
      </c>
      <c r="E5283" s="49">
        <v>44569</v>
      </c>
      <c r="F5283" t="s">
        <v>4747</v>
      </c>
      <c r="G5283" t="s">
        <v>1720</v>
      </c>
      <c r="H5283">
        <v>10</v>
      </c>
      <c r="I5283">
        <v>30.51</v>
      </c>
      <c r="J5283" s="50">
        <v>305.10000000000002</v>
      </c>
      <c r="K5283" t="s">
        <v>1618</v>
      </c>
      <c r="M5283" t="s">
        <v>1619</v>
      </c>
      <c r="N5283">
        <v>16.100000000000001</v>
      </c>
      <c r="O5283" s="49">
        <v>44573</v>
      </c>
      <c r="P5283" s="50">
        <v>137.29500000000002</v>
      </c>
    </row>
    <row r="5284" spans="4:16" x14ac:dyDescent="0.2">
      <c r="D5284">
        <v>100003158</v>
      </c>
      <c r="E5284" s="49">
        <v>45228</v>
      </c>
      <c r="F5284" t="s">
        <v>4747</v>
      </c>
      <c r="G5284" t="s">
        <v>1844</v>
      </c>
      <c r="H5284">
        <v>4</v>
      </c>
      <c r="I5284">
        <v>117.8</v>
      </c>
      <c r="J5284" s="50">
        <v>471.2</v>
      </c>
      <c r="K5284" t="s">
        <v>1618</v>
      </c>
      <c r="M5284" t="s">
        <v>1619</v>
      </c>
      <c r="N5284">
        <v>62.17</v>
      </c>
      <c r="O5284" s="49">
        <v>45229</v>
      </c>
      <c r="P5284" s="50">
        <v>212.04</v>
      </c>
    </row>
    <row r="5285" spans="4:16" x14ac:dyDescent="0.2">
      <c r="D5285">
        <v>100003159</v>
      </c>
      <c r="E5285" s="49">
        <v>45410</v>
      </c>
      <c r="F5285" t="s">
        <v>4748</v>
      </c>
      <c r="G5285" t="s">
        <v>1720</v>
      </c>
      <c r="H5285">
        <v>7</v>
      </c>
      <c r="I5285">
        <v>104.44</v>
      </c>
      <c r="J5285" s="50">
        <v>731.07999999999993</v>
      </c>
      <c r="K5285" t="s">
        <v>1618</v>
      </c>
      <c r="L5285" t="s">
        <v>3199</v>
      </c>
      <c r="M5285" t="s">
        <v>1627</v>
      </c>
      <c r="N5285">
        <v>55.12</v>
      </c>
      <c r="O5285" s="49">
        <v>45411</v>
      </c>
      <c r="P5285" s="50">
        <v>328.98599999999999</v>
      </c>
    </row>
    <row r="5286" spans="4:16" x14ac:dyDescent="0.2">
      <c r="D5286">
        <v>100003159</v>
      </c>
      <c r="E5286" s="49">
        <v>44457</v>
      </c>
      <c r="F5286" t="s">
        <v>4748</v>
      </c>
      <c r="G5286" t="s">
        <v>2344</v>
      </c>
      <c r="H5286">
        <v>10</v>
      </c>
      <c r="I5286">
        <v>51.3</v>
      </c>
      <c r="J5286" s="50">
        <v>513</v>
      </c>
      <c r="K5286" t="s">
        <v>1618</v>
      </c>
      <c r="L5286" t="s">
        <v>3199</v>
      </c>
      <c r="M5286" t="s">
        <v>1624</v>
      </c>
      <c r="N5286">
        <v>27.07</v>
      </c>
      <c r="O5286" s="49">
        <v>44460</v>
      </c>
      <c r="P5286" s="50">
        <v>230.85</v>
      </c>
    </row>
    <row r="5287" spans="4:16" x14ac:dyDescent="0.2">
      <c r="D5287">
        <v>100003162</v>
      </c>
      <c r="E5287" s="49">
        <v>44398</v>
      </c>
      <c r="F5287" t="s">
        <v>3000</v>
      </c>
      <c r="G5287" t="s">
        <v>1671</v>
      </c>
      <c r="H5287">
        <v>10</v>
      </c>
      <c r="I5287">
        <v>22.35</v>
      </c>
      <c r="J5287" s="50">
        <v>223.5</v>
      </c>
      <c r="K5287" t="s">
        <v>1632</v>
      </c>
      <c r="L5287" t="s">
        <v>3387</v>
      </c>
      <c r="M5287" t="s">
        <v>1627</v>
      </c>
      <c r="N5287">
        <v>11.8</v>
      </c>
      <c r="O5287" s="49">
        <v>44402</v>
      </c>
      <c r="P5287" s="50">
        <v>100.575</v>
      </c>
    </row>
    <row r="5288" spans="4:16" x14ac:dyDescent="0.2">
      <c r="D5288">
        <v>100003164</v>
      </c>
      <c r="E5288" s="49">
        <v>44484</v>
      </c>
      <c r="F5288" t="s">
        <v>2502</v>
      </c>
      <c r="G5288" t="s">
        <v>1724</v>
      </c>
      <c r="H5288">
        <v>5</v>
      </c>
      <c r="I5288">
        <v>44.4</v>
      </c>
      <c r="J5288" s="50">
        <v>222</v>
      </c>
      <c r="K5288" t="s">
        <v>1632</v>
      </c>
      <c r="L5288" t="s">
        <v>4749</v>
      </c>
      <c r="M5288" t="s">
        <v>1621</v>
      </c>
      <c r="N5288">
        <v>23.43</v>
      </c>
      <c r="O5288" s="49">
        <v>44485</v>
      </c>
      <c r="P5288" s="50">
        <v>99.9</v>
      </c>
    </row>
    <row r="5289" spans="4:16" x14ac:dyDescent="0.2">
      <c r="D5289">
        <v>100003166</v>
      </c>
      <c r="E5289" s="49">
        <v>45473</v>
      </c>
      <c r="F5289" t="s">
        <v>4750</v>
      </c>
      <c r="G5289" t="s">
        <v>1825</v>
      </c>
      <c r="H5289">
        <v>8</v>
      </c>
      <c r="I5289">
        <v>33.76</v>
      </c>
      <c r="J5289" s="50">
        <v>270.08</v>
      </c>
      <c r="K5289" t="s">
        <v>1618</v>
      </c>
      <c r="L5289" t="s">
        <v>4751</v>
      </c>
      <c r="M5289" t="s">
        <v>1624</v>
      </c>
      <c r="N5289">
        <v>17.82</v>
      </c>
      <c r="O5289" s="49">
        <v>45476</v>
      </c>
      <c r="P5289" s="50">
        <v>121.536</v>
      </c>
    </row>
    <row r="5290" spans="4:16" x14ac:dyDescent="0.2">
      <c r="D5290">
        <v>100003166</v>
      </c>
      <c r="E5290" s="49">
        <v>45244</v>
      </c>
      <c r="F5290" t="s">
        <v>4750</v>
      </c>
      <c r="G5290" t="s">
        <v>2004</v>
      </c>
      <c r="H5290">
        <v>5</v>
      </c>
      <c r="I5290">
        <v>104.91</v>
      </c>
      <c r="J5290" s="50">
        <v>524.54999999999995</v>
      </c>
      <c r="K5290" t="s">
        <v>1618</v>
      </c>
      <c r="L5290" t="s">
        <v>4751</v>
      </c>
      <c r="M5290" t="s">
        <v>1621</v>
      </c>
      <c r="N5290">
        <v>55.37</v>
      </c>
      <c r="O5290" s="49">
        <v>45247</v>
      </c>
      <c r="P5290" s="50">
        <v>236.04749999999999</v>
      </c>
    </row>
    <row r="5291" spans="4:16" x14ac:dyDescent="0.2">
      <c r="D5291">
        <v>100003166</v>
      </c>
      <c r="E5291" s="49">
        <v>45572</v>
      </c>
      <c r="F5291" t="s">
        <v>4750</v>
      </c>
      <c r="G5291" t="s">
        <v>1693</v>
      </c>
      <c r="H5291">
        <v>1</v>
      </c>
      <c r="I5291">
        <v>50.5</v>
      </c>
      <c r="J5291" s="50">
        <v>50.5</v>
      </c>
      <c r="K5291" t="s">
        <v>1618</v>
      </c>
      <c r="L5291" t="s">
        <v>4751</v>
      </c>
      <c r="M5291" t="s">
        <v>1629</v>
      </c>
      <c r="N5291">
        <v>26.65</v>
      </c>
      <c r="O5291" s="49">
        <v>45576</v>
      </c>
      <c r="P5291" s="50">
        <v>22.725000000000001</v>
      </c>
    </row>
    <row r="5292" spans="4:16" x14ac:dyDescent="0.2">
      <c r="D5292">
        <v>100003167</v>
      </c>
      <c r="E5292" s="49">
        <v>44952</v>
      </c>
      <c r="F5292" t="s">
        <v>4752</v>
      </c>
      <c r="G5292" t="s">
        <v>2084</v>
      </c>
      <c r="H5292">
        <v>4</v>
      </c>
      <c r="I5292">
        <v>25.55</v>
      </c>
      <c r="J5292" s="50">
        <v>102.2</v>
      </c>
      <c r="K5292" t="s">
        <v>1618</v>
      </c>
      <c r="L5292" t="s">
        <v>4753</v>
      </c>
      <c r="M5292" t="s">
        <v>1629</v>
      </c>
      <c r="N5292">
        <v>13.48</v>
      </c>
      <c r="O5292" s="49">
        <v>44954</v>
      </c>
      <c r="P5292" s="50">
        <v>45.99</v>
      </c>
    </row>
    <row r="5293" spans="4:16" x14ac:dyDescent="0.2">
      <c r="D5293">
        <v>100003169</v>
      </c>
      <c r="E5293" s="49">
        <v>45263</v>
      </c>
      <c r="F5293" t="s">
        <v>4754</v>
      </c>
      <c r="G5293" t="s">
        <v>1700</v>
      </c>
      <c r="H5293">
        <v>1</v>
      </c>
      <c r="I5293">
        <v>93.34</v>
      </c>
      <c r="J5293" s="50">
        <v>93.34</v>
      </c>
      <c r="K5293" t="s">
        <v>1618</v>
      </c>
      <c r="L5293" t="s">
        <v>4755</v>
      </c>
      <c r="M5293" t="s">
        <v>1627</v>
      </c>
      <c r="N5293">
        <v>49.26</v>
      </c>
      <c r="O5293" s="49">
        <v>45268</v>
      </c>
      <c r="P5293" s="50">
        <v>42.003</v>
      </c>
    </row>
    <row r="5294" spans="4:16" x14ac:dyDescent="0.2">
      <c r="D5294">
        <v>100003171</v>
      </c>
      <c r="E5294" s="49">
        <v>44742</v>
      </c>
      <c r="F5294" t="s">
        <v>4756</v>
      </c>
      <c r="G5294" t="s">
        <v>2305</v>
      </c>
      <c r="H5294">
        <v>8</v>
      </c>
      <c r="I5294">
        <v>12.76</v>
      </c>
      <c r="J5294" s="50">
        <v>102.08</v>
      </c>
      <c r="K5294" t="s">
        <v>1618</v>
      </c>
      <c r="M5294" t="s">
        <v>1624</v>
      </c>
      <c r="N5294">
        <v>6.73</v>
      </c>
      <c r="O5294" s="49">
        <v>44743</v>
      </c>
      <c r="P5294" s="50">
        <v>45.936</v>
      </c>
    </row>
    <row r="5295" spans="4:16" x14ac:dyDescent="0.2">
      <c r="D5295">
        <v>100003171</v>
      </c>
      <c r="E5295" s="49">
        <v>45057</v>
      </c>
      <c r="F5295" t="s">
        <v>4756</v>
      </c>
      <c r="G5295" t="s">
        <v>2375</v>
      </c>
      <c r="H5295">
        <v>4</v>
      </c>
      <c r="I5295">
        <v>85.82</v>
      </c>
      <c r="J5295" s="50">
        <v>343.28</v>
      </c>
      <c r="K5295" t="s">
        <v>1618</v>
      </c>
      <c r="M5295" t="s">
        <v>1624</v>
      </c>
      <c r="N5295">
        <v>45.29</v>
      </c>
      <c r="O5295" s="49">
        <v>45059</v>
      </c>
      <c r="P5295" s="50">
        <v>154.476</v>
      </c>
    </row>
    <row r="5296" spans="4:16" x14ac:dyDescent="0.2">
      <c r="D5296">
        <v>100003171</v>
      </c>
      <c r="E5296" s="49">
        <v>44955</v>
      </c>
      <c r="F5296" t="s">
        <v>4756</v>
      </c>
      <c r="G5296" t="s">
        <v>1649</v>
      </c>
      <c r="H5296">
        <v>2</v>
      </c>
      <c r="I5296">
        <v>52.62</v>
      </c>
      <c r="J5296" s="50">
        <v>105.24</v>
      </c>
      <c r="K5296" t="s">
        <v>1618</v>
      </c>
      <c r="M5296" t="s">
        <v>1629</v>
      </c>
      <c r="N5296">
        <v>27.77</v>
      </c>
      <c r="O5296" s="49">
        <v>44959</v>
      </c>
      <c r="P5296" s="50">
        <v>47.357999999999997</v>
      </c>
    </row>
    <row r="5297" spans="4:16" x14ac:dyDescent="0.2">
      <c r="D5297">
        <v>100003171</v>
      </c>
      <c r="E5297" s="49">
        <v>44875</v>
      </c>
      <c r="F5297" t="s">
        <v>4756</v>
      </c>
      <c r="G5297" t="s">
        <v>1696</v>
      </c>
      <c r="H5297">
        <v>2</v>
      </c>
      <c r="I5297">
        <v>98.12</v>
      </c>
      <c r="J5297" s="50">
        <v>196.24</v>
      </c>
      <c r="K5297" t="s">
        <v>1618</v>
      </c>
      <c r="M5297" t="s">
        <v>1624</v>
      </c>
      <c r="N5297">
        <v>51.79</v>
      </c>
      <c r="O5297" s="49">
        <v>44876</v>
      </c>
      <c r="P5297" s="50">
        <v>88.308000000000007</v>
      </c>
    </row>
    <row r="5298" spans="4:16" x14ac:dyDescent="0.2">
      <c r="D5298">
        <v>100003172</v>
      </c>
      <c r="E5298" s="49">
        <v>45101</v>
      </c>
      <c r="F5298" t="s">
        <v>4757</v>
      </c>
      <c r="G5298" t="s">
        <v>2163</v>
      </c>
      <c r="H5298">
        <v>3</v>
      </c>
      <c r="I5298">
        <v>100.7</v>
      </c>
      <c r="J5298" s="50">
        <v>302.10000000000002</v>
      </c>
      <c r="K5298" t="s">
        <v>1618</v>
      </c>
      <c r="M5298" t="s">
        <v>1619</v>
      </c>
      <c r="N5298">
        <v>53.15</v>
      </c>
      <c r="O5298" s="49">
        <v>45103</v>
      </c>
      <c r="P5298" s="50">
        <v>135.94500000000002</v>
      </c>
    </row>
    <row r="5299" spans="4:16" x14ac:dyDescent="0.2">
      <c r="D5299">
        <v>100003172</v>
      </c>
      <c r="E5299" s="49">
        <v>44906</v>
      </c>
      <c r="F5299" t="s">
        <v>4757</v>
      </c>
      <c r="G5299" t="s">
        <v>2017</v>
      </c>
      <c r="H5299">
        <v>6</v>
      </c>
      <c r="I5299">
        <v>12.47</v>
      </c>
      <c r="J5299" s="50">
        <v>74.820000000000007</v>
      </c>
      <c r="K5299" t="s">
        <v>1618</v>
      </c>
      <c r="M5299" t="s">
        <v>1621</v>
      </c>
      <c r="N5299">
        <v>6.58</v>
      </c>
      <c r="O5299" s="49">
        <v>44908</v>
      </c>
      <c r="P5299" s="50">
        <v>33.669000000000004</v>
      </c>
    </row>
    <row r="5300" spans="4:16" x14ac:dyDescent="0.2">
      <c r="D5300">
        <v>100003172</v>
      </c>
      <c r="E5300" s="49">
        <v>45521</v>
      </c>
      <c r="F5300" t="s">
        <v>4757</v>
      </c>
      <c r="G5300" t="s">
        <v>1762</v>
      </c>
      <c r="H5300">
        <v>2</v>
      </c>
      <c r="I5300">
        <v>108.2</v>
      </c>
      <c r="J5300" s="50">
        <v>216.4</v>
      </c>
      <c r="K5300" t="s">
        <v>1618</v>
      </c>
      <c r="M5300" t="s">
        <v>1619</v>
      </c>
      <c r="N5300">
        <v>57.11</v>
      </c>
      <c r="O5300" s="49">
        <v>45522</v>
      </c>
      <c r="P5300" s="50">
        <v>97.38000000000001</v>
      </c>
    </row>
    <row r="5301" spans="4:16" x14ac:dyDescent="0.2">
      <c r="D5301">
        <v>100003172</v>
      </c>
      <c r="E5301" s="49">
        <v>44373</v>
      </c>
      <c r="F5301" t="s">
        <v>4757</v>
      </c>
      <c r="G5301" t="s">
        <v>1944</v>
      </c>
      <c r="H5301">
        <v>6</v>
      </c>
      <c r="I5301">
        <v>22.28</v>
      </c>
      <c r="J5301" s="50">
        <v>133.68</v>
      </c>
      <c r="K5301" t="s">
        <v>1618</v>
      </c>
      <c r="M5301" t="s">
        <v>1619</v>
      </c>
      <c r="N5301">
        <v>11.76</v>
      </c>
      <c r="O5301" s="49">
        <v>44376</v>
      </c>
      <c r="P5301" s="50">
        <v>60.156000000000006</v>
      </c>
    </row>
    <row r="5302" spans="4:16" x14ac:dyDescent="0.2">
      <c r="D5302">
        <v>100003172</v>
      </c>
      <c r="E5302" s="49">
        <v>45224</v>
      </c>
      <c r="F5302" t="s">
        <v>4757</v>
      </c>
      <c r="G5302" t="s">
        <v>2393</v>
      </c>
      <c r="H5302">
        <v>7</v>
      </c>
      <c r="I5302">
        <v>117.99</v>
      </c>
      <c r="J5302" s="50">
        <v>825.93</v>
      </c>
      <c r="K5302" t="s">
        <v>1618</v>
      </c>
      <c r="M5302" t="s">
        <v>1624</v>
      </c>
      <c r="N5302">
        <v>62.27</v>
      </c>
      <c r="O5302" s="49">
        <v>45225</v>
      </c>
      <c r="P5302" s="50">
        <v>371.66849999999999</v>
      </c>
    </row>
    <row r="5303" spans="4:16" x14ac:dyDescent="0.2">
      <c r="D5303">
        <v>100003172</v>
      </c>
      <c r="E5303" s="49">
        <v>45453</v>
      </c>
      <c r="F5303" t="s">
        <v>4757</v>
      </c>
      <c r="G5303" t="s">
        <v>2305</v>
      </c>
      <c r="H5303">
        <v>7</v>
      </c>
      <c r="I5303">
        <v>119.52</v>
      </c>
      <c r="J5303" s="50">
        <v>836.64</v>
      </c>
      <c r="K5303" t="s">
        <v>1618</v>
      </c>
      <c r="M5303" t="s">
        <v>1619</v>
      </c>
      <c r="N5303">
        <v>63.08</v>
      </c>
      <c r="O5303" s="49">
        <v>45455</v>
      </c>
      <c r="P5303" s="50">
        <v>376.488</v>
      </c>
    </row>
    <row r="5304" spans="4:16" x14ac:dyDescent="0.2">
      <c r="D5304">
        <v>100003173</v>
      </c>
      <c r="E5304" s="49">
        <v>44330</v>
      </c>
      <c r="F5304" t="s">
        <v>4758</v>
      </c>
      <c r="G5304" t="s">
        <v>1740</v>
      </c>
      <c r="H5304">
        <v>10</v>
      </c>
      <c r="I5304">
        <v>14.04</v>
      </c>
      <c r="J5304" s="50">
        <v>140.4</v>
      </c>
      <c r="K5304" t="s">
        <v>1632</v>
      </c>
      <c r="L5304" t="s">
        <v>4759</v>
      </c>
      <c r="M5304" t="s">
        <v>1619</v>
      </c>
      <c r="N5304">
        <v>7.41</v>
      </c>
      <c r="O5304" s="49">
        <v>44334</v>
      </c>
      <c r="P5304" s="50">
        <v>63.180000000000007</v>
      </c>
    </row>
    <row r="5305" spans="4:16" x14ac:dyDescent="0.2">
      <c r="D5305">
        <v>100003173</v>
      </c>
      <c r="E5305" s="49">
        <v>45196</v>
      </c>
      <c r="F5305" t="s">
        <v>4758</v>
      </c>
      <c r="G5305" t="s">
        <v>1802</v>
      </c>
      <c r="H5305">
        <v>1</v>
      </c>
      <c r="I5305">
        <v>114.07</v>
      </c>
      <c r="J5305" s="50">
        <v>114.07</v>
      </c>
      <c r="K5305" t="s">
        <v>1632</v>
      </c>
      <c r="L5305" t="s">
        <v>4759</v>
      </c>
      <c r="M5305" t="s">
        <v>1627</v>
      </c>
      <c r="N5305">
        <v>60.2</v>
      </c>
      <c r="O5305" s="49">
        <v>45200</v>
      </c>
      <c r="P5305" s="50">
        <v>51.331499999999998</v>
      </c>
    </row>
    <row r="5306" spans="4:16" x14ac:dyDescent="0.2">
      <c r="D5306">
        <v>100003173</v>
      </c>
      <c r="E5306" s="49">
        <v>44685</v>
      </c>
      <c r="F5306" t="s">
        <v>4758</v>
      </c>
      <c r="G5306" t="s">
        <v>2076</v>
      </c>
      <c r="H5306">
        <v>10</v>
      </c>
      <c r="I5306">
        <v>86.93</v>
      </c>
      <c r="J5306" s="50">
        <v>869.30000000000007</v>
      </c>
      <c r="K5306" t="s">
        <v>1632</v>
      </c>
      <c r="L5306" t="s">
        <v>4759</v>
      </c>
      <c r="M5306" t="s">
        <v>1627</v>
      </c>
      <c r="N5306">
        <v>45.88</v>
      </c>
      <c r="O5306" s="49">
        <v>44687</v>
      </c>
      <c r="P5306" s="50">
        <v>391.18500000000006</v>
      </c>
    </row>
    <row r="5307" spans="4:16" x14ac:dyDescent="0.2">
      <c r="D5307">
        <v>100003173</v>
      </c>
      <c r="E5307" s="49">
        <v>45229</v>
      </c>
      <c r="F5307" t="s">
        <v>4758</v>
      </c>
      <c r="G5307" t="s">
        <v>2337</v>
      </c>
      <c r="H5307">
        <v>10</v>
      </c>
      <c r="I5307">
        <v>31.28</v>
      </c>
      <c r="J5307" s="50">
        <v>312.8</v>
      </c>
      <c r="K5307" t="s">
        <v>1632</v>
      </c>
      <c r="L5307" t="s">
        <v>4759</v>
      </c>
      <c r="M5307" t="s">
        <v>1627</v>
      </c>
      <c r="N5307">
        <v>16.510000000000002</v>
      </c>
      <c r="O5307" s="49">
        <v>45232</v>
      </c>
      <c r="P5307" s="50">
        <v>140.76000000000002</v>
      </c>
    </row>
    <row r="5308" spans="4:16" x14ac:dyDescent="0.2">
      <c r="D5308">
        <v>100003173</v>
      </c>
      <c r="E5308" s="49">
        <v>44416</v>
      </c>
      <c r="F5308" t="s">
        <v>4758</v>
      </c>
      <c r="G5308" t="s">
        <v>1721</v>
      </c>
      <c r="H5308">
        <v>4</v>
      </c>
      <c r="I5308">
        <v>39.1</v>
      </c>
      <c r="J5308" s="50">
        <v>156.4</v>
      </c>
      <c r="K5308" t="s">
        <v>1632</v>
      </c>
      <c r="L5308" t="s">
        <v>4759</v>
      </c>
      <c r="M5308" t="s">
        <v>1619</v>
      </c>
      <c r="N5308">
        <v>20.64</v>
      </c>
      <c r="O5308" s="49">
        <v>44417</v>
      </c>
      <c r="P5308" s="50">
        <v>70.38000000000001</v>
      </c>
    </row>
    <row r="5309" spans="4:16" x14ac:dyDescent="0.2">
      <c r="D5309">
        <v>100003174</v>
      </c>
      <c r="E5309" s="49">
        <v>45452</v>
      </c>
      <c r="F5309" t="s">
        <v>4760</v>
      </c>
      <c r="G5309" t="s">
        <v>1982</v>
      </c>
      <c r="H5309">
        <v>5</v>
      </c>
      <c r="I5309">
        <v>97.38</v>
      </c>
      <c r="J5309" s="50">
        <v>486.9</v>
      </c>
      <c r="K5309" t="s">
        <v>1632</v>
      </c>
      <c r="L5309" t="s">
        <v>2748</v>
      </c>
      <c r="M5309" t="s">
        <v>1619</v>
      </c>
      <c r="N5309">
        <v>51.39</v>
      </c>
      <c r="O5309" s="49">
        <v>45454</v>
      </c>
      <c r="P5309" s="50">
        <v>219.10499999999999</v>
      </c>
    </row>
    <row r="5310" spans="4:16" x14ac:dyDescent="0.2">
      <c r="D5310">
        <v>100003174</v>
      </c>
      <c r="E5310" s="49">
        <v>45318</v>
      </c>
      <c r="F5310" t="s">
        <v>4760</v>
      </c>
      <c r="G5310" t="s">
        <v>2134</v>
      </c>
      <c r="H5310">
        <v>6</v>
      </c>
      <c r="I5310">
        <v>18.649999999999999</v>
      </c>
      <c r="J5310" s="50">
        <v>111.9</v>
      </c>
      <c r="K5310" t="s">
        <v>1632</v>
      </c>
      <c r="L5310" t="s">
        <v>2748</v>
      </c>
      <c r="M5310" t="s">
        <v>1624</v>
      </c>
      <c r="N5310">
        <v>9.84</v>
      </c>
      <c r="O5310" s="49">
        <v>45323</v>
      </c>
      <c r="P5310" s="50">
        <v>50.355000000000004</v>
      </c>
    </row>
    <row r="5311" spans="4:16" x14ac:dyDescent="0.2">
      <c r="D5311">
        <v>100003174</v>
      </c>
      <c r="E5311" s="49">
        <v>45174</v>
      </c>
      <c r="F5311" t="s">
        <v>4760</v>
      </c>
      <c r="G5311" t="s">
        <v>1677</v>
      </c>
      <c r="H5311">
        <v>1</v>
      </c>
      <c r="I5311">
        <v>30.72</v>
      </c>
      <c r="J5311" s="50">
        <v>30.72</v>
      </c>
      <c r="K5311" t="s">
        <v>1632</v>
      </c>
      <c r="L5311" t="s">
        <v>2748</v>
      </c>
      <c r="M5311" t="s">
        <v>1621</v>
      </c>
      <c r="N5311">
        <v>16.21</v>
      </c>
      <c r="O5311" s="49">
        <v>45175</v>
      </c>
      <c r="P5311" s="50">
        <v>13.824</v>
      </c>
    </row>
    <row r="5312" spans="4:16" x14ac:dyDescent="0.2">
      <c r="D5312">
        <v>100003176</v>
      </c>
      <c r="E5312" s="49">
        <v>45394</v>
      </c>
      <c r="F5312" t="s">
        <v>4761</v>
      </c>
      <c r="G5312" t="s">
        <v>1902</v>
      </c>
      <c r="H5312">
        <v>6</v>
      </c>
      <c r="I5312">
        <v>56.37</v>
      </c>
      <c r="J5312" s="50">
        <v>338.22</v>
      </c>
      <c r="K5312" t="s">
        <v>1618</v>
      </c>
      <c r="L5312" t="s">
        <v>3160</v>
      </c>
      <c r="M5312" t="s">
        <v>1629</v>
      </c>
      <c r="N5312">
        <v>29.75</v>
      </c>
      <c r="O5312" s="49">
        <v>45397</v>
      </c>
      <c r="P5312" s="50">
        <v>152.19900000000001</v>
      </c>
    </row>
    <row r="5313" spans="4:16" x14ac:dyDescent="0.2">
      <c r="D5313">
        <v>100003176</v>
      </c>
      <c r="E5313" s="49">
        <v>44328</v>
      </c>
      <c r="F5313" t="s">
        <v>4761</v>
      </c>
      <c r="G5313" t="s">
        <v>2416</v>
      </c>
      <c r="H5313">
        <v>3</v>
      </c>
      <c r="I5313">
        <v>73.5</v>
      </c>
      <c r="J5313" s="50">
        <v>220.5</v>
      </c>
      <c r="K5313" t="s">
        <v>1618</v>
      </c>
      <c r="L5313" t="s">
        <v>3160</v>
      </c>
      <c r="M5313" t="s">
        <v>1624</v>
      </c>
      <c r="N5313">
        <v>38.79</v>
      </c>
      <c r="O5313" s="49">
        <v>44329</v>
      </c>
      <c r="P5313" s="50">
        <v>99.225000000000009</v>
      </c>
    </row>
    <row r="5314" spans="4:16" x14ac:dyDescent="0.2">
      <c r="D5314">
        <v>100003176</v>
      </c>
      <c r="E5314" s="49">
        <v>44648</v>
      </c>
      <c r="F5314" t="s">
        <v>4761</v>
      </c>
      <c r="G5314" t="s">
        <v>2019</v>
      </c>
      <c r="H5314">
        <v>9</v>
      </c>
      <c r="I5314">
        <v>104.9</v>
      </c>
      <c r="J5314" s="50">
        <v>944.1</v>
      </c>
      <c r="K5314" t="s">
        <v>1618</v>
      </c>
      <c r="L5314" t="s">
        <v>3160</v>
      </c>
      <c r="M5314" t="s">
        <v>1621</v>
      </c>
      <c r="N5314">
        <v>55.36</v>
      </c>
      <c r="O5314" s="49">
        <v>44650</v>
      </c>
      <c r="P5314" s="50">
        <v>424.84500000000003</v>
      </c>
    </row>
    <row r="5315" spans="4:16" x14ac:dyDescent="0.2">
      <c r="D5315">
        <v>100003177</v>
      </c>
      <c r="E5315" s="49">
        <v>45490</v>
      </c>
      <c r="F5315" t="s">
        <v>4762</v>
      </c>
      <c r="G5315" t="s">
        <v>1690</v>
      </c>
      <c r="H5315">
        <v>9</v>
      </c>
      <c r="I5315">
        <v>85.62</v>
      </c>
      <c r="J5315" s="50">
        <v>770.58</v>
      </c>
      <c r="K5315" t="s">
        <v>1618</v>
      </c>
      <c r="L5315" t="s">
        <v>4763</v>
      </c>
      <c r="M5315" t="s">
        <v>1627</v>
      </c>
      <c r="N5315">
        <v>45.19</v>
      </c>
      <c r="O5315" s="49">
        <v>45492</v>
      </c>
      <c r="P5315" s="50">
        <v>346.76100000000002</v>
      </c>
    </row>
    <row r="5316" spans="4:16" x14ac:dyDescent="0.2">
      <c r="D5316">
        <v>100003178</v>
      </c>
      <c r="E5316" s="49">
        <v>45388</v>
      </c>
      <c r="F5316" t="s">
        <v>4764</v>
      </c>
      <c r="G5316" t="s">
        <v>1740</v>
      </c>
      <c r="H5316">
        <v>1</v>
      </c>
      <c r="I5316">
        <v>82.91</v>
      </c>
      <c r="J5316" s="50">
        <v>82.91</v>
      </c>
      <c r="K5316" t="s">
        <v>1632</v>
      </c>
      <c r="M5316" t="s">
        <v>1627</v>
      </c>
      <c r="N5316">
        <v>43.76</v>
      </c>
      <c r="O5316" s="49">
        <v>45393</v>
      </c>
      <c r="P5316" s="50">
        <v>37.3095</v>
      </c>
    </row>
    <row r="5317" spans="4:16" x14ac:dyDescent="0.2">
      <c r="D5317">
        <v>100003179</v>
      </c>
      <c r="E5317" s="49">
        <v>44866</v>
      </c>
      <c r="F5317" t="s">
        <v>4765</v>
      </c>
      <c r="G5317" t="s">
        <v>1690</v>
      </c>
      <c r="H5317">
        <v>2</v>
      </c>
      <c r="I5317">
        <v>42.5</v>
      </c>
      <c r="J5317" s="50">
        <v>85</v>
      </c>
      <c r="K5317" t="s">
        <v>1618</v>
      </c>
      <c r="M5317" t="s">
        <v>1627</v>
      </c>
      <c r="N5317">
        <v>22.43</v>
      </c>
      <c r="O5317" s="49">
        <v>44868</v>
      </c>
      <c r="P5317" s="50">
        <v>38.25</v>
      </c>
    </row>
    <row r="5318" spans="4:16" x14ac:dyDescent="0.2">
      <c r="D5318">
        <v>100003180</v>
      </c>
      <c r="E5318" s="49">
        <v>44678</v>
      </c>
      <c r="F5318" t="s">
        <v>4766</v>
      </c>
      <c r="G5318" t="s">
        <v>2028</v>
      </c>
      <c r="H5318">
        <v>7</v>
      </c>
      <c r="I5318">
        <v>81.400000000000006</v>
      </c>
      <c r="J5318" s="50">
        <v>569.80000000000007</v>
      </c>
      <c r="K5318" t="s">
        <v>1632</v>
      </c>
      <c r="M5318" t="s">
        <v>1629</v>
      </c>
      <c r="N5318">
        <v>42.96</v>
      </c>
      <c r="O5318" s="49">
        <v>44680</v>
      </c>
      <c r="P5318" s="50">
        <v>256.41000000000003</v>
      </c>
    </row>
    <row r="5319" spans="4:16" x14ac:dyDescent="0.2">
      <c r="D5319">
        <v>100003181</v>
      </c>
      <c r="E5319" s="49">
        <v>44666</v>
      </c>
      <c r="F5319" t="s">
        <v>4767</v>
      </c>
      <c r="G5319" t="s">
        <v>2291</v>
      </c>
      <c r="H5319">
        <v>6</v>
      </c>
      <c r="I5319">
        <v>82.23</v>
      </c>
      <c r="J5319" s="50">
        <v>493.38</v>
      </c>
      <c r="K5319" t="s">
        <v>1618</v>
      </c>
      <c r="M5319" t="s">
        <v>1627</v>
      </c>
      <c r="N5319">
        <v>43.4</v>
      </c>
      <c r="O5319" s="49">
        <v>44671</v>
      </c>
      <c r="P5319" s="50">
        <v>222.02100000000002</v>
      </c>
    </row>
    <row r="5320" spans="4:16" x14ac:dyDescent="0.2">
      <c r="D5320">
        <v>100003184</v>
      </c>
      <c r="E5320" s="49">
        <v>44357</v>
      </c>
      <c r="F5320" t="s">
        <v>4768</v>
      </c>
      <c r="G5320" t="s">
        <v>1721</v>
      </c>
      <c r="H5320">
        <v>7</v>
      </c>
      <c r="I5320">
        <v>76.84</v>
      </c>
      <c r="J5320" s="50">
        <v>537.88</v>
      </c>
      <c r="K5320" t="s">
        <v>1632</v>
      </c>
      <c r="L5320" t="s">
        <v>4769</v>
      </c>
      <c r="M5320" t="s">
        <v>1619</v>
      </c>
      <c r="N5320">
        <v>40.549999999999997</v>
      </c>
      <c r="O5320" s="49">
        <v>44359</v>
      </c>
      <c r="P5320" s="50">
        <v>242.04599999999999</v>
      </c>
    </row>
    <row r="5321" spans="4:16" x14ac:dyDescent="0.2">
      <c r="D5321">
        <v>100003185</v>
      </c>
      <c r="E5321" s="49">
        <v>45523</v>
      </c>
      <c r="F5321" t="s">
        <v>4770</v>
      </c>
      <c r="G5321" t="s">
        <v>1982</v>
      </c>
      <c r="H5321">
        <v>10</v>
      </c>
      <c r="I5321">
        <v>64.52</v>
      </c>
      <c r="J5321" s="50">
        <v>645.19999999999993</v>
      </c>
      <c r="K5321" t="s">
        <v>1632</v>
      </c>
      <c r="M5321" t="s">
        <v>1627</v>
      </c>
      <c r="N5321">
        <v>34.049999999999997</v>
      </c>
      <c r="O5321" s="49">
        <v>45527</v>
      </c>
      <c r="P5321" s="50">
        <v>290.33999999999997</v>
      </c>
    </row>
    <row r="5322" spans="4:16" x14ac:dyDescent="0.2">
      <c r="D5322">
        <v>100003185</v>
      </c>
      <c r="E5322" s="49">
        <v>45515</v>
      </c>
      <c r="F5322" t="s">
        <v>4770</v>
      </c>
      <c r="G5322" t="s">
        <v>1868</v>
      </c>
      <c r="H5322">
        <v>1</v>
      </c>
      <c r="I5322">
        <v>70.489999999999995</v>
      </c>
      <c r="J5322" s="50">
        <v>70.489999999999995</v>
      </c>
      <c r="K5322" t="s">
        <v>1632</v>
      </c>
      <c r="M5322" t="s">
        <v>1627</v>
      </c>
      <c r="N5322">
        <v>37.200000000000003</v>
      </c>
      <c r="O5322" s="49">
        <v>45519</v>
      </c>
      <c r="P5322" s="50">
        <v>31.720499999999998</v>
      </c>
    </row>
    <row r="5323" spans="4:16" x14ac:dyDescent="0.2">
      <c r="D5323">
        <v>100003185</v>
      </c>
      <c r="E5323" s="49">
        <v>44604</v>
      </c>
      <c r="F5323" t="s">
        <v>4770</v>
      </c>
      <c r="G5323" t="s">
        <v>1677</v>
      </c>
      <c r="H5323">
        <v>9</v>
      </c>
      <c r="I5323">
        <v>65.75</v>
      </c>
      <c r="J5323" s="50">
        <v>591.75</v>
      </c>
      <c r="K5323" t="s">
        <v>1632</v>
      </c>
      <c r="M5323" t="s">
        <v>1624</v>
      </c>
      <c r="N5323">
        <v>34.700000000000003</v>
      </c>
      <c r="O5323" s="49">
        <v>44605</v>
      </c>
      <c r="P5323" s="50">
        <v>266.28750000000002</v>
      </c>
    </row>
    <row r="5324" spans="4:16" x14ac:dyDescent="0.2">
      <c r="D5324">
        <v>100003186</v>
      </c>
      <c r="E5324" s="49">
        <v>44299</v>
      </c>
      <c r="F5324" t="s">
        <v>4771</v>
      </c>
      <c r="G5324" t="s">
        <v>2163</v>
      </c>
      <c r="H5324">
        <v>8</v>
      </c>
      <c r="I5324">
        <v>32.65</v>
      </c>
      <c r="J5324" s="50">
        <v>261.2</v>
      </c>
      <c r="K5324" t="s">
        <v>1618</v>
      </c>
      <c r="M5324" t="s">
        <v>1629</v>
      </c>
      <c r="N5324">
        <v>17.23</v>
      </c>
      <c r="O5324" s="49">
        <v>44304</v>
      </c>
      <c r="P5324" s="50">
        <v>117.53999999999999</v>
      </c>
    </row>
    <row r="5325" spans="4:16" x14ac:dyDescent="0.2">
      <c r="D5325">
        <v>100003186</v>
      </c>
      <c r="E5325" s="49">
        <v>44915</v>
      </c>
      <c r="F5325" t="s">
        <v>4771</v>
      </c>
      <c r="G5325" t="s">
        <v>1831</v>
      </c>
      <c r="H5325">
        <v>4</v>
      </c>
      <c r="I5325">
        <v>55.58</v>
      </c>
      <c r="J5325" s="50">
        <v>222.32</v>
      </c>
      <c r="K5325" t="s">
        <v>1618</v>
      </c>
      <c r="M5325" t="s">
        <v>1621</v>
      </c>
      <c r="N5325">
        <v>29.33</v>
      </c>
      <c r="O5325" s="49">
        <v>44917</v>
      </c>
      <c r="P5325" s="50">
        <v>100.044</v>
      </c>
    </row>
    <row r="5326" spans="4:16" x14ac:dyDescent="0.2">
      <c r="D5326">
        <v>100003186</v>
      </c>
      <c r="E5326" s="49">
        <v>45106</v>
      </c>
      <c r="F5326" t="s">
        <v>4771</v>
      </c>
      <c r="G5326" t="s">
        <v>1730</v>
      </c>
      <c r="H5326">
        <v>10</v>
      </c>
      <c r="I5326">
        <v>82.63</v>
      </c>
      <c r="J5326" s="50">
        <v>826.3</v>
      </c>
      <c r="K5326" t="s">
        <v>1618</v>
      </c>
      <c r="M5326" t="s">
        <v>1624</v>
      </c>
      <c r="N5326">
        <v>43.61</v>
      </c>
      <c r="O5326" s="49">
        <v>45108</v>
      </c>
      <c r="P5326" s="50">
        <v>371.83499999999998</v>
      </c>
    </row>
    <row r="5327" spans="4:16" x14ac:dyDescent="0.2">
      <c r="D5327">
        <v>100003186</v>
      </c>
      <c r="E5327" s="49">
        <v>44419</v>
      </c>
      <c r="F5327" t="s">
        <v>4771</v>
      </c>
      <c r="G5327" t="s">
        <v>1872</v>
      </c>
      <c r="H5327">
        <v>4</v>
      </c>
      <c r="I5327">
        <v>106.69</v>
      </c>
      <c r="J5327" s="50">
        <v>426.76</v>
      </c>
      <c r="K5327" t="s">
        <v>1618</v>
      </c>
      <c r="M5327" t="s">
        <v>1629</v>
      </c>
      <c r="N5327">
        <v>56.31</v>
      </c>
      <c r="O5327" s="49">
        <v>44423</v>
      </c>
      <c r="P5327" s="50">
        <v>192.042</v>
      </c>
    </row>
    <row r="5328" spans="4:16" x14ac:dyDescent="0.2">
      <c r="D5328">
        <v>100003186</v>
      </c>
      <c r="E5328" s="49">
        <v>45394</v>
      </c>
      <c r="F5328" t="s">
        <v>4771</v>
      </c>
      <c r="G5328" t="s">
        <v>1760</v>
      </c>
      <c r="H5328">
        <v>6</v>
      </c>
      <c r="I5328">
        <v>97.9</v>
      </c>
      <c r="J5328" s="50">
        <v>587.40000000000009</v>
      </c>
      <c r="K5328" t="s">
        <v>1618</v>
      </c>
      <c r="M5328" t="s">
        <v>1621</v>
      </c>
      <c r="N5328">
        <v>51.67</v>
      </c>
      <c r="O5328" s="49">
        <v>45398</v>
      </c>
      <c r="P5328" s="50">
        <v>264.33000000000004</v>
      </c>
    </row>
    <row r="5329" spans="4:16" x14ac:dyDescent="0.2">
      <c r="D5329">
        <v>100003187</v>
      </c>
      <c r="E5329" s="49">
        <v>44249</v>
      </c>
      <c r="F5329" t="s">
        <v>4772</v>
      </c>
      <c r="G5329" t="s">
        <v>1868</v>
      </c>
      <c r="H5329">
        <v>1</v>
      </c>
      <c r="I5329">
        <v>18.53</v>
      </c>
      <c r="J5329" s="50">
        <v>18.53</v>
      </c>
      <c r="K5329" t="s">
        <v>1632</v>
      </c>
      <c r="L5329" t="s">
        <v>4773</v>
      </c>
      <c r="M5329" t="s">
        <v>1619</v>
      </c>
      <c r="N5329">
        <v>9.7799999999999994</v>
      </c>
      <c r="O5329" s="49">
        <v>44254</v>
      </c>
      <c r="P5329" s="50">
        <v>8.3385000000000016</v>
      </c>
    </row>
    <row r="5330" spans="4:16" x14ac:dyDescent="0.2">
      <c r="D5330">
        <v>100003187</v>
      </c>
      <c r="E5330" s="49">
        <v>45500</v>
      </c>
      <c r="F5330" t="s">
        <v>4772</v>
      </c>
      <c r="G5330" t="s">
        <v>1669</v>
      </c>
      <c r="H5330">
        <v>7</v>
      </c>
      <c r="I5330">
        <v>74.319999999999993</v>
      </c>
      <c r="J5330" s="50">
        <v>520.24</v>
      </c>
      <c r="K5330" t="s">
        <v>1632</v>
      </c>
      <c r="L5330" t="s">
        <v>4773</v>
      </c>
      <c r="M5330" t="s">
        <v>1624</v>
      </c>
      <c r="N5330">
        <v>39.22</v>
      </c>
      <c r="O5330" s="49">
        <v>45504</v>
      </c>
      <c r="P5330" s="50">
        <v>234.108</v>
      </c>
    </row>
    <row r="5331" spans="4:16" x14ac:dyDescent="0.2">
      <c r="D5331">
        <v>100003187</v>
      </c>
      <c r="E5331" s="49">
        <v>44681</v>
      </c>
      <c r="F5331" t="s">
        <v>4772</v>
      </c>
      <c r="G5331" t="s">
        <v>1641</v>
      </c>
      <c r="H5331">
        <v>7</v>
      </c>
      <c r="I5331">
        <v>68.86</v>
      </c>
      <c r="J5331" s="50">
        <v>482.02</v>
      </c>
      <c r="K5331" t="s">
        <v>1632</v>
      </c>
      <c r="L5331" t="s">
        <v>4773</v>
      </c>
      <c r="M5331" t="s">
        <v>1619</v>
      </c>
      <c r="N5331">
        <v>36.340000000000003</v>
      </c>
      <c r="O5331" s="49">
        <v>44683</v>
      </c>
      <c r="P5331" s="50">
        <v>216.90899999999999</v>
      </c>
    </row>
    <row r="5332" spans="4:16" x14ac:dyDescent="0.2">
      <c r="D5332">
        <v>100003187</v>
      </c>
      <c r="E5332" s="49">
        <v>45130</v>
      </c>
      <c r="F5332" t="s">
        <v>4772</v>
      </c>
      <c r="G5332" t="s">
        <v>2159</v>
      </c>
      <c r="H5332">
        <v>9</v>
      </c>
      <c r="I5332">
        <v>39.549999999999997</v>
      </c>
      <c r="J5332" s="50">
        <v>355.95</v>
      </c>
      <c r="K5332" t="s">
        <v>1632</v>
      </c>
      <c r="L5332" t="s">
        <v>4773</v>
      </c>
      <c r="M5332" t="s">
        <v>1629</v>
      </c>
      <c r="N5332">
        <v>20.87</v>
      </c>
      <c r="O5332" s="49">
        <v>45134</v>
      </c>
      <c r="P5332" s="50">
        <v>160.17750000000001</v>
      </c>
    </row>
    <row r="5333" spans="4:16" x14ac:dyDescent="0.2">
      <c r="D5333">
        <v>100003188</v>
      </c>
      <c r="E5333" s="49">
        <v>45271</v>
      </c>
      <c r="F5333" t="s">
        <v>3080</v>
      </c>
      <c r="G5333" t="s">
        <v>2447</v>
      </c>
      <c r="H5333">
        <v>5</v>
      </c>
      <c r="I5333">
        <v>43.47</v>
      </c>
      <c r="J5333" s="50">
        <v>217.35</v>
      </c>
      <c r="K5333" t="s">
        <v>1618</v>
      </c>
      <c r="M5333" t="s">
        <v>1621</v>
      </c>
      <c r="N5333">
        <v>22.94</v>
      </c>
      <c r="O5333" s="49">
        <v>45275</v>
      </c>
      <c r="P5333" s="50">
        <v>97.807500000000005</v>
      </c>
    </row>
    <row r="5334" spans="4:16" x14ac:dyDescent="0.2">
      <c r="D5334">
        <v>100003188</v>
      </c>
      <c r="E5334" s="49">
        <v>44908</v>
      </c>
      <c r="F5334" t="s">
        <v>3080</v>
      </c>
      <c r="G5334" t="s">
        <v>1702</v>
      </c>
      <c r="H5334">
        <v>6</v>
      </c>
      <c r="I5334">
        <v>10.94</v>
      </c>
      <c r="J5334" s="50">
        <v>65.64</v>
      </c>
      <c r="K5334" t="s">
        <v>1618</v>
      </c>
      <c r="M5334" t="s">
        <v>1619</v>
      </c>
      <c r="N5334">
        <v>5.77</v>
      </c>
      <c r="O5334" s="49">
        <v>44912</v>
      </c>
      <c r="P5334" s="50">
        <v>29.538</v>
      </c>
    </row>
    <row r="5335" spans="4:16" x14ac:dyDescent="0.2">
      <c r="D5335">
        <v>100003189</v>
      </c>
      <c r="E5335" s="49">
        <v>45272</v>
      </c>
      <c r="F5335" t="s">
        <v>4774</v>
      </c>
      <c r="G5335" t="s">
        <v>2390</v>
      </c>
      <c r="H5335">
        <v>1</v>
      </c>
      <c r="I5335">
        <v>81.62</v>
      </c>
      <c r="J5335" s="50">
        <v>81.62</v>
      </c>
      <c r="K5335" t="s">
        <v>1618</v>
      </c>
      <c r="M5335" t="s">
        <v>1619</v>
      </c>
      <c r="N5335">
        <v>43.08</v>
      </c>
      <c r="O5335" s="49">
        <v>45273</v>
      </c>
      <c r="P5335" s="50">
        <v>36.729000000000006</v>
      </c>
    </row>
    <row r="5336" spans="4:16" x14ac:dyDescent="0.2">
      <c r="D5336">
        <v>100003189</v>
      </c>
      <c r="E5336" s="49">
        <v>44957</v>
      </c>
      <c r="F5336" t="s">
        <v>4774</v>
      </c>
      <c r="G5336" t="s">
        <v>1777</v>
      </c>
      <c r="H5336">
        <v>8</v>
      </c>
      <c r="I5336">
        <v>34.07</v>
      </c>
      <c r="J5336" s="50">
        <v>272.56</v>
      </c>
      <c r="K5336" t="s">
        <v>1618</v>
      </c>
      <c r="M5336" t="s">
        <v>1627</v>
      </c>
      <c r="N5336">
        <v>17.98</v>
      </c>
      <c r="O5336" s="49">
        <v>44962</v>
      </c>
      <c r="P5336" s="50">
        <v>122.652</v>
      </c>
    </row>
    <row r="5337" spans="4:16" x14ac:dyDescent="0.2">
      <c r="D5337">
        <v>100003189</v>
      </c>
      <c r="E5337" s="49">
        <v>44819</v>
      </c>
      <c r="F5337" t="s">
        <v>4774</v>
      </c>
      <c r="G5337" t="s">
        <v>2130</v>
      </c>
      <c r="H5337">
        <v>4</v>
      </c>
      <c r="I5337">
        <v>93.37</v>
      </c>
      <c r="J5337" s="50">
        <v>373.48</v>
      </c>
      <c r="K5337" t="s">
        <v>1618</v>
      </c>
      <c r="M5337" t="s">
        <v>1629</v>
      </c>
      <c r="N5337">
        <v>49.28</v>
      </c>
      <c r="O5337" s="49">
        <v>44820</v>
      </c>
      <c r="P5337" s="50">
        <v>168.066</v>
      </c>
    </row>
    <row r="5338" spans="4:16" x14ac:dyDescent="0.2">
      <c r="D5338">
        <v>100003191</v>
      </c>
      <c r="E5338" s="49">
        <v>45055</v>
      </c>
      <c r="F5338" t="s">
        <v>4775</v>
      </c>
      <c r="G5338" t="s">
        <v>2084</v>
      </c>
      <c r="H5338">
        <v>6</v>
      </c>
      <c r="I5338">
        <v>89.91</v>
      </c>
      <c r="J5338" s="50">
        <v>539.46</v>
      </c>
      <c r="K5338" t="s">
        <v>1632</v>
      </c>
      <c r="M5338" t="s">
        <v>1619</v>
      </c>
      <c r="N5338">
        <v>47.45</v>
      </c>
      <c r="O5338" s="49">
        <v>45058</v>
      </c>
      <c r="P5338" s="50">
        <v>242.75700000000003</v>
      </c>
    </row>
    <row r="5339" spans="4:16" x14ac:dyDescent="0.2">
      <c r="D5339">
        <v>100003192</v>
      </c>
      <c r="E5339" s="49">
        <v>44644</v>
      </c>
      <c r="F5339" t="s">
        <v>4776</v>
      </c>
      <c r="G5339" t="s">
        <v>1661</v>
      </c>
      <c r="H5339">
        <v>8</v>
      </c>
      <c r="I5339">
        <v>70.53</v>
      </c>
      <c r="J5339" s="50">
        <v>564.24</v>
      </c>
      <c r="K5339" t="s">
        <v>1632</v>
      </c>
      <c r="M5339" t="s">
        <v>1629</v>
      </c>
      <c r="N5339">
        <v>37.22</v>
      </c>
      <c r="O5339" s="49">
        <v>44648</v>
      </c>
      <c r="P5339" s="50">
        <v>253.90800000000002</v>
      </c>
    </row>
    <row r="5340" spans="4:16" x14ac:dyDescent="0.2">
      <c r="D5340">
        <v>100003192</v>
      </c>
      <c r="E5340" s="49">
        <v>44325</v>
      </c>
      <c r="F5340" t="s">
        <v>4776</v>
      </c>
      <c r="G5340" t="s">
        <v>1720</v>
      </c>
      <c r="H5340">
        <v>6</v>
      </c>
      <c r="I5340">
        <v>44.34</v>
      </c>
      <c r="J5340" s="50">
        <v>266.04000000000002</v>
      </c>
      <c r="K5340" t="s">
        <v>1632</v>
      </c>
      <c r="M5340" t="s">
        <v>1619</v>
      </c>
      <c r="N5340">
        <v>23.4</v>
      </c>
      <c r="O5340" s="49">
        <v>44329</v>
      </c>
      <c r="P5340" s="50">
        <v>119.71800000000002</v>
      </c>
    </row>
    <row r="5341" spans="4:16" x14ac:dyDescent="0.2">
      <c r="D5341">
        <v>100003192</v>
      </c>
      <c r="E5341" s="49">
        <v>44220</v>
      </c>
      <c r="F5341" t="s">
        <v>4776</v>
      </c>
      <c r="G5341" t="s">
        <v>1922</v>
      </c>
      <c r="H5341">
        <v>1</v>
      </c>
      <c r="I5341">
        <v>75.2</v>
      </c>
      <c r="J5341" s="50">
        <v>75.2</v>
      </c>
      <c r="K5341" t="s">
        <v>1632</v>
      </c>
      <c r="M5341" t="s">
        <v>1621</v>
      </c>
      <c r="N5341">
        <v>39.69</v>
      </c>
      <c r="O5341" s="49">
        <v>44224</v>
      </c>
      <c r="P5341" s="50">
        <v>33.840000000000003</v>
      </c>
    </row>
    <row r="5342" spans="4:16" x14ac:dyDescent="0.2">
      <c r="D5342">
        <v>100003192</v>
      </c>
      <c r="E5342" s="49">
        <v>44881</v>
      </c>
      <c r="F5342" t="s">
        <v>4776</v>
      </c>
      <c r="G5342" t="s">
        <v>1794</v>
      </c>
      <c r="H5342">
        <v>2</v>
      </c>
      <c r="I5342">
        <v>72.97</v>
      </c>
      <c r="J5342" s="50">
        <v>145.94</v>
      </c>
      <c r="K5342" t="s">
        <v>1632</v>
      </c>
      <c r="M5342" t="s">
        <v>1629</v>
      </c>
      <c r="N5342">
        <v>38.51</v>
      </c>
      <c r="O5342" s="49">
        <v>44884</v>
      </c>
      <c r="P5342" s="50">
        <v>65.673000000000002</v>
      </c>
    </row>
    <row r="5343" spans="4:16" x14ac:dyDescent="0.2">
      <c r="D5343">
        <v>100003193</v>
      </c>
      <c r="E5343" s="49">
        <v>44961</v>
      </c>
      <c r="F5343" t="s">
        <v>4777</v>
      </c>
      <c r="G5343" t="s">
        <v>1663</v>
      </c>
      <c r="H5343">
        <v>3</v>
      </c>
      <c r="I5343">
        <v>117.28</v>
      </c>
      <c r="J5343" s="50">
        <v>351.84</v>
      </c>
      <c r="K5343" t="s">
        <v>1632</v>
      </c>
      <c r="M5343" t="s">
        <v>1629</v>
      </c>
      <c r="N5343">
        <v>61.9</v>
      </c>
      <c r="O5343" s="49">
        <v>44966</v>
      </c>
      <c r="P5343" s="50">
        <v>158.328</v>
      </c>
    </row>
    <row r="5344" spans="4:16" x14ac:dyDescent="0.2">
      <c r="D5344">
        <v>100003193</v>
      </c>
      <c r="E5344" s="49">
        <v>44641</v>
      </c>
      <c r="F5344" t="s">
        <v>4777</v>
      </c>
      <c r="G5344" t="s">
        <v>1664</v>
      </c>
      <c r="H5344">
        <v>4</v>
      </c>
      <c r="I5344">
        <v>27.19</v>
      </c>
      <c r="J5344" s="50">
        <v>108.76</v>
      </c>
      <c r="K5344" t="s">
        <v>1632</v>
      </c>
      <c r="M5344" t="s">
        <v>1629</v>
      </c>
      <c r="N5344">
        <v>14.35</v>
      </c>
      <c r="O5344" s="49">
        <v>44642</v>
      </c>
      <c r="P5344" s="50">
        <v>48.942</v>
      </c>
    </row>
    <row r="5345" spans="4:16" x14ac:dyDescent="0.2">
      <c r="D5345">
        <v>100003193</v>
      </c>
      <c r="E5345" s="49">
        <v>45546</v>
      </c>
      <c r="F5345" t="s">
        <v>4777</v>
      </c>
      <c r="G5345" t="s">
        <v>1642</v>
      </c>
      <c r="H5345">
        <v>6</v>
      </c>
      <c r="I5345">
        <v>88.07</v>
      </c>
      <c r="J5345" s="50">
        <v>528.41999999999996</v>
      </c>
      <c r="K5345" t="s">
        <v>1632</v>
      </c>
      <c r="M5345" t="s">
        <v>1629</v>
      </c>
      <c r="N5345">
        <v>46.48</v>
      </c>
      <c r="O5345" s="49">
        <v>45547</v>
      </c>
      <c r="P5345" s="50">
        <v>237.78899999999999</v>
      </c>
    </row>
    <row r="5346" spans="4:16" x14ac:dyDescent="0.2">
      <c r="D5346">
        <v>100003194</v>
      </c>
      <c r="E5346" s="49">
        <v>44883</v>
      </c>
      <c r="F5346" t="s">
        <v>4778</v>
      </c>
      <c r="G5346" t="s">
        <v>2210</v>
      </c>
      <c r="H5346">
        <v>5</v>
      </c>
      <c r="I5346">
        <v>48.3</v>
      </c>
      <c r="J5346" s="50">
        <v>241.5</v>
      </c>
      <c r="K5346" t="s">
        <v>1632</v>
      </c>
      <c r="L5346" t="s">
        <v>3843</v>
      </c>
      <c r="M5346" t="s">
        <v>1629</v>
      </c>
      <c r="N5346">
        <v>25.49</v>
      </c>
      <c r="O5346" s="49">
        <v>44884</v>
      </c>
      <c r="P5346" s="50">
        <v>108.675</v>
      </c>
    </row>
    <row r="5347" spans="4:16" x14ac:dyDescent="0.2">
      <c r="D5347">
        <v>100003194</v>
      </c>
      <c r="E5347" s="49">
        <v>45455</v>
      </c>
      <c r="F5347" t="s">
        <v>4778</v>
      </c>
      <c r="G5347" t="s">
        <v>2387</v>
      </c>
      <c r="H5347">
        <v>3</v>
      </c>
      <c r="I5347">
        <v>19.149999999999999</v>
      </c>
      <c r="J5347" s="50">
        <v>57.45</v>
      </c>
      <c r="K5347" t="s">
        <v>1632</v>
      </c>
      <c r="L5347" t="s">
        <v>3843</v>
      </c>
      <c r="M5347" t="s">
        <v>1624</v>
      </c>
      <c r="N5347">
        <v>10.11</v>
      </c>
      <c r="O5347" s="49">
        <v>45456</v>
      </c>
      <c r="P5347" s="50">
        <v>25.852500000000003</v>
      </c>
    </row>
    <row r="5348" spans="4:16" x14ac:dyDescent="0.2">
      <c r="D5348">
        <v>100003194</v>
      </c>
      <c r="E5348" s="49">
        <v>45500</v>
      </c>
      <c r="F5348" t="s">
        <v>4778</v>
      </c>
      <c r="G5348" t="s">
        <v>2111</v>
      </c>
      <c r="H5348">
        <v>1</v>
      </c>
      <c r="I5348">
        <v>27.05</v>
      </c>
      <c r="J5348" s="50">
        <v>27.05</v>
      </c>
      <c r="K5348" t="s">
        <v>1632</v>
      </c>
      <c r="L5348" t="s">
        <v>3843</v>
      </c>
      <c r="M5348" t="s">
        <v>1629</v>
      </c>
      <c r="N5348">
        <v>14.28</v>
      </c>
      <c r="O5348" s="49">
        <v>45505</v>
      </c>
      <c r="P5348" s="50">
        <v>12.172500000000001</v>
      </c>
    </row>
    <row r="5349" spans="4:16" x14ac:dyDescent="0.2">
      <c r="D5349">
        <v>100003194</v>
      </c>
      <c r="E5349" s="49">
        <v>44760</v>
      </c>
      <c r="F5349" t="s">
        <v>4778</v>
      </c>
      <c r="G5349" t="s">
        <v>1789</v>
      </c>
      <c r="H5349">
        <v>4</v>
      </c>
      <c r="I5349">
        <v>103.15</v>
      </c>
      <c r="J5349" s="50">
        <v>412.6</v>
      </c>
      <c r="K5349" t="s">
        <v>1632</v>
      </c>
      <c r="L5349" t="s">
        <v>3843</v>
      </c>
      <c r="M5349" t="s">
        <v>1629</v>
      </c>
      <c r="N5349">
        <v>54.44</v>
      </c>
      <c r="O5349" s="49">
        <v>44763</v>
      </c>
      <c r="P5349" s="50">
        <v>185.67000000000002</v>
      </c>
    </row>
    <row r="5350" spans="4:16" x14ac:dyDescent="0.2">
      <c r="D5350">
        <v>100003194</v>
      </c>
      <c r="E5350" s="49">
        <v>45250</v>
      </c>
      <c r="F5350" t="s">
        <v>4778</v>
      </c>
      <c r="G5350" t="s">
        <v>1729</v>
      </c>
      <c r="H5350">
        <v>5</v>
      </c>
      <c r="I5350">
        <v>65.23</v>
      </c>
      <c r="J5350" s="50">
        <v>326.14999999999998</v>
      </c>
      <c r="K5350" t="s">
        <v>1632</v>
      </c>
      <c r="L5350" t="s">
        <v>3843</v>
      </c>
      <c r="M5350" t="s">
        <v>1619</v>
      </c>
      <c r="N5350">
        <v>34.43</v>
      </c>
      <c r="O5350" s="49">
        <v>45252</v>
      </c>
      <c r="P5350" s="50">
        <v>146.76749999999998</v>
      </c>
    </row>
    <row r="5351" spans="4:16" x14ac:dyDescent="0.2">
      <c r="D5351">
        <v>100003196</v>
      </c>
      <c r="E5351" s="49">
        <v>44540</v>
      </c>
      <c r="F5351" t="s">
        <v>4779</v>
      </c>
      <c r="G5351" t="s">
        <v>2079</v>
      </c>
      <c r="H5351">
        <v>3</v>
      </c>
      <c r="I5351">
        <v>46.4</v>
      </c>
      <c r="J5351" s="50">
        <v>139.19999999999999</v>
      </c>
      <c r="K5351" t="s">
        <v>1632</v>
      </c>
      <c r="M5351" t="s">
        <v>1619</v>
      </c>
      <c r="N5351">
        <v>24.49</v>
      </c>
      <c r="O5351" s="49">
        <v>44541</v>
      </c>
      <c r="P5351" s="50">
        <v>62.639999999999993</v>
      </c>
    </row>
    <row r="5352" spans="4:16" x14ac:dyDescent="0.2">
      <c r="D5352">
        <v>100003196</v>
      </c>
      <c r="E5352" s="49">
        <v>45148</v>
      </c>
      <c r="F5352" t="s">
        <v>4779</v>
      </c>
      <c r="G5352" t="s">
        <v>1838</v>
      </c>
      <c r="H5352">
        <v>8</v>
      </c>
      <c r="I5352">
        <v>101.52</v>
      </c>
      <c r="J5352" s="50">
        <v>812.16</v>
      </c>
      <c r="K5352" t="s">
        <v>1632</v>
      </c>
      <c r="M5352" t="s">
        <v>1627</v>
      </c>
      <c r="N5352">
        <v>53.58</v>
      </c>
      <c r="O5352" s="49">
        <v>45150</v>
      </c>
      <c r="P5352" s="50">
        <v>365.47199999999998</v>
      </c>
    </row>
    <row r="5353" spans="4:16" x14ac:dyDescent="0.2">
      <c r="D5353">
        <v>100003196</v>
      </c>
      <c r="E5353" s="49">
        <v>44376</v>
      </c>
      <c r="F5353" t="s">
        <v>4779</v>
      </c>
      <c r="G5353" t="s">
        <v>1650</v>
      </c>
      <c r="H5353">
        <v>5</v>
      </c>
      <c r="I5353">
        <v>55.66</v>
      </c>
      <c r="J5353" s="50">
        <v>278.3</v>
      </c>
      <c r="K5353" t="s">
        <v>1632</v>
      </c>
      <c r="M5353" t="s">
        <v>1621</v>
      </c>
      <c r="N5353">
        <v>29.38</v>
      </c>
      <c r="O5353" s="49">
        <v>44379</v>
      </c>
      <c r="P5353" s="50">
        <v>125.23500000000001</v>
      </c>
    </row>
    <row r="5354" spans="4:16" x14ac:dyDescent="0.2">
      <c r="D5354">
        <v>100003196</v>
      </c>
      <c r="E5354" s="49">
        <v>45548</v>
      </c>
      <c r="F5354" t="s">
        <v>4779</v>
      </c>
      <c r="G5354" t="s">
        <v>2344</v>
      </c>
      <c r="H5354">
        <v>9</v>
      </c>
      <c r="I5354">
        <v>67.099999999999994</v>
      </c>
      <c r="J5354" s="50">
        <v>603.9</v>
      </c>
      <c r="K5354" t="s">
        <v>1632</v>
      </c>
      <c r="M5354" t="s">
        <v>1619</v>
      </c>
      <c r="N5354">
        <v>35.409999999999997</v>
      </c>
      <c r="O5354" s="49">
        <v>45553</v>
      </c>
      <c r="P5354" s="50">
        <v>271.755</v>
      </c>
    </row>
    <row r="5355" spans="4:16" x14ac:dyDescent="0.2">
      <c r="D5355">
        <v>100003197</v>
      </c>
      <c r="E5355" s="49">
        <v>44603</v>
      </c>
      <c r="F5355" t="s">
        <v>4780</v>
      </c>
      <c r="G5355" t="s">
        <v>2084</v>
      </c>
      <c r="H5355">
        <v>1</v>
      </c>
      <c r="I5355">
        <v>109.48</v>
      </c>
      <c r="J5355" s="50">
        <v>109.48</v>
      </c>
      <c r="K5355" t="s">
        <v>1632</v>
      </c>
      <c r="L5355" t="s">
        <v>4781</v>
      </c>
      <c r="M5355" t="s">
        <v>1624</v>
      </c>
      <c r="N5355">
        <v>57.78</v>
      </c>
      <c r="O5355" s="49">
        <v>44606</v>
      </c>
      <c r="P5355" s="50">
        <v>49.266000000000005</v>
      </c>
    </row>
    <row r="5356" spans="4:16" x14ac:dyDescent="0.2">
      <c r="D5356">
        <v>100003198</v>
      </c>
      <c r="E5356" s="49">
        <v>44963</v>
      </c>
      <c r="F5356" t="s">
        <v>4782</v>
      </c>
      <c r="G5356" t="s">
        <v>2346</v>
      </c>
      <c r="H5356">
        <v>10</v>
      </c>
      <c r="I5356">
        <v>19.68</v>
      </c>
      <c r="J5356" s="50">
        <v>196.8</v>
      </c>
      <c r="K5356" t="s">
        <v>1618</v>
      </c>
      <c r="M5356" t="s">
        <v>1629</v>
      </c>
      <c r="N5356">
        <v>10.39</v>
      </c>
      <c r="O5356" s="49">
        <v>44966</v>
      </c>
      <c r="P5356" s="50">
        <v>88.56</v>
      </c>
    </row>
    <row r="5357" spans="4:16" x14ac:dyDescent="0.2">
      <c r="D5357">
        <v>100003200</v>
      </c>
      <c r="E5357" s="49">
        <v>44535</v>
      </c>
      <c r="F5357" t="s">
        <v>4783</v>
      </c>
      <c r="G5357" t="s">
        <v>1697</v>
      </c>
      <c r="H5357">
        <v>6</v>
      </c>
      <c r="I5357">
        <v>22.4</v>
      </c>
      <c r="J5357" s="50">
        <v>134.4</v>
      </c>
      <c r="K5357" t="s">
        <v>1632</v>
      </c>
      <c r="M5357" t="s">
        <v>1629</v>
      </c>
      <c r="N5357">
        <v>11.82</v>
      </c>
      <c r="O5357" s="49">
        <v>44539</v>
      </c>
      <c r="P5357" s="50">
        <v>60.480000000000004</v>
      </c>
    </row>
    <row r="5358" spans="4:16" x14ac:dyDescent="0.2">
      <c r="D5358">
        <v>100003201</v>
      </c>
      <c r="E5358" s="49">
        <v>45437</v>
      </c>
      <c r="F5358" t="s">
        <v>4784</v>
      </c>
      <c r="G5358" t="s">
        <v>2145</v>
      </c>
      <c r="H5358">
        <v>2</v>
      </c>
      <c r="I5358">
        <v>50.97</v>
      </c>
      <c r="J5358" s="50">
        <v>101.94</v>
      </c>
      <c r="K5358" t="s">
        <v>1632</v>
      </c>
      <c r="M5358" t="s">
        <v>1619</v>
      </c>
      <c r="N5358">
        <v>26.9</v>
      </c>
      <c r="O5358" s="49">
        <v>45439</v>
      </c>
      <c r="P5358" s="50">
        <v>45.872999999999998</v>
      </c>
    </row>
    <row r="5359" spans="4:16" x14ac:dyDescent="0.2">
      <c r="D5359">
        <v>100003201</v>
      </c>
      <c r="E5359" s="49">
        <v>44526</v>
      </c>
      <c r="F5359" t="s">
        <v>4784</v>
      </c>
      <c r="G5359" t="s">
        <v>2084</v>
      </c>
      <c r="H5359">
        <v>1</v>
      </c>
      <c r="I5359">
        <v>18.739999999999998</v>
      </c>
      <c r="J5359" s="50">
        <v>18.739999999999998</v>
      </c>
      <c r="K5359" t="s">
        <v>1632</v>
      </c>
      <c r="M5359" t="s">
        <v>1627</v>
      </c>
      <c r="N5359">
        <v>9.89</v>
      </c>
      <c r="O5359" s="49">
        <v>44528</v>
      </c>
      <c r="P5359" s="50">
        <v>8.4329999999999998</v>
      </c>
    </row>
    <row r="5360" spans="4:16" x14ac:dyDescent="0.2">
      <c r="D5360">
        <v>100003202</v>
      </c>
      <c r="E5360" s="49">
        <v>44524</v>
      </c>
      <c r="F5360" t="s">
        <v>4785</v>
      </c>
      <c r="G5360" t="s">
        <v>2420</v>
      </c>
      <c r="H5360">
        <v>6</v>
      </c>
      <c r="I5360">
        <v>18.18</v>
      </c>
      <c r="J5360" s="50">
        <v>109.08</v>
      </c>
      <c r="K5360" t="s">
        <v>1632</v>
      </c>
      <c r="M5360" t="s">
        <v>1619</v>
      </c>
      <c r="N5360">
        <v>9.59</v>
      </c>
      <c r="O5360" s="49">
        <v>44526</v>
      </c>
      <c r="P5360" s="50">
        <v>49.085999999999999</v>
      </c>
    </row>
    <row r="5361" spans="4:16" x14ac:dyDescent="0.2">
      <c r="D5361">
        <v>100003204</v>
      </c>
      <c r="E5361" s="49">
        <v>44481</v>
      </c>
      <c r="F5361" t="s">
        <v>4786</v>
      </c>
      <c r="G5361" t="s">
        <v>1928</v>
      </c>
      <c r="H5361">
        <v>3</v>
      </c>
      <c r="I5361">
        <v>12.77</v>
      </c>
      <c r="J5361" s="50">
        <v>38.31</v>
      </c>
      <c r="K5361" t="s">
        <v>1618</v>
      </c>
      <c r="L5361" t="s">
        <v>4787</v>
      </c>
      <c r="M5361" t="s">
        <v>1624</v>
      </c>
      <c r="N5361">
        <v>6.74</v>
      </c>
      <c r="O5361" s="49">
        <v>44483</v>
      </c>
      <c r="P5361" s="50">
        <v>17.239500000000003</v>
      </c>
    </row>
    <row r="5362" spans="4:16" x14ac:dyDescent="0.2">
      <c r="D5362">
        <v>100003204</v>
      </c>
      <c r="E5362" s="49">
        <v>44844</v>
      </c>
      <c r="F5362" t="s">
        <v>4786</v>
      </c>
      <c r="G5362" t="s">
        <v>1922</v>
      </c>
      <c r="H5362">
        <v>9</v>
      </c>
      <c r="I5362">
        <v>49.86</v>
      </c>
      <c r="J5362" s="50">
        <v>448.74</v>
      </c>
      <c r="K5362" t="s">
        <v>1618</v>
      </c>
      <c r="L5362" t="s">
        <v>4787</v>
      </c>
      <c r="M5362" t="s">
        <v>1621</v>
      </c>
      <c r="N5362">
        <v>26.31</v>
      </c>
      <c r="O5362" s="49">
        <v>44848</v>
      </c>
      <c r="P5362" s="50">
        <v>201.93300000000002</v>
      </c>
    </row>
    <row r="5363" spans="4:16" x14ac:dyDescent="0.2">
      <c r="D5363">
        <v>100003204</v>
      </c>
      <c r="E5363" s="49">
        <v>44508</v>
      </c>
      <c r="F5363" t="s">
        <v>4786</v>
      </c>
      <c r="G5363" t="s">
        <v>1751</v>
      </c>
      <c r="H5363">
        <v>9</v>
      </c>
      <c r="I5363">
        <v>63.78</v>
      </c>
      <c r="J5363" s="50">
        <v>574.02</v>
      </c>
      <c r="K5363" t="s">
        <v>1618</v>
      </c>
      <c r="L5363" t="s">
        <v>4787</v>
      </c>
      <c r="M5363" t="s">
        <v>1619</v>
      </c>
      <c r="N5363">
        <v>33.659999999999997</v>
      </c>
      <c r="O5363" s="49">
        <v>44511</v>
      </c>
      <c r="P5363" s="50">
        <v>258.30900000000003</v>
      </c>
    </row>
    <row r="5364" spans="4:16" x14ac:dyDescent="0.2">
      <c r="D5364">
        <v>100003204</v>
      </c>
      <c r="E5364" s="49">
        <v>45530</v>
      </c>
      <c r="F5364" t="s">
        <v>4786</v>
      </c>
      <c r="G5364" t="s">
        <v>1650</v>
      </c>
      <c r="H5364">
        <v>1</v>
      </c>
      <c r="I5364">
        <v>71.89</v>
      </c>
      <c r="J5364" s="50">
        <v>71.89</v>
      </c>
      <c r="K5364" t="s">
        <v>1618</v>
      </c>
      <c r="L5364" t="s">
        <v>4787</v>
      </c>
      <c r="M5364" t="s">
        <v>1629</v>
      </c>
      <c r="N5364">
        <v>37.94</v>
      </c>
      <c r="O5364" s="49">
        <v>45532</v>
      </c>
      <c r="P5364" s="50">
        <v>32.350500000000004</v>
      </c>
    </row>
    <row r="5365" spans="4:16" x14ac:dyDescent="0.2">
      <c r="D5365">
        <v>100003204</v>
      </c>
      <c r="E5365" s="49">
        <v>44250</v>
      </c>
      <c r="F5365" t="s">
        <v>4786</v>
      </c>
      <c r="G5365" t="s">
        <v>1795</v>
      </c>
      <c r="H5365">
        <v>3</v>
      </c>
      <c r="I5365">
        <v>10.57</v>
      </c>
      <c r="J5365" s="50">
        <v>31.71</v>
      </c>
      <c r="K5365" t="s">
        <v>1618</v>
      </c>
      <c r="L5365" t="s">
        <v>4787</v>
      </c>
      <c r="M5365" t="s">
        <v>1624</v>
      </c>
      <c r="N5365">
        <v>5.58</v>
      </c>
      <c r="O5365" s="49">
        <v>44251</v>
      </c>
      <c r="P5365" s="50">
        <v>14.269500000000001</v>
      </c>
    </row>
    <row r="5366" spans="4:16" x14ac:dyDescent="0.2">
      <c r="D5366">
        <v>100003204</v>
      </c>
      <c r="E5366" s="49">
        <v>44565</v>
      </c>
      <c r="F5366" t="s">
        <v>4786</v>
      </c>
      <c r="G5366" t="s">
        <v>1792</v>
      </c>
      <c r="H5366">
        <v>8</v>
      </c>
      <c r="I5366">
        <v>71.39</v>
      </c>
      <c r="J5366" s="50">
        <v>571.12</v>
      </c>
      <c r="K5366" t="s">
        <v>1618</v>
      </c>
      <c r="L5366" t="s">
        <v>4787</v>
      </c>
      <c r="M5366" t="s">
        <v>1619</v>
      </c>
      <c r="N5366">
        <v>37.68</v>
      </c>
      <c r="O5366" s="49">
        <v>44568</v>
      </c>
      <c r="P5366" s="50">
        <v>257.00400000000002</v>
      </c>
    </row>
    <row r="5367" spans="4:16" x14ac:dyDescent="0.2">
      <c r="D5367">
        <v>100003206</v>
      </c>
      <c r="E5367" s="49">
        <v>44391</v>
      </c>
      <c r="F5367" t="s">
        <v>4788</v>
      </c>
      <c r="G5367" t="s">
        <v>2158</v>
      </c>
      <c r="H5367">
        <v>1</v>
      </c>
      <c r="I5367">
        <v>42.02</v>
      </c>
      <c r="J5367" s="50">
        <v>42.02</v>
      </c>
      <c r="K5367" t="s">
        <v>1632</v>
      </c>
      <c r="M5367" t="s">
        <v>1621</v>
      </c>
      <c r="N5367">
        <v>22.18</v>
      </c>
      <c r="O5367" s="49">
        <v>44394</v>
      </c>
      <c r="P5367" s="50">
        <v>18.909000000000002</v>
      </c>
    </row>
    <row r="5368" spans="4:16" x14ac:dyDescent="0.2">
      <c r="D5368">
        <v>100003206</v>
      </c>
      <c r="E5368" s="49">
        <v>44572</v>
      </c>
      <c r="F5368" t="s">
        <v>4788</v>
      </c>
      <c r="G5368" t="s">
        <v>1848</v>
      </c>
      <c r="H5368">
        <v>3</v>
      </c>
      <c r="I5368">
        <v>63.06</v>
      </c>
      <c r="J5368" s="50">
        <v>189.18</v>
      </c>
      <c r="K5368" t="s">
        <v>1632</v>
      </c>
      <c r="M5368" t="s">
        <v>1621</v>
      </c>
      <c r="N5368">
        <v>33.28</v>
      </c>
      <c r="O5368" s="49">
        <v>44576</v>
      </c>
      <c r="P5368" s="50">
        <v>85.131</v>
      </c>
    </row>
    <row r="5369" spans="4:16" x14ac:dyDescent="0.2">
      <c r="D5369">
        <v>100003206</v>
      </c>
      <c r="E5369" s="49">
        <v>44927</v>
      </c>
      <c r="F5369" t="s">
        <v>4788</v>
      </c>
      <c r="G5369" t="s">
        <v>1828</v>
      </c>
      <c r="H5369">
        <v>8</v>
      </c>
      <c r="I5369">
        <v>27.5</v>
      </c>
      <c r="J5369" s="50">
        <v>220</v>
      </c>
      <c r="K5369" t="s">
        <v>1632</v>
      </c>
      <c r="M5369" t="s">
        <v>1629</v>
      </c>
      <c r="N5369">
        <v>14.51</v>
      </c>
      <c r="O5369" s="49">
        <v>44931</v>
      </c>
      <c r="P5369" s="50">
        <v>99</v>
      </c>
    </row>
    <row r="5370" spans="4:16" x14ac:dyDescent="0.2">
      <c r="D5370">
        <v>100003206</v>
      </c>
      <c r="E5370" s="49">
        <v>44315</v>
      </c>
      <c r="F5370" t="s">
        <v>4788</v>
      </c>
      <c r="G5370" t="s">
        <v>1950</v>
      </c>
      <c r="H5370">
        <v>9</v>
      </c>
      <c r="I5370">
        <v>115.44</v>
      </c>
      <c r="J5370" s="50">
        <v>1038.96</v>
      </c>
      <c r="K5370" t="s">
        <v>1632</v>
      </c>
      <c r="M5370" t="s">
        <v>1627</v>
      </c>
      <c r="N5370">
        <v>60.93</v>
      </c>
      <c r="O5370" s="49">
        <v>44318</v>
      </c>
      <c r="P5370" s="50">
        <v>467.53200000000004</v>
      </c>
    </row>
    <row r="5371" spans="4:16" x14ac:dyDescent="0.2">
      <c r="D5371">
        <v>100003206</v>
      </c>
      <c r="E5371" s="49">
        <v>45023</v>
      </c>
      <c r="F5371" t="s">
        <v>4788</v>
      </c>
      <c r="G5371" t="s">
        <v>2550</v>
      </c>
      <c r="H5371">
        <v>7</v>
      </c>
      <c r="I5371">
        <v>30.75</v>
      </c>
      <c r="J5371" s="50">
        <v>215.25</v>
      </c>
      <c r="K5371" t="s">
        <v>1632</v>
      </c>
      <c r="M5371" t="s">
        <v>1627</v>
      </c>
      <c r="N5371">
        <v>16.23</v>
      </c>
      <c r="O5371" s="49">
        <v>45027</v>
      </c>
      <c r="P5371" s="50">
        <v>96.862499999999997</v>
      </c>
    </row>
    <row r="5372" spans="4:16" x14ac:dyDescent="0.2">
      <c r="D5372">
        <v>100003207</v>
      </c>
      <c r="E5372" s="49">
        <v>44311</v>
      </c>
      <c r="F5372" t="s">
        <v>4789</v>
      </c>
      <c r="G5372" t="s">
        <v>1913</v>
      </c>
      <c r="H5372">
        <v>1</v>
      </c>
      <c r="I5372">
        <v>93.97</v>
      </c>
      <c r="J5372" s="50">
        <v>93.97</v>
      </c>
      <c r="K5372" t="s">
        <v>1632</v>
      </c>
      <c r="M5372" t="s">
        <v>1627</v>
      </c>
      <c r="N5372">
        <v>49.59</v>
      </c>
      <c r="O5372" s="49">
        <v>44312</v>
      </c>
      <c r="P5372" s="50">
        <v>42.286500000000004</v>
      </c>
    </row>
    <row r="5373" spans="4:16" x14ac:dyDescent="0.2">
      <c r="D5373">
        <v>100003207</v>
      </c>
      <c r="E5373" s="49">
        <v>44826</v>
      </c>
      <c r="F5373" t="s">
        <v>4789</v>
      </c>
      <c r="G5373" t="s">
        <v>2062</v>
      </c>
      <c r="H5373">
        <v>8</v>
      </c>
      <c r="I5373">
        <v>65.53</v>
      </c>
      <c r="J5373" s="50">
        <v>524.24</v>
      </c>
      <c r="K5373" t="s">
        <v>1632</v>
      </c>
      <c r="M5373" t="s">
        <v>1629</v>
      </c>
      <c r="N5373">
        <v>34.590000000000003</v>
      </c>
      <c r="O5373" s="49">
        <v>44831</v>
      </c>
      <c r="P5373" s="50">
        <v>235.90800000000002</v>
      </c>
    </row>
    <row r="5374" spans="4:16" x14ac:dyDescent="0.2">
      <c r="D5374">
        <v>100003207</v>
      </c>
      <c r="E5374" s="49">
        <v>45071</v>
      </c>
      <c r="F5374" t="s">
        <v>4789</v>
      </c>
      <c r="G5374" t="s">
        <v>1948</v>
      </c>
      <c r="H5374">
        <v>2</v>
      </c>
      <c r="I5374">
        <v>11.54</v>
      </c>
      <c r="J5374" s="50">
        <v>23.08</v>
      </c>
      <c r="K5374" t="s">
        <v>1632</v>
      </c>
      <c r="M5374" t="s">
        <v>1619</v>
      </c>
      <c r="N5374">
        <v>6.09</v>
      </c>
      <c r="O5374" s="49">
        <v>45072</v>
      </c>
      <c r="P5374" s="50">
        <v>10.385999999999999</v>
      </c>
    </row>
    <row r="5375" spans="4:16" x14ac:dyDescent="0.2">
      <c r="D5375">
        <v>100003207</v>
      </c>
      <c r="E5375" s="49">
        <v>44741</v>
      </c>
      <c r="F5375" t="s">
        <v>4789</v>
      </c>
      <c r="G5375" t="s">
        <v>1749</v>
      </c>
      <c r="H5375">
        <v>8</v>
      </c>
      <c r="I5375">
        <v>67.900000000000006</v>
      </c>
      <c r="J5375" s="50">
        <v>543.20000000000005</v>
      </c>
      <c r="K5375" t="s">
        <v>1632</v>
      </c>
      <c r="M5375" t="s">
        <v>1629</v>
      </c>
      <c r="N5375">
        <v>35.840000000000003</v>
      </c>
      <c r="O5375" s="49">
        <v>44742</v>
      </c>
      <c r="P5375" s="50">
        <v>244.44000000000003</v>
      </c>
    </row>
    <row r="5376" spans="4:16" x14ac:dyDescent="0.2">
      <c r="D5376">
        <v>100003208</v>
      </c>
      <c r="E5376" s="49">
        <v>44212</v>
      </c>
      <c r="F5376" t="s">
        <v>3427</v>
      </c>
      <c r="G5376" t="s">
        <v>2145</v>
      </c>
      <c r="H5376">
        <v>2</v>
      </c>
      <c r="I5376">
        <v>105.78</v>
      </c>
      <c r="J5376" s="50">
        <v>211.56</v>
      </c>
      <c r="K5376" t="s">
        <v>1618</v>
      </c>
      <c r="M5376" t="s">
        <v>1627</v>
      </c>
      <c r="N5376">
        <v>55.83</v>
      </c>
      <c r="O5376" s="49">
        <v>44216</v>
      </c>
      <c r="P5376" s="50">
        <v>95.201999999999998</v>
      </c>
    </row>
    <row r="5377" spans="4:16" x14ac:dyDescent="0.2">
      <c r="D5377">
        <v>100003208</v>
      </c>
      <c r="E5377" s="49">
        <v>44259</v>
      </c>
      <c r="F5377" t="s">
        <v>3427</v>
      </c>
      <c r="G5377" t="s">
        <v>2204</v>
      </c>
      <c r="H5377">
        <v>5</v>
      </c>
      <c r="I5377">
        <v>41.16</v>
      </c>
      <c r="J5377" s="50">
        <v>205.8</v>
      </c>
      <c r="K5377" t="s">
        <v>1618</v>
      </c>
      <c r="M5377" t="s">
        <v>1621</v>
      </c>
      <c r="N5377">
        <v>21.72</v>
      </c>
      <c r="O5377" s="49">
        <v>44263</v>
      </c>
      <c r="P5377" s="50">
        <v>92.610000000000014</v>
      </c>
    </row>
    <row r="5378" spans="4:16" x14ac:dyDescent="0.2">
      <c r="D5378">
        <v>100003208</v>
      </c>
      <c r="E5378" s="49">
        <v>44888</v>
      </c>
      <c r="F5378" t="s">
        <v>3427</v>
      </c>
      <c r="G5378" t="s">
        <v>2136</v>
      </c>
      <c r="H5378">
        <v>2</v>
      </c>
      <c r="I5378">
        <v>65.489999999999995</v>
      </c>
      <c r="J5378" s="50">
        <v>130.97999999999999</v>
      </c>
      <c r="K5378" t="s">
        <v>1618</v>
      </c>
      <c r="M5378" t="s">
        <v>1629</v>
      </c>
      <c r="N5378">
        <v>34.56</v>
      </c>
      <c r="O5378" s="49">
        <v>44892</v>
      </c>
      <c r="P5378" s="50">
        <v>58.940999999999995</v>
      </c>
    </row>
    <row r="5379" spans="4:16" x14ac:dyDescent="0.2">
      <c r="D5379">
        <v>100003208</v>
      </c>
      <c r="E5379" s="49">
        <v>45457</v>
      </c>
      <c r="F5379" t="s">
        <v>3427</v>
      </c>
      <c r="G5379" t="s">
        <v>2024</v>
      </c>
      <c r="H5379">
        <v>7</v>
      </c>
      <c r="I5379">
        <v>75.010000000000005</v>
      </c>
      <c r="J5379" s="50">
        <v>525.07000000000005</v>
      </c>
      <c r="K5379" t="s">
        <v>1618</v>
      </c>
      <c r="M5379" t="s">
        <v>1629</v>
      </c>
      <c r="N5379">
        <v>39.590000000000003</v>
      </c>
      <c r="O5379" s="49">
        <v>45459</v>
      </c>
      <c r="P5379" s="50">
        <v>236.28150000000002</v>
      </c>
    </row>
    <row r="5380" spans="4:16" x14ac:dyDescent="0.2">
      <c r="D5380">
        <v>100003208</v>
      </c>
      <c r="E5380" s="49">
        <v>45546</v>
      </c>
      <c r="F5380" t="s">
        <v>3427</v>
      </c>
      <c r="G5380" t="s">
        <v>1982</v>
      </c>
      <c r="H5380">
        <v>10</v>
      </c>
      <c r="I5380">
        <v>80.790000000000006</v>
      </c>
      <c r="J5380" s="50">
        <v>807.90000000000009</v>
      </c>
      <c r="K5380" t="s">
        <v>1618</v>
      </c>
      <c r="M5380" t="s">
        <v>1619</v>
      </c>
      <c r="N5380">
        <v>42.64</v>
      </c>
      <c r="O5380" s="49">
        <v>45549</v>
      </c>
      <c r="P5380" s="50">
        <v>363.55500000000006</v>
      </c>
    </row>
    <row r="5381" spans="4:16" x14ac:dyDescent="0.2">
      <c r="D5381">
        <v>100003208</v>
      </c>
      <c r="E5381" s="49">
        <v>45376</v>
      </c>
      <c r="F5381" t="s">
        <v>3427</v>
      </c>
      <c r="G5381" t="s">
        <v>1948</v>
      </c>
      <c r="H5381">
        <v>8</v>
      </c>
      <c r="I5381">
        <v>119.04</v>
      </c>
      <c r="J5381" s="50">
        <v>952.32</v>
      </c>
      <c r="K5381" t="s">
        <v>1618</v>
      </c>
      <c r="M5381" t="s">
        <v>1629</v>
      </c>
      <c r="N5381">
        <v>62.83</v>
      </c>
      <c r="O5381" s="49">
        <v>45378</v>
      </c>
      <c r="P5381" s="50">
        <v>428.54400000000004</v>
      </c>
    </row>
    <row r="5382" spans="4:16" x14ac:dyDescent="0.2">
      <c r="D5382">
        <v>100003208</v>
      </c>
      <c r="E5382" s="49">
        <v>45181</v>
      </c>
      <c r="F5382" t="s">
        <v>3427</v>
      </c>
      <c r="G5382" t="s">
        <v>2484</v>
      </c>
      <c r="H5382">
        <v>9</v>
      </c>
      <c r="I5382">
        <v>114.12</v>
      </c>
      <c r="J5382" s="50">
        <v>1027.08</v>
      </c>
      <c r="K5382" t="s">
        <v>1618</v>
      </c>
      <c r="M5382" t="s">
        <v>1621</v>
      </c>
      <c r="N5382">
        <v>60.23</v>
      </c>
      <c r="O5382" s="49">
        <v>45185</v>
      </c>
      <c r="P5382" s="50">
        <v>462.18599999999998</v>
      </c>
    </row>
    <row r="5383" spans="4:16" x14ac:dyDescent="0.2">
      <c r="D5383">
        <v>100003208</v>
      </c>
      <c r="E5383" s="49">
        <v>44365</v>
      </c>
      <c r="F5383" t="s">
        <v>3427</v>
      </c>
      <c r="G5383" t="s">
        <v>2057</v>
      </c>
      <c r="H5383">
        <v>5</v>
      </c>
      <c r="I5383">
        <v>98.83</v>
      </c>
      <c r="J5383" s="50">
        <v>494.15</v>
      </c>
      <c r="K5383" t="s">
        <v>1618</v>
      </c>
      <c r="M5383" t="s">
        <v>1627</v>
      </c>
      <c r="N5383">
        <v>52.16</v>
      </c>
      <c r="O5383" s="49">
        <v>44367</v>
      </c>
      <c r="P5383" s="50">
        <v>222.36750000000001</v>
      </c>
    </row>
    <row r="5384" spans="4:16" x14ac:dyDescent="0.2">
      <c r="D5384">
        <v>100003210</v>
      </c>
      <c r="E5384" s="49">
        <v>45525</v>
      </c>
      <c r="F5384" t="s">
        <v>4790</v>
      </c>
      <c r="G5384" t="s">
        <v>2163</v>
      </c>
      <c r="H5384">
        <v>6</v>
      </c>
      <c r="I5384">
        <v>16.79</v>
      </c>
      <c r="J5384" s="50">
        <v>100.74</v>
      </c>
      <c r="K5384" t="s">
        <v>1618</v>
      </c>
      <c r="M5384" t="s">
        <v>1619</v>
      </c>
      <c r="N5384">
        <v>8.86</v>
      </c>
      <c r="O5384" s="49">
        <v>45530</v>
      </c>
      <c r="P5384" s="50">
        <v>45.332999999999998</v>
      </c>
    </row>
    <row r="5385" spans="4:16" x14ac:dyDescent="0.2">
      <c r="D5385">
        <v>100003211</v>
      </c>
      <c r="E5385" s="49">
        <v>44971</v>
      </c>
      <c r="F5385" t="s">
        <v>4791</v>
      </c>
      <c r="G5385" t="s">
        <v>1756</v>
      </c>
      <c r="H5385">
        <v>2</v>
      </c>
      <c r="I5385">
        <v>91.16</v>
      </c>
      <c r="J5385" s="50">
        <v>182.32</v>
      </c>
      <c r="K5385" t="s">
        <v>1618</v>
      </c>
      <c r="L5385" t="s">
        <v>1886</v>
      </c>
      <c r="M5385" t="s">
        <v>1627</v>
      </c>
      <c r="N5385">
        <v>48.11</v>
      </c>
      <c r="O5385" s="49">
        <v>44972</v>
      </c>
      <c r="P5385" s="50">
        <v>82.043999999999997</v>
      </c>
    </row>
    <row r="5386" spans="4:16" x14ac:dyDescent="0.2">
      <c r="D5386">
        <v>100003212</v>
      </c>
      <c r="E5386" s="49">
        <v>44644</v>
      </c>
      <c r="F5386" t="s">
        <v>4792</v>
      </c>
      <c r="G5386" t="s">
        <v>2019</v>
      </c>
      <c r="H5386">
        <v>5</v>
      </c>
      <c r="I5386">
        <v>31.12</v>
      </c>
      <c r="J5386" s="50">
        <v>155.6</v>
      </c>
      <c r="K5386" t="s">
        <v>1618</v>
      </c>
      <c r="M5386" t="s">
        <v>1619</v>
      </c>
      <c r="N5386">
        <v>16.420000000000002</v>
      </c>
      <c r="O5386" s="49">
        <v>44647</v>
      </c>
      <c r="P5386" s="50">
        <v>70.02</v>
      </c>
    </row>
    <row r="5387" spans="4:16" x14ac:dyDescent="0.2">
      <c r="D5387">
        <v>100003212</v>
      </c>
      <c r="E5387" s="49">
        <v>45153</v>
      </c>
      <c r="F5387" t="s">
        <v>4792</v>
      </c>
      <c r="G5387" t="s">
        <v>2330</v>
      </c>
      <c r="H5387">
        <v>3</v>
      </c>
      <c r="I5387">
        <v>78.2</v>
      </c>
      <c r="J5387" s="50">
        <v>234.6</v>
      </c>
      <c r="K5387" t="s">
        <v>1618</v>
      </c>
      <c r="M5387" t="s">
        <v>1624</v>
      </c>
      <c r="N5387">
        <v>41.27</v>
      </c>
      <c r="O5387" s="49">
        <v>45155</v>
      </c>
      <c r="P5387" s="50">
        <v>105.57</v>
      </c>
    </row>
    <row r="5388" spans="4:16" x14ac:dyDescent="0.2">
      <c r="D5388">
        <v>100003213</v>
      </c>
      <c r="E5388" s="49">
        <v>45449</v>
      </c>
      <c r="F5388" t="s">
        <v>4793</v>
      </c>
      <c r="G5388" t="s">
        <v>2344</v>
      </c>
      <c r="H5388">
        <v>6</v>
      </c>
      <c r="I5388">
        <v>17.440000000000001</v>
      </c>
      <c r="J5388" s="50">
        <v>104.64</v>
      </c>
      <c r="K5388" t="s">
        <v>1632</v>
      </c>
      <c r="M5388" t="s">
        <v>1624</v>
      </c>
      <c r="N5388">
        <v>9.1999999999999993</v>
      </c>
      <c r="O5388" s="49">
        <v>45453</v>
      </c>
      <c r="P5388" s="50">
        <v>47.088000000000001</v>
      </c>
    </row>
    <row r="5389" spans="4:16" x14ac:dyDescent="0.2">
      <c r="D5389">
        <v>100003213</v>
      </c>
      <c r="E5389" s="49">
        <v>44969</v>
      </c>
      <c r="F5389" t="s">
        <v>4793</v>
      </c>
      <c r="G5389" t="s">
        <v>2033</v>
      </c>
      <c r="H5389">
        <v>2</v>
      </c>
      <c r="I5389">
        <v>63.1</v>
      </c>
      <c r="J5389" s="50">
        <v>126.2</v>
      </c>
      <c r="K5389" t="s">
        <v>1632</v>
      </c>
      <c r="M5389" t="s">
        <v>1627</v>
      </c>
      <c r="N5389">
        <v>33.299999999999997</v>
      </c>
      <c r="O5389" s="49">
        <v>44972</v>
      </c>
      <c r="P5389" s="50">
        <v>56.79</v>
      </c>
    </row>
    <row r="5390" spans="4:16" x14ac:dyDescent="0.2">
      <c r="D5390">
        <v>100003214</v>
      </c>
      <c r="E5390" s="49">
        <v>45295</v>
      </c>
      <c r="F5390" t="s">
        <v>4794</v>
      </c>
      <c r="G5390" t="s">
        <v>1679</v>
      </c>
      <c r="H5390">
        <v>2</v>
      </c>
      <c r="I5390">
        <v>69.47</v>
      </c>
      <c r="J5390" s="50">
        <v>138.94</v>
      </c>
      <c r="K5390" t="s">
        <v>1632</v>
      </c>
      <c r="L5390" t="s">
        <v>2469</v>
      </c>
      <c r="M5390" t="s">
        <v>1629</v>
      </c>
      <c r="N5390">
        <v>36.659999999999997</v>
      </c>
      <c r="O5390" s="49">
        <v>45299</v>
      </c>
      <c r="P5390" s="50">
        <v>62.523000000000003</v>
      </c>
    </row>
    <row r="5391" spans="4:16" x14ac:dyDescent="0.2">
      <c r="D5391">
        <v>100003214</v>
      </c>
      <c r="E5391" s="49">
        <v>44629</v>
      </c>
      <c r="F5391" t="s">
        <v>4794</v>
      </c>
      <c r="G5391" t="s">
        <v>2372</v>
      </c>
      <c r="H5391">
        <v>6</v>
      </c>
      <c r="I5391">
        <v>23.25</v>
      </c>
      <c r="J5391" s="50">
        <v>139.5</v>
      </c>
      <c r="K5391" t="s">
        <v>1632</v>
      </c>
      <c r="L5391" t="s">
        <v>2469</v>
      </c>
      <c r="M5391" t="s">
        <v>1624</v>
      </c>
      <c r="N5391">
        <v>12.27</v>
      </c>
      <c r="O5391" s="49">
        <v>44631</v>
      </c>
      <c r="P5391" s="50">
        <v>62.774999999999999</v>
      </c>
    </row>
    <row r="5392" spans="4:16" x14ac:dyDescent="0.2">
      <c r="D5392">
        <v>100003214</v>
      </c>
      <c r="E5392" s="49">
        <v>44351</v>
      </c>
      <c r="F5392" t="s">
        <v>4794</v>
      </c>
      <c r="G5392" t="s">
        <v>1634</v>
      </c>
      <c r="H5392">
        <v>2</v>
      </c>
      <c r="I5392">
        <v>41.59</v>
      </c>
      <c r="J5392" s="50">
        <v>83.18</v>
      </c>
      <c r="K5392" t="s">
        <v>1632</v>
      </c>
      <c r="L5392" t="s">
        <v>2469</v>
      </c>
      <c r="M5392" t="s">
        <v>1619</v>
      </c>
      <c r="N5392">
        <v>21.95</v>
      </c>
      <c r="O5392" s="49">
        <v>44355</v>
      </c>
      <c r="P5392" s="50">
        <v>37.431000000000004</v>
      </c>
    </row>
    <row r="5393" spans="4:16" x14ac:dyDescent="0.2">
      <c r="D5393">
        <v>100003215</v>
      </c>
      <c r="E5393" s="49">
        <v>45620</v>
      </c>
      <c r="F5393" t="s">
        <v>4795</v>
      </c>
      <c r="G5393" t="s">
        <v>1820</v>
      </c>
      <c r="H5393">
        <v>2</v>
      </c>
      <c r="I5393">
        <v>48.39</v>
      </c>
      <c r="J5393" s="50">
        <v>96.78</v>
      </c>
      <c r="K5393" t="s">
        <v>1632</v>
      </c>
      <c r="L5393" t="s">
        <v>3688</v>
      </c>
      <c r="M5393" t="s">
        <v>1619</v>
      </c>
      <c r="N5393">
        <v>25.54</v>
      </c>
      <c r="O5393" s="49">
        <v>45623</v>
      </c>
      <c r="P5393" s="50">
        <v>43.551000000000002</v>
      </c>
    </row>
    <row r="5394" spans="4:16" x14ac:dyDescent="0.2">
      <c r="D5394">
        <v>100003215</v>
      </c>
      <c r="E5394" s="49">
        <v>44576</v>
      </c>
      <c r="F5394" t="s">
        <v>4795</v>
      </c>
      <c r="G5394" t="s">
        <v>1882</v>
      </c>
      <c r="H5394">
        <v>6</v>
      </c>
      <c r="I5394">
        <v>33.85</v>
      </c>
      <c r="J5394" s="50">
        <v>203.1</v>
      </c>
      <c r="K5394" t="s">
        <v>1632</v>
      </c>
      <c r="L5394" t="s">
        <v>3688</v>
      </c>
      <c r="M5394" t="s">
        <v>1621</v>
      </c>
      <c r="N5394">
        <v>17.87</v>
      </c>
      <c r="O5394" s="49">
        <v>44577</v>
      </c>
      <c r="P5394" s="50">
        <v>91.394999999999996</v>
      </c>
    </row>
    <row r="5395" spans="4:16" x14ac:dyDescent="0.2">
      <c r="D5395">
        <v>100003217</v>
      </c>
      <c r="E5395" s="49">
        <v>44485</v>
      </c>
      <c r="F5395" t="s">
        <v>4796</v>
      </c>
      <c r="G5395" t="s">
        <v>2306</v>
      </c>
      <c r="H5395">
        <v>7</v>
      </c>
      <c r="I5395">
        <v>105.09</v>
      </c>
      <c r="J5395" s="50">
        <v>735.63</v>
      </c>
      <c r="K5395" t="s">
        <v>1618</v>
      </c>
      <c r="M5395" t="s">
        <v>1624</v>
      </c>
      <c r="N5395">
        <v>55.46</v>
      </c>
      <c r="O5395" s="49">
        <v>44490</v>
      </c>
      <c r="P5395" s="50">
        <v>331.0335</v>
      </c>
    </row>
    <row r="5396" spans="4:16" x14ac:dyDescent="0.2">
      <c r="D5396">
        <v>100003217</v>
      </c>
      <c r="E5396" s="49">
        <v>45523</v>
      </c>
      <c r="F5396" t="s">
        <v>4796</v>
      </c>
      <c r="G5396" t="s">
        <v>1990</v>
      </c>
      <c r="H5396">
        <v>8</v>
      </c>
      <c r="I5396">
        <v>109.39</v>
      </c>
      <c r="J5396" s="50">
        <v>875.12</v>
      </c>
      <c r="K5396" t="s">
        <v>1618</v>
      </c>
      <c r="M5396" t="s">
        <v>1627</v>
      </c>
      <c r="N5396">
        <v>57.73</v>
      </c>
      <c r="O5396" s="49">
        <v>45524</v>
      </c>
      <c r="P5396" s="50">
        <v>393.80400000000003</v>
      </c>
    </row>
    <row r="5397" spans="4:16" x14ac:dyDescent="0.2">
      <c r="D5397">
        <v>100003217</v>
      </c>
      <c r="E5397" s="49">
        <v>44485</v>
      </c>
      <c r="F5397" t="s">
        <v>4796</v>
      </c>
      <c r="G5397" t="s">
        <v>1658</v>
      </c>
      <c r="H5397">
        <v>3</v>
      </c>
      <c r="I5397">
        <v>42.61</v>
      </c>
      <c r="J5397" s="50">
        <v>127.83</v>
      </c>
      <c r="K5397" t="s">
        <v>1618</v>
      </c>
      <c r="M5397" t="s">
        <v>1627</v>
      </c>
      <c r="N5397">
        <v>22.49</v>
      </c>
      <c r="O5397" s="49">
        <v>44487</v>
      </c>
      <c r="P5397" s="50">
        <v>57.523499999999999</v>
      </c>
    </row>
    <row r="5398" spans="4:16" x14ac:dyDescent="0.2">
      <c r="D5398">
        <v>100003218</v>
      </c>
      <c r="E5398" s="49">
        <v>44501</v>
      </c>
      <c r="F5398" t="s">
        <v>4797</v>
      </c>
      <c r="G5398" t="s">
        <v>1864</v>
      </c>
      <c r="H5398">
        <v>2</v>
      </c>
      <c r="I5398">
        <v>112.65</v>
      </c>
      <c r="J5398" s="50">
        <v>225.3</v>
      </c>
      <c r="K5398" t="s">
        <v>1632</v>
      </c>
      <c r="M5398" t="s">
        <v>1619</v>
      </c>
      <c r="N5398">
        <v>59.45</v>
      </c>
      <c r="O5398" s="49">
        <v>44505</v>
      </c>
      <c r="P5398" s="50">
        <v>101.38500000000001</v>
      </c>
    </row>
    <row r="5399" spans="4:16" x14ac:dyDescent="0.2">
      <c r="D5399">
        <v>100003219</v>
      </c>
      <c r="E5399" s="49">
        <v>44851</v>
      </c>
      <c r="F5399" t="s">
        <v>4798</v>
      </c>
      <c r="G5399" t="s">
        <v>1950</v>
      </c>
      <c r="H5399">
        <v>5</v>
      </c>
      <c r="I5399">
        <v>106.34</v>
      </c>
      <c r="J5399" s="50">
        <v>531.70000000000005</v>
      </c>
      <c r="K5399" t="s">
        <v>1618</v>
      </c>
      <c r="M5399" t="s">
        <v>1621</v>
      </c>
      <c r="N5399">
        <v>56.12</v>
      </c>
      <c r="O5399" s="49">
        <v>44852</v>
      </c>
      <c r="P5399" s="50">
        <v>239.26500000000001</v>
      </c>
    </row>
    <row r="5400" spans="4:16" x14ac:dyDescent="0.2">
      <c r="D5400">
        <v>100003219</v>
      </c>
      <c r="E5400" s="49">
        <v>44539</v>
      </c>
      <c r="F5400" t="s">
        <v>4798</v>
      </c>
      <c r="G5400" t="s">
        <v>2138</v>
      </c>
      <c r="H5400">
        <v>9</v>
      </c>
      <c r="I5400">
        <v>106.52</v>
      </c>
      <c r="J5400" s="50">
        <v>958.68</v>
      </c>
      <c r="K5400" t="s">
        <v>1618</v>
      </c>
      <c r="M5400" t="s">
        <v>1619</v>
      </c>
      <c r="N5400">
        <v>56.22</v>
      </c>
      <c r="O5400" s="49">
        <v>44541</v>
      </c>
      <c r="P5400" s="50">
        <v>431.40600000000001</v>
      </c>
    </row>
    <row r="5401" spans="4:16" x14ac:dyDescent="0.2">
      <c r="D5401">
        <v>100003220</v>
      </c>
      <c r="E5401" s="49">
        <v>44980</v>
      </c>
      <c r="F5401" t="s">
        <v>4799</v>
      </c>
      <c r="G5401" t="s">
        <v>2050</v>
      </c>
      <c r="H5401">
        <v>2</v>
      </c>
      <c r="I5401">
        <v>10.89</v>
      </c>
      <c r="J5401" s="50">
        <v>21.78</v>
      </c>
      <c r="K5401" t="s">
        <v>1618</v>
      </c>
      <c r="L5401" t="s">
        <v>3454</v>
      </c>
      <c r="M5401" t="s">
        <v>1621</v>
      </c>
      <c r="N5401">
        <v>5.75</v>
      </c>
      <c r="O5401" s="49">
        <v>44981</v>
      </c>
      <c r="P5401" s="50">
        <v>9.8010000000000002</v>
      </c>
    </row>
    <row r="5402" spans="4:16" x14ac:dyDescent="0.2">
      <c r="D5402">
        <v>100003221</v>
      </c>
      <c r="E5402" s="49">
        <v>45261</v>
      </c>
      <c r="F5402" t="s">
        <v>4800</v>
      </c>
      <c r="G5402" t="s">
        <v>1953</v>
      </c>
      <c r="H5402">
        <v>4</v>
      </c>
      <c r="I5402">
        <v>69.53</v>
      </c>
      <c r="J5402" s="50">
        <v>278.12</v>
      </c>
      <c r="K5402" t="s">
        <v>1632</v>
      </c>
      <c r="M5402" t="s">
        <v>1624</v>
      </c>
      <c r="N5402">
        <v>36.700000000000003</v>
      </c>
      <c r="O5402" s="49">
        <v>45263</v>
      </c>
      <c r="P5402" s="50">
        <v>125.15400000000001</v>
      </c>
    </row>
    <row r="5403" spans="4:16" x14ac:dyDescent="0.2">
      <c r="D5403">
        <v>100003221</v>
      </c>
      <c r="E5403" s="49">
        <v>44250</v>
      </c>
      <c r="F5403" t="s">
        <v>4800</v>
      </c>
      <c r="G5403" t="s">
        <v>1670</v>
      </c>
      <c r="H5403">
        <v>3</v>
      </c>
      <c r="I5403">
        <v>75.97</v>
      </c>
      <c r="J5403" s="50">
        <v>227.91</v>
      </c>
      <c r="K5403" t="s">
        <v>1632</v>
      </c>
      <c r="M5403" t="s">
        <v>1629</v>
      </c>
      <c r="N5403">
        <v>40.090000000000003</v>
      </c>
      <c r="O5403" s="49">
        <v>44252</v>
      </c>
      <c r="P5403" s="50">
        <v>102.5595</v>
      </c>
    </row>
    <row r="5404" spans="4:16" x14ac:dyDescent="0.2">
      <c r="D5404">
        <v>100003221</v>
      </c>
      <c r="E5404" s="49">
        <v>45318</v>
      </c>
      <c r="F5404" t="s">
        <v>4800</v>
      </c>
      <c r="G5404" t="s">
        <v>1842</v>
      </c>
      <c r="H5404">
        <v>10</v>
      </c>
      <c r="I5404">
        <v>56.01</v>
      </c>
      <c r="J5404" s="50">
        <v>560.1</v>
      </c>
      <c r="K5404" t="s">
        <v>1632</v>
      </c>
      <c r="M5404" t="s">
        <v>1629</v>
      </c>
      <c r="N5404">
        <v>29.56</v>
      </c>
      <c r="O5404" s="49">
        <v>45323</v>
      </c>
      <c r="P5404" s="50">
        <v>252.04500000000002</v>
      </c>
    </row>
    <row r="5405" spans="4:16" x14ac:dyDescent="0.2">
      <c r="D5405">
        <v>100003221</v>
      </c>
      <c r="E5405" s="49">
        <v>45170</v>
      </c>
      <c r="F5405" t="s">
        <v>4800</v>
      </c>
      <c r="G5405" t="s">
        <v>1751</v>
      </c>
      <c r="H5405">
        <v>9</v>
      </c>
      <c r="I5405">
        <v>109.48</v>
      </c>
      <c r="J5405" s="50">
        <v>985.32</v>
      </c>
      <c r="K5405" t="s">
        <v>1632</v>
      </c>
      <c r="M5405" t="s">
        <v>1621</v>
      </c>
      <c r="N5405">
        <v>57.78</v>
      </c>
      <c r="O5405" s="49">
        <v>45173</v>
      </c>
      <c r="P5405" s="50">
        <v>443.39400000000001</v>
      </c>
    </row>
    <row r="5406" spans="4:16" x14ac:dyDescent="0.2">
      <c r="D5406">
        <v>100003221</v>
      </c>
      <c r="E5406" s="49">
        <v>45413</v>
      </c>
      <c r="F5406" t="s">
        <v>4800</v>
      </c>
      <c r="G5406" t="s">
        <v>1651</v>
      </c>
      <c r="H5406">
        <v>5</v>
      </c>
      <c r="I5406">
        <v>26.91</v>
      </c>
      <c r="J5406" s="50">
        <v>134.55000000000001</v>
      </c>
      <c r="K5406" t="s">
        <v>1632</v>
      </c>
      <c r="M5406" t="s">
        <v>1627</v>
      </c>
      <c r="N5406">
        <v>14.2</v>
      </c>
      <c r="O5406" s="49">
        <v>45417</v>
      </c>
      <c r="P5406" s="50">
        <v>60.547500000000007</v>
      </c>
    </row>
    <row r="5407" spans="4:16" x14ac:dyDescent="0.2">
      <c r="D5407">
        <v>100003221</v>
      </c>
      <c r="E5407" s="49">
        <v>45183</v>
      </c>
      <c r="F5407" t="s">
        <v>4800</v>
      </c>
      <c r="G5407" t="s">
        <v>2078</v>
      </c>
      <c r="H5407">
        <v>1</v>
      </c>
      <c r="I5407">
        <v>102.32</v>
      </c>
      <c r="J5407" s="50">
        <v>102.32</v>
      </c>
      <c r="K5407" t="s">
        <v>1632</v>
      </c>
      <c r="M5407" t="s">
        <v>1627</v>
      </c>
      <c r="N5407">
        <v>54</v>
      </c>
      <c r="O5407" s="49">
        <v>45187</v>
      </c>
      <c r="P5407" s="50">
        <v>46.043999999999997</v>
      </c>
    </row>
    <row r="5408" spans="4:16" x14ac:dyDescent="0.2">
      <c r="D5408">
        <v>100003222</v>
      </c>
      <c r="E5408" s="49">
        <v>44622</v>
      </c>
      <c r="F5408" t="s">
        <v>4801</v>
      </c>
      <c r="G5408" t="s">
        <v>1921</v>
      </c>
      <c r="H5408">
        <v>5</v>
      </c>
      <c r="I5408">
        <v>59.37</v>
      </c>
      <c r="J5408" s="50">
        <v>296.85000000000002</v>
      </c>
      <c r="K5408" t="s">
        <v>1632</v>
      </c>
      <c r="M5408" t="s">
        <v>1621</v>
      </c>
      <c r="N5408">
        <v>31.33</v>
      </c>
      <c r="O5408" s="49">
        <v>44624</v>
      </c>
      <c r="P5408" s="50">
        <v>133.58250000000001</v>
      </c>
    </row>
    <row r="5409" spans="4:16" x14ac:dyDescent="0.2">
      <c r="D5409">
        <v>100003222</v>
      </c>
      <c r="E5409" s="49">
        <v>45418</v>
      </c>
      <c r="F5409" t="s">
        <v>4801</v>
      </c>
      <c r="G5409" t="s">
        <v>1655</v>
      </c>
      <c r="H5409">
        <v>1</v>
      </c>
      <c r="I5409">
        <v>81.84</v>
      </c>
      <c r="J5409" s="50">
        <v>81.84</v>
      </c>
      <c r="K5409" t="s">
        <v>1632</v>
      </c>
      <c r="M5409" t="s">
        <v>1621</v>
      </c>
      <c r="N5409">
        <v>43.19</v>
      </c>
      <c r="O5409" s="49">
        <v>45422</v>
      </c>
      <c r="P5409" s="50">
        <v>36.828000000000003</v>
      </c>
    </row>
    <row r="5410" spans="4:16" x14ac:dyDescent="0.2">
      <c r="D5410">
        <v>100003223</v>
      </c>
      <c r="E5410" s="49">
        <v>44832</v>
      </c>
      <c r="F5410" t="s">
        <v>4802</v>
      </c>
      <c r="G5410" t="s">
        <v>2159</v>
      </c>
      <c r="H5410">
        <v>3</v>
      </c>
      <c r="I5410">
        <v>58.08</v>
      </c>
      <c r="J5410" s="50">
        <v>174.24</v>
      </c>
      <c r="K5410" t="s">
        <v>1618</v>
      </c>
      <c r="L5410" t="s">
        <v>4803</v>
      </c>
      <c r="M5410" t="s">
        <v>1621</v>
      </c>
      <c r="N5410">
        <v>30.65</v>
      </c>
      <c r="O5410" s="49">
        <v>44836</v>
      </c>
      <c r="P5410" s="50">
        <v>78.408000000000001</v>
      </c>
    </row>
    <row r="5411" spans="4:16" x14ac:dyDescent="0.2">
      <c r="D5411">
        <v>100003223</v>
      </c>
      <c r="E5411" s="49">
        <v>45390</v>
      </c>
      <c r="F5411" t="s">
        <v>4802</v>
      </c>
      <c r="G5411" t="s">
        <v>2278</v>
      </c>
      <c r="H5411">
        <v>4</v>
      </c>
      <c r="I5411">
        <v>88.47</v>
      </c>
      <c r="J5411" s="50">
        <v>353.88</v>
      </c>
      <c r="K5411" t="s">
        <v>1618</v>
      </c>
      <c r="L5411" t="s">
        <v>4803</v>
      </c>
      <c r="M5411" t="s">
        <v>1621</v>
      </c>
      <c r="N5411">
        <v>46.69</v>
      </c>
      <c r="O5411" s="49">
        <v>45391</v>
      </c>
      <c r="P5411" s="50">
        <v>159.24600000000001</v>
      </c>
    </row>
    <row r="5412" spans="4:16" x14ac:dyDescent="0.2">
      <c r="D5412">
        <v>100003223</v>
      </c>
      <c r="E5412" s="49">
        <v>45116</v>
      </c>
      <c r="F5412" t="s">
        <v>4802</v>
      </c>
      <c r="G5412" t="s">
        <v>2255</v>
      </c>
      <c r="H5412">
        <v>4</v>
      </c>
      <c r="I5412">
        <v>62.17</v>
      </c>
      <c r="J5412" s="50">
        <v>248.68</v>
      </c>
      <c r="K5412" t="s">
        <v>1618</v>
      </c>
      <c r="L5412" t="s">
        <v>4803</v>
      </c>
      <c r="M5412" t="s">
        <v>1624</v>
      </c>
      <c r="N5412">
        <v>32.81</v>
      </c>
      <c r="O5412" s="49">
        <v>45121</v>
      </c>
      <c r="P5412" s="50">
        <v>111.90600000000001</v>
      </c>
    </row>
    <row r="5413" spans="4:16" x14ac:dyDescent="0.2">
      <c r="D5413">
        <v>100003225</v>
      </c>
      <c r="E5413" s="49">
        <v>44789</v>
      </c>
      <c r="F5413" t="s">
        <v>4804</v>
      </c>
      <c r="G5413" t="s">
        <v>1880</v>
      </c>
      <c r="H5413">
        <v>4</v>
      </c>
      <c r="I5413">
        <v>51.87</v>
      </c>
      <c r="J5413" s="50">
        <v>207.48</v>
      </c>
      <c r="K5413" t="s">
        <v>1618</v>
      </c>
      <c r="M5413" t="s">
        <v>1629</v>
      </c>
      <c r="N5413">
        <v>27.38</v>
      </c>
      <c r="O5413" s="49">
        <v>44792</v>
      </c>
      <c r="P5413" s="50">
        <v>93.366</v>
      </c>
    </row>
    <row r="5414" spans="4:16" x14ac:dyDescent="0.2">
      <c r="D5414">
        <v>100003225</v>
      </c>
      <c r="E5414" s="49">
        <v>44888</v>
      </c>
      <c r="F5414" t="s">
        <v>4804</v>
      </c>
      <c r="G5414" t="s">
        <v>2182</v>
      </c>
      <c r="H5414">
        <v>5</v>
      </c>
      <c r="I5414">
        <v>92.88</v>
      </c>
      <c r="J5414" s="50">
        <v>464.4</v>
      </c>
      <c r="K5414" t="s">
        <v>1618</v>
      </c>
      <c r="M5414" t="s">
        <v>1627</v>
      </c>
      <c r="N5414">
        <v>49.02</v>
      </c>
      <c r="O5414" s="49">
        <v>44893</v>
      </c>
      <c r="P5414" s="50">
        <v>208.98</v>
      </c>
    </row>
    <row r="5415" spans="4:16" x14ac:dyDescent="0.2">
      <c r="D5415">
        <v>100003226</v>
      </c>
      <c r="E5415" s="49">
        <v>44816</v>
      </c>
      <c r="F5415" t="s">
        <v>4783</v>
      </c>
      <c r="G5415" t="s">
        <v>2084</v>
      </c>
      <c r="H5415">
        <v>6</v>
      </c>
      <c r="I5415">
        <v>107.94</v>
      </c>
      <c r="J5415" s="50">
        <v>647.64</v>
      </c>
      <c r="K5415" t="s">
        <v>1632</v>
      </c>
      <c r="M5415" t="s">
        <v>1619</v>
      </c>
      <c r="N5415">
        <v>56.97</v>
      </c>
      <c r="O5415" s="49">
        <v>44821</v>
      </c>
      <c r="P5415" s="50">
        <v>291.43799999999999</v>
      </c>
    </row>
    <row r="5416" spans="4:16" x14ac:dyDescent="0.2">
      <c r="D5416">
        <v>100003230</v>
      </c>
      <c r="E5416" s="49">
        <v>44653</v>
      </c>
      <c r="F5416" t="s">
        <v>4805</v>
      </c>
      <c r="G5416" t="s">
        <v>1653</v>
      </c>
      <c r="H5416">
        <v>4</v>
      </c>
      <c r="I5416">
        <v>49.12</v>
      </c>
      <c r="J5416" s="50">
        <v>196.48</v>
      </c>
      <c r="K5416" t="s">
        <v>1632</v>
      </c>
      <c r="M5416" t="s">
        <v>1627</v>
      </c>
      <c r="N5416">
        <v>25.92</v>
      </c>
      <c r="O5416" s="49">
        <v>44656</v>
      </c>
      <c r="P5416" s="50">
        <v>88.415999999999997</v>
      </c>
    </row>
    <row r="5417" spans="4:16" x14ac:dyDescent="0.2">
      <c r="D5417">
        <v>100003231</v>
      </c>
      <c r="E5417" s="49">
        <v>45192</v>
      </c>
      <c r="F5417" t="s">
        <v>4806</v>
      </c>
      <c r="G5417" t="s">
        <v>1686</v>
      </c>
      <c r="H5417">
        <v>8</v>
      </c>
      <c r="I5417">
        <v>54.62</v>
      </c>
      <c r="J5417" s="50">
        <v>436.96</v>
      </c>
      <c r="K5417" t="s">
        <v>1618</v>
      </c>
      <c r="M5417" t="s">
        <v>1629</v>
      </c>
      <c r="N5417">
        <v>28.83</v>
      </c>
      <c r="O5417" s="49">
        <v>45197</v>
      </c>
      <c r="P5417" s="50">
        <v>196.63200000000001</v>
      </c>
    </row>
    <row r="5418" spans="4:16" x14ac:dyDescent="0.2">
      <c r="D5418">
        <v>100003231</v>
      </c>
      <c r="E5418" s="49">
        <v>44750</v>
      </c>
      <c r="F5418" t="s">
        <v>4806</v>
      </c>
      <c r="G5418" t="s">
        <v>1648</v>
      </c>
      <c r="H5418">
        <v>9</v>
      </c>
      <c r="I5418">
        <v>92.19</v>
      </c>
      <c r="J5418" s="50">
        <v>829.71</v>
      </c>
      <c r="K5418" t="s">
        <v>1618</v>
      </c>
      <c r="M5418" t="s">
        <v>1627</v>
      </c>
      <c r="N5418">
        <v>48.66</v>
      </c>
      <c r="O5418" s="49">
        <v>44754</v>
      </c>
      <c r="P5418" s="50">
        <v>373.36950000000002</v>
      </c>
    </row>
    <row r="5419" spans="4:16" x14ac:dyDescent="0.2">
      <c r="D5419">
        <v>100003233</v>
      </c>
      <c r="E5419" s="49">
        <v>45194</v>
      </c>
      <c r="F5419" t="s">
        <v>4807</v>
      </c>
      <c r="G5419" t="s">
        <v>1885</v>
      </c>
      <c r="H5419">
        <v>6</v>
      </c>
      <c r="I5419">
        <v>20.059999999999999</v>
      </c>
      <c r="J5419" s="50">
        <v>120.36</v>
      </c>
      <c r="K5419" t="s">
        <v>1618</v>
      </c>
      <c r="M5419" t="s">
        <v>1624</v>
      </c>
      <c r="N5419">
        <v>10.59</v>
      </c>
      <c r="O5419" s="49">
        <v>45198</v>
      </c>
      <c r="P5419" s="50">
        <v>54.161999999999999</v>
      </c>
    </row>
    <row r="5420" spans="4:16" x14ac:dyDescent="0.2">
      <c r="D5420">
        <v>100003233</v>
      </c>
      <c r="E5420" s="49">
        <v>45312</v>
      </c>
      <c r="F5420" t="s">
        <v>4807</v>
      </c>
      <c r="G5420" t="s">
        <v>1841</v>
      </c>
      <c r="H5420">
        <v>5</v>
      </c>
      <c r="I5420">
        <v>74.569999999999993</v>
      </c>
      <c r="J5420" s="50">
        <v>372.85</v>
      </c>
      <c r="K5420" t="s">
        <v>1618</v>
      </c>
      <c r="M5420" t="s">
        <v>1627</v>
      </c>
      <c r="N5420">
        <v>39.36</v>
      </c>
      <c r="O5420" s="49">
        <v>45315</v>
      </c>
      <c r="P5420" s="50">
        <v>167.78250000000003</v>
      </c>
    </row>
    <row r="5421" spans="4:16" x14ac:dyDescent="0.2">
      <c r="D5421">
        <v>100003233</v>
      </c>
      <c r="E5421" s="49">
        <v>44362</v>
      </c>
      <c r="F5421" t="s">
        <v>4807</v>
      </c>
      <c r="G5421" t="s">
        <v>1637</v>
      </c>
      <c r="H5421">
        <v>7</v>
      </c>
      <c r="I5421">
        <v>86.67</v>
      </c>
      <c r="J5421" s="50">
        <v>606.69000000000005</v>
      </c>
      <c r="K5421" t="s">
        <v>1618</v>
      </c>
      <c r="M5421" t="s">
        <v>1624</v>
      </c>
      <c r="N5421">
        <v>45.74</v>
      </c>
      <c r="O5421" s="49">
        <v>44364</v>
      </c>
      <c r="P5421" s="50">
        <v>273.01050000000004</v>
      </c>
    </row>
    <row r="5422" spans="4:16" x14ac:dyDescent="0.2">
      <c r="D5422">
        <v>100003233</v>
      </c>
      <c r="E5422" s="49">
        <v>44984</v>
      </c>
      <c r="F5422" t="s">
        <v>4807</v>
      </c>
      <c r="G5422" t="s">
        <v>1740</v>
      </c>
      <c r="H5422">
        <v>10</v>
      </c>
      <c r="I5422">
        <v>106.44</v>
      </c>
      <c r="J5422" s="50">
        <v>1064.4000000000001</v>
      </c>
      <c r="K5422" t="s">
        <v>1618</v>
      </c>
      <c r="M5422" t="s">
        <v>1627</v>
      </c>
      <c r="N5422">
        <v>56.18</v>
      </c>
      <c r="O5422" s="49">
        <v>44987</v>
      </c>
      <c r="P5422" s="50">
        <v>478.98000000000008</v>
      </c>
    </row>
    <row r="5423" spans="4:16" x14ac:dyDescent="0.2">
      <c r="D5423">
        <v>100003235</v>
      </c>
      <c r="E5423" s="49">
        <v>44913</v>
      </c>
      <c r="F5423" t="s">
        <v>4808</v>
      </c>
      <c r="G5423" t="s">
        <v>2093</v>
      </c>
      <c r="H5423">
        <v>3</v>
      </c>
      <c r="I5423">
        <v>54.59</v>
      </c>
      <c r="J5423" s="50">
        <v>163.77000000000001</v>
      </c>
      <c r="K5423" t="s">
        <v>1632</v>
      </c>
      <c r="L5423" t="s">
        <v>2714</v>
      </c>
      <c r="M5423" t="s">
        <v>1619</v>
      </c>
      <c r="N5423">
        <v>28.81</v>
      </c>
      <c r="O5423" s="49">
        <v>44915</v>
      </c>
      <c r="P5423" s="50">
        <v>73.6965</v>
      </c>
    </row>
    <row r="5424" spans="4:16" x14ac:dyDescent="0.2">
      <c r="D5424">
        <v>100003235</v>
      </c>
      <c r="E5424" s="49">
        <v>44671</v>
      </c>
      <c r="F5424" t="s">
        <v>4808</v>
      </c>
      <c r="G5424" t="s">
        <v>1817</v>
      </c>
      <c r="H5424">
        <v>4</v>
      </c>
      <c r="I5424">
        <v>103.33</v>
      </c>
      <c r="J5424" s="50">
        <v>413.32</v>
      </c>
      <c r="K5424" t="s">
        <v>1632</v>
      </c>
      <c r="L5424" t="s">
        <v>2714</v>
      </c>
      <c r="M5424" t="s">
        <v>1619</v>
      </c>
      <c r="N5424">
        <v>54.53</v>
      </c>
      <c r="O5424" s="49">
        <v>44675</v>
      </c>
      <c r="P5424" s="50">
        <v>185.994</v>
      </c>
    </row>
    <row r="5425" spans="4:16" x14ac:dyDescent="0.2">
      <c r="D5425">
        <v>100003235</v>
      </c>
      <c r="E5425" s="49">
        <v>44688</v>
      </c>
      <c r="F5425" t="s">
        <v>4808</v>
      </c>
      <c r="G5425" t="s">
        <v>1754</v>
      </c>
      <c r="H5425">
        <v>10</v>
      </c>
      <c r="I5425">
        <v>112.65</v>
      </c>
      <c r="J5425" s="50">
        <v>1126.5</v>
      </c>
      <c r="K5425" t="s">
        <v>1632</v>
      </c>
      <c r="L5425" t="s">
        <v>2714</v>
      </c>
      <c r="M5425" t="s">
        <v>1629</v>
      </c>
      <c r="N5425">
        <v>59.45</v>
      </c>
      <c r="O5425" s="49">
        <v>44693</v>
      </c>
      <c r="P5425" s="50">
        <v>506.92500000000001</v>
      </c>
    </row>
    <row r="5426" spans="4:16" x14ac:dyDescent="0.2">
      <c r="D5426">
        <v>100003236</v>
      </c>
      <c r="E5426" s="49">
        <v>44206</v>
      </c>
      <c r="F5426" t="s">
        <v>4809</v>
      </c>
      <c r="G5426" t="s">
        <v>2485</v>
      </c>
      <c r="H5426">
        <v>10</v>
      </c>
      <c r="I5426">
        <v>19</v>
      </c>
      <c r="J5426" s="50">
        <v>190</v>
      </c>
      <c r="K5426" t="s">
        <v>1632</v>
      </c>
      <c r="M5426" t="s">
        <v>1627</v>
      </c>
      <c r="N5426">
        <v>10.029999999999999</v>
      </c>
      <c r="O5426" s="49">
        <v>44210</v>
      </c>
      <c r="P5426" s="50">
        <v>85.5</v>
      </c>
    </row>
    <row r="5427" spans="4:16" x14ac:dyDescent="0.2">
      <c r="D5427">
        <v>100003238</v>
      </c>
      <c r="E5427" s="49">
        <v>44781</v>
      </c>
      <c r="F5427" t="s">
        <v>4810</v>
      </c>
      <c r="G5427" t="s">
        <v>1865</v>
      </c>
      <c r="H5427">
        <v>8</v>
      </c>
      <c r="I5427">
        <v>26.68</v>
      </c>
      <c r="J5427" s="50">
        <v>213.44</v>
      </c>
      <c r="K5427" t="s">
        <v>1618</v>
      </c>
      <c r="M5427" t="s">
        <v>1619</v>
      </c>
      <c r="N5427">
        <v>14.08</v>
      </c>
      <c r="O5427" s="49">
        <v>44782</v>
      </c>
      <c r="P5427" s="50">
        <v>96.048000000000002</v>
      </c>
    </row>
    <row r="5428" spans="4:16" x14ac:dyDescent="0.2">
      <c r="D5428">
        <v>100003239</v>
      </c>
      <c r="E5428" s="49">
        <v>44555</v>
      </c>
      <c r="F5428" t="s">
        <v>4811</v>
      </c>
      <c r="G5428" t="s">
        <v>1975</v>
      </c>
      <c r="H5428">
        <v>1</v>
      </c>
      <c r="I5428">
        <v>119.37</v>
      </c>
      <c r="J5428" s="50">
        <v>119.37</v>
      </c>
      <c r="K5428" t="s">
        <v>1618</v>
      </c>
      <c r="M5428" t="s">
        <v>1619</v>
      </c>
      <c r="N5428">
        <v>63</v>
      </c>
      <c r="O5428" s="49">
        <v>44558</v>
      </c>
      <c r="P5428" s="50">
        <v>53.716500000000003</v>
      </c>
    </row>
    <row r="5429" spans="4:16" x14ac:dyDescent="0.2">
      <c r="D5429">
        <v>100003239</v>
      </c>
      <c r="E5429" s="49">
        <v>45584</v>
      </c>
      <c r="F5429" t="s">
        <v>4811</v>
      </c>
      <c r="G5429" t="s">
        <v>2436</v>
      </c>
      <c r="H5429">
        <v>3</v>
      </c>
      <c r="I5429">
        <v>60.13</v>
      </c>
      <c r="J5429" s="50">
        <v>180.39</v>
      </c>
      <c r="K5429" t="s">
        <v>1618</v>
      </c>
      <c r="M5429" t="s">
        <v>1629</v>
      </c>
      <c r="N5429">
        <v>31.74</v>
      </c>
      <c r="O5429" s="49">
        <v>45587</v>
      </c>
      <c r="P5429" s="50">
        <v>81.1755</v>
      </c>
    </row>
    <row r="5430" spans="4:16" x14ac:dyDescent="0.2">
      <c r="D5430">
        <v>100003239</v>
      </c>
      <c r="E5430" s="49">
        <v>45114</v>
      </c>
      <c r="F5430" t="s">
        <v>4811</v>
      </c>
      <c r="G5430" t="s">
        <v>1710</v>
      </c>
      <c r="H5430">
        <v>10</v>
      </c>
      <c r="I5430">
        <v>97.98</v>
      </c>
      <c r="J5430" s="50">
        <v>979.80000000000007</v>
      </c>
      <c r="K5430" t="s">
        <v>1618</v>
      </c>
      <c r="M5430" t="s">
        <v>1627</v>
      </c>
      <c r="N5430">
        <v>51.71</v>
      </c>
      <c r="O5430" s="49">
        <v>45117</v>
      </c>
      <c r="P5430" s="50">
        <v>440.91</v>
      </c>
    </row>
    <row r="5431" spans="4:16" x14ac:dyDescent="0.2">
      <c r="D5431">
        <v>100003240</v>
      </c>
      <c r="E5431" s="49">
        <v>45163</v>
      </c>
      <c r="F5431" t="s">
        <v>4812</v>
      </c>
      <c r="G5431" t="s">
        <v>1748</v>
      </c>
      <c r="H5431">
        <v>7</v>
      </c>
      <c r="I5431">
        <v>19.18</v>
      </c>
      <c r="J5431" s="50">
        <v>134.26</v>
      </c>
      <c r="K5431" t="s">
        <v>1632</v>
      </c>
      <c r="M5431" t="s">
        <v>1624</v>
      </c>
      <c r="N5431">
        <v>10.119999999999999</v>
      </c>
      <c r="O5431" s="49">
        <v>45168</v>
      </c>
      <c r="P5431" s="50">
        <v>60.416999999999994</v>
      </c>
    </row>
    <row r="5432" spans="4:16" x14ac:dyDescent="0.2">
      <c r="D5432">
        <v>100003240</v>
      </c>
      <c r="E5432" s="49">
        <v>45629</v>
      </c>
      <c r="F5432" t="s">
        <v>4812</v>
      </c>
      <c r="G5432" t="s">
        <v>1751</v>
      </c>
      <c r="H5432">
        <v>9</v>
      </c>
      <c r="I5432">
        <v>75.58</v>
      </c>
      <c r="J5432" s="50">
        <v>680.22</v>
      </c>
      <c r="K5432" t="s">
        <v>1632</v>
      </c>
      <c r="M5432" t="s">
        <v>1627</v>
      </c>
      <c r="N5432">
        <v>39.89</v>
      </c>
      <c r="O5432" s="49">
        <v>45633</v>
      </c>
      <c r="P5432" s="50">
        <v>306.09900000000005</v>
      </c>
    </row>
    <row r="5433" spans="4:16" x14ac:dyDescent="0.2">
      <c r="D5433">
        <v>100003241</v>
      </c>
      <c r="E5433" s="49">
        <v>45419</v>
      </c>
      <c r="F5433" t="s">
        <v>4750</v>
      </c>
      <c r="G5433" t="s">
        <v>2078</v>
      </c>
      <c r="H5433">
        <v>2</v>
      </c>
      <c r="I5433">
        <v>20.91</v>
      </c>
      <c r="J5433" s="50">
        <v>41.82</v>
      </c>
      <c r="K5433" t="s">
        <v>1618</v>
      </c>
      <c r="M5433" t="s">
        <v>1629</v>
      </c>
      <c r="N5433">
        <v>11.04</v>
      </c>
      <c r="O5433" s="49">
        <v>45420</v>
      </c>
      <c r="P5433" s="50">
        <v>18.818999999999999</v>
      </c>
    </row>
    <row r="5434" spans="4:16" x14ac:dyDescent="0.2">
      <c r="D5434">
        <v>100003241</v>
      </c>
      <c r="E5434" s="49">
        <v>45542</v>
      </c>
      <c r="F5434" t="s">
        <v>4750</v>
      </c>
      <c r="G5434" t="s">
        <v>2096</v>
      </c>
      <c r="H5434">
        <v>7</v>
      </c>
      <c r="I5434">
        <v>59.43</v>
      </c>
      <c r="J5434" s="50">
        <v>416.01</v>
      </c>
      <c r="K5434" t="s">
        <v>1618</v>
      </c>
      <c r="M5434" t="s">
        <v>1624</v>
      </c>
      <c r="N5434">
        <v>31.37</v>
      </c>
      <c r="O5434" s="49">
        <v>45547</v>
      </c>
      <c r="P5434" s="50">
        <v>187.2045</v>
      </c>
    </row>
    <row r="5435" spans="4:16" x14ac:dyDescent="0.2">
      <c r="D5435">
        <v>100003241</v>
      </c>
      <c r="E5435" s="49">
        <v>45468</v>
      </c>
      <c r="F5435" t="s">
        <v>4750</v>
      </c>
      <c r="G5435" t="s">
        <v>2346</v>
      </c>
      <c r="H5435">
        <v>10</v>
      </c>
      <c r="I5435">
        <v>65</v>
      </c>
      <c r="J5435" s="50">
        <v>650</v>
      </c>
      <c r="K5435" t="s">
        <v>1618</v>
      </c>
      <c r="M5435" t="s">
        <v>1624</v>
      </c>
      <c r="N5435">
        <v>34.31</v>
      </c>
      <c r="O5435" s="49">
        <v>45472</v>
      </c>
      <c r="P5435" s="50">
        <v>292.5</v>
      </c>
    </row>
    <row r="5436" spans="4:16" x14ac:dyDescent="0.2">
      <c r="D5436">
        <v>100003241</v>
      </c>
      <c r="E5436" s="49">
        <v>45523</v>
      </c>
      <c r="F5436" t="s">
        <v>4750</v>
      </c>
      <c r="G5436" t="s">
        <v>1709</v>
      </c>
      <c r="H5436">
        <v>5</v>
      </c>
      <c r="I5436">
        <v>38.36</v>
      </c>
      <c r="J5436" s="50">
        <v>191.8</v>
      </c>
      <c r="K5436" t="s">
        <v>1618</v>
      </c>
      <c r="M5436" t="s">
        <v>1624</v>
      </c>
      <c r="N5436">
        <v>20.25</v>
      </c>
      <c r="O5436" s="49">
        <v>45525</v>
      </c>
      <c r="P5436" s="50">
        <v>86.31</v>
      </c>
    </row>
    <row r="5437" spans="4:16" x14ac:dyDescent="0.2">
      <c r="D5437">
        <v>100003241</v>
      </c>
      <c r="E5437" s="49">
        <v>44983</v>
      </c>
      <c r="F5437" t="s">
        <v>4750</v>
      </c>
      <c r="G5437" t="s">
        <v>2707</v>
      </c>
      <c r="H5437">
        <v>1</v>
      </c>
      <c r="I5437">
        <v>26.76</v>
      </c>
      <c r="J5437" s="50">
        <v>26.76</v>
      </c>
      <c r="K5437" t="s">
        <v>1618</v>
      </c>
      <c r="M5437" t="s">
        <v>1624</v>
      </c>
      <c r="N5437">
        <v>14.12</v>
      </c>
      <c r="O5437" s="49">
        <v>44986</v>
      </c>
      <c r="P5437" s="50">
        <v>12.042000000000002</v>
      </c>
    </row>
    <row r="5438" spans="4:16" x14ac:dyDescent="0.2">
      <c r="D5438">
        <v>100003242</v>
      </c>
      <c r="E5438" s="49">
        <v>45467</v>
      </c>
      <c r="F5438" t="s">
        <v>4813</v>
      </c>
      <c r="G5438" t="s">
        <v>2232</v>
      </c>
      <c r="H5438">
        <v>2</v>
      </c>
      <c r="I5438">
        <v>107.87</v>
      </c>
      <c r="J5438" s="50">
        <v>215.74</v>
      </c>
      <c r="K5438" t="s">
        <v>1618</v>
      </c>
      <c r="M5438" t="s">
        <v>1624</v>
      </c>
      <c r="N5438">
        <v>56.93</v>
      </c>
      <c r="O5438" s="49">
        <v>45470</v>
      </c>
      <c r="P5438" s="50">
        <v>97.083000000000013</v>
      </c>
    </row>
    <row r="5439" spans="4:16" x14ac:dyDescent="0.2">
      <c r="D5439">
        <v>100003243</v>
      </c>
      <c r="E5439" s="49">
        <v>45281</v>
      </c>
      <c r="F5439" t="s">
        <v>4814</v>
      </c>
      <c r="G5439" t="s">
        <v>1950</v>
      </c>
      <c r="H5439">
        <v>4</v>
      </c>
      <c r="I5439">
        <v>30.33</v>
      </c>
      <c r="J5439" s="50">
        <v>121.32</v>
      </c>
      <c r="K5439" t="s">
        <v>1632</v>
      </c>
      <c r="M5439" t="s">
        <v>1627</v>
      </c>
      <c r="N5439">
        <v>16.010000000000002</v>
      </c>
      <c r="O5439" s="49">
        <v>45285</v>
      </c>
      <c r="P5439" s="50">
        <v>54.594000000000001</v>
      </c>
    </row>
    <row r="5440" spans="4:16" x14ac:dyDescent="0.2">
      <c r="D5440">
        <v>100003243</v>
      </c>
      <c r="E5440" s="49">
        <v>45112</v>
      </c>
      <c r="F5440" t="s">
        <v>4814</v>
      </c>
      <c r="G5440" t="s">
        <v>1890</v>
      </c>
      <c r="H5440">
        <v>10</v>
      </c>
      <c r="I5440">
        <v>107.84</v>
      </c>
      <c r="J5440" s="50">
        <v>1078.4000000000001</v>
      </c>
      <c r="K5440" t="s">
        <v>1632</v>
      </c>
      <c r="M5440" t="s">
        <v>1619</v>
      </c>
      <c r="N5440">
        <v>56.92</v>
      </c>
      <c r="O5440" s="49">
        <v>45116</v>
      </c>
      <c r="P5440" s="50">
        <v>485.28000000000003</v>
      </c>
    </row>
    <row r="5441" spans="4:16" x14ac:dyDescent="0.2">
      <c r="D5441">
        <v>100003243</v>
      </c>
      <c r="E5441" s="49">
        <v>45457</v>
      </c>
      <c r="F5441" t="s">
        <v>4814</v>
      </c>
      <c r="G5441" t="s">
        <v>2038</v>
      </c>
      <c r="H5441">
        <v>5</v>
      </c>
      <c r="I5441">
        <v>58.69</v>
      </c>
      <c r="J5441" s="50">
        <v>293.45</v>
      </c>
      <c r="K5441" t="s">
        <v>1632</v>
      </c>
      <c r="M5441" t="s">
        <v>1621</v>
      </c>
      <c r="N5441">
        <v>30.98</v>
      </c>
      <c r="O5441" s="49">
        <v>45461</v>
      </c>
      <c r="P5441" s="50">
        <v>132.05250000000001</v>
      </c>
    </row>
    <row r="5442" spans="4:16" x14ac:dyDescent="0.2">
      <c r="D5442">
        <v>100003244</v>
      </c>
      <c r="E5442" s="49">
        <v>44747</v>
      </c>
      <c r="F5442" t="s">
        <v>4815</v>
      </c>
      <c r="G5442" t="s">
        <v>2291</v>
      </c>
      <c r="H5442">
        <v>2</v>
      </c>
      <c r="I5442">
        <v>92.96</v>
      </c>
      <c r="J5442" s="50">
        <v>185.92</v>
      </c>
      <c r="K5442" t="s">
        <v>1632</v>
      </c>
      <c r="M5442" t="s">
        <v>1619</v>
      </c>
      <c r="N5442">
        <v>49.06</v>
      </c>
      <c r="O5442" s="49">
        <v>44748</v>
      </c>
      <c r="P5442" s="50">
        <v>83.664000000000001</v>
      </c>
    </row>
    <row r="5443" spans="4:16" x14ac:dyDescent="0.2">
      <c r="D5443">
        <v>100003244</v>
      </c>
      <c r="E5443" s="49">
        <v>44767</v>
      </c>
      <c r="F5443" t="s">
        <v>4815</v>
      </c>
      <c r="G5443" t="s">
        <v>2766</v>
      </c>
      <c r="H5443">
        <v>6</v>
      </c>
      <c r="I5443">
        <v>114.86</v>
      </c>
      <c r="J5443" s="50">
        <v>689.16</v>
      </c>
      <c r="K5443" t="s">
        <v>1632</v>
      </c>
      <c r="M5443" t="s">
        <v>1629</v>
      </c>
      <c r="N5443">
        <v>60.62</v>
      </c>
      <c r="O5443" s="49">
        <v>44771</v>
      </c>
      <c r="P5443" s="50">
        <v>310.12200000000001</v>
      </c>
    </row>
    <row r="5444" spans="4:16" x14ac:dyDescent="0.2">
      <c r="D5444">
        <v>100003244</v>
      </c>
      <c r="E5444" s="49">
        <v>44272</v>
      </c>
      <c r="F5444" t="s">
        <v>4815</v>
      </c>
      <c r="G5444" t="s">
        <v>2484</v>
      </c>
      <c r="H5444">
        <v>4</v>
      </c>
      <c r="I5444">
        <v>109.63</v>
      </c>
      <c r="J5444" s="50">
        <v>438.52</v>
      </c>
      <c r="K5444" t="s">
        <v>1632</v>
      </c>
      <c r="M5444" t="s">
        <v>1621</v>
      </c>
      <c r="N5444">
        <v>57.86</v>
      </c>
      <c r="O5444" s="49">
        <v>44275</v>
      </c>
      <c r="P5444" s="50">
        <v>197.334</v>
      </c>
    </row>
    <row r="5445" spans="4:16" x14ac:dyDescent="0.2">
      <c r="D5445">
        <v>100003244</v>
      </c>
      <c r="E5445" s="49">
        <v>44263</v>
      </c>
      <c r="F5445" t="s">
        <v>4815</v>
      </c>
      <c r="G5445" t="s">
        <v>2112</v>
      </c>
      <c r="H5445">
        <v>4</v>
      </c>
      <c r="I5445">
        <v>33.74</v>
      </c>
      <c r="J5445" s="50">
        <v>134.96</v>
      </c>
      <c r="K5445" t="s">
        <v>1632</v>
      </c>
      <c r="M5445" t="s">
        <v>1621</v>
      </c>
      <c r="N5445">
        <v>17.809999999999999</v>
      </c>
      <c r="O5445" s="49">
        <v>44268</v>
      </c>
      <c r="P5445" s="50">
        <v>60.732000000000006</v>
      </c>
    </row>
    <row r="5446" spans="4:16" x14ac:dyDescent="0.2">
      <c r="D5446">
        <v>100003244</v>
      </c>
      <c r="E5446" s="49">
        <v>44421</v>
      </c>
      <c r="F5446" t="s">
        <v>4815</v>
      </c>
      <c r="G5446" t="s">
        <v>1715</v>
      </c>
      <c r="H5446">
        <v>3</v>
      </c>
      <c r="I5446">
        <v>64.180000000000007</v>
      </c>
      <c r="J5446" s="50">
        <v>192.54</v>
      </c>
      <c r="K5446" t="s">
        <v>1632</v>
      </c>
      <c r="M5446" t="s">
        <v>1629</v>
      </c>
      <c r="N5446">
        <v>33.869999999999997</v>
      </c>
      <c r="O5446" s="49">
        <v>44423</v>
      </c>
      <c r="P5446" s="50">
        <v>86.643000000000001</v>
      </c>
    </row>
    <row r="5447" spans="4:16" x14ac:dyDescent="0.2">
      <c r="D5447">
        <v>100003245</v>
      </c>
      <c r="E5447" s="49">
        <v>44826</v>
      </c>
      <c r="F5447" t="s">
        <v>4816</v>
      </c>
      <c r="G5447" t="s">
        <v>1787</v>
      </c>
      <c r="H5447">
        <v>5</v>
      </c>
      <c r="I5447">
        <v>17.52</v>
      </c>
      <c r="J5447" s="50">
        <v>87.6</v>
      </c>
      <c r="K5447" t="s">
        <v>1618</v>
      </c>
      <c r="M5447" t="s">
        <v>1621</v>
      </c>
      <c r="N5447">
        <v>9.25</v>
      </c>
      <c r="O5447" s="49">
        <v>44831</v>
      </c>
      <c r="P5447" s="50">
        <v>39.42</v>
      </c>
    </row>
    <row r="5448" spans="4:16" x14ac:dyDescent="0.2">
      <c r="D5448">
        <v>100003245</v>
      </c>
      <c r="E5448" s="49">
        <v>45454</v>
      </c>
      <c r="F5448" t="s">
        <v>4816</v>
      </c>
      <c r="G5448" t="s">
        <v>1799</v>
      </c>
      <c r="H5448">
        <v>9</v>
      </c>
      <c r="I5448">
        <v>39.22</v>
      </c>
      <c r="J5448" s="50">
        <v>352.98</v>
      </c>
      <c r="K5448" t="s">
        <v>1618</v>
      </c>
      <c r="M5448" t="s">
        <v>1629</v>
      </c>
      <c r="N5448">
        <v>20.7</v>
      </c>
      <c r="O5448" s="49">
        <v>45459</v>
      </c>
      <c r="P5448" s="50">
        <v>158.84100000000001</v>
      </c>
    </row>
    <row r="5449" spans="4:16" x14ac:dyDescent="0.2">
      <c r="D5449">
        <v>100003246</v>
      </c>
      <c r="E5449" s="49">
        <v>44489</v>
      </c>
      <c r="F5449" t="s">
        <v>4817</v>
      </c>
      <c r="G5449" t="s">
        <v>1918</v>
      </c>
      <c r="H5449">
        <v>1</v>
      </c>
      <c r="I5449">
        <v>99.56</v>
      </c>
      <c r="J5449" s="50">
        <v>99.56</v>
      </c>
      <c r="K5449" t="s">
        <v>1632</v>
      </c>
      <c r="M5449" t="s">
        <v>1621</v>
      </c>
      <c r="N5449">
        <v>52.55</v>
      </c>
      <c r="O5449" s="49">
        <v>44491</v>
      </c>
      <c r="P5449" s="50">
        <v>44.802</v>
      </c>
    </row>
    <row r="5450" spans="4:16" x14ac:dyDescent="0.2">
      <c r="D5450">
        <v>100003246</v>
      </c>
      <c r="E5450" s="49">
        <v>44487</v>
      </c>
      <c r="F5450" t="s">
        <v>4817</v>
      </c>
      <c r="G5450" t="s">
        <v>2242</v>
      </c>
      <c r="H5450">
        <v>8</v>
      </c>
      <c r="I5450">
        <v>114.06</v>
      </c>
      <c r="J5450" s="50">
        <v>912.48</v>
      </c>
      <c r="K5450" t="s">
        <v>1632</v>
      </c>
      <c r="M5450" t="s">
        <v>1629</v>
      </c>
      <c r="N5450">
        <v>60.2</v>
      </c>
      <c r="O5450" s="49">
        <v>44489</v>
      </c>
      <c r="P5450" s="50">
        <v>410.61600000000004</v>
      </c>
    </row>
    <row r="5451" spans="4:16" x14ac:dyDescent="0.2">
      <c r="D5451">
        <v>100003246</v>
      </c>
      <c r="E5451" s="49">
        <v>45453</v>
      </c>
      <c r="F5451" t="s">
        <v>4817</v>
      </c>
      <c r="G5451" t="s">
        <v>1715</v>
      </c>
      <c r="H5451">
        <v>5</v>
      </c>
      <c r="I5451">
        <v>97.67</v>
      </c>
      <c r="J5451" s="50">
        <v>488.35</v>
      </c>
      <c r="K5451" t="s">
        <v>1632</v>
      </c>
      <c r="M5451" t="s">
        <v>1627</v>
      </c>
      <c r="N5451">
        <v>51.55</v>
      </c>
      <c r="O5451" s="49">
        <v>45457</v>
      </c>
      <c r="P5451" s="50">
        <v>219.75750000000002</v>
      </c>
    </row>
    <row r="5452" spans="4:16" x14ac:dyDescent="0.2">
      <c r="D5452">
        <v>100003247</v>
      </c>
      <c r="E5452" s="49">
        <v>45353</v>
      </c>
      <c r="F5452" t="s">
        <v>4818</v>
      </c>
      <c r="G5452" t="s">
        <v>1794</v>
      </c>
      <c r="H5452">
        <v>4</v>
      </c>
      <c r="I5452">
        <v>89.41</v>
      </c>
      <c r="J5452" s="50">
        <v>357.64</v>
      </c>
      <c r="K5452" t="s">
        <v>1618</v>
      </c>
      <c r="M5452" t="s">
        <v>1629</v>
      </c>
      <c r="N5452">
        <v>47.19</v>
      </c>
      <c r="O5452" s="49">
        <v>45358</v>
      </c>
      <c r="P5452" s="50">
        <v>160.93799999999999</v>
      </c>
    </row>
    <row r="5453" spans="4:16" x14ac:dyDescent="0.2">
      <c r="D5453">
        <v>100003247</v>
      </c>
      <c r="E5453" s="49">
        <v>44243</v>
      </c>
      <c r="F5453" t="s">
        <v>4818</v>
      </c>
      <c r="G5453" t="s">
        <v>1728</v>
      </c>
      <c r="H5453">
        <v>2</v>
      </c>
      <c r="I5453">
        <v>45.21</v>
      </c>
      <c r="J5453" s="50">
        <v>90.42</v>
      </c>
      <c r="K5453" t="s">
        <v>1618</v>
      </c>
      <c r="M5453" t="s">
        <v>1621</v>
      </c>
      <c r="N5453">
        <v>23.86</v>
      </c>
      <c r="O5453" s="49">
        <v>44247</v>
      </c>
      <c r="P5453" s="50">
        <v>40.689</v>
      </c>
    </row>
    <row r="5454" spans="4:16" x14ac:dyDescent="0.2">
      <c r="D5454">
        <v>100003247</v>
      </c>
      <c r="E5454" s="49">
        <v>45047</v>
      </c>
      <c r="F5454" t="s">
        <v>4818</v>
      </c>
      <c r="G5454" t="s">
        <v>1651</v>
      </c>
      <c r="H5454">
        <v>5</v>
      </c>
      <c r="I5454">
        <v>14.99</v>
      </c>
      <c r="J5454" s="50">
        <v>74.95</v>
      </c>
      <c r="K5454" t="s">
        <v>1618</v>
      </c>
      <c r="M5454" t="s">
        <v>1629</v>
      </c>
      <c r="N5454">
        <v>7.91</v>
      </c>
      <c r="O5454" s="49">
        <v>45052</v>
      </c>
      <c r="P5454" s="50">
        <v>33.727499999999999</v>
      </c>
    </row>
    <row r="5455" spans="4:16" x14ac:dyDescent="0.2">
      <c r="D5455">
        <v>100003247</v>
      </c>
      <c r="E5455" s="49">
        <v>45190</v>
      </c>
      <c r="F5455" t="s">
        <v>4818</v>
      </c>
      <c r="G5455" t="s">
        <v>2111</v>
      </c>
      <c r="H5455">
        <v>7</v>
      </c>
      <c r="I5455">
        <v>101.81</v>
      </c>
      <c r="J5455" s="50">
        <v>712.67000000000007</v>
      </c>
      <c r="K5455" t="s">
        <v>1618</v>
      </c>
      <c r="M5455" t="s">
        <v>1619</v>
      </c>
      <c r="N5455">
        <v>53.73</v>
      </c>
      <c r="O5455" s="49">
        <v>45195</v>
      </c>
      <c r="P5455" s="50">
        <v>320.70150000000007</v>
      </c>
    </row>
    <row r="5456" spans="4:16" x14ac:dyDescent="0.2">
      <c r="D5456">
        <v>100003247</v>
      </c>
      <c r="E5456" s="49">
        <v>44946</v>
      </c>
      <c r="F5456" t="s">
        <v>4818</v>
      </c>
      <c r="G5456" t="s">
        <v>1895</v>
      </c>
      <c r="H5456">
        <v>1</v>
      </c>
      <c r="I5456">
        <v>14.66</v>
      </c>
      <c r="J5456" s="50">
        <v>14.66</v>
      </c>
      <c r="K5456" t="s">
        <v>1618</v>
      </c>
      <c r="M5456" t="s">
        <v>1624</v>
      </c>
      <c r="N5456">
        <v>7.74</v>
      </c>
      <c r="O5456" s="49">
        <v>44950</v>
      </c>
      <c r="P5456" s="50">
        <v>6.5970000000000004</v>
      </c>
    </row>
    <row r="5457" spans="4:16" x14ac:dyDescent="0.2">
      <c r="D5457">
        <v>100003247</v>
      </c>
      <c r="E5457" s="49">
        <v>45276</v>
      </c>
      <c r="F5457" t="s">
        <v>4818</v>
      </c>
      <c r="G5457" t="s">
        <v>3135</v>
      </c>
      <c r="H5457">
        <v>9</v>
      </c>
      <c r="I5457">
        <v>70.94</v>
      </c>
      <c r="J5457" s="50">
        <v>638.46</v>
      </c>
      <c r="K5457" t="s">
        <v>1618</v>
      </c>
      <c r="M5457" t="s">
        <v>1619</v>
      </c>
      <c r="N5457">
        <v>37.44</v>
      </c>
      <c r="O5457" s="49">
        <v>45278</v>
      </c>
      <c r="P5457" s="50">
        <v>287.30700000000002</v>
      </c>
    </row>
    <row r="5458" spans="4:16" x14ac:dyDescent="0.2">
      <c r="D5458">
        <v>100003248</v>
      </c>
      <c r="E5458" s="49">
        <v>44973</v>
      </c>
      <c r="F5458" t="s">
        <v>4819</v>
      </c>
      <c r="G5458" t="s">
        <v>1853</v>
      </c>
      <c r="H5458">
        <v>3</v>
      </c>
      <c r="I5458">
        <v>27.06</v>
      </c>
      <c r="J5458" s="50">
        <v>81.179999999999993</v>
      </c>
      <c r="K5458" t="s">
        <v>1632</v>
      </c>
      <c r="M5458" t="s">
        <v>1627</v>
      </c>
      <c r="N5458">
        <v>14.28</v>
      </c>
      <c r="O5458" s="49">
        <v>44976</v>
      </c>
      <c r="P5458" s="50">
        <v>36.530999999999999</v>
      </c>
    </row>
    <row r="5459" spans="4:16" x14ac:dyDescent="0.2">
      <c r="D5459">
        <v>100003249</v>
      </c>
      <c r="E5459" s="49">
        <v>44952</v>
      </c>
      <c r="F5459" t="s">
        <v>4609</v>
      </c>
      <c r="G5459" t="s">
        <v>1639</v>
      </c>
      <c r="H5459">
        <v>5</v>
      </c>
      <c r="I5459">
        <v>11.33</v>
      </c>
      <c r="J5459" s="50">
        <v>56.65</v>
      </c>
      <c r="K5459" t="s">
        <v>1618</v>
      </c>
      <c r="M5459" t="s">
        <v>1627</v>
      </c>
      <c r="N5459">
        <v>5.98</v>
      </c>
      <c r="O5459" s="49">
        <v>44955</v>
      </c>
      <c r="P5459" s="50">
        <v>25.4925</v>
      </c>
    </row>
    <row r="5460" spans="4:16" x14ac:dyDescent="0.2">
      <c r="D5460">
        <v>100003249</v>
      </c>
      <c r="E5460" s="49">
        <v>45084</v>
      </c>
      <c r="F5460" t="s">
        <v>4609</v>
      </c>
      <c r="G5460" t="s">
        <v>2337</v>
      </c>
      <c r="H5460">
        <v>2</v>
      </c>
      <c r="I5460">
        <v>57.57</v>
      </c>
      <c r="J5460" s="50">
        <v>115.14</v>
      </c>
      <c r="K5460" t="s">
        <v>1618</v>
      </c>
      <c r="M5460" t="s">
        <v>1621</v>
      </c>
      <c r="N5460">
        <v>30.38</v>
      </c>
      <c r="O5460" s="49">
        <v>45085</v>
      </c>
      <c r="P5460" s="50">
        <v>51.813000000000002</v>
      </c>
    </row>
    <row r="5461" spans="4:16" x14ac:dyDescent="0.2">
      <c r="D5461">
        <v>100003249</v>
      </c>
      <c r="E5461" s="49">
        <v>44989</v>
      </c>
      <c r="F5461" t="s">
        <v>4609</v>
      </c>
      <c r="G5461" t="s">
        <v>1652</v>
      </c>
      <c r="H5461">
        <v>6</v>
      </c>
      <c r="I5461">
        <v>53.21</v>
      </c>
      <c r="J5461" s="50">
        <v>319.26</v>
      </c>
      <c r="K5461" t="s">
        <v>1618</v>
      </c>
      <c r="M5461" t="s">
        <v>1621</v>
      </c>
      <c r="N5461">
        <v>28.08</v>
      </c>
      <c r="O5461" s="49">
        <v>44991</v>
      </c>
      <c r="P5461" s="50">
        <v>143.667</v>
      </c>
    </row>
    <row r="5462" spans="4:16" x14ac:dyDescent="0.2">
      <c r="D5462">
        <v>100003252</v>
      </c>
      <c r="E5462" s="49">
        <v>44922</v>
      </c>
      <c r="F5462" t="s">
        <v>4820</v>
      </c>
      <c r="G5462" t="s">
        <v>1652</v>
      </c>
      <c r="H5462">
        <v>10</v>
      </c>
      <c r="I5462">
        <v>51.01</v>
      </c>
      <c r="J5462" s="50">
        <v>510.1</v>
      </c>
      <c r="K5462" t="s">
        <v>1632</v>
      </c>
      <c r="M5462" t="s">
        <v>1621</v>
      </c>
      <c r="N5462">
        <v>26.92</v>
      </c>
      <c r="O5462" s="49">
        <v>44924</v>
      </c>
      <c r="P5462" s="50">
        <v>229.54500000000002</v>
      </c>
    </row>
    <row r="5463" spans="4:16" x14ac:dyDescent="0.2">
      <c r="D5463">
        <v>100003253</v>
      </c>
      <c r="E5463" s="49">
        <v>44602</v>
      </c>
      <c r="F5463" t="s">
        <v>2639</v>
      </c>
      <c r="G5463" t="s">
        <v>2145</v>
      </c>
      <c r="H5463">
        <v>2</v>
      </c>
      <c r="I5463">
        <v>38.840000000000003</v>
      </c>
      <c r="J5463" s="50">
        <v>77.680000000000007</v>
      </c>
      <c r="K5463" t="s">
        <v>1618</v>
      </c>
      <c r="M5463" t="s">
        <v>1621</v>
      </c>
      <c r="N5463">
        <v>20.5</v>
      </c>
      <c r="O5463" s="49">
        <v>44603</v>
      </c>
      <c r="P5463" s="50">
        <v>34.956000000000003</v>
      </c>
    </row>
    <row r="5464" spans="4:16" x14ac:dyDescent="0.2">
      <c r="D5464">
        <v>100003253</v>
      </c>
      <c r="E5464" s="49">
        <v>45281</v>
      </c>
      <c r="F5464" t="s">
        <v>2639</v>
      </c>
      <c r="G5464" t="s">
        <v>1855</v>
      </c>
      <c r="H5464">
        <v>5</v>
      </c>
      <c r="I5464">
        <v>21.06</v>
      </c>
      <c r="J5464" s="50">
        <v>105.3</v>
      </c>
      <c r="K5464" t="s">
        <v>1618</v>
      </c>
      <c r="M5464" t="s">
        <v>1621</v>
      </c>
      <c r="N5464">
        <v>11.11</v>
      </c>
      <c r="O5464" s="49">
        <v>45286</v>
      </c>
      <c r="P5464" s="50">
        <v>47.384999999999998</v>
      </c>
    </row>
    <row r="5465" spans="4:16" x14ac:dyDescent="0.2">
      <c r="D5465">
        <v>100003253</v>
      </c>
      <c r="E5465" s="49">
        <v>45453</v>
      </c>
      <c r="F5465" t="s">
        <v>2639</v>
      </c>
      <c r="G5465" t="s">
        <v>1702</v>
      </c>
      <c r="H5465">
        <v>5</v>
      </c>
      <c r="I5465">
        <v>23.06</v>
      </c>
      <c r="J5465" s="50">
        <v>115.3</v>
      </c>
      <c r="K5465" t="s">
        <v>1618</v>
      </c>
      <c r="M5465" t="s">
        <v>1627</v>
      </c>
      <c r="N5465">
        <v>12.17</v>
      </c>
      <c r="O5465" s="49">
        <v>45458</v>
      </c>
      <c r="P5465" s="50">
        <v>51.884999999999998</v>
      </c>
    </row>
    <row r="5466" spans="4:16" x14ac:dyDescent="0.2">
      <c r="D5466">
        <v>100003253</v>
      </c>
      <c r="E5466" s="49">
        <v>44341</v>
      </c>
      <c r="F5466" t="s">
        <v>2639</v>
      </c>
      <c r="G5466" t="s">
        <v>1726</v>
      </c>
      <c r="H5466">
        <v>2</v>
      </c>
      <c r="I5466">
        <v>116.13</v>
      </c>
      <c r="J5466" s="50">
        <v>232.26</v>
      </c>
      <c r="K5466" t="s">
        <v>1618</v>
      </c>
      <c r="M5466" t="s">
        <v>1619</v>
      </c>
      <c r="N5466">
        <v>61.29</v>
      </c>
      <c r="O5466" s="49">
        <v>44342</v>
      </c>
      <c r="P5466" s="50">
        <v>104.517</v>
      </c>
    </row>
    <row r="5467" spans="4:16" x14ac:dyDescent="0.2">
      <c r="D5467">
        <v>100003253</v>
      </c>
      <c r="E5467" s="49">
        <v>44634</v>
      </c>
      <c r="F5467" t="s">
        <v>2639</v>
      </c>
      <c r="G5467" t="s">
        <v>2217</v>
      </c>
      <c r="H5467">
        <v>2</v>
      </c>
      <c r="I5467">
        <v>72.459999999999994</v>
      </c>
      <c r="J5467" s="50">
        <v>144.91999999999999</v>
      </c>
      <c r="K5467" t="s">
        <v>1618</v>
      </c>
      <c r="M5467" t="s">
        <v>1621</v>
      </c>
      <c r="N5467">
        <v>38.24</v>
      </c>
      <c r="O5467" s="49">
        <v>44639</v>
      </c>
      <c r="P5467" s="50">
        <v>65.213999999999999</v>
      </c>
    </row>
    <row r="5468" spans="4:16" x14ac:dyDescent="0.2">
      <c r="D5468">
        <v>100003254</v>
      </c>
      <c r="E5468" s="49">
        <v>45639</v>
      </c>
      <c r="F5468" t="s">
        <v>4821</v>
      </c>
      <c r="G5468" t="s">
        <v>2707</v>
      </c>
      <c r="H5468">
        <v>10</v>
      </c>
      <c r="I5468">
        <v>107.31</v>
      </c>
      <c r="J5468" s="50">
        <v>1073.0999999999999</v>
      </c>
      <c r="K5468" t="s">
        <v>1632</v>
      </c>
      <c r="L5468" t="s">
        <v>4822</v>
      </c>
      <c r="M5468" t="s">
        <v>1621</v>
      </c>
      <c r="N5468">
        <v>56.64</v>
      </c>
      <c r="O5468" s="49">
        <v>45641</v>
      </c>
      <c r="P5468" s="50">
        <v>482.89499999999998</v>
      </c>
    </row>
    <row r="5469" spans="4:16" x14ac:dyDescent="0.2">
      <c r="D5469">
        <v>100003254</v>
      </c>
      <c r="E5469" s="49">
        <v>44475</v>
      </c>
      <c r="F5469" t="s">
        <v>4821</v>
      </c>
      <c r="G5469" t="s">
        <v>2023</v>
      </c>
      <c r="H5469">
        <v>9</v>
      </c>
      <c r="I5469">
        <v>12.85</v>
      </c>
      <c r="J5469" s="50">
        <v>115.65</v>
      </c>
      <c r="K5469" t="s">
        <v>1632</v>
      </c>
      <c r="L5469" t="s">
        <v>4822</v>
      </c>
      <c r="M5469" t="s">
        <v>1629</v>
      </c>
      <c r="N5469">
        <v>6.78</v>
      </c>
      <c r="O5469" s="49">
        <v>44479</v>
      </c>
      <c r="P5469" s="50">
        <v>52.042500000000004</v>
      </c>
    </row>
    <row r="5470" spans="4:16" x14ac:dyDescent="0.2">
      <c r="D5470">
        <v>100003254</v>
      </c>
      <c r="E5470" s="49">
        <v>45415</v>
      </c>
      <c r="F5470" t="s">
        <v>4821</v>
      </c>
      <c r="G5470" t="s">
        <v>2447</v>
      </c>
      <c r="H5470">
        <v>8</v>
      </c>
      <c r="I5470">
        <v>40.28</v>
      </c>
      <c r="J5470" s="50">
        <v>322.24</v>
      </c>
      <c r="K5470" t="s">
        <v>1632</v>
      </c>
      <c r="L5470" t="s">
        <v>4822</v>
      </c>
      <c r="M5470" t="s">
        <v>1621</v>
      </c>
      <c r="N5470">
        <v>21.26</v>
      </c>
      <c r="O5470" s="49">
        <v>45419</v>
      </c>
      <c r="P5470" s="50">
        <v>145.00800000000001</v>
      </c>
    </row>
    <row r="5471" spans="4:16" x14ac:dyDescent="0.2">
      <c r="D5471">
        <v>100003254</v>
      </c>
      <c r="E5471" s="49">
        <v>45598</v>
      </c>
      <c r="F5471" t="s">
        <v>4821</v>
      </c>
      <c r="G5471" t="s">
        <v>2574</v>
      </c>
      <c r="H5471">
        <v>6</v>
      </c>
      <c r="I5471">
        <v>88.37</v>
      </c>
      <c r="J5471" s="50">
        <v>530.22</v>
      </c>
      <c r="K5471" t="s">
        <v>1632</v>
      </c>
      <c r="L5471" t="s">
        <v>4822</v>
      </c>
      <c r="M5471" t="s">
        <v>1621</v>
      </c>
      <c r="N5471">
        <v>46.64</v>
      </c>
      <c r="O5471" s="49">
        <v>45601</v>
      </c>
      <c r="P5471" s="50">
        <v>238.59900000000002</v>
      </c>
    </row>
    <row r="5472" spans="4:16" x14ac:dyDescent="0.2">
      <c r="D5472">
        <v>100003254</v>
      </c>
      <c r="E5472" s="49">
        <v>44264</v>
      </c>
      <c r="F5472" t="s">
        <v>4821</v>
      </c>
      <c r="G5472" t="s">
        <v>1792</v>
      </c>
      <c r="H5472">
        <v>10</v>
      </c>
      <c r="I5472">
        <v>47.53</v>
      </c>
      <c r="J5472" s="50">
        <v>475.3</v>
      </c>
      <c r="K5472" t="s">
        <v>1632</v>
      </c>
      <c r="L5472" t="s">
        <v>4822</v>
      </c>
      <c r="M5472" t="s">
        <v>1624</v>
      </c>
      <c r="N5472">
        <v>25.09</v>
      </c>
      <c r="O5472" s="49">
        <v>44267</v>
      </c>
      <c r="P5472" s="50">
        <v>213.88500000000002</v>
      </c>
    </row>
    <row r="5473" spans="4:16" x14ac:dyDescent="0.2">
      <c r="D5473">
        <v>100003255</v>
      </c>
      <c r="E5473" s="49">
        <v>44851</v>
      </c>
      <c r="F5473" t="s">
        <v>4823</v>
      </c>
      <c r="G5473" t="s">
        <v>2147</v>
      </c>
      <c r="H5473">
        <v>9</v>
      </c>
      <c r="I5473">
        <v>96.35</v>
      </c>
      <c r="J5473" s="50">
        <v>867.15</v>
      </c>
      <c r="K5473" t="s">
        <v>1618</v>
      </c>
      <c r="M5473" t="s">
        <v>1624</v>
      </c>
      <c r="N5473">
        <v>50.85</v>
      </c>
      <c r="O5473" s="49">
        <v>44854</v>
      </c>
      <c r="P5473" s="50">
        <v>390.21749999999997</v>
      </c>
    </row>
    <row r="5474" spans="4:16" x14ac:dyDescent="0.2">
      <c r="D5474">
        <v>100003257</v>
      </c>
      <c r="E5474" s="49">
        <v>44510</v>
      </c>
      <c r="F5474" t="s">
        <v>4824</v>
      </c>
      <c r="G5474" t="s">
        <v>2150</v>
      </c>
      <c r="H5474">
        <v>4</v>
      </c>
      <c r="I5474">
        <v>93.51</v>
      </c>
      <c r="J5474" s="50">
        <v>374.04</v>
      </c>
      <c r="K5474" t="s">
        <v>1618</v>
      </c>
      <c r="M5474" t="s">
        <v>1629</v>
      </c>
      <c r="N5474">
        <v>49.35</v>
      </c>
      <c r="O5474" s="49">
        <v>44514</v>
      </c>
      <c r="P5474" s="50">
        <v>168.31800000000001</v>
      </c>
    </row>
    <row r="5475" spans="4:16" x14ac:dyDescent="0.2">
      <c r="D5475">
        <v>100003257</v>
      </c>
      <c r="E5475" s="49">
        <v>44269</v>
      </c>
      <c r="F5475" t="s">
        <v>4824</v>
      </c>
      <c r="G5475" t="s">
        <v>2042</v>
      </c>
      <c r="H5475">
        <v>4</v>
      </c>
      <c r="I5475">
        <v>33.619999999999997</v>
      </c>
      <c r="J5475" s="50">
        <v>134.47999999999999</v>
      </c>
      <c r="K5475" t="s">
        <v>1618</v>
      </c>
      <c r="M5475" t="s">
        <v>1621</v>
      </c>
      <c r="N5475">
        <v>17.739999999999998</v>
      </c>
      <c r="O5475" s="49">
        <v>44274</v>
      </c>
      <c r="P5475" s="50">
        <v>60.515999999999998</v>
      </c>
    </row>
    <row r="5476" spans="4:16" x14ac:dyDescent="0.2">
      <c r="D5476">
        <v>100003257</v>
      </c>
      <c r="E5476" s="49">
        <v>45644</v>
      </c>
      <c r="F5476" t="s">
        <v>4824</v>
      </c>
      <c r="G5476" t="s">
        <v>2240</v>
      </c>
      <c r="H5476">
        <v>10</v>
      </c>
      <c r="I5476">
        <v>111.61</v>
      </c>
      <c r="J5476" s="50">
        <v>1116.0999999999999</v>
      </c>
      <c r="K5476" t="s">
        <v>1618</v>
      </c>
      <c r="M5476" t="s">
        <v>1624</v>
      </c>
      <c r="N5476">
        <v>58.9</v>
      </c>
      <c r="O5476" s="49">
        <v>45649</v>
      </c>
      <c r="P5476" s="50">
        <v>502.24499999999995</v>
      </c>
    </row>
    <row r="5477" spans="4:16" x14ac:dyDescent="0.2">
      <c r="D5477">
        <v>100003257</v>
      </c>
      <c r="E5477" s="49">
        <v>45359</v>
      </c>
      <c r="F5477" t="s">
        <v>4824</v>
      </c>
      <c r="G5477" t="s">
        <v>3135</v>
      </c>
      <c r="H5477">
        <v>10</v>
      </c>
      <c r="I5477">
        <v>109.13</v>
      </c>
      <c r="J5477" s="50">
        <v>1091.3</v>
      </c>
      <c r="K5477" t="s">
        <v>1618</v>
      </c>
      <c r="M5477" t="s">
        <v>1624</v>
      </c>
      <c r="N5477">
        <v>57.6</v>
      </c>
      <c r="O5477" s="49">
        <v>45362</v>
      </c>
      <c r="P5477" s="50">
        <v>491.08499999999998</v>
      </c>
    </row>
    <row r="5478" spans="4:16" x14ac:dyDescent="0.2">
      <c r="D5478">
        <v>100003259</v>
      </c>
      <c r="E5478" s="49">
        <v>45417</v>
      </c>
      <c r="F5478" t="s">
        <v>4825</v>
      </c>
      <c r="G5478" t="s">
        <v>2096</v>
      </c>
      <c r="H5478">
        <v>8</v>
      </c>
      <c r="I5478">
        <v>99.69</v>
      </c>
      <c r="J5478" s="50">
        <v>797.52</v>
      </c>
      <c r="K5478" t="s">
        <v>1632</v>
      </c>
      <c r="M5478" t="s">
        <v>1627</v>
      </c>
      <c r="N5478">
        <v>52.61</v>
      </c>
      <c r="O5478" s="49">
        <v>45422</v>
      </c>
      <c r="P5478" s="50">
        <v>358.88400000000001</v>
      </c>
    </row>
    <row r="5479" spans="4:16" x14ac:dyDescent="0.2">
      <c r="D5479">
        <v>100003259</v>
      </c>
      <c r="E5479" s="49">
        <v>45272</v>
      </c>
      <c r="F5479" t="s">
        <v>4825</v>
      </c>
      <c r="G5479" t="s">
        <v>2261</v>
      </c>
      <c r="H5479">
        <v>5</v>
      </c>
      <c r="I5479">
        <v>102.73</v>
      </c>
      <c r="J5479" s="50">
        <v>513.65</v>
      </c>
      <c r="K5479" t="s">
        <v>1632</v>
      </c>
      <c r="M5479" t="s">
        <v>1629</v>
      </c>
      <c r="N5479">
        <v>54.22</v>
      </c>
      <c r="O5479" s="49">
        <v>45275</v>
      </c>
      <c r="P5479" s="50">
        <v>231.14249999999998</v>
      </c>
    </row>
    <row r="5480" spans="4:16" x14ac:dyDescent="0.2">
      <c r="D5480">
        <v>100003261</v>
      </c>
      <c r="E5480" s="49">
        <v>44296</v>
      </c>
      <c r="F5480" t="s">
        <v>4826</v>
      </c>
      <c r="G5480" t="s">
        <v>2571</v>
      </c>
      <c r="H5480">
        <v>1</v>
      </c>
      <c r="I5480">
        <v>44.9</v>
      </c>
      <c r="J5480" s="50">
        <v>44.9</v>
      </c>
      <c r="K5480" t="s">
        <v>1632</v>
      </c>
      <c r="L5480" t="s">
        <v>3199</v>
      </c>
      <c r="M5480" t="s">
        <v>1627</v>
      </c>
      <c r="N5480">
        <v>23.7</v>
      </c>
      <c r="O5480" s="49">
        <v>44298</v>
      </c>
      <c r="P5480" s="50">
        <v>20.204999999999998</v>
      </c>
    </row>
    <row r="5481" spans="4:16" x14ac:dyDescent="0.2">
      <c r="D5481">
        <v>100003261</v>
      </c>
      <c r="E5481" s="49">
        <v>45480</v>
      </c>
      <c r="F5481" t="s">
        <v>4826</v>
      </c>
      <c r="G5481" t="s">
        <v>2098</v>
      </c>
      <c r="H5481">
        <v>8</v>
      </c>
      <c r="I5481">
        <v>67.45</v>
      </c>
      <c r="J5481" s="50">
        <v>539.6</v>
      </c>
      <c r="K5481" t="s">
        <v>1632</v>
      </c>
      <c r="L5481" t="s">
        <v>3199</v>
      </c>
      <c r="M5481" t="s">
        <v>1629</v>
      </c>
      <c r="N5481">
        <v>35.6</v>
      </c>
      <c r="O5481" s="49">
        <v>45485</v>
      </c>
      <c r="P5481" s="50">
        <v>242.82000000000002</v>
      </c>
    </row>
    <row r="5482" spans="4:16" x14ac:dyDescent="0.2">
      <c r="D5482">
        <v>100003261</v>
      </c>
      <c r="E5482" s="49">
        <v>45597</v>
      </c>
      <c r="F5482" t="s">
        <v>4826</v>
      </c>
      <c r="G5482" t="s">
        <v>2240</v>
      </c>
      <c r="H5482">
        <v>8</v>
      </c>
      <c r="I5482">
        <v>63.3</v>
      </c>
      <c r="J5482" s="50">
        <v>506.4</v>
      </c>
      <c r="K5482" t="s">
        <v>1632</v>
      </c>
      <c r="L5482" t="s">
        <v>3199</v>
      </c>
      <c r="M5482" t="s">
        <v>1629</v>
      </c>
      <c r="N5482">
        <v>33.409999999999997</v>
      </c>
      <c r="O5482" s="49">
        <v>45601</v>
      </c>
      <c r="P5482" s="50">
        <v>227.88</v>
      </c>
    </row>
    <row r="5483" spans="4:16" x14ac:dyDescent="0.2">
      <c r="D5483">
        <v>100003262</v>
      </c>
      <c r="E5483" s="49">
        <v>44818</v>
      </c>
      <c r="F5483" t="s">
        <v>4827</v>
      </c>
      <c r="G5483" t="s">
        <v>1648</v>
      </c>
      <c r="H5483">
        <v>7</v>
      </c>
      <c r="I5483">
        <v>106.59</v>
      </c>
      <c r="J5483" s="50">
        <v>746.13</v>
      </c>
      <c r="K5483" t="s">
        <v>1618</v>
      </c>
      <c r="M5483" t="s">
        <v>1621</v>
      </c>
      <c r="N5483">
        <v>56.26</v>
      </c>
      <c r="O5483" s="49">
        <v>44819</v>
      </c>
      <c r="P5483" s="50">
        <v>335.75850000000003</v>
      </c>
    </row>
    <row r="5484" spans="4:16" x14ac:dyDescent="0.2">
      <c r="D5484">
        <v>100003262</v>
      </c>
      <c r="E5484" s="49">
        <v>44649</v>
      </c>
      <c r="F5484" t="s">
        <v>4827</v>
      </c>
      <c r="G5484" t="s">
        <v>1874</v>
      </c>
      <c r="H5484">
        <v>2</v>
      </c>
      <c r="I5484">
        <v>93.75</v>
      </c>
      <c r="J5484" s="50">
        <v>187.5</v>
      </c>
      <c r="K5484" t="s">
        <v>1618</v>
      </c>
      <c r="M5484" t="s">
        <v>1621</v>
      </c>
      <c r="N5484">
        <v>49.48</v>
      </c>
      <c r="O5484" s="49">
        <v>44652</v>
      </c>
      <c r="P5484" s="50">
        <v>84.375</v>
      </c>
    </row>
    <row r="5485" spans="4:16" x14ac:dyDescent="0.2">
      <c r="D5485">
        <v>100003262</v>
      </c>
      <c r="E5485" s="49">
        <v>44390</v>
      </c>
      <c r="F5485" t="s">
        <v>4827</v>
      </c>
      <c r="G5485" t="s">
        <v>1817</v>
      </c>
      <c r="H5485">
        <v>10</v>
      </c>
      <c r="I5485">
        <v>57.08</v>
      </c>
      <c r="J5485" s="50">
        <v>570.79999999999995</v>
      </c>
      <c r="K5485" t="s">
        <v>1618</v>
      </c>
      <c r="M5485" t="s">
        <v>1621</v>
      </c>
      <c r="N5485">
        <v>30.13</v>
      </c>
      <c r="O5485" s="49">
        <v>44392</v>
      </c>
      <c r="P5485" s="50">
        <v>256.86</v>
      </c>
    </row>
    <row r="5486" spans="4:16" x14ac:dyDescent="0.2">
      <c r="D5486">
        <v>100003262</v>
      </c>
      <c r="E5486" s="49">
        <v>45425</v>
      </c>
      <c r="F5486" t="s">
        <v>4827</v>
      </c>
      <c r="G5486" t="s">
        <v>1626</v>
      </c>
      <c r="H5486">
        <v>8</v>
      </c>
      <c r="I5486">
        <v>102.46</v>
      </c>
      <c r="J5486" s="50">
        <v>819.68</v>
      </c>
      <c r="K5486" t="s">
        <v>1618</v>
      </c>
      <c r="M5486" t="s">
        <v>1627</v>
      </c>
      <c r="N5486">
        <v>54.08</v>
      </c>
      <c r="O5486" s="49">
        <v>45430</v>
      </c>
      <c r="P5486" s="50">
        <v>368.85599999999999</v>
      </c>
    </row>
    <row r="5487" spans="4:16" x14ac:dyDescent="0.2">
      <c r="D5487">
        <v>100003262</v>
      </c>
      <c r="E5487" s="49">
        <v>45138</v>
      </c>
      <c r="F5487" t="s">
        <v>4827</v>
      </c>
      <c r="G5487" t="s">
        <v>1937</v>
      </c>
      <c r="H5487">
        <v>7</v>
      </c>
      <c r="I5487">
        <v>106.3</v>
      </c>
      <c r="J5487" s="50">
        <v>744.1</v>
      </c>
      <c r="K5487" t="s">
        <v>1618</v>
      </c>
      <c r="M5487" t="s">
        <v>1624</v>
      </c>
      <c r="N5487">
        <v>56.1</v>
      </c>
      <c r="O5487" s="49">
        <v>45139</v>
      </c>
      <c r="P5487" s="50">
        <v>334.84500000000003</v>
      </c>
    </row>
    <row r="5488" spans="4:16" x14ac:dyDescent="0.2">
      <c r="D5488">
        <v>100003263</v>
      </c>
      <c r="E5488" s="49">
        <v>45444</v>
      </c>
      <c r="F5488" t="s">
        <v>1771</v>
      </c>
      <c r="G5488" t="s">
        <v>1882</v>
      </c>
      <c r="H5488">
        <v>3</v>
      </c>
      <c r="I5488">
        <v>56.58</v>
      </c>
      <c r="J5488" s="50">
        <v>169.74</v>
      </c>
      <c r="K5488" t="s">
        <v>1632</v>
      </c>
      <c r="M5488" t="s">
        <v>1624</v>
      </c>
      <c r="N5488">
        <v>29.86</v>
      </c>
      <c r="O5488" s="49">
        <v>45447</v>
      </c>
      <c r="P5488" s="50">
        <v>76.38300000000001</v>
      </c>
    </row>
    <row r="5489" spans="4:16" x14ac:dyDescent="0.2">
      <c r="D5489">
        <v>100003263</v>
      </c>
      <c r="E5489" s="49">
        <v>44625</v>
      </c>
      <c r="F5489" t="s">
        <v>1771</v>
      </c>
      <c r="G5489" t="s">
        <v>2372</v>
      </c>
      <c r="H5489">
        <v>9</v>
      </c>
      <c r="I5489">
        <v>77.27</v>
      </c>
      <c r="J5489" s="50">
        <v>695.43</v>
      </c>
      <c r="K5489" t="s">
        <v>1632</v>
      </c>
      <c r="M5489" t="s">
        <v>1624</v>
      </c>
      <c r="N5489">
        <v>40.78</v>
      </c>
      <c r="O5489" s="49">
        <v>44626</v>
      </c>
      <c r="P5489" s="50">
        <v>312.94349999999997</v>
      </c>
    </row>
    <row r="5490" spans="4:16" x14ac:dyDescent="0.2">
      <c r="D5490">
        <v>100003263</v>
      </c>
      <c r="E5490" s="49">
        <v>44399</v>
      </c>
      <c r="F5490" t="s">
        <v>1771</v>
      </c>
      <c r="G5490" t="s">
        <v>1723</v>
      </c>
      <c r="H5490">
        <v>1</v>
      </c>
      <c r="I5490">
        <v>50.56</v>
      </c>
      <c r="J5490" s="50">
        <v>50.56</v>
      </c>
      <c r="K5490" t="s">
        <v>1632</v>
      </c>
      <c r="M5490" t="s">
        <v>1624</v>
      </c>
      <c r="N5490">
        <v>26.68</v>
      </c>
      <c r="O5490" s="49">
        <v>44404</v>
      </c>
      <c r="P5490" s="50">
        <v>22.752000000000002</v>
      </c>
    </row>
    <row r="5491" spans="4:16" x14ac:dyDescent="0.2">
      <c r="D5491">
        <v>100003263</v>
      </c>
      <c r="E5491" s="49">
        <v>44241</v>
      </c>
      <c r="F5491" t="s">
        <v>1771</v>
      </c>
      <c r="G5491" t="s">
        <v>2436</v>
      </c>
      <c r="H5491">
        <v>5</v>
      </c>
      <c r="I5491">
        <v>106.98</v>
      </c>
      <c r="J5491" s="50">
        <v>534.9</v>
      </c>
      <c r="K5491" t="s">
        <v>1632</v>
      </c>
      <c r="M5491" t="s">
        <v>1629</v>
      </c>
      <c r="N5491">
        <v>56.46</v>
      </c>
      <c r="O5491" s="49">
        <v>44242</v>
      </c>
      <c r="P5491" s="50">
        <v>240.70499999999998</v>
      </c>
    </row>
    <row r="5492" spans="4:16" x14ac:dyDescent="0.2">
      <c r="D5492">
        <v>100003264</v>
      </c>
      <c r="E5492" s="49">
        <v>44702</v>
      </c>
      <c r="F5492" t="s">
        <v>4828</v>
      </c>
      <c r="G5492" t="s">
        <v>1950</v>
      </c>
      <c r="H5492">
        <v>3</v>
      </c>
      <c r="I5492">
        <v>62.23</v>
      </c>
      <c r="J5492" s="50">
        <v>186.69</v>
      </c>
      <c r="K5492" t="s">
        <v>1618</v>
      </c>
      <c r="M5492" t="s">
        <v>1629</v>
      </c>
      <c r="N5492">
        <v>32.840000000000003</v>
      </c>
      <c r="O5492" s="49">
        <v>44703</v>
      </c>
      <c r="P5492" s="50">
        <v>84.010500000000008</v>
      </c>
    </row>
    <row r="5493" spans="4:16" x14ac:dyDescent="0.2">
      <c r="D5493">
        <v>100003264</v>
      </c>
      <c r="E5493" s="49">
        <v>44667</v>
      </c>
      <c r="F5493" t="s">
        <v>4828</v>
      </c>
      <c r="G5493" t="s">
        <v>1801</v>
      </c>
      <c r="H5493">
        <v>10</v>
      </c>
      <c r="I5493">
        <v>53.81</v>
      </c>
      <c r="J5493" s="50">
        <v>538.1</v>
      </c>
      <c r="K5493" t="s">
        <v>1618</v>
      </c>
      <c r="M5493" t="s">
        <v>1621</v>
      </c>
      <c r="N5493">
        <v>28.4</v>
      </c>
      <c r="O5493" s="49">
        <v>44671</v>
      </c>
      <c r="P5493" s="50">
        <v>242.14500000000001</v>
      </c>
    </row>
    <row r="5494" spans="4:16" x14ac:dyDescent="0.2">
      <c r="D5494">
        <v>100003264</v>
      </c>
      <c r="E5494" s="49">
        <v>45428</v>
      </c>
      <c r="F5494" t="s">
        <v>4828</v>
      </c>
      <c r="G5494" t="s">
        <v>1877</v>
      </c>
      <c r="H5494">
        <v>5</v>
      </c>
      <c r="I5494">
        <v>103.43</v>
      </c>
      <c r="J5494" s="50">
        <v>517.15000000000009</v>
      </c>
      <c r="K5494" t="s">
        <v>1618</v>
      </c>
      <c r="M5494" t="s">
        <v>1619</v>
      </c>
      <c r="N5494">
        <v>54.59</v>
      </c>
      <c r="O5494" s="49">
        <v>45432</v>
      </c>
      <c r="P5494" s="50">
        <v>232.71750000000006</v>
      </c>
    </row>
    <row r="5495" spans="4:16" x14ac:dyDescent="0.2">
      <c r="D5495">
        <v>100003267</v>
      </c>
      <c r="E5495" s="49">
        <v>44571</v>
      </c>
      <c r="F5495" t="s">
        <v>4829</v>
      </c>
      <c r="G5495" t="s">
        <v>2380</v>
      </c>
      <c r="H5495">
        <v>5</v>
      </c>
      <c r="I5495">
        <v>24.92</v>
      </c>
      <c r="J5495" s="50">
        <v>124.6</v>
      </c>
      <c r="K5495" t="s">
        <v>1632</v>
      </c>
      <c r="M5495" t="s">
        <v>1624</v>
      </c>
      <c r="N5495">
        <v>13.15</v>
      </c>
      <c r="O5495" s="49">
        <v>44575</v>
      </c>
      <c r="P5495" s="50">
        <v>56.07</v>
      </c>
    </row>
    <row r="5496" spans="4:16" x14ac:dyDescent="0.2">
      <c r="D5496">
        <v>100003268</v>
      </c>
      <c r="E5496" s="49">
        <v>45608</v>
      </c>
      <c r="F5496" t="s">
        <v>4830</v>
      </c>
      <c r="G5496" t="s">
        <v>1715</v>
      </c>
      <c r="H5496">
        <v>10</v>
      </c>
      <c r="I5496">
        <v>28.2</v>
      </c>
      <c r="J5496" s="50">
        <v>282</v>
      </c>
      <c r="K5496" t="s">
        <v>1618</v>
      </c>
      <c r="M5496" t="s">
        <v>1629</v>
      </c>
      <c r="N5496">
        <v>14.88</v>
      </c>
      <c r="O5496" s="49">
        <v>45613</v>
      </c>
      <c r="P5496" s="50">
        <v>126.9</v>
      </c>
    </row>
    <row r="5497" spans="4:16" x14ac:dyDescent="0.2">
      <c r="D5497">
        <v>100003270</v>
      </c>
      <c r="E5497" s="49">
        <v>44446</v>
      </c>
      <c r="F5497" t="s">
        <v>4831</v>
      </c>
      <c r="G5497" t="s">
        <v>1758</v>
      </c>
      <c r="H5497">
        <v>1</v>
      </c>
      <c r="I5497">
        <v>29.11</v>
      </c>
      <c r="J5497" s="50">
        <v>29.11</v>
      </c>
      <c r="K5497" t="s">
        <v>1618</v>
      </c>
      <c r="M5497" t="s">
        <v>1624</v>
      </c>
      <c r="N5497">
        <v>15.36</v>
      </c>
      <c r="O5497" s="49">
        <v>44448</v>
      </c>
      <c r="P5497" s="50">
        <v>13.099500000000001</v>
      </c>
    </row>
    <row r="5498" spans="4:16" x14ac:dyDescent="0.2">
      <c r="D5498">
        <v>100003270</v>
      </c>
      <c r="E5498" s="49">
        <v>45016</v>
      </c>
      <c r="F5498" t="s">
        <v>4831</v>
      </c>
      <c r="G5498" t="s">
        <v>2306</v>
      </c>
      <c r="H5498">
        <v>7</v>
      </c>
      <c r="I5498">
        <v>15.66</v>
      </c>
      <c r="J5498" s="50">
        <v>109.62</v>
      </c>
      <c r="K5498" t="s">
        <v>1618</v>
      </c>
      <c r="M5498" t="s">
        <v>1627</v>
      </c>
      <c r="N5498">
        <v>8.26</v>
      </c>
      <c r="O5498" s="49">
        <v>45019</v>
      </c>
      <c r="P5498" s="50">
        <v>49.329000000000001</v>
      </c>
    </row>
    <row r="5499" spans="4:16" x14ac:dyDescent="0.2">
      <c r="D5499">
        <v>100003270</v>
      </c>
      <c r="E5499" s="49">
        <v>44691</v>
      </c>
      <c r="F5499" t="s">
        <v>4831</v>
      </c>
      <c r="G5499" t="s">
        <v>2064</v>
      </c>
      <c r="H5499">
        <v>8</v>
      </c>
      <c r="I5499">
        <v>101.59</v>
      </c>
      <c r="J5499" s="50">
        <v>812.72</v>
      </c>
      <c r="K5499" t="s">
        <v>1618</v>
      </c>
      <c r="M5499" t="s">
        <v>1621</v>
      </c>
      <c r="N5499">
        <v>53.62</v>
      </c>
      <c r="O5499" s="49">
        <v>44694</v>
      </c>
      <c r="P5499" s="50">
        <v>365.72400000000005</v>
      </c>
    </row>
    <row r="5500" spans="4:16" x14ac:dyDescent="0.2">
      <c r="D5500">
        <v>100003270</v>
      </c>
      <c r="E5500" s="49">
        <v>44894</v>
      </c>
      <c r="F5500" t="s">
        <v>4831</v>
      </c>
      <c r="G5500" t="s">
        <v>1652</v>
      </c>
      <c r="H5500">
        <v>8</v>
      </c>
      <c r="I5500">
        <v>118.06</v>
      </c>
      <c r="J5500" s="50">
        <v>944.48</v>
      </c>
      <c r="K5500" t="s">
        <v>1618</v>
      </c>
      <c r="M5500" t="s">
        <v>1619</v>
      </c>
      <c r="N5500">
        <v>62.31</v>
      </c>
      <c r="O5500" s="49">
        <v>44899</v>
      </c>
      <c r="P5500" s="50">
        <v>425.01600000000002</v>
      </c>
    </row>
    <row r="5501" spans="4:16" x14ac:dyDescent="0.2">
      <c r="D5501">
        <v>100003270</v>
      </c>
      <c r="E5501" s="49">
        <v>45426</v>
      </c>
      <c r="F5501" t="s">
        <v>4831</v>
      </c>
      <c r="G5501" t="s">
        <v>1775</v>
      </c>
      <c r="H5501">
        <v>9</v>
      </c>
      <c r="I5501">
        <v>69.02</v>
      </c>
      <c r="J5501" s="50">
        <v>621.17999999999995</v>
      </c>
      <c r="K5501" t="s">
        <v>1618</v>
      </c>
      <c r="M5501" t="s">
        <v>1629</v>
      </c>
      <c r="N5501">
        <v>36.43</v>
      </c>
      <c r="O5501" s="49">
        <v>45429</v>
      </c>
      <c r="P5501" s="50">
        <v>279.53100000000001</v>
      </c>
    </row>
    <row r="5502" spans="4:16" x14ac:dyDescent="0.2">
      <c r="D5502">
        <v>100003271</v>
      </c>
      <c r="E5502" s="49">
        <v>44414</v>
      </c>
      <c r="F5502" t="s">
        <v>4832</v>
      </c>
      <c r="G5502" t="s">
        <v>2460</v>
      </c>
      <c r="H5502">
        <v>8</v>
      </c>
      <c r="I5502">
        <v>12.44</v>
      </c>
      <c r="J5502" s="50">
        <v>99.52</v>
      </c>
      <c r="K5502" t="s">
        <v>1632</v>
      </c>
      <c r="L5502" t="s">
        <v>4833</v>
      </c>
      <c r="M5502" t="s">
        <v>1624</v>
      </c>
      <c r="N5502">
        <v>6.57</v>
      </c>
      <c r="O5502" s="49">
        <v>44417</v>
      </c>
      <c r="P5502" s="50">
        <v>44.783999999999999</v>
      </c>
    </row>
    <row r="5503" spans="4:16" x14ac:dyDescent="0.2">
      <c r="D5503">
        <v>100003272</v>
      </c>
      <c r="E5503" s="49">
        <v>44897</v>
      </c>
      <c r="F5503" t="s">
        <v>4834</v>
      </c>
      <c r="G5503" t="s">
        <v>1740</v>
      </c>
      <c r="H5503">
        <v>6</v>
      </c>
      <c r="I5503">
        <v>25.92</v>
      </c>
      <c r="J5503" s="50">
        <v>155.52000000000001</v>
      </c>
      <c r="K5503" t="s">
        <v>1618</v>
      </c>
      <c r="L5503" t="s">
        <v>4835</v>
      </c>
      <c r="M5503" t="s">
        <v>1627</v>
      </c>
      <c r="N5503">
        <v>13.68</v>
      </c>
      <c r="O5503" s="49">
        <v>44899</v>
      </c>
      <c r="P5503" s="50">
        <v>69.984000000000009</v>
      </c>
    </row>
    <row r="5504" spans="4:16" x14ac:dyDescent="0.2">
      <c r="D5504">
        <v>100003274</v>
      </c>
      <c r="E5504" s="49">
        <v>45554</v>
      </c>
      <c r="F5504" t="s">
        <v>4836</v>
      </c>
      <c r="G5504" t="s">
        <v>2048</v>
      </c>
      <c r="H5504">
        <v>4</v>
      </c>
      <c r="I5504">
        <v>98.19</v>
      </c>
      <c r="J5504" s="50">
        <v>392.76</v>
      </c>
      <c r="K5504" t="s">
        <v>1632</v>
      </c>
      <c r="L5504" t="s">
        <v>4837</v>
      </c>
      <c r="M5504" t="s">
        <v>1621</v>
      </c>
      <c r="N5504">
        <v>51.82</v>
      </c>
      <c r="O5504" s="49">
        <v>45556</v>
      </c>
      <c r="P5504" s="50">
        <v>176.74199999999999</v>
      </c>
    </row>
    <row r="5505" spans="4:16" x14ac:dyDescent="0.2">
      <c r="D5505">
        <v>100003274</v>
      </c>
      <c r="E5505" s="49">
        <v>44506</v>
      </c>
      <c r="F5505" t="s">
        <v>4836</v>
      </c>
      <c r="G5505" t="s">
        <v>2447</v>
      </c>
      <c r="H5505">
        <v>5</v>
      </c>
      <c r="I5505">
        <v>78.89</v>
      </c>
      <c r="J5505" s="50">
        <v>394.45</v>
      </c>
      <c r="K5505" t="s">
        <v>1632</v>
      </c>
      <c r="L5505" t="s">
        <v>4837</v>
      </c>
      <c r="M5505" t="s">
        <v>1624</v>
      </c>
      <c r="N5505">
        <v>41.64</v>
      </c>
      <c r="O5505" s="49">
        <v>44507</v>
      </c>
      <c r="P5505" s="50">
        <v>177.5025</v>
      </c>
    </row>
    <row r="5506" spans="4:16" x14ac:dyDescent="0.2">
      <c r="D5506">
        <v>100003275</v>
      </c>
      <c r="E5506" s="49">
        <v>45359</v>
      </c>
      <c r="F5506" t="s">
        <v>4838</v>
      </c>
      <c r="G5506" t="s">
        <v>1939</v>
      </c>
      <c r="H5506">
        <v>2</v>
      </c>
      <c r="I5506">
        <v>83.54</v>
      </c>
      <c r="J5506" s="50">
        <v>167.08</v>
      </c>
      <c r="K5506" t="s">
        <v>1632</v>
      </c>
      <c r="M5506" t="s">
        <v>1629</v>
      </c>
      <c r="N5506">
        <v>44.09</v>
      </c>
      <c r="O5506" s="49">
        <v>45360</v>
      </c>
      <c r="P5506" s="50">
        <v>75.186000000000007</v>
      </c>
    </row>
    <row r="5507" spans="4:16" x14ac:dyDescent="0.2">
      <c r="D5507">
        <v>100003275</v>
      </c>
      <c r="E5507" s="49">
        <v>45229</v>
      </c>
      <c r="F5507" t="s">
        <v>4838</v>
      </c>
      <c r="G5507" t="s">
        <v>2633</v>
      </c>
      <c r="H5507">
        <v>1</v>
      </c>
      <c r="I5507">
        <v>99.19</v>
      </c>
      <c r="J5507" s="50">
        <v>99.19</v>
      </c>
      <c r="K5507" t="s">
        <v>1632</v>
      </c>
      <c r="M5507" t="s">
        <v>1621</v>
      </c>
      <c r="N5507">
        <v>52.35</v>
      </c>
      <c r="O5507" s="49">
        <v>45233</v>
      </c>
      <c r="P5507" s="50">
        <v>44.6355</v>
      </c>
    </row>
    <row r="5508" spans="4:16" x14ac:dyDescent="0.2">
      <c r="D5508">
        <v>100003275</v>
      </c>
      <c r="E5508" s="49">
        <v>44982</v>
      </c>
      <c r="F5508" t="s">
        <v>4838</v>
      </c>
      <c r="G5508" t="s">
        <v>2346</v>
      </c>
      <c r="H5508">
        <v>6</v>
      </c>
      <c r="I5508">
        <v>56.42</v>
      </c>
      <c r="J5508" s="50">
        <v>338.52</v>
      </c>
      <c r="K5508" t="s">
        <v>1632</v>
      </c>
      <c r="M5508" t="s">
        <v>1627</v>
      </c>
      <c r="N5508">
        <v>29.78</v>
      </c>
      <c r="O5508" s="49">
        <v>44986</v>
      </c>
      <c r="P5508" s="50">
        <v>152.334</v>
      </c>
    </row>
    <row r="5509" spans="4:16" x14ac:dyDescent="0.2">
      <c r="D5509">
        <v>100003276</v>
      </c>
      <c r="E5509" s="49">
        <v>44676</v>
      </c>
      <c r="F5509" t="s">
        <v>4839</v>
      </c>
      <c r="G5509" t="s">
        <v>2375</v>
      </c>
      <c r="H5509">
        <v>3</v>
      </c>
      <c r="I5509">
        <v>46.8</v>
      </c>
      <c r="J5509" s="50">
        <v>140.4</v>
      </c>
      <c r="K5509" t="s">
        <v>1632</v>
      </c>
      <c r="L5509" t="s">
        <v>4840</v>
      </c>
      <c r="M5509" t="s">
        <v>1629</v>
      </c>
      <c r="N5509">
        <v>24.7</v>
      </c>
      <c r="O5509" s="49">
        <v>44681</v>
      </c>
      <c r="P5509" s="50">
        <v>63.180000000000007</v>
      </c>
    </row>
    <row r="5510" spans="4:16" x14ac:dyDescent="0.2">
      <c r="D5510">
        <v>100003278</v>
      </c>
      <c r="E5510" s="49">
        <v>44802</v>
      </c>
      <c r="F5510" t="s">
        <v>4841</v>
      </c>
      <c r="G5510" t="s">
        <v>2065</v>
      </c>
      <c r="H5510">
        <v>8</v>
      </c>
      <c r="I5510">
        <v>114.75</v>
      </c>
      <c r="J5510" s="50">
        <v>918</v>
      </c>
      <c r="K5510" t="s">
        <v>1618</v>
      </c>
      <c r="M5510" t="s">
        <v>1619</v>
      </c>
      <c r="N5510">
        <v>60.56</v>
      </c>
      <c r="O5510" s="49">
        <v>44806</v>
      </c>
      <c r="P5510" s="50">
        <v>413.1</v>
      </c>
    </row>
    <row r="5511" spans="4:16" x14ac:dyDescent="0.2">
      <c r="D5511">
        <v>100003278</v>
      </c>
      <c r="E5511" s="49">
        <v>44216</v>
      </c>
      <c r="F5511" t="s">
        <v>4841</v>
      </c>
      <c r="G5511" t="s">
        <v>1831</v>
      </c>
      <c r="H5511">
        <v>6</v>
      </c>
      <c r="I5511">
        <v>54.43</v>
      </c>
      <c r="J5511" s="50">
        <v>326.58</v>
      </c>
      <c r="K5511" t="s">
        <v>1618</v>
      </c>
      <c r="M5511" t="s">
        <v>1629</v>
      </c>
      <c r="N5511">
        <v>28.73</v>
      </c>
      <c r="O5511" s="49">
        <v>44219</v>
      </c>
      <c r="P5511" s="50">
        <v>146.96099999999998</v>
      </c>
    </row>
    <row r="5512" spans="4:16" x14ac:dyDescent="0.2">
      <c r="D5512">
        <v>100003278</v>
      </c>
      <c r="E5512" s="49">
        <v>44580</v>
      </c>
      <c r="F5512" t="s">
        <v>4841</v>
      </c>
      <c r="G5512" t="s">
        <v>2378</v>
      </c>
      <c r="H5512">
        <v>1</v>
      </c>
      <c r="I5512">
        <v>12.6</v>
      </c>
      <c r="J5512" s="50">
        <v>12.6</v>
      </c>
      <c r="K5512" t="s">
        <v>1618</v>
      </c>
      <c r="M5512" t="s">
        <v>1619</v>
      </c>
      <c r="N5512">
        <v>6.65</v>
      </c>
      <c r="O5512" s="49">
        <v>44583</v>
      </c>
      <c r="P5512" s="50">
        <v>5.67</v>
      </c>
    </row>
    <row r="5513" spans="4:16" x14ac:dyDescent="0.2">
      <c r="D5513">
        <v>100003278</v>
      </c>
      <c r="E5513" s="49">
        <v>44293</v>
      </c>
      <c r="F5513" t="s">
        <v>4841</v>
      </c>
      <c r="G5513" t="s">
        <v>1702</v>
      </c>
      <c r="H5513">
        <v>6</v>
      </c>
      <c r="I5513">
        <v>113.58</v>
      </c>
      <c r="J5513" s="50">
        <v>681.48</v>
      </c>
      <c r="K5513" t="s">
        <v>1618</v>
      </c>
      <c r="M5513" t="s">
        <v>1624</v>
      </c>
      <c r="N5513">
        <v>59.94</v>
      </c>
      <c r="O5513" s="49">
        <v>44296</v>
      </c>
      <c r="P5513" s="50">
        <v>306.666</v>
      </c>
    </row>
    <row r="5514" spans="4:16" x14ac:dyDescent="0.2">
      <c r="D5514">
        <v>100003278</v>
      </c>
      <c r="E5514" s="49">
        <v>45093</v>
      </c>
      <c r="F5514" t="s">
        <v>4841</v>
      </c>
      <c r="G5514" t="s">
        <v>1802</v>
      </c>
      <c r="H5514">
        <v>10</v>
      </c>
      <c r="I5514">
        <v>107.83</v>
      </c>
      <c r="J5514" s="50">
        <v>1078.3</v>
      </c>
      <c r="K5514" t="s">
        <v>1618</v>
      </c>
      <c r="M5514" t="s">
        <v>1621</v>
      </c>
      <c r="N5514">
        <v>56.91</v>
      </c>
      <c r="O5514" s="49">
        <v>45095</v>
      </c>
      <c r="P5514" s="50">
        <v>485.23500000000001</v>
      </c>
    </row>
    <row r="5515" spans="4:16" x14ac:dyDescent="0.2">
      <c r="D5515">
        <v>100003279</v>
      </c>
      <c r="E5515" s="49">
        <v>45574</v>
      </c>
      <c r="F5515" t="s">
        <v>4842</v>
      </c>
      <c r="G5515" t="s">
        <v>2460</v>
      </c>
      <c r="H5515">
        <v>3</v>
      </c>
      <c r="I5515">
        <v>73.430000000000007</v>
      </c>
      <c r="J5515" s="50">
        <v>220.29</v>
      </c>
      <c r="K5515" t="s">
        <v>1618</v>
      </c>
      <c r="M5515" t="s">
        <v>1629</v>
      </c>
      <c r="N5515">
        <v>38.75</v>
      </c>
      <c r="O5515" s="49">
        <v>45576</v>
      </c>
      <c r="P5515" s="50">
        <v>99.130499999999998</v>
      </c>
    </row>
    <row r="5516" spans="4:16" x14ac:dyDescent="0.2">
      <c r="D5516">
        <v>100003279</v>
      </c>
      <c r="E5516" s="49">
        <v>44316</v>
      </c>
      <c r="F5516" t="s">
        <v>4842</v>
      </c>
      <c r="G5516" t="s">
        <v>2762</v>
      </c>
      <c r="H5516">
        <v>5</v>
      </c>
      <c r="I5516">
        <v>53.74</v>
      </c>
      <c r="J5516" s="50">
        <v>268.7</v>
      </c>
      <c r="K5516" t="s">
        <v>1618</v>
      </c>
      <c r="M5516" t="s">
        <v>1621</v>
      </c>
      <c r="N5516">
        <v>28.36</v>
      </c>
      <c r="O5516" s="49">
        <v>44319</v>
      </c>
      <c r="P5516" s="50">
        <v>120.91499999999999</v>
      </c>
    </row>
    <row r="5517" spans="4:16" x14ac:dyDescent="0.2">
      <c r="D5517">
        <v>100003279</v>
      </c>
      <c r="E5517" s="49">
        <v>44678</v>
      </c>
      <c r="F5517" t="s">
        <v>4842</v>
      </c>
      <c r="G5517" t="s">
        <v>1855</v>
      </c>
      <c r="H5517">
        <v>1</v>
      </c>
      <c r="I5517">
        <v>51.74</v>
      </c>
      <c r="J5517" s="50">
        <v>51.74</v>
      </c>
      <c r="K5517" t="s">
        <v>1618</v>
      </c>
      <c r="M5517" t="s">
        <v>1627</v>
      </c>
      <c r="N5517">
        <v>27.31</v>
      </c>
      <c r="O5517" s="49">
        <v>44683</v>
      </c>
      <c r="P5517" s="50">
        <v>23.283000000000001</v>
      </c>
    </row>
    <row r="5518" spans="4:16" x14ac:dyDescent="0.2">
      <c r="D5518">
        <v>100003279</v>
      </c>
      <c r="E5518" s="49">
        <v>45504</v>
      </c>
      <c r="F5518" t="s">
        <v>4842</v>
      </c>
      <c r="G5518" t="s">
        <v>2048</v>
      </c>
      <c r="H5518">
        <v>8</v>
      </c>
      <c r="I5518">
        <v>80.44</v>
      </c>
      <c r="J5518" s="50">
        <v>643.52</v>
      </c>
      <c r="K5518" t="s">
        <v>1618</v>
      </c>
      <c r="M5518" t="s">
        <v>1629</v>
      </c>
      <c r="N5518">
        <v>42.45</v>
      </c>
      <c r="O5518" s="49">
        <v>45505</v>
      </c>
      <c r="P5518" s="50">
        <v>289.584</v>
      </c>
    </row>
    <row r="5519" spans="4:16" x14ac:dyDescent="0.2">
      <c r="D5519">
        <v>100003279</v>
      </c>
      <c r="E5519" s="49">
        <v>45275</v>
      </c>
      <c r="F5519" t="s">
        <v>4842</v>
      </c>
      <c r="G5519" t="s">
        <v>1770</v>
      </c>
      <c r="H5519">
        <v>1</v>
      </c>
      <c r="I5519">
        <v>37.659999999999997</v>
      </c>
      <c r="J5519" s="50">
        <v>37.659999999999997</v>
      </c>
      <c r="K5519" t="s">
        <v>1618</v>
      </c>
      <c r="M5519" t="s">
        <v>1621</v>
      </c>
      <c r="N5519">
        <v>19.88</v>
      </c>
      <c r="O5519" s="49">
        <v>45278</v>
      </c>
      <c r="P5519" s="50">
        <v>16.946999999999999</v>
      </c>
    </row>
    <row r="5520" spans="4:16" x14ac:dyDescent="0.2">
      <c r="D5520">
        <v>100003280</v>
      </c>
      <c r="E5520" s="49">
        <v>45091</v>
      </c>
      <c r="F5520" t="s">
        <v>4843</v>
      </c>
      <c r="G5520" t="s">
        <v>2348</v>
      </c>
      <c r="H5520">
        <v>2</v>
      </c>
      <c r="I5520">
        <v>107.29</v>
      </c>
      <c r="J5520" s="50">
        <v>214.58</v>
      </c>
      <c r="K5520" t="s">
        <v>1618</v>
      </c>
      <c r="L5520" t="s">
        <v>4844</v>
      </c>
      <c r="M5520" t="s">
        <v>1629</v>
      </c>
      <c r="N5520">
        <v>56.62</v>
      </c>
      <c r="O5520" s="49">
        <v>45092</v>
      </c>
      <c r="P5520" s="50">
        <v>96.561000000000007</v>
      </c>
    </row>
    <row r="5521" spans="4:16" x14ac:dyDescent="0.2">
      <c r="D5521">
        <v>100003281</v>
      </c>
      <c r="E5521" s="49">
        <v>45655</v>
      </c>
      <c r="F5521" t="s">
        <v>4845</v>
      </c>
      <c r="G5521" t="s">
        <v>2084</v>
      </c>
      <c r="H5521">
        <v>4</v>
      </c>
      <c r="I5521">
        <v>40.94</v>
      </c>
      <c r="J5521" s="50">
        <v>163.76</v>
      </c>
      <c r="K5521" t="s">
        <v>1618</v>
      </c>
      <c r="M5521" t="s">
        <v>1624</v>
      </c>
      <c r="N5521">
        <v>21.61</v>
      </c>
      <c r="O5521" s="49">
        <v>45660</v>
      </c>
      <c r="P5521" s="50">
        <v>73.691999999999993</v>
      </c>
    </row>
    <row r="5522" spans="4:16" x14ac:dyDescent="0.2">
      <c r="D5522">
        <v>100003282</v>
      </c>
      <c r="E5522" s="49">
        <v>44583</v>
      </c>
      <c r="F5522" t="s">
        <v>4846</v>
      </c>
      <c r="G5522" t="s">
        <v>2766</v>
      </c>
      <c r="H5522">
        <v>4</v>
      </c>
      <c r="I5522">
        <v>61.84</v>
      </c>
      <c r="J5522" s="50">
        <v>247.36</v>
      </c>
      <c r="K5522" t="s">
        <v>1618</v>
      </c>
      <c r="M5522" t="s">
        <v>1629</v>
      </c>
      <c r="N5522">
        <v>32.64</v>
      </c>
      <c r="O5522" s="49">
        <v>44587</v>
      </c>
      <c r="P5522" s="50">
        <v>111.31200000000001</v>
      </c>
    </row>
    <row r="5523" spans="4:16" x14ac:dyDescent="0.2">
      <c r="D5523">
        <v>100003283</v>
      </c>
      <c r="E5523" s="49">
        <v>45581</v>
      </c>
      <c r="F5523" t="s">
        <v>4847</v>
      </c>
      <c r="G5523" t="s">
        <v>3135</v>
      </c>
      <c r="H5523">
        <v>3</v>
      </c>
      <c r="I5523">
        <v>68.19</v>
      </c>
      <c r="J5523" s="50">
        <v>204.57</v>
      </c>
      <c r="K5523" t="s">
        <v>1632</v>
      </c>
      <c r="M5523" t="s">
        <v>1619</v>
      </c>
      <c r="N5523">
        <v>35.99</v>
      </c>
      <c r="O5523" s="49">
        <v>45585</v>
      </c>
      <c r="P5523" s="50">
        <v>92.0565</v>
      </c>
    </row>
    <row r="5524" spans="4:16" x14ac:dyDescent="0.2">
      <c r="D5524">
        <v>100003283</v>
      </c>
      <c r="E5524" s="49">
        <v>44882</v>
      </c>
      <c r="F5524" t="s">
        <v>4847</v>
      </c>
      <c r="G5524" t="s">
        <v>1748</v>
      </c>
      <c r="H5524">
        <v>7</v>
      </c>
      <c r="I5524">
        <v>92.19</v>
      </c>
      <c r="J5524" s="50">
        <v>645.32999999999993</v>
      </c>
      <c r="K5524" t="s">
        <v>1632</v>
      </c>
      <c r="M5524" t="s">
        <v>1624</v>
      </c>
      <c r="N5524">
        <v>48.66</v>
      </c>
      <c r="O5524" s="49">
        <v>44886</v>
      </c>
      <c r="P5524" s="50">
        <v>290.39849999999996</v>
      </c>
    </row>
    <row r="5525" spans="4:16" x14ac:dyDescent="0.2">
      <c r="D5525">
        <v>100003285</v>
      </c>
      <c r="E5525" s="49">
        <v>44393</v>
      </c>
      <c r="F5525" t="s">
        <v>4848</v>
      </c>
      <c r="G5525" t="s">
        <v>1718</v>
      </c>
      <c r="H5525">
        <v>8</v>
      </c>
      <c r="I5525">
        <v>46.08</v>
      </c>
      <c r="J5525" s="50">
        <v>368.64</v>
      </c>
      <c r="K5525" t="s">
        <v>1618</v>
      </c>
      <c r="L5525" t="s">
        <v>4849</v>
      </c>
      <c r="M5525" t="s">
        <v>1619</v>
      </c>
      <c r="N5525">
        <v>24.32</v>
      </c>
      <c r="O5525" s="49">
        <v>44397</v>
      </c>
      <c r="P5525" s="50">
        <v>165.88800000000001</v>
      </c>
    </row>
    <row r="5526" spans="4:16" x14ac:dyDescent="0.2">
      <c r="D5526">
        <v>100003286</v>
      </c>
      <c r="E5526" s="49">
        <v>45460</v>
      </c>
      <c r="F5526" t="s">
        <v>3132</v>
      </c>
      <c r="G5526" t="s">
        <v>1766</v>
      </c>
      <c r="H5526">
        <v>5</v>
      </c>
      <c r="I5526">
        <v>100.39</v>
      </c>
      <c r="J5526" s="50">
        <v>501.95</v>
      </c>
      <c r="K5526" t="s">
        <v>1618</v>
      </c>
      <c r="L5526" t="s">
        <v>4850</v>
      </c>
      <c r="M5526" t="s">
        <v>1629</v>
      </c>
      <c r="N5526">
        <v>52.98</v>
      </c>
      <c r="O5526" s="49">
        <v>45465</v>
      </c>
      <c r="P5526" s="50">
        <v>225.8775</v>
      </c>
    </row>
    <row r="5527" spans="4:16" x14ac:dyDescent="0.2">
      <c r="D5527">
        <v>100003287</v>
      </c>
      <c r="E5527" s="49">
        <v>45287</v>
      </c>
      <c r="F5527" t="s">
        <v>4851</v>
      </c>
      <c r="G5527" t="s">
        <v>2103</v>
      </c>
      <c r="H5527">
        <v>10</v>
      </c>
      <c r="I5527">
        <v>91</v>
      </c>
      <c r="J5527" s="50">
        <v>910</v>
      </c>
      <c r="K5527" t="s">
        <v>1618</v>
      </c>
      <c r="M5527" t="s">
        <v>1619</v>
      </c>
      <c r="N5527">
        <v>48.03</v>
      </c>
      <c r="O5527" s="49">
        <v>45290</v>
      </c>
      <c r="P5527" s="50">
        <v>409.5</v>
      </c>
    </row>
    <row r="5528" spans="4:16" x14ac:dyDescent="0.2">
      <c r="D5528">
        <v>100003288</v>
      </c>
      <c r="E5528" s="49">
        <v>45398</v>
      </c>
      <c r="F5528" t="s">
        <v>4852</v>
      </c>
      <c r="G5528" t="s">
        <v>2191</v>
      </c>
      <c r="H5528">
        <v>7</v>
      </c>
      <c r="I5528">
        <v>72.58</v>
      </c>
      <c r="J5528" s="50">
        <v>508.06</v>
      </c>
      <c r="K5528" t="s">
        <v>1618</v>
      </c>
      <c r="M5528" t="s">
        <v>1629</v>
      </c>
      <c r="N5528">
        <v>38.31</v>
      </c>
      <c r="O5528" s="49">
        <v>45400</v>
      </c>
      <c r="P5528" s="50">
        <v>228.62700000000001</v>
      </c>
    </row>
    <row r="5529" spans="4:16" x14ac:dyDescent="0.2">
      <c r="D5529">
        <v>100003288</v>
      </c>
      <c r="E5529" s="49">
        <v>44876</v>
      </c>
      <c r="F5529" t="s">
        <v>4852</v>
      </c>
      <c r="G5529" t="s">
        <v>2378</v>
      </c>
      <c r="H5529">
        <v>2</v>
      </c>
      <c r="I5529">
        <v>18.149999999999999</v>
      </c>
      <c r="J5529" s="50">
        <v>36.299999999999997</v>
      </c>
      <c r="K5529" t="s">
        <v>1618</v>
      </c>
      <c r="M5529" t="s">
        <v>1627</v>
      </c>
      <c r="N5529">
        <v>9.58</v>
      </c>
      <c r="O5529" s="49">
        <v>44879</v>
      </c>
      <c r="P5529" s="50">
        <v>16.335000000000001</v>
      </c>
    </row>
    <row r="5530" spans="4:16" x14ac:dyDescent="0.2">
      <c r="D5530">
        <v>100003288</v>
      </c>
      <c r="E5530" s="49">
        <v>45224</v>
      </c>
      <c r="F5530" t="s">
        <v>4852</v>
      </c>
      <c r="G5530" t="s">
        <v>1857</v>
      </c>
      <c r="H5530">
        <v>9</v>
      </c>
      <c r="I5530">
        <v>88.48</v>
      </c>
      <c r="J5530" s="50">
        <v>796.32</v>
      </c>
      <c r="K5530" t="s">
        <v>1618</v>
      </c>
      <c r="M5530" t="s">
        <v>1621</v>
      </c>
      <c r="N5530">
        <v>46.7</v>
      </c>
      <c r="O5530" s="49">
        <v>45227</v>
      </c>
      <c r="P5530" s="50">
        <v>358.34400000000005</v>
      </c>
    </row>
    <row r="5531" spans="4:16" x14ac:dyDescent="0.2">
      <c r="D5531">
        <v>100003288</v>
      </c>
      <c r="E5531" s="49">
        <v>44470</v>
      </c>
      <c r="F5531" t="s">
        <v>4852</v>
      </c>
      <c r="G5531" t="s">
        <v>2174</v>
      </c>
      <c r="H5531">
        <v>8</v>
      </c>
      <c r="I5531">
        <v>38.68</v>
      </c>
      <c r="J5531" s="50">
        <v>309.44</v>
      </c>
      <c r="K5531" t="s">
        <v>1618</v>
      </c>
      <c r="M5531" t="s">
        <v>1619</v>
      </c>
      <c r="N5531">
        <v>20.41</v>
      </c>
      <c r="O5531" s="49">
        <v>44471</v>
      </c>
      <c r="P5531" s="50">
        <v>139.24799999999999</v>
      </c>
    </row>
    <row r="5532" spans="4:16" x14ac:dyDescent="0.2">
      <c r="D5532">
        <v>100003289</v>
      </c>
      <c r="E5532" s="49">
        <v>44687</v>
      </c>
      <c r="F5532" t="s">
        <v>4853</v>
      </c>
      <c r="G5532" t="s">
        <v>1642</v>
      </c>
      <c r="H5532">
        <v>9</v>
      </c>
      <c r="I5532">
        <v>59.37</v>
      </c>
      <c r="J5532" s="50">
        <v>534.32999999999993</v>
      </c>
      <c r="K5532" t="s">
        <v>1632</v>
      </c>
      <c r="M5532" t="s">
        <v>1621</v>
      </c>
      <c r="N5532">
        <v>31.33</v>
      </c>
      <c r="O5532" s="49">
        <v>44689</v>
      </c>
      <c r="P5532" s="50">
        <v>240.44849999999997</v>
      </c>
    </row>
    <row r="5533" spans="4:16" x14ac:dyDescent="0.2">
      <c r="D5533">
        <v>100003289</v>
      </c>
      <c r="E5533" s="49">
        <v>45083</v>
      </c>
      <c r="F5533" t="s">
        <v>4853</v>
      </c>
      <c r="G5533" t="s">
        <v>2142</v>
      </c>
      <c r="H5533">
        <v>1</v>
      </c>
      <c r="I5533">
        <v>80.72</v>
      </c>
      <c r="J5533" s="50">
        <v>80.72</v>
      </c>
      <c r="K5533" t="s">
        <v>1632</v>
      </c>
      <c r="M5533" t="s">
        <v>1624</v>
      </c>
      <c r="N5533">
        <v>42.6</v>
      </c>
      <c r="O5533" s="49">
        <v>45086</v>
      </c>
      <c r="P5533" s="50">
        <v>36.323999999999998</v>
      </c>
    </row>
    <row r="5534" spans="4:16" x14ac:dyDescent="0.2">
      <c r="D5534">
        <v>100003289</v>
      </c>
      <c r="E5534" s="49">
        <v>45611</v>
      </c>
      <c r="F5534" t="s">
        <v>4853</v>
      </c>
      <c r="G5534" t="s">
        <v>1704</v>
      </c>
      <c r="H5534">
        <v>10</v>
      </c>
      <c r="I5534">
        <v>62.82</v>
      </c>
      <c r="J5534" s="50">
        <v>628.20000000000005</v>
      </c>
      <c r="K5534" t="s">
        <v>1632</v>
      </c>
      <c r="M5534" t="s">
        <v>1624</v>
      </c>
      <c r="N5534">
        <v>33.15</v>
      </c>
      <c r="O5534" s="49">
        <v>45615</v>
      </c>
      <c r="P5534" s="50">
        <v>282.69000000000005</v>
      </c>
    </row>
    <row r="5535" spans="4:16" x14ac:dyDescent="0.2">
      <c r="D5535">
        <v>100003290</v>
      </c>
      <c r="E5535" s="49">
        <v>44292</v>
      </c>
      <c r="F5535" t="s">
        <v>4854</v>
      </c>
      <c r="G5535" t="s">
        <v>2191</v>
      </c>
      <c r="H5535">
        <v>4</v>
      </c>
      <c r="I5535">
        <v>80.02</v>
      </c>
      <c r="J5535" s="50">
        <v>320.08</v>
      </c>
      <c r="K5535" t="s">
        <v>1618</v>
      </c>
      <c r="M5535" t="s">
        <v>1627</v>
      </c>
      <c r="N5535">
        <v>42.23</v>
      </c>
      <c r="O5535" s="49">
        <v>44293</v>
      </c>
      <c r="P5535" s="50">
        <v>144.036</v>
      </c>
    </row>
    <row r="5536" spans="4:16" x14ac:dyDescent="0.2">
      <c r="D5536">
        <v>100003290</v>
      </c>
      <c r="E5536" s="49">
        <v>44655</v>
      </c>
      <c r="F5536" t="s">
        <v>4854</v>
      </c>
      <c r="G5536" t="s">
        <v>1766</v>
      </c>
      <c r="H5536">
        <v>8</v>
      </c>
      <c r="I5536">
        <v>23.48</v>
      </c>
      <c r="J5536" s="50">
        <v>187.84</v>
      </c>
      <c r="K5536" t="s">
        <v>1618</v>
      </c>
      <c r="M5536" t="s">
        <v>1624</v>
      </c>
      <c r="N5536">
        <v>12.39</v>
      </c>
      <c r="O5536" s="49">
        <v>44656</v>
      </c>
      <c r="P5536" s="50">
        <v>84.528000000000006</v>
      </c>
    </row>
    <row r="5537" spans="4:16" x14ac:dyDescent="0.2">
      <c r="D5537">
        <v>100003291</v>
      </c>
      <c r="E5537" s="49">
        <v>44996</v>
      </c>
      <c r="F5537" t="s">
        <v>4855</v>
      </c>
      <c r="G5537" t="s">
        <v>1719</v>
      </c>
      <c r="H5537">
        <v>10</v>
      </c>
      <c r="I5537">
        <v>113.28</v>
      </c>
      <c r="J5537" s="50">
        <v>1132.8</v>
      </c>
      <c r="K5537" t="s">
        <v>1632</v>
      </c>
      <c r="L5537" t="s">
        <v>4856</v>
      </c>
      <c r="M5537" t="s">
        <v>1627</v>
      </c>
      <c r="N5537">
        <v>59.79</v>
      </c>
      <c r="O5537" s="49">
        <v>44998</v>
      </c>
      <c r="P5537" s="50">
        <v>509.76</v>
      </c>
    </row>
    <row r="5538" spans="4:16" x14ac:dyDescent="0.2">
      <c r="D5538">
        <v>100003291</v>
      </c>
      <c r="E5538" s="49">
        <v>45518</v>
      </c>
      <c r="F5538" t="s">
        <v>4855</v>
      </c>
      <c r="G5538" t="s">
        <v>1744</v>
      </c>
      <c r="H5538">
        <v>6</v>
      </c>
      <c r="I5538">
        <v>46.88</v>
      </c>
      <c r="J5538" s="50">
        <v>281.27999999999997</v>
      </c>
      <c r="K5538" t="s">
        <v>1632</v>
      </c>
      <c r="L5538" t="s">
        <v>4856</v>
      </c>
      <c r="M5538" t="s">
        <v>1624</v>
      </c>
      <c r="N5538">
        <v>24.74</v>
      </c>
      <c r="O5538" s="49">
        <v>45521</v>
      </c>
      <c r="P5538" s="50">
        <v>126.57599999999999</v>
      </c>
    </row>
    <row r="5539" spans="4:16" x14ac:dyDescent="0.2">
      <c r="D5539">
        <v>100003291</v>
      </c>
      <c r="E5539" s="49">
        <v>45460</v>
      </c>
      <c r="F5539" t="s">
        <v>4855</v>
      </c>
      <c r="G5539" t="s">
        <v>1663</v>
      </c>
      <c r="H5539">
        <v>1</v>
      </c>
      <c r="I5539">
        <v>57.58</v>
      </c>
      <c r="J5539" s="50">
        <v>57.58</v>
      </c>
      <c r="K5539" t="s">
        <v>1632</v>
      </c>
      <c r="L5539" t="s">
        <v>4856</v>
      </c>
      <c r="M5539" t="s">
        <v>1624</v>
      </c>
      <c r="N5539">
        <v>30.39</v>
      </c>
      <c r="O5539" s="49">
        <v>45462</v>
      </c>
      <c r="P5539" s="50">
        <v>25.911000000000001</v>
      </c>
    </row>
    <row r="5540" spans="4:16" x14ac:dyDescent="0.2">
      <c r="D5540">
        <v>100003292</v>
      </c>
      <c r="E5540" s="49">
        <v>45151</v>
      </c>
      <c r="F5540" t="s">
        <v>4857</v>
      </c>
      <c r="G5540" t="s">
        <v>1699</v>
      </c>
      <c r="H5540">
        <v>2</v>
      </c>
      <c r="I5540">
        <v>14</v>
      </c>
      <c r="J5540" s="50">
        <v>28</v>
      </c>
      <c r="K5540" t="s">
        <v>1618</v>
      </c>
      <c r="M5540" t="s">
        <v>1621</v>
      </c>
      <c r="N5540">
        <v>7.39</v>
      </c>
      <c r="O5540" s="49">
        <v>45153</v>
      </c>
      <c r="P5540" s="50">
        <v>12.6</v>
      </c>
    </row>
    <row r="5541" spans="4:16" x14ac:dyDescent="0.2">
      <c r="D5541">
        <v>100003292</v>
      </c>
      <c r="E5541" s="49">
        <v>45035</v>
      </c>
      <c r="F5541" t="s">
        <v>4857</v>
      </c>
      <c r="G5541" t="s">
        <v>1631</v>
      </c>
      <c r="H5541">
        <v>1</v>
      </c>
      <c r="I5541">
        <v>11.57</v>
      </c>
      <c r="J5541" s="50">
        <v>11.57</v>
      </c>
      <c r="K5541" t="s">
        <v>1618</v>
      </c>
      <c r="M5541" t="s">
        <v>1627</v>
      </c>
      <c r="N5541">
        <v>6.11</v>
      </c>
      <c r="O5541" s="49">
        <v>45036</v>
      </c>
      <c r="P5541" s="50">
        <v>5.2065000000000001</v>
      </c>
    </row>
    <row r="5542" spans="4:16" x14ac:dyDescent="0.2">
      <c r="D5542">
        <v>100003292</v>
      </c>
      <c r="E5542" s="49">
        <v>44420</v>
      </c>
      <c r="F5542" t="s">
        <v>4857</v>
      </c>
      <c r="G5542" t="s">
        <v>2348</v>
      </c>
      <c r="H5542">
        <v>4</v>
      </c>
      <c r="I5542">
        <v>69.95</v>
      </c>
      <c r="J5542" s="50">
        <v>279.8</v>
      </c>
      <c r="K5542" t="s">
        <v>1618</v>
      </c>
      <c r="M5542" t="s">
        <v>1629</v>
      </c>
      <c r="N5542">
        <v>36.92</v>
      </c>
      <c r="O5542" s="49">
        <v>44422</v>
      </c>
      <c r="P5542" s="50">
        <v>125.91000000000001</v>
      </c>
    </row>
    <row r="5543" spans="4:16" x14ac:dyDescent="0.2">
      <c r="D5543">
        <v>100003292</v>
      </c>
      <c r="E5543" s="49">
        <v>44987</v>
      </c>
      <c r="F5543" t="s">
        <v>4857</v>
      </c>
      <c r="G5543" t="s">
        <v>1785</v>
      </c>
      <c r="H5543">
        <v>10</v>
      </c>
      <c r="I5543">
        <v>77.959999999999994</v>
      </c>
      <c r="J5543" s="50">
        <v>779.59999999999991</v>
      </c>
      <c r="K5543" t="s">
        <v>1618</v>
      </c>
      <c r="M5543" t="s">
        <v>1627</v>
      </c>
      <c r="N5543">
        <v>41.15</v>
      </c>
      <c r="O5543" s="49">
        <v>44992</v>
      </c>
      <c r="P5543" s="50">
        <v>350.82</v>
      </c>
    </row>
    <row r="5544" spans="4:16" x14ac:dyDescent="0.2">
      <c r="D5544">
        <v>100003292</v>
      </c>
      <c r="E5544" s="49">
        <v>45553</v>
      </c>
      <c r="F5544" t="s">
        <v>4857</v>
      </c>
      <c r="G5544" t="s">
        <v>1670</v>
      </c>
      <c r="H5544">
        <v>1</v>
      </c>
      <c r="I5544">
        <v>29.19</v>
      </c>
      <c r="J5544" s="50">
        <v>29.19</v>
      </c>
      <c r="K5544" t="s">
        <v>1618</v>
      </c>
      <c r="M5544" t="s">
        <v>1624</v>
      </c>
      <c r="N5544">
        <v>15.41</v>
      </c>
      <c r="O5544" s="49">
        <v>45557</v>
      </c>
      <c r="P5544" s="50">
        <v>13.1355</v>
      </c>
    </row>
    <row r="5545" spans="4:16" x14ac:dyDescent="0.2">
      <c r="D5545">
        <v>100003292</v>
      </c>
      <c r="E5545" s="49">
        <v>45372</v>
      </c>
      <c r="F5545" t="s">
        <v>4857</v>
      </c>
      <c r="G5545" t="s">
        <v>1787</v>
      </c>
      <c r="H5545">
        <v>4</v>
      </c>
      <c r="I5545">
        <v>71.540000000000006</v>
      </c>
      <c r="J5545" s="50">
        <v>286.16000000000003</v>
      </c>
      <c r="K5545" t="s">
        <v>1618</v>
      </c>
      <c r="M5545" t="s">
        <v>1619</v>
      </c>
      <c r="N5545">
        <v>37.76</v>
      </c>
      <c r="O5545" s="49">
        <v>45374</v>
      </c>
      <c r="P5545" s="50">
        <v>128.77200000000002</v>
      </c>
    </row>
    <row r="5546" spans="4:16" x14ac:dyDescent="0.2">
      <c r="D5546">
        <v>100003292</v>
      </c>
      <c r="E5546" s="49">
        <v>44712</v>
      </c>
      <c r="F5546" t="s">
        <v>4857</v>
      </c>
      <c r="G5546" t="s">
        <v>1702</v>
      </c>
      <c r="H5546">
        <v>6</v>
      </c>
      <c r="I5546">
        <v>24.79</v>
      </c>
      <c r="J5546" s="50">
        <v>148.74</v>
      </c>
      <c r="K5546" t="s">
        <v>1618</v>
      </c>
      <c r="M5546" t="s">
        <v>1629</v>
      </c>
      <c r="N5546">
        <v>13.08</v>
      </c>
      <c r="O5546" s="49">
        <v>44715</v>
      </c>
      <c r="P5546" s="50">
        <v>66.933000000000007</v>
      </c>
    </row>
    <row r="5547" spans="4:16" x14ac:dyDescent="0.2">
      <c r="D5547">
        <v>100003292</v>
      </c>
      <c r="E5547" s="49">
        <v>45463</v>
      </c>
      <c r="F5547" t="s">
        <v>4857</v>
      </c>
      <c r="G5547" t="s">
        <v>1645</v>
      </c>
      <c r="H5547">
        <v>3</v>
      </c>
      <c r="I5547">
        <v>57.76</v>
      </c>
      <c r="J5547" s="50">
        <v>173.28</v>
      </c>
      <c r="K5547" t="s">
        <v>1618</v>
      </c>
      <c r="M5547" t="s">
        <v>1624</v>
      </c>
      <c r="N5547">
        <v>30.48</v>
      </c>
      <c r="O5547" s="49">
        <v>45465</v>
      </c>
      <c r="P5547" s="50">
        <v>77.975999999999999</v>
      </c>
    </row>
    <row r="5548" spans="4:16" x14ac:dyDescent="0.2">
      <c r="D5548">
        <v>100003293</v>
      </c>
      <c r="E5548" s="49">
        <v>44427</v>
      </c>
      <c r="F5548" t="s">
        <v>4858</v>
      </c>
      <c r="G5548" t="s">
        <v>2099</v>
      </c>
      <c r="H5548">
        <v>5</v>
      </c>
      <c r="I5548">
        <v>107.3</v>
      </c>
      <c r="J5548" s="50">
        <v>536.5</v>
      </c>
      <c r="K5548" t="s">
        <v>1618</v>
      </c>
      <c r="L5548" t="s">
        <v>4859</v>
      </c>
      <c r="M5548" t="s">
        <v>1619</v>
      </c>
      <c r="N5548">
        <v>56.63</v>
      </c>
      <c r="O5548" s="49">
        <v>44432</v>
      </c>
      <c r="P5548" s="50">
        <v>241.42500000000001</v>
      </c>
    </row>
    <row r="5549" spans="4:16" x14ac:dyDescent="0.2">
      <c r="D5549">
        <v>100003293</v>
      </c>
      <c r="E5549" s="49">
        <v>45003</v>
      </c>
      <c r="F5549" t="s">
        <v>4858</v>
      </c>
      <c r="G5549" t="s">
        <v>1669</v>
      </c>
      <c r="H5549">
        <v>9</v>
      </c>
      <c r="I5549">
        <v>49.21</v>
      </c>
      <c r="J5549" s="50">
        <v>442.89</v>
      </c>
      <c r="K5549" t="s">
        <v>1618</v>
      </c>
      <c r="L5549" t="s">
        <v>4859</v>
      </c>
      <c r="M5549" t="s">
        <v>1627</v>
      </c>
      <c r="N5549">
        <v>25.97</v>
      </c>
      <c r="O5549" s="49">
        <v>45007</v>
      </c>
      <c r="P5549" s="50">
        <v>199.3005</v>
      </c>
    </row>
    <row r="5550" spans="4:16" x14ac:dyDescent="0.2">
      <c r="D5550">
        <v>100003294</v>
      </c>
      <c r="E5550" s="49">
        <v>44665</v>
      </c>
      <c r="F5550" t="s">
        <v>4766</v>
      </c>
      <c r="G5550" t="s">
        <v>1715</v>
      </c>
      <c r="H5550">
        <v>1</v>
      </c>
      <c r="I5550">
        <v>33.479999999999997</v>
      </c>
      <c r="J5550" s="50">
        <v>33.479999999999997</v>
      </c>
      <c r="K5550" t="s">
        <v>1618</v>
      </c>
      <c r="L5550" t="s">
        <v>4860</v>
      </c>
      <c r="M5550" t="s">
        <v>1629</v>
      </c>
      <c r="N5550">
        <v>17.670000000000002</v>
      </c>
      <c r="O5550" s="49">
        <v>44667</v>
      </c>
      <c r="P5550" s="50">
        <v>15.065999999999999</v>
      </c>
    </row>
    <row r="5551" spans="4:16" x14ac:dyDescent="0.2">
      <c r="D5551">
        <v>100003296</v>
      </c>
      <c r="E5551" s="49">
        <v>44281</v>
      </c>
      <c r="F5551" t="s">
        <v>4861</v>
      </c>
      <c r="G5551" t="s">
        <v>2393</v>
      </c>
      <c r="H5551">
        <v>5</v>
      </c>
      <c r="I5551">
        <v>105.38</v>
      </c>
      <c r="J5551" s="50">
        <v>526.9</v>
      </c>
      <c r="K5551" t="s">
        <v>1618</v>
      </c>
      <c r="M5551" t="s">
        <v>1621</v>
      </c>
      <c r="N5551">
        <v>55.62</v>
      </c>
      <c r="O5551" s="49">
        <v>44282</v>
      </c>
      <c r="P5551" s="50">
        <v>237.10499999999999</v>
      </c>
    </row>
    <row r="5552" spans="4:16" x14ac:dyDescent="0.2">
      <c r="D5552">
        <v>100003296</v>
      </c>
      <c r="E5552" s="49">
        <v>44886</v>
      </c>
      <c r="F5552" t="s">
        <v>4861</v>
      </c>
      <c r="G5552" t="s">
        <v>2057</v>
      </c>
      <c r="H5552">
        <v>9</v>
      </c>
      <c r="I5552">
        <v>67.319999999999993</v>
      </c>
      <c r="J5552" s="50">
        <v>605.87999999999988</v>
      </c>
      <c r="K5552" t="s">
        <v>1618</v>
      </c>
      <c r="M5552" t="s">
        <v>1621</v>
      </c>
      <c r="N5552">
        <v>35.53</v>
      </c>
      <c r="O5552" s="49">
        <v>44888</v>
      </c>
      <c r="P5552" s="50">
        <v>272.64599999999996</v>
      </c>
    </row>
    <row r="5553" spans="4:16" x14ac:dyDescent="0.2">
      <c r="D5553">
        <v>100003296</v>
      </c>
      <c r="E5553" s="49">
        <v>44902</v>
      </c>
      <c r="F5553" t="s">
        <v>4861</v>
      </c>
      <c r="G5553" t="s">
        <v>2658</v>
      </c>
      <c r="H5553">
        <v>2</v>
      </c>
      <c r="I5553">
        <v>105.82</v>
      </c>
      <c r="J5553" s="50">
        <v>211.64</v>
      </c>
      <c r="K5553" t="s">
        <v>1618</v>
      </c>
      <c r="M5553" t="s">
        <v>1619</v>
      </c>
      <c r="N5553">
        <v>55.85</v>
      </c>
      <c r="O5553" s="49">
        <v>44903</v>
      </c>
      <c r="P5553" s="50">
        <v>95.238</v>
      </c>
    </row>
    <row r="5554" spans="4:16" x14ac:dyDescent="0.2">
      <c r="D5554">
        <v>100003296</v>
      </c>
      <c r="E5554" s="49">
        <v>45555</v>
      </c>
      <c r="F5554" t="s">
        <v>4861</v>
      </c>
      <c r="G5554" t="s">
        <v>1666</v>
      </c>
      <c r="H5554">
        <v>8</v>
      </c>
      <c r="I5554">
        <v>116.62</v>
      </c>
      <c r="J5554" s="50">
        <v>932.96</v>
      </c>
      <c r="K5554" t="s">
        <v>1618</v>
      </c>
      <c r="M5554" t="s">
        <v>1621</v>
      </c>
      <c r="N5554">
        <v>61.55</v>
      </c>
      <c r="O5554" s="49">
        <v>45558</v>
      </c>
      <c r="P5554" s="50">
        <v>419.83200000000005</v>
      </c>
    </row>
    <row r="5555" spans="4:16" x14ac:dyDescent="0.2">
      <c r="D5555">
        <v>100003297</v>
      </c>
      <c r="E5555" s="49">
        <v>45647</v>
      </c>
      <c r="F5555" t="s">
        <v>4862</v>
      </c>
      <c r="G5555" t="s">
        <v>1727</v>
      </c>
      <c r="H5555">
        <v>8</v>
      </c>
      <c r="I5555">
        <v>65.260000000000005</v>
      </c>
      <c r="J5555" s="50">
        <v>522.08000000000004</v>
      </c>
      <c r="K5555" t="s">
        <v>1632</v>
      </c>
      <c r="M5555" t="s">
        <v>1627</v>
      </c>
      <c r="N5555">
        <v>34.44</v>
      </c>
      <c r="O5555" s="49">
        <v>45648</v>
      </c>
      <c r="P5555" s="50">
        <v>234.93600000000004</v>
      </c>
    </row>
    <row r="5556" spans="4:16" x14ac:dyDescent="0.2">
      <c r="D5556">
        <v>100003297</v>
      </c>
      <c r="E5556" s="49">
        <v>44338</v>
      </c>
      <c r="F5556" t="s">
        <v>4862</v>
      </c>
      <c r="G5556" t="s">
        <v>1655</v>
      </c>
      <c r="H5556">
        <v>10</v>
      </c>
      <c r="I5556">
        <v>74.62</v>
      </c>
      <c r="J5556" s="50">
        <v>746.2</v>
      </c>
      <c r="K5556" t="s">
        <v>1632</v>
      </c>
      <c r="M5556" t="s">
        <v>1624</v>
      </c>
      <c r="N5556">
        <v>39.380000000000003</v>
      </c>
      <c r="O5556" s="49">
        <v>44339</v>
      </c>
      <c r="P5556" s="50">
        <v>335.79</v>
      </c>
    </row>
    <row r="5557" spans="4:16" x14ac:dyDescent="0.2">
      <c r="D5557">
        <v>100003298</v>
      </c>
      <c r="E5557" s="49">
        <v>45114</v>
      </c>
      <c r="F5557" t="s">
        <v>4863</v>
      </c>
      <c r="G5557" t="s">
        <v>1945</v>
      </c>
      <c r="H5557">
        <v>10</v>
      </c>
      <c r="I5557">
        <v>26.35</v>
      </c>
      <c r="J5557" s="50">
        <v>263.5</v>
      </c>
      <c r="K5557" t="s">
        <v>1618</v>
      </c>
      <c r="M5557" t="s">
        <v>1621</v>
      </c>
      <c r="N5557">
        <v>13.91</v>
      </c>
      <c r="O5557" s="49">
        <v>45118</v>
      </c>
      <c r="P5557" s="50">
        <v>118.575</v>
      </c>
    </row>
    <row r="5558" spans="4:16" x14ac:dyDescent="0.2">
      <c r="D5558">
        <v>100003298</v>
      </c>
      <c r="E5558" s="49">
        <v>45273</v>
      </c>
      <c r="F5558" t="s">
        <v>4863</v>
      </c>
      <c r="G5558" t="s">
        <v>1990</v>
      </c>
      <c r="H5558">
        <v>5</v>
      </c>
      <c r="I5558">
        <v>101.28</v>
      </c>
      <c r="J5558" s="50">
        <v>506.4</v>
      </c>
      <c r="K5558" t="s">
        <v>1618</v>
      </c>
      <c r="M5558" t="s">
        <v>1621</v>
      </c>
      <c r="N5558">
        <v>53.45</v>
      </c>
      <c r="O5558" s="49">
        <v>45275</v>
      </c>
      <c r="P5558" s="50">
        <v>227.88</v>
      </c>
    </row>
    <row r="5559" spans="4:16" x14ac:dyDescent="0.2">
      <c r="D5559">
        <v>100003299</v>
      </c>
      <c r="E5559" s="49">
        <v>45341</v>
      </c>
      <c r="F5559" t="s">
        <v>4864</v>
      </c>
      <c r="G5559" t="s">
        <v>1748</v>
      </c>
      <c r="H5559">
        <v>8</v>
      </c>
      <c r="I5559">
        <v>19.3</v>
      </c>
      <c r="J5559" s="50">
        <v>154.4</v>
      </c>
      <c r="K5559" t="s">
        <v>1618</v>
      </c>
      <c r="M5559" t="s">
        <v>1621</v>
      </c>
      <c r="N5559">
        <v>10.19</v>
      </c>
      <c r="O5559" s="49">
        <v>45342</v>
      </c>
      <c r="P5559" s="50">
        <v>69.48</v>
      </c>
    </row>
    <row r="5560" spans="4:16" x14ac:dyDescent="0.2">
      <c r="D5560">
        <v>100003299</v>
      </c>
      <c r="E5560" s="49">
        <v>45176</v>
      </c>
      <c r="F5560" t="s">
        <v>4864</v>
      </c>
      <c r="G5560" t="s">
        <v>1752</v>
      </c>
      <c r="H5560">
        <v>5</v>
      </c>
      <c r="I5560">
        <v>47.04</v>
      </c>
      <c r="J5560" s="50">
        <v>235.2</v>
      </c>
      <c r="K5560" t="s">
        <v>1618</v>
      </c>
      <c r="M5560" t="s">
        <v>1621</v>
      </c>
      <c r="N5560">
        <v>24.83</v>
      </c>
      <c r="O5560" s="49">
        <v>45177</v>
      </c>
      <c r="P5560" s="50">
        <v>105.84</v>
      </c>
    </row>
    <row r="5561" spans="4:16" x14ac:dyDescent="0.2">
      <c r="D5561">
        <v>100003301</v>
      </c>
      <c r="E5561" s="49">
        <v>45332</v>
      </c>
      <c r="F5561" t="s">
        <v>4865</v>
      </c>
      <c r="G5561" t="s">
        <v>2103</v>
      </c>
      <c r="H5561">
        <v>1</v>
      </c>
      <c r="I5561">
        <v>117.25</v>
      </c>
      <c r="J5561" s="50">
        <v>117.25</v>
      </c>
      <c r="K5561" t="s">
        <v>1618</v>
      </c>
      <c r="M5561" t="s">
        <v>1621</v>
      </c>
      <c r="N5561">
        <v>61.88</v>
      </c>
      <c r="O5561" s="49">
        <v>45337</v>
      </c>
      <c r="P5561" s="50">
        <v>52.762500000000003</v>
      </c>
    </row>
    <row r="5562" spans="4:16" x14ac:dyDescent="0.2">
      <c r="D5562">
        <v>100003301</v>
      </c>
      <c r="E5562" s="49">
        <v>44975</v>
      </c>
      <c r="F5562" t="s">
        <v>4865</v>
      </c>
      <c r="G5562" t="s">
        <v>1939</v>
      </c>
      <c r="H5562">
        <v>1</v>
      </c>
      <c r="I5562">
        <v>69.89</v>
      </c>
      <c r="J5562" s="50">
        <v>69.89</v>
      </c>
      <c r="K5562" t="s">
        <v>1618</v>
      </c>
      <c r="M5562" t="s">
        <v>1619</v>
      </c>
      <c r="N5562">
        <v>36.89</v>
      </c>
      <c r="O5562" s="49">
        <v>44976</v>
      </c>
      <c r="P5562" s="50">
        <v>31.450500000000002</v>
      </c>
    </row>
    <row r="5563" spans="4:16" x14ac:dyDescent="0.2">
      <c r="D5563">
        <v>100003301</v>
      </c>
      <c r="E5563" s="49">
        <v>45486</v>
      </c>
      <c r="F5563" t="s">
        <v>4865</v>
      </c>
      <c r="G5563" t="s">
        <v>2121</v>
      </c>
      <c r="H5563">
        <v>10</v>
      </c>
      <c r="I5563">
        <v>44.89</v>
      </c>
      <c r="J5563" s="50">
        <v>448.9</v>
      </c>
      <c r="K5563" t="s">
        <v>1618</v>
      </c>
      <c r="M5563" t="s">
        <v>1624</v>
      </c>
      <c r="N5563">
        <v>23.69</v>
      </c>
      <c r="O5563" s="49">
        <v>45488</v>
      </c>
      <c r="P5563" s="50">
        <v>202.005</v>
      </c>
    </row>
    <row r="5564" spans="4:16" x14ac:dyDescent="0.2">
      <c r="D5564">
        <v>100003301</v>
      </c>
      <c r="E5564" s="49">
        <v>45019</v>
      </c>
      <c r="F5564" t="s">
        <v>4865</v>
      </c>
      <c r="G5564" t="s">
        <v>1738</v>
      </c>
      <c r="H5564">
        <v>2</v>
      </c>
      <c r="I5564">
        <v>43.69</v>
      </c>
      <c r="J5564" s="50">
        <v>87.38</v>
      </c>
      <c r="K5564" t="s">
        <v>1618</v>
      </c>
      <c r="M5564" t="s">
        <v>1619</v>
      </c>
      <c r="N5564">
        <v>23.06</v>
      </c>
      <c r="O5564" s="49">
        <v>45020</v>
      </c>
      <c r="P5564" s="50">
        <v>39.320999999999998</v>
      </c>
    </row>
    <row r="5565" spans="4:16" x14ac:dyDescent="0.2">
      <c r="D5565">
        <v>100003302</v>
      </c>
      <c r="E5565" s="49">
        <v>45602</v>
      </c>
      <c r="F5565" t="s">
        <v>4866</v>
      </c>
      <c r="G5565" t="s">
        <v>1882</v>
      </c>
      <c r="H5565">
        <v>5</v>
      </c>
      <c r="I5565">
        <v>44.63</v>
      </c>
      <c r="J5565" s="50">
        <v>223.15</v>
      </c>
      <c r="K5565" t="s">
        <v>1632</v>
      </c>
      <c r="M5565" t="s">
        <v>1621</v>
      </c>
      <c r="N5565">
        <v>23.55</v>
      </c>
      <c r="O5565" s="49">
        <v>45607</v>
      </c>
      <c r="P5565" s="50">
        <v>100.4175</v>
      </c>
    </row>
    <row r="5566" spans="4:16" x14ac:dyDescent="0.2">
      <c r="D5566">
        <v>100003302</v>
      </c>
      <c r="E5566" s="49">
        <v>44422</v>
      </c>
      <c r="F5566" t="s">
        <v>4866</v>
      </c>
      <c r="G5566" t="s">
        <v>1686</v>
      </c>
      <c r="H5566">
        <v>2</v>
      </c>
      <c r="I5566">
        <v>71.38</v>
      </c>
      <c r="J5566" s="50">
        <v>142.76</v>
      </c>
      <c r="K5566" t="s">
        <v>1632</v>
      </c>
      <c r="M5566" t="s">
        <v>1619</v>
      </c>
      <c r="N5566">
        <v>37.67</v>
      </c>
      <c r="O5566" s="49">
        <v>44423</v>
      </c>
      <c r="P5566" s="50">
        <v>64.242000000000004</v>
      </c>
    </row>
    <row r="5567" spans="4:16" x14ac:dyDescent="0.2">
      <c r="D5567">
        <v>100003304</v>
      </c>
      <c r="E5567" s="49">
        <v>44886</v>
      </c>
      <c r="F5567" t="s">
        <v>4867</v>
      </c>
      <c r="G5567" t="s">
        <v>1807</v>
      </c>
      <c r="H5567">
        <v>6</v>
      </c>
      <c r="I5567">
        <v>116.13</v>
      </c>
      <c r="J5567" s="50">
        <v>696.78</v>
      </c>
      <c r="K5567" t="s">
        <v>1618</v>
      </c>
      <c r="M5567" t="s">
        <v>1621</v>
      </c>
      <c r="N5567">
        <v>61.29</v>
      </c>
      <c r="O5567" s="49">
        <v>44887</v>
      </c>
      <c r="P5567" s="50">
        <v>313.55099999999999</v>
      </c>
    </row>
    <row r="5568" spans="4:16" x14ac:dyDescent="0.2">
      <c r="D5568">
        <v>100003304</v>
      </c>
      <c r="E5568" s="49">
        <v>45008</v>
      </c>
      <c r="F5568" t="s">
        <v>4867</v>
      </c>
      <c r="G5568" t="s">
        <v>1651</v>
      </c>
      <c r="H5568">
        <v>9</v>
      </c>
      <c r="I5568">
        <v>101.53</v>
      </c>
      <c r="J5568" s="50">
        <v>913.77</v>
      </c>
      <c r="K5568" t="s">
        <v>1618</v>
      </c>
      <c r="M5568" t="s">
        <v>1624</v>
      </c>
      <c r="N5568">
        <v>53.58</v>
      </c>
      <c r="O5568" s="49">
        <v>45009</v>
      </c>
      <c r="P5568" s="50">
        <v>411.19650000000001</v>
      </c>
    </row>
    <row r="5569" spans="4:16" x14ac:dyDescent="0.2">
      <c r="D5569">
        <v>100003304</v>
      </c>
      <c r="E5569" s="49">
        <v>45027</v>
      </c>
      <c r="F5569" t="s">
        <v>4867</v>
      </c>
      <c r="G5569" t="s">
        <v>1859</v>
      </c>
      <c r="H5569">
        <v>8</v>
      </c>
      <c r="I5569">
        <v>62.95</v>
      </c>
      <c r="J5569" s="50">
        <v>503.6</v>
      </c>
      <c r="K5569" t="s">
        <v>1618</v>
      </c>
      <c r="M5569" t="s">
        <v>1621</v>
      </c>
      <c r="N5569">
        <v>33.22</v>
      </c>
      <c r="O5569" s="49">
        <v>45029</v>
      </c>
      <c r="P5569" s="50">
        <v>226.62</v>
      </c>
    </row>
    <row r="5570" spans="4:16" x14ac:dyDescent="0.2">
      <c r="D5570">
        <v>100003304</v>
      </c>
      <c r="E5570" s="49">
        <v>44509</v>
      </c>
      <c r="F5570" t="s">
        <v>4867</v>
      </c>
      <c r="G5570" t="s">
        <v>2174</v>
      </c>
      <c r="H5570">
        <v>2</v>
      </c>
      <c r="I5570">
        <v>51.78</v>
      </c>
      <c r="J5570" s="50">
        <v>103.56</v>
      </c>
      <c r="K5570" t="s">
        <v>1618</v>
      </c>
      <c r="M5570" t="s">
        <v>1624</v>
      </c>
      <c r="N5570">
        <v>27.33</v>
      </c>
      <c r="O5570" s="49">
        <v>44511</v>
      </c>
      <c r="P5570" s="50">
        <v>46.602000000000004</v>
      </c>
    </row>
    <row r="5571" spans="4:16" x14ac:dyDescent="0.2">
      <c r="D5571">
        <v>100003305</v>
      </c>
      <c r="E5571" s="49">
        <v>44419</v>
      </c>
      <c r="F5571" t="s">
        <v>4868</v>
      </c>
      <c r="G5571" t="s">
        <v>2130</v>
      </c>
      <c r="H5571">
        <v>3</v>
      </c>
      <c r="I5571">
        <v>94.4</v>
      </c>
      <c r="J5571" s="50">
        <v>283.2</v>
      </c>
      <c r="K5571" t="s">
        <v>1632</v>
      </c>
      <c r="M5571" t="s">
        <v>1621</v>
      </c>
      <c r="N5571">
        <v>49.82</v>
      </c>
      <c r="O5571" s="49">
        <v>44420</v>
      </c>
      <c r="P5571" s="50">
        <v>127.44</v>
      </c>
    </row>
    <row r="5572" spans="4:16" x14ac:dyDescent="0.2">
      <c r="D5572">
        <v>100003307</v>
      </c>
      <c r="E5572" s="49">
        <v>44259</v>
      </c>
      <c r="F5572" t="s">
        <v>4869</v>
      </c>
      <c r="G5572" t="s">
        <v>1868</v>
      </c>
      <c r="H5572">
        <v>1</v>
      </c>
      <c r="I5572">
        <v>96.06</v>
      </c>
      <c r="J5572" s="50">
        <v>96.06</v>
      </c>
      <c r="K5572" t="s">
        <v>1632</v>
      </c>
      <c r="M5572" t="s">
        <v>1619</v>
      </c>
      <c r="N5572">
        <v>50.7</v>
      </c>
      <c r="O5572" s="49">
        <v>44260</v>
      </c>
      <c r="P5572" s="50">
        <v>43.227000000000004</v>
      </c>
    </row>
    <row r="5573" spans="4:16" x14ac:dyDescent="0.2">
      <c r="D5573">
        <v>100003308</v>
      </c>
      <c r="E5573" s="49">
        <v>45067</v>
      </c>
      <c r="F5573" t="s">
        <v>4870</v>
      </c>
      <c r="G5573" t="s">
        <v>2150</v>
      </c>
      <c r="H5573">
        <v>4</v>
      </c>
      <c r="I5573">
        <v>81.23</v>
      </c>
      <c r="J5573" s="50">
        <v>324.92</v>
      </c>
      <c r="K5573" t="s">
        <v>1618</v>
      </c>
      <c r="M5573" t="s">
        <v>1629</v>
      </c>
      <c r="N5573">
        <v>42.87</v>
      </c>
      <c r="O5573" s="49">
        <v>45068</v>
      </c>
      <c r="P5573" s="50">
        <v>146.214</v>
      </c>
    </row>
    <row r="5574" spans="4:16" x14ac:dyDescent="0.2">
      <c r="D5574">
        <v>100003309</v>
      </c>
      <c r="E5574" s="49">
        <v>44230</v>
      </c>
      <c r="F5574" t="s">
        <v>4871</v>
      </c>
      <c r="G5574" t="s">
        <v>1647</v>
      </c>
      <c r="H5574">
        <v>4</v>
      </c>
      <c r="I5574">
        <v>12.09</v>
      </c>
      <c r="J5574" s="50">
        <v>48.36</v>
      </c>
      <c r="K5574" t="s">
        <v>1618</v>
      </c>
      <c r="L5574" t="s">
        <v>4872</v>
      </c>
      <c r="M5574" t="s">
        <v>1627</v>
      </c>
      <c r="N5574">
        <v>6.38</v>
      </c>
      <c r="O5574" s="49">
        <v>44232</v>
      </c>
      <c r="P5574" s="50">
        <v>21.762</v>
      </c>
    </row>
    <row r="5575" spans="4:16" x14ac:dyDescent="0.2">
      <c r="D5575">
        <v>100003310</v>
      </c>
      <c r="E5575" s="49">
        <v>44609</v>
      </c>
      <c r="F5575" t="s">
        <v>4873</v>
      </c>
      <c r="G5575" t="s">
        <v>2390</v>
      </c>
      <c r="H5575">
        <v>9</v>
      </c>
      <c r="I5575">
        <v>82.96</v>
      </c>
      <c r="J5575" s="50">
        <v>746.64</v>
      </c>
      <c r="K5575" t="s">
        <v>1618</v>
      </c>
      <c r="M5575" t="s">
        <v>1624</v>
      </c>
      <c r="N5575">
        <v>43.78</v>
      </c>
      <c r="O5575" s="49">
        <v>44611</v>
      </c>
      <c r="P5575" s="50">
        <v>335.988</v>
      </c>
    </row>
    <row r="5576" spans="4:16" x14ac:dyDescent="0.2">
      <c r="D5576">
        <v>100003310</v>
      </c>
      <c r="E5576" s="49">
        <v>45534</v>
      </c>
      <c r="F5576" t="s">
        <v>4873</v>
      </c>
      <c r="G5576" t="s">
        <v>1758</v>
      </c>
      <c r="H5576">
        <v>2</v>
      </c>
      <c r="I5576">
        <v>43.23</v>
      </c>
      <c r="J5576" s="50">
        <v>86.46</v>
      </c>
      <c r="K5576" t="s">
        <v>1618</v>
      </c>
      <c r="M5576" t="s">
        <v>1624</v>
      </c>
      <c r="N5576">
        <v>22.82</v>
      </c>
      <c r="O5576" s="49">
        <v>45538</v>
      </c>
      <c r="P5576" s="50">
        <v>38.906999999999996</v>
      </c>
    </row>
    <row r="5577" spans="4:16" x14ac:dyDescent="0.2">
      <c r="D5577">
        <v>100003313</v>
      </c>
      <c r="E5577" s="49">
        <v>44996</v>
      </c>
      <c r="F5577" t="s">
        <v>4874</v>
      </c>
      <c r="G5577" t="s">
        <v>2372</v>
      </c>
      <c r="H5577">
        <v>6</v>
      </c>
      <c r="I5577">
        <v>94.69</v>
      </c>
      <c r="J5577" s="50">
        <v>568.14</v>
      </c>
      <c r="K5577" t="s">
        <v>1618</v>
      </c>
      <c r="L5577" t="s">
        <v>2320</v>
      </c>
      <c r="M5577" t="s">
        <v>1621</v>
      </c>
      <c r="N5577">
        <v>49.97</v>
      </c>
      <c r="O5577" s="49">
        <v>45001</v>
      </c>
      <c r="P5577" s="50">
        <v>255.66300000000001</v>
      </c>
    </row>
    <row r="5578" spans="4:16" x14ac:dyDescent="0.2">
      <c r="D5578">
        <v>100003314</v>
      </c>
      <c r="E5578" s="49">
        <v>44561</v>
      </c>
      <c r="F5578" t="s">
        <v>4875</v>
      </c>
      <c r="G5578" t="s">
        <v>1904</v>
      </c>
      <c r="H5578">
        <v>3</v>
      </c>
      <c r="I5578">
        <v>78.95</v>
      </c>
      <c r="J5578" s="50">
        <v>236.85</v>
      </c>
      <c r="K5578" t="s">
        <v>1632</v>
      </c>
      <c r="M5578" t="s">
        <v>1624</v>
      </c>
      <c r="N5578">
        <v>41.67</v>
      </c>
      <c r="O5578" s="49">
        <v>44563</v>
      </c>
      <c r="P5578" s="50">
        <v>106.5825</v>
      </c>
    </row>
    <row r="5579" spans="4:16" x14ac:dyDescent="0.2">
      <c r="D5579">
        <v>100003315</v>
      </c>
      <c r="E5579" s="49">
        <v>44514</v>
      </c>
      <c r="F5579" t="s">
        <v>4876</v>
      </c>
      <c r="G5579" t="s">
        <v>1719</v>
      </c>
      <c r="H5579">
        <v>5</v>
      </c>
      <c r="I5579">
        <v>46.67</v>
      </c>
      <c r="J5579" s="50">
        <v>233.35</v>
      </c>
      <c r="K5579" t="s">
        <v>1618</v>
      </c>
      <c r="M5579" t="s">
        <v>1619</v>
      </c>
      <c r="N5579">
        <v>24.63</v>
      </c>
      <c r="O5579" s="49">
        <v>44516</v>
      </c>
      <c r="P5579" s="50">
        <v>105.00749999999999</v>
      </c>
    </row>
    <row r="5580" spans="4:16" x14ac:dyDescent="0.2">
      <c r="D5580">
        <v>100003315</v>
      </c>
      <c r="E5580" s="49">
        <v>44290</v>
      </c>
      <c r="F5580" t="s">
        <v>4876</v>
      </c>
      <c r="G5580" t="s">
        <v>1737</v>
      </c>
      <c r="H5580">
        <v>9</v>
      </c>
      <c r="I5580">
        <v>33.57</v>
      </c>
      <c r="J5580" s="50">
        <v>302.13</v>
      </c>
      <c r="K5580" t="s">
        <v>1618</v>
      </c>
      <c r="M5580" t="s">
        <v>1621</v>
      </c>
      <c r="N5580">
        <v>17.72</v>
      </c>
      <c r="O5580" s="49">
        <v>44293</v>
      </c>
      <c r="P5580" s="50">
        <v>135.95850000000002</v>
      </c>
    </row>
    <row r="5581" spans="4:16" x14ac:dyDescent="0.2">
      <c r="D5581">
        <v>100003316</v>
      </c>
      <c r="E5581" s="49">
        <v>44291</v>
      </c>
      <c r="F5581" t="s">
        <v>4877</v>
      </c>
      <c r="G5581" t="s">
        <v>1675</v>
      </c>
      <c r="H5581">
        <v>2</v>
      </c>
      <c r="I5581">
        <v>105.54</v>
      </c>
      <c r="J5581" s="50">
        <v>211.08</v>
      </c>
      <c r="K5581" t="s">
        <v>1618</v>
      </c>
      <c r="M5581" t="s">
        <v>1629</v>
      </c>
      <c r="N5581">
        <v>55.7</v>
      </c>
      <c r="O5581" s="49">
        <v>44293</v>
      </c>
      <c r="P5581" s="50">
        <v>94.986000000000004</v>
      </c>
    </row>
    <row r="5582" spans="4:16" x14ac:dyDescent="0.2">
      <c r="D5582">
        <v>100003316</v>
      </c>
      <c r="E5582" s="49">
        <v>45329</v>
      </c>
      <c r="F5582" t="s">
        <v>4877</v>
      </c>
      <c r="G5582" t="s">
        <v>2159</v>
      </c>
      <c r="H5582">
        <v>8</v>
      </c>
      <c r="I5582">
        <v>113.24</v>
      </c>
      <c r="J5582" s="50">
        <v>905.92</v>
      </c>
      <c r="K5582" t="s">
        <v>1618</v>
      </c>
      <c r="M5582" t="s">
        <v>1627</v>
      </c>
      <c r="N5582">
        <v>59.77</v>
      </c>
      <c r="O5582" s="49">
        <v>45332</v>
      </c>
      <c r="P5582" s="50">
        <v>407.66399999999999</v>
      </c>
    </row>
    <row r="5583" spans="4:16" x14ac:dyDescent="0.2">
      <c r="D5583">
        <v>100003317</v>
      </c>
      <c r="E5583" s="49">
        <v>44490</v>
      </c>
      <c r="F5583" t="s">
        <v>4878</v>
      </c>
      <c r="G5583" t="s">
        <v>1674</v>
      </c>
      <c r="H5583">
        <v>2</v>
      </c>
      <c r="I5583">
        <v>108.46</v>
      </c>
      <c r="J5583" s="50">
        <v>216.92</v>
      </c>
      <c r="K5583" t="s">
        <v>1618</v>
      </c>
      <c r="M5583" t="s">
        <v>1627</v>
      </c>
      <c r="N5583">
        <v>57.24</v>
      </c>
      <c r="O5583" s="49">
        <v>44491</v>
      </c>
      <c r="P5583" s="50">
        <v>97.61399999999999</v>
      </c>
    </row>
    <row r="5584" spans="4:16" x14ac:dyDescent="0.2">
      <c r="D5584">
        <v>100003317</v>
      </c>
      <c r="E5584" s="49">
        <v>45654</v>
      </c>
      <c r="F5584" t="s">
        <v>4878</v>
      </c>
      <c r="G5584" t="s">
        <v>2344</v>
      </c>
      <c r="H5584">
        <v>8</v>
      </c>
      <c r="I5584">
        <v>17.68</v>
      </c>
      <c r="J5584" s="50">
        <v>141.44</v>
      </c>
      <c r="K5584" t="s">
        <v>1618</v>
      </c>
      <c r="M5584" t="s">
        <v>1629</v>
      </c>
      <c r="N5584">
        <v>9.33</v>
      </c>
      <c r="O5584" s="49">
        <v>45657</v>
      </c>
      <c r="P5584" s="50">
        <v>63.648000000000003</v>
      </c>
    </row>
    <row r="5585" spans="4:16" x14ac:dyDescent="0.2">
      <c r="D5585">
        <v>100003317</v>
      </c>
      <c r="E5585" s="49">
        <v>44892</v>
      </c>
      <c r="F5585" t="s">
        <v>4878</v>
      </c>
      <c r="G5585" t="s">
        <v>1729</v>
      </c>
      <c r="H5585">
        <v>3</v>
      </c>
      <c r="I5585">
        <v>23.38</v>
      </c>
      <c r="J5585" s="50">
        <v>70.14</v>
      </c>
      <c r="K5585" t="s">
        <v>1618</v>
      </c>
      <c r="M5585" t="s">
        <v>1619</v>
      </c>
      <c r="N5585">
        <v>12.34</v>
      </c>
      <c r="O5585" s="49">
        <v>44894</v>
      </c>
      <c r="P5585" s="50">
        <v>31.563000000000002</v>
      </c>
    </row>
    <row r="5586" spans="4:16" x14ac:dyDescent="0.2">
      <c r="D5586">
        <v>100003319</v>
      </c>
      <c r="E5586" s="49">
        <v>45044</v>
      </c>
      <c r="F5586" t="s">
        <v>4879</v>
      </c>
      <c r="G5586" t="s">
        <v>1775</v>
      </c>
      <c r="H5586">
        <v>9</v>
      </c>
      <c r="I5586">
        <v>53.67</v>
      </c>
      <c r="J5586" s="50">
        <v>483.03</v>
      </c>
      <c r="K5586" t="s">
        <v>1618</v>
      </c>
      <c r="L5586" t="s">
        <v>4880</v>
      </c>
      <c r="M5586" t="s">
        <v>1619</v>
      </c>
      <c r="N5586">
        <v>28.33</v>
      </c>
      <c r="O5586" s="49">
        <v>45045</v>
      </c>
      <c r="P5586" s="50">
        <v>217.36349999999999</v>
      </c>
    </row>
    <row r="5587" spans="4:16" x14ac:dyDescent="0.2">
      <c r="D5587">
        <v>100003320</v>
      </c>
      <c r="E5587" s="49">
        <v>44951</v>
      </c>
      <c r="F5587" t="s">
        <v>4881</v>
      </c>
      <c r="G5587" t="s">
        <v>1723</v>
      </c>
      <c r="H5587">
        <v>3</v>
      </c>
      <c r="I5587">
        <v>85.02</v>
      </c>
      <c r="J5587" s="50">
        <v>255.06</v>
      </c>
      <c r="K5587" t="s">
        <v>1618</v>
      </c>
      <c r="M5587" t="s">
        <v>1621</v>
      </c>
      <c r="N5587">
        <v>44.87</v>
      </c>
      <c r="O5587" s="49">
        <v>44952</v>
      </c>
      <c r="P5587" s="50">
        <v>114.777</v>
      </c>
    </row>
    <row r="5588" spans="4:16" x14ac:dyDescent="0.2">
      <c r="D5588">
        <v>100003320</v>
      </c>
      <c r="E5588" s="49">
        <v>45260</v>
      </c>
      <c r="F5588" t="s">
        <v>4881</v>
      </c>
      <c r="G5588" t="s">
        <v>1767</v>
      </c>
      <c r="H5588">
        <v>4</v>
      </c>
      <c r="I5588">
        <v>55.28</v>
      </c>
      <c r="J5588" s="50">
        <v>221.12</v>
      </c>
      <c r="K5588" t="s">
        <v>1618</v>
      </c>
      <c r="M5588" t="s">
        <v>1621</v>
      </c>
      <c r="N5588">
        <v>29.18</v>
      </c>
      <c r="O5588" s="49">
        <v>45261</v>
      </c>
      <c r="P5588" s="50">
        <v>99.504000000000005</v>
      </c>
    </row>
    <row r="5589" spans="4:16" x14ac:dyDescent="0.2">
      <c r="D5589">
        <v>100003322</v>
      </c>
      <c r="E5589" s="49">
        <v>44374</v>
      </c>
      <c r="F5589" t="s">
        <v>4882</v>
      </c>
      <c r="G5589" t="s">
        <v>2603</v>
      </c>
      <c r="H5589">
        <v>3</v>
      </c>
      <c r="I5589">
        <v>16.84</v>
      </c>
      <c r="J5589" s="50">
        <v>50.52</v>
      </c>
      <c r="K5589" t="s">
        <v>1618</v>
      </c>
      <c r="M5589" t="s">
        <v>1621</v>
      </c>
      <c r="N5589">
        <v>8.89</v>
      </c>
      <c r="O5589" s="49">
        <v>44376</v>
      </c>
      <c r="P5589" s="50">
        <v>22.734000000000002</v>
      </c>
    </row>
    <row r="5590" spans="4:16" x14ac:dyDescent="0.2">
      <c r="D5590">
        <v>100003322</v>
      </c>
      <c r="E5590" s="49">
        <v>45252</v>
      </c>
      <c r="F5590" t="s">
        <v>4882</v>
      </c>
      <c r="G5590" t="s">
        <v>1643</v>
      </c>
      <c r="H5590">
        <v>3</v>
      </c>
      <c r="I5590">
        <v>41.16</v>
      </c>
      <c r="J5590" s="50">
        <v>123.48</v>
      </c>
      <c r="K5590" t="s">
        <v>1618</v>
      </c>
      <c r="M5590" t="s">
        <v>1621</v>
      </c>
      <c r="N5590">
        <v>21.72</v>
      </c>
      <c r="O5590" s="49">
        <v>45253</v>
      </c>
      <c r="P5590" s="50">
        <v>55.566000000000003</v>
      </c>
    </row>
    <row r="5591" spans="4:16" x14ac:dyDescent="0.2">
      <c r="D5591">
        <v>100003323</v>
      </c>
      <c r="E5591" s="49">
        <v>45531</v>
      </c>
      <c r="F5591" t="s">
        <v>4883</v>
      </c>
      <c r="G5591" t="s">
        <v>1699</v>
      </c>
      <c r="H5591">
        <v>4</v>
      </c>
      <c r="I5591">
        <v>45.07</v>
      </c>
      <c r="J5591" s="50">
        <v>180.28</v>
      </c>
      <c r="K5591" t="s">
        <v>1618</v>
      </c>
      <c r="M5591" t="s">
        <v>1629</v>
      </c>
      <c r="N5591">
        <v>23.79</v>
      </c>
      <c r="O5591" s="49">
        <v>45532</v>
      </c>
      <c r="P5591" s="50">
        <v>81.126000000000005</v>
      </c>
    </row>
    <row r="5592" spans="4:16" x14ac:dyDescent="0.2">
      <c r="D5592">
        <v>100003323</v>
      </c>
      <c r="E5592" s="49">
        <v>45055</v>
      </c>
      <c r="F5592" t="s">
        <v>4883</v>
      </c>
      <c r="G5592" t="s">
        <v>2134</v>
      </c>
      <c r="H5592">
        <v>10</v>
      </c>
      <c r="I5592">
        <v>100.89</v>
      </c>
      <c r="J5592" s="50">
        <v>1008.9</v>
      </c>
      <c r="K5592" t="s">
        <v>1618</v>
      </c>
      <c r="M5592" t="s">
        <v>1627</v>
      </c>
      <c r="N5592">
        <v>53.25</v>
      </c>
      <c r="O5592" s="49">
        <v>45057</v>
      </c>
      <c r="P5592" s="50">
        <v>454.005</v>
      </c>
    </row>
    <row r="5593" spans="4:16" x14ac:dyDescent="0.2">
      <c r="D5593">
        <v>100003325</v>
      </c>
      <c r="E5593" s="49">
        <v>44800</v>
      </c>
      <c r="F5593" t="s">
        <v>4884</v>
      </c>
      <c r="G5593" t="s">
        <v>2041</v>
      </c>
      <c r="H5593">
        <v>10</v>
      </c>
      <c r="I5593">
        <v>107.21</v>
      </c>
      <c r="J5593" s="50">
        <v>1072.0999999999999</v>
      </c>
      <c r="K5593" t="s">
        <v>1632</v>
      </c>
      <c r="M5593" t="s">
        <v>1621</v>
      </c>
      <c r="N5593">
        <v>56.58</v>
      </c>
      <c r="O5593" s="49">
        <v>44805</v>
      </c>
      <c r="P5593" s="50">
        <v>482.44499999999999</v>
      </c>
    </row>
    <row r="5594" spans="4:16" x14ac:dyDescent="0.2">
      <c r="D5594">
        <v>100003326</v>
      </c>
      <c r="E5594" s="49">
        <v>45397</v>
      </c>
      <c r="F5594" t="s">
        <v>4885</v>
      </c>
      <c r="G5594" t="s">
        <v>1737</v>
      </c>
      <c r="H5594">
        <v>9</v>
      </c>
      <c r="I5594">
        <v>48.29</v>
      </c>
      <c r="J5594" s="50">
        <v>434.61</v>
      </c>
      <c r="K5594" t="s">
        <v>1618</v>
      </c>
      <c r="M5594" t="s">
        <v>1629</v>
      </c>
      <c r="N5594">
        <v>25.49</v>
      </c>
      <c r="O5594" s="49">
        <v>45398</v>
      </c>
      <c r="P5594" s="50">
        <v>195.5745</v>
      </c>
    </row>
    <row r="5595" spans="4:16" x14ac:dyDescent="0.2">
      <c r="D5595">
        <v>100003327</v>
      </c>
      <c r="E5595" s="49">
        <v>45342</v>
      </c>
      <c r="F5595" t="s">
        <v>4886</v>
      </c>
      <c r="G5595" t="s">
        <v>2692</v>
      </c>
      <c r="H5595">
        <v>10</v>
      </c>
      <c r="I5595">
        <v>55.09</v>
      </c>
      <c r="J5595" s="50">
        <v>550.90000000000009</v>
      </c>
      <c r="K5595" t="s">
        <v>1632</v>
      </c>
      <c r="M5595" t="s">
        <v>1621</v>
      </c>
      <c r="N5595">
        <v>29.08</v>
      </c>
      <c r="O5595" s="49">
        <v>45346</v>
      </c>
      <c r="P5595" s="50">
        <v>247.90500000000006</v>
      </c>
    </row>
    <row r="5596" spans="4:16" x14ac:dyDescent="0.2">
      <c r="D5596">
        <v>100003327</v>
      </c>
      <c r="E5596" s="49">
        <v>44857</v>
      </c>
      <c r="F5596" t="s">
        <v>4886</v>
      </c>
      <c r="G5596" t="s">
        <v>1661</v>
      </c>
      <c r="H5596">
        <v>9</v>
      </c>
      <c r="I5596">
        <v>77.5</v>
      </c>
      <c r="J5596" s="50">
        <v>697.5</v>
      </c>
      <c r="K5596" t="s">
        <v>1632</v>
      </c>
      <c r="M5596" t="s">
        <v>1627</v>
      </c>
      <c r="N5596">
        <v>40.9</v>
      </c>
      <c r="O5596" s="49">
        <v>44858</v>
      </c>
      <c r="P5596" s="50">
        <v>313.875</v>
      </c>
    </row>
    <row r="5597" spans="4:16" x14ac:dyDescent="0.2">
      <c r="D5597">
        <v>100003327</v>
      </c>
      <c r="E5597" s="49">
        <v>45511</v>
      </c>
      <c r="F5597" t="s">
        <v>4886</v>
      </c>
      <c r="G5597" t="s">
        <v>1714</v>
      </c>
      <c r="H5597">
        <v>1</v>
      </c>
      <c r="I5597">
        <v>66.17</v>
      </c>
      <c r="J5597" s="50">
        <v>66.17</v>
      </c>
      <c r="K5597" t="s">
        <v>1632</v>
      </c>
      <c r="M5597" t="s">
        <v>1624</v>
      </c>
      <c r="N5597">
        <v>34.92</v>
      </c>
      <c r="O5597" s="49">
        <v>45513</v>
      </c>
      <c r="P5597" s="50">
        <v>29.776500000000002</v>
      </c>
    </row>
    <row r="5598" spans="4:16" x14ac:dyDescent="0.2">
      <c r="D5598">
        <v>100003327</v>
      </c>
      <c r="E5598" s="49">
        <v>45497</v>
      </c>
      <c r="F5598" t="s">
        <v>4886</v>
      </c>
      <c r="G5598" t="s">
        <v>2372</v>
      </c>
      <c r="H5598">
        <v>1</v>
      </c>
      <c r="I5598">
        <v>65.83</v>
      </c>
      <c r="J5598" s="50">
        <v>65.83</v>
      </c>
      <c r="K5598" t="s">
        <v>1632</v>
      </c>
      <c r="M5598" t="s">
        <v>1619</v>
      </c>
      <c r="N5598">
        <v>34.74</v>
      </c>
      <c r="O5598" s="49">
        <v>45500</v>
      </c>
      <c r="P5598" s="50">
        <v>29.6235</v>
      </c>
    </row>
    <row r="5599" spans="4:16" x14ac:dyDescent="0.2">
      <c r="D5599">
        <v>100003327</v>
      </c>
      <c r="E5599" s="49">
        <v>45361</v>
      </c>
      <c r="F5599" t="s">
        <v>4886</v>
      </c>
      <c r="G5599" t="s">
        <v>1739</v>
      </c>
      <c r="H5599">
        <v>2</v>
      </c>
      <c r="I5599">
        <v>91.35</v>
      </c>
      <c r="J5599" s="50">
        <v>182.7</v>
      </c>
      <c r="K5599" t="s">
        <v>1632</v>
      </c>
      <c r="M5599" t="s">
        <v>1624</v>
      </c>
      <c r="N5599">
        <v>48.21</v>
      </c>
      <c r="O5599" s="49">
        <v>45366</v>
      </c>
      <c r="P5599" s="50">
        <v>82.215000000000003</v>
      </c>
    </row>
    <row r="5600" spans="4:16" x14ac:dyDescent="0.2">
      <c r="D5600">
        <v>100003327</v>
      </c>
      <c r="E5600" s="49">
        <v>44948</v>
      </c>
      <c r="F5600" t="s">
        <v>4886</v>
      </c>
      <c r="G5600" t="s">
        <v>2068</v>
      </c>
      <c r="H5600">
        <v>9</v>
      </c>
      <c r="I5600">
        <v>16.420000000000002</v>
      </c>
      <c r="J5600" s="50">
        <v>147.78</v>
      </c>
      <c r="K5600" t="s">
        <v>1632</v>
      </c>
      <c r="M5600" t="s">
        <v>1619</v>
      </c>
      <c r="N5600">
        <v>8.67</v>
      </c>
      <c r="O5600" s="49">
        <v>44953</v>
      </c>
      <c r="P5600" s="50">
        <v>66.501000000000005</v>
      </c>
    </row>
    <row r="5601" spans="4:16" x14ac:dyDescent="0.2">
      <c r="D5601">
        <v>100003327</v>
      </c>
      <c r="E5601" s="49">
        <v>44762</v>
      </c>
      <c r="F5601" t="s">
        <v>4886</v>
      </c>
      <c r="G5601" t="s">
        <v>2344</v>
      </c>
      <c r="H5601">
        <v>6</v>
      </c>
      <c r="I5601">
        <v>84.46</v>
      </c>
      <c r="J5601" s="50">
        <v>506.76</v>
      </c>
      <c r="K5601" t="s">
        <v>1632</v>
      </c>
      <c r="M5601" t="s">
        <v>1629</v>
      </c>
      <c r="N5601">
        <v>44.58</v>
      </c>
      <c r="O5601" s="49">
        <v>44765</v>
      </c>
      <c r="P5601" s="50">
        <v>228.042</v>
      </c>
    </row>
    <row r="5602" spans="4:16" x14ac:dyDescent="0.2">
      <c r="D5602">
        <v>100003328</v>
      </c>
      <c r="E5602" s="49">
        <v>44418</v>
      </c>
      <c r="F5602" t="s">
        <v>4887</v>
      </c>
      <c r="G5602" t="s">
        <v>2048</v>
      </c>
      <c r="H5602">
        <v>8</v>
      </c>
      <c r="I5602">
        <v>107.32</v>
      </c>
      <c r="J5602" s="50">
        <v>858.56</v>
      </c>
      <c r="K5602" t="s">
        <v>1632</v>
      </c>
      <c r="M5602" t="s">
        <v>1624</v>
      </c>
      <c r="N5602">
        <v>56.64</v>
      </c>
      <c r="O5602" s="49">
        <v>44421</v>
      </c>
      <c r="P5602" s="50">
        <v>386.35199999999998</v>
      </c>
    </row>
    <row r="5603" spans="4:16" x14ac:dyDescent="0.2">
      <c r="D5603">
        <v>100003328</v>
      </c>
      <c r="E5603" s="49">
        <v>45340</v>
      </c>
      <c r="F5603" t="s">
        <v>4887</v>
      </c>
      <c r="G5603" t="s">
        <v>2485</v>
      </c>
      <c r="H5603">
        <v>5</v>
      </c>
      <c r="I5603">
        <v>18.09</v>
      </c>
      <c r="J5603" s="50">
        <v>90.45</v>
      </c>
      <c r="K5603" t="s">
        <v>1632</v>
      </c>
      <c r="M5603" t="s">
        <v>1629</v>
      </c>
      <c r="N5603">
        <v>9.5500000000000007</v>
      </c>
      <c r="O5603" s="49">
        <v>45343</v>
      </c>
      <c r="P5603" s="50">
        <v>40.702500000000001</v>
      </c>
    </row>
    <row r="5604" spans="4:16" x14ac:dyDescent="0.2">
      <c r="D5604">
        <v>100003329</v>
      </c>
      <c r="E5604" s="49">
        <v>44239</v>
      </c>
      <c r="F5604" t="s">
        <v>4888</v>
      </c>
      <c r="G5604" t="s">
        <v>2514</v>
      </c>
      <c r="H5604">
        <v>8</v>
      </c>
      <c r="I5604">
        <v>105.27</v>
      </c>
      <c r="J5604" s="50">
        <v>842.16</v>
      </c>
      <c r="K5604" t="s">
        <v>1618</v>
      </c>
      <c r="M5604" t="s">
        <v>1621</v>
      </c>
      <c r="N5604">
        <v>55.56</v>
      </c>
      <c r="O5604" s="49">
        <v>44240</v>
      </c>
      <c r="P5604" s="50">
        <v>378.97199999999998</v>
      </c>
    </row>
    <row r="5605" spans="4:16" x14ac:dyDescent="0.2">
      <c r="D5605">
        <v>100003330</v>
      </c>
      <c r="E5605" s="49">
        <v>44892</v>
      </c>
      <c r="F5605" t="s">
        <v>4889</v>
      </c>
      <c r="G5605" t="s">
        <v>2130</v>
      </c>
      <c r="H5605">
        <v>1</v>
      </c>
      <c r="I5605">
        <v>13.67</v>
      </c>
      <c r="J5605" s="50">
        <v>13.67</v>
      </c>
      <c r="K5605" t="s">
        <v>1618</v>
      </c>
      <c r="M5605" t="s">
        <v>1624</v>
      </c>
      <c r="N5605">
        <v>7.21</v>
      </c>
      <c r="O5605" s="49">
        <v>44897</v>
      </c>
      <c r="P5605" s="50">
        <v>6.1515000000000004</v>
      </c>
    </row>
    <row r="5606" spans="4:16" x14ac:dyDescent="0.2">
      <c r="D5606">
        <v>100003332</v>
      </c>
      <c r="E5606" s="49">
        <v>44658</v>
      </c>
      <c r="F5606" t="s">
        <v>4890</v>
      </c>
      <c r="G5606" t="s">
        <v>2357</v>
      </c>
      <c r="H5606">
        <v>1</v>
      </c>
      <c r="I5606">
        <v>100.32</v>
      </c>
      <c r="J5606" s="50">
        <v>100.32</v>
      </c>
      <c r="K5606" t="s">
        <v>1618</v>
      </c>
      <c r="M5606" t="s">
        <v>1621</v>
      </c>
      <c r="N5606">
        <v>52.95</v>
      </c>
      <c r="O5606" s="49">
        <v>44663</v>
      </c>
      <c r="P5606" s="50">
        <v>45.143999999999998</v>
      </c>
    </row>
    <row r="5607" spans="4:16" x14ac:dyDescent="0.2">
      <c r="D5607">
        <v>100003332</v>
      </c>
      <c r="E5607" s="49">
        <v>45238</v>
      </c>
      <c r="F5607" t="s">
        <v>4890</v>
      </c>
      <c r="G5607" t="s">
        <v>1815</v>
      </c>
      <c r="H5607">
        <v>8</v>
      </c>
      <c r="I5607">
        <v>94.7</v>
      </c>
      <c r="J5607" s="50">
        <v>757.6</v>
      </c>
      <c r="K5607" t="s">
        <v>1618</v>
      </c>
      <c r="M5607" t="s">
        <v>1621</v>
      </c>
      <c r="N5607">
        <v>49.98</v>
      </c>
      <c r="O5607" s="49">
        <v>45243</v>
      </c>
      <c r="P5607" s="50">
        <v>340.92</v>
      </c>
    </row>
    <row r="5608" spans="4:16" x14ac:dyDescent="0.2">
      <c r="D5608">
        <v>100003332</v>
      </c>
      <c r="E5608" s="49">
        <v>44449</v>
      </c>
      <c r="F5608" t="s">
        <v>4890</v>
      </c>
      <c r="G5608" t="s">
        <v>1639</v>
      </c>
      <c r="H5608">
        <v>6</v>
      </c>
      <c r="I5608">
        <v>66.08</v>
      </c>
      <c r="J5608" s="50">
        <v>396.48</v>
      </c>
      <c r="K5608" t="s">
        <v>1618</v>
      </c>
      <c r="M5608" t="s">
        <v>1629</v>
      </c>
      <c r="N5608">
        <v>34.880000000000003</v>
      </c>
      <c r="O5608" s="49">
        <v>44453</v>
      </c>
      <c r="P5608" s="50">
        <v>178.41600000000003</v>
      </c>
    </row>
    <row r="5609" spans="4:16" x14ac:dyDescent="0.2">
      <c r="D5609">
        <v>100003332</v>
      </c>
      <c r="E5609" s="49">
        <v>45153</v>
      </c>
      <c r="F5609" t="s">
        <v>4890</v>
      </c>
      <c r="G5609" t="s">
        <v>2088</v>
      </c>
      <c r="H5609">
        <v>9</v>
      </c>
      <c r="I5609">
        <v>59.78</v>
      </c>
      <c r="J5609" s="50">
        <v>538.02</v>
      </c>
      <c r="K5609" t="s">
        <v>1618</v>
      </c>
      <c r="M5609" t="s">
        <v>1621</v>
      </c>
      <c r="N5609">
        <v>31.55</v>
      </c>
      <c r="O5609" s="49">
        <v>45157</v>
      </c>
      <c r="P5609" s="50">
        <v>242.10900000000001</v>
      </c>
    </row>
    <row r="5610" spans="4:16" x14ac:dyDescent="0.2">
      <c r="D5610">
        <v>100003334</v>
      </c>
      <c r="E5610" s="49">
        <v>44420</v>
      </c>
      <c r="F5610" t="s">
        <v>4891</v>
      </c>
      <c r="G5610" t="s">
        <v>1795</v>
      </c>
      <c r="H5610">
        <v>4</v>
      </c>
      <c r="I5610">
        <v>49.87</v>
      </c>
      <c r="J5610" s="50">
        <v>199.48</v>
      </c>
      <c r="K5610" t="s">
        <v>1618</v>
      </c>
      <c r="L5610" t="s">
        <v>4892</v>
      </c>
      <c r="M5610" t="s">
        <v>1629</v>
      </c>
      <c r="N5610">
        <v>26.32</v>
      </c>
      <c r="O5610" s="49">
        <v>44423</v>
      </c>
      <c r="P5610" s="50">
        <v>89.765999999999991</v>
      </c>
    </row>
    <row r="5611" spans="4:16" x14ac:dyDescent="0.2">
      <c r="D5611">
        <v>100003334</v>
      </c>
      <c r="E5611" s="49">
        <v>45157</v>
      </c>
      <c r="F5611" t="s">
        <v>4891</v>
      </c>
      <c r="G5611" t="s">
        <v>1820</v>
      </c>
      <c r="H5611">
        <v>7</v>
      </c>
      <c r="I5611">
        <v>111.11</v>
      </c>
      <c r="J5611" s="50">
        <v>777.77</v>
      </c>
      <c r="K5611" t="s">
        <v>1618</v>
      </c>
      <c r="L5611" t="s">
        <v>4892</v>
      </c>
      <c r="M5611" t="s">
        <v>1624</v>
      </c>
      <c r="N5611">
        <v>58.64</v>
      </c>
      <c r="O5611" s="49">
        <v>45161</v>
      </c>
      <c r="P5611" s="50">
        <v>349.99650000000003</v>
      </c>
    </row>
    <row r="5612" spans="4:16" x14ac:dyDescent="0.2">
      <c r="D5612">
        <v>100003334</v>
      </c>
      <c r="E5612" s="49">
        <v>45013</v>
      </c>
      <c r="F5612" t="s">
        <v>4891</v>
      </c>
      <c r="G5612" t="s">
        <v>1783</v>
      </c>
      <c r="H5612">
        <v>7</v>
      </c>
      <c r="I5612">
        <v>10.77</v>
      </c>
      <c r="J5612" s="50">
        <v>75.39</v>
      </c>
      <c r="K5612" t="s">
        <v>1618</v>
      </c>
      <c r="L5612" t="s">
        <v>4892</v>
      </c>
      <c r="M5612" t="s">
        <v>1627</v>
      </c>
      <c r="N5612">
        <v>5.68</v>
      </c>
      <c r="O5612" s="49">
        <v>45018</v>
      </c>
      <c r="P5612" s="50">
        <v>33.9255</v>
      </c>
    </row>
    <row r="5613" spans="4:16" x14ac:dyDescent="0.2">
      <c r="D5613">
        <v>100003335</v>
      </c>
      <c r="E5613" s="49">
        <v>45123</v>
      </c>
      <c r="F5613" t="s">
        <v>4893</v>
      </c>
      <c r="G5613" t="s">
        <v>2550</v>
      </c>
      <c r="H5613">
        <v>7</v>
      </c>
      <c r="I5613">
        <v>19.7</v>
      </c>
      <c r="J5613" s="50">
        <v>137.9</v>
      </c>
      <c r="K5613" t="s">
        <v>1618</v>
      </c>
      <c r="M5613" t="s">
        <v>1624</v>
      </c>
      <c r="N5613">
        <v>10.4</v>
      </c>
      <c r="O5613" s="49">
        <v>45127</v>
      </c>
      <c r="P5613" s="50">
        <v>62.055000000000007</v>
      </c>
    </row>
    <row r="5614" spans="4:16" x14ac:dyDescent="0.2">
      <c r="D5614">
        <v>100003336</v>
      </c>
      <c r="E5614" s="49">
        <v>44404</v>
      </c>
      <c r="F5614" t="s">
        <v>4894</v>
      </c>
      <c r="G5614" t="s">
        <v>2484</v>
      </c>
      <c r="H5614">
        <v>1</v>
      </c>
      <c r="I5614">
        <v>103.02</v>
      </c>
      <c r="J5614" s="50">
        <v>103.02</v>
      </c>
      <c r="K5614" t="s">
        <v>1632</v>
      </c>
      <c r="M5614" t="s">
        <v>1627</v>
      </c>
      <c r="N5614">
        <v>54.37</v>
      </c>
      <c r="O5614" s="49">
        <v>44409</v>
      </c>
      <c r="P5614" s="50">
        <v>46.359000000000002</v>
      </c>
    </row>
    <row r="5615" spans="4:16" x14ac:dyDescent="0.2">
      <c r="D5615">
        <v>100003337</v>
      </c>
      <c r="E5615" s="49">
        <v>45204</v>
      </c>
      <c r="F5615" t="s">
        <v>4895</v>
      </c>
      <c r="G5615" t="s">
        <v>1617</v>
      </c>
      <c r="H5615">
        <v>10</v>
      </c>
      <c r="I5615">
        <v>69.010000000000005</v>
      </c>
      <c r="J5615" s="50">
        <v>690.1</v>
      </c>
      <c r="K5615" t="s">
        <v>1632</v>
      </c>
      <c r="L5615" t="s">
        <v>4896</v>
      </c>
      <c r="M5615" t="s">
        <v>1624</v>
      </c>
      <c r="N5615">
        <v>36.42</v>
      </c>
      <c r="O5615" s="49">
        <v>45207</v>
      </c>
      <c r="P5615" s="50">
        <v>310.54500000000002</v>
      </c>
    </row>
    <row r="5616" spans="4:16" x14ac:dyDescent="0.2">
      <c r="D5616">
        <v>100003339</v>
      </c>
      <c r="E5616" s="49">
        <v>45154</v>
      </c>
      <c r="F5616" t="s">
        <v>4897</v>
      </c>
      <c r="G5616" t="s">
        <v>2039</v>
      </c>
      <c r="H5616">
        <v>4</v>
      </c>
      <c r="I5616">
        <v>71.34</v>
      </c>
      <c r="J5616" s="50">
        <v>285.36</v>
      </c>
      <c r="K5616" t="s">
        <v>1632</v>
      </c>
      <c r="M5616" t="s">
        <v>1621</v>
      </c>
      <c r="N5616">
        <v>37.65</v>
      </c>
      <c r="O5616" s="49">
        <v>45159</v>
      </c>
      <c r="P5616" s="50">
        <v>128.41200000000001</v>
      </c>
    </row>
    <row r="5617" spans="4:16" x14ac:dyDescent="0.2">
      <c r="D5617">
        <v>100003339</v>
      </c>
      <c r="E5617" s="49">
        <v>44742</v>
      </c>
      <c r="F5617" t="s">
        <v>4897</v>
      </c>
      <c r="G5617" t="s">
        <v>2116</v>
      </c>
      <c r="H5617">
        <v>4</v>
      </c>
      <c r="I5617">
        <v>37.92</v>
      </c>
      <c r="J5617" s="50">
        <v>151.68</v>
      </c>
      <c r="K5617" t="s">
        <v>1632</v>
      </c>
      <c r="M5617" t="s">
        <v>1627</v>
      </c>
      <c r="N5617">
        <v>20.010000000000002</v>
      </c>
      <c r="O5617" s="49">
        <v>44745</v>
      </c>
      <c r="P5617" s="50">
        <v>68.256</v>
      </c>
    </row>
    <row r="5618" spans="4:16" x14ac:dyDescent="0.2">
      <c r="D5618">
        <v>100003339</v>
      </c>
      <c r="E5618" s="49">
        <v>44625</v>
      </c>
      <c r="F5618" t="s">
        <v>4897</v>
      </c>
      <c r="G5618" t="s">
        <v>2116</v>
      </c>
      <c r="H5618">
        <v>1</v>
      </c>
      <c r="I5618">
        <v>70</v>
      </c>
      <c r="J5618" s="50">
        <v>70</v>
      </c>
      <c r="K5618" t="s">
        <v>1632</v>
      </c>
      <c r="M5618" t="s">
        <v>1624</v>
      </c>
      <c r="N5618">
        <v>36.94</v>
      </c>
      <c r="O5618" s="49">
        <v>44629</v>
      </c>
      <c r="P5618" s="50">
        <v>31.5</v>
      </c>
    </row>
    <row r="5619" spans="4:16" x14ac:dyDescent="0.2">
      <c r="D5619">
        <v>100003339</v>
      </c>
      <c r="E5619" s="49">
        <v>45331</v>
      </c>
      <c r="F5619" t="s">
        <v>4897</v>
      </c>
      <c r="G5619" t="s">
        <v>2057</v>
      </c>
      <c r="H5619">
        <v>9</v>
      </c>
      <c r="I5619">
        <v>68.45</v>
      </c>
      <c r="J5619" s="50">
        <v>616.05000000000007</v>
      </c>
      <c r="K5619" t="s">
        <v>1632</v>
      </c>
      <c r="M5619" t="s">
        <v>1621</v>
      </c>
      <c r="N5619">
        <v>36.130000000000003</v>
      </c>
      <c r="O5619" s="49">
        <v>45335</v>
      </c>
      <c r="P5619" s="50">
        <v>277.22250000000003</v>
      </c>
    </row>
    <row r="5620" spans="4:16" x14ac:dyDescent="0.2">
      <c r="D5620">
        <v>100003340</v>
      </c>
      <c r="E5620" s="49">
        <v>44414</v>
      </c>
      <c r="F5620" t="s">
        <v>4898</v>
      </c>
      <c r="G5620" t="s">
        <v>2168</v>
      </c>
      <c r="H5620">
        <v>6</v>
      </c>
      <c r="I5620">
        <v>104.78</v>
      </c>
      <c r="J5620" s="50">
        <v>628.68000000000006</v>
      </c>
      <c r="K5620" t="s">
        <v>1632</v>
      </c>
      <c r="M5620" t="s">
        <v>1624</v>
      </c>
      <c r="N5620">
        <v>55.3</v>
      </c>
      <c r="O5620" s="49">
        <v>44415</v>
      </c>
      <c r="P5620" s="50">
        <v>282.90600000000006</v>
      </c>
    </row>
    <row r="5621" spans="4:16" x14ac:dyDescent="0.2">
      <c r="D5621">
        <v>100003340</v>
      </c>
      <c r="E5621" s="49">
        <v>45417</v>
      </c>
      <c r="F5621" t="s">
        <v>4898</v>
      </c>
      <c r="G5621" t="s">
        <v>2007</v>
      </c>
      <c r="H5621">
        <v>4</v>
      </c>
      <c r="I5621">
        <v>92.58</v>
      </c>
      <c r="J5621" s="50">
        <v>370.32</v>
      </c>
      <c r="K5621" t="s">
        <v>1632</v>
      </c>
      <c r="M5621" t="s">
        <v>1619</v>
      </c>
      <c r="N5621">
        <v>48.86</v>
      </c>
      <c r="O5621" s="49">
        <v>45421</v>
      </c>
      <c r="P5621" s="50">
        <v>166.64400000000001</v>
      </c>
    </row>
    <row r="5622" spans="4:16" x14ac:dyDescent="0.2">
      <c r="D5622">
        <v>100003340</v>
      </c>
      <c r="E5622" s="49">
        <v>44639</v>
      </c>
      <c r="F5622" t="s">
        <v>4898</v>
      </c>
      <c r="G5622" t="s">
        <v>1695</v>
      </c>
      <c r="H5622">
        <v>10</v>
      </c>
      <c r="I5622">
        <v>37.06</v>
      </c>
      <c r="J5622" s="50">
        <v>370.6</v>
      </c>
      <c r="K5622" t="s">
        <v>1632</v>
      </c>
      <c r="M5622" t="s">
        <v>1619</v>
      </c>
      <c r="N5622">
        <v>19.559999999999999</v>
      </c>
      <c r="O5622" s="49">
        <v>44640</v>
      </c>
      <c r="P5622" s="50">
        <v>166.77</v>
      </c>
    </row>
    <row r="5623" spans="4:16" x14ac:dyDescent="0.2">
      <c r="D5623">
        <v>100003340</v>
      </c>
      <c r="E5623" s="49">
        <v>44440</v>
      </c>
      <c r="F5623" t="s">
        <v>4898</v>
      </c>
      <c r="G5623" t="s">
        <v>2142</v>
      </c>
      <c r="H5623">
        <v>8</v>
      </c>
      <c r="I5623">
        <v>59.83</v>
      </c>
      <c r="J5623" s="50">
        <v>478.64</v>
      </c>
      <c r="K5623" t="s">
        <v>1632</v>
      </c>
      <c r="M5623" t="s">
        <v>1629</v>
      </c>
      <c r="N5623">
        <v>31.58</v>
      </c>
      <c r="O5623" s="49">
        <v>44445</v>
      </c>
      <c r="P5623" s="50">
        <v>215.38800000000001</v>
      </c>
    </row>
    <row r="5624" spans="4:16" x14ac:dyDescent="0.2">
      <c r="D5624">
        <v>100003340</v>
      </c>
      <c r="E5624" s="49">
        <v>44472</v>
      </c>
      <c r="F5624" t="s">
        <v>4898</v>
      </c>
      <c r="G5624" t="s">
        <v>1971</v>
      </c>
      <c r="H5624">
        <v>6</v>
      </c>
      <c r="I5624">
        <v>55.48</v>
      </c>
      <c r="J5624" s="50">
        <v>332.88</v>
      </c>
      <c r="K5624" t="s">
        <v>1632</v>
      </c>
      <c r="M5624" t="s">
        <v>1624</v>
      </c>
      <c r="N5624">
        <v>29.28</v>
      </c>
      <c r="O5624" s="49">
        <v>44475</v>
      </c>
      <c r="P5624" s="50">
        <v>149.79599999999999</v>
      </c>
    </row>
    <row r="5625" spans="4:16" x14ac:dyDescent="0.2">
      <c r="D5625">
        <v>100003340</v>
      </c>
      <c r="E5625" s="49">
        <v>44927</v>
      </c>
      <c r="F5625" t="s">
        <v>4898</v>
      </c>
      <c r="G5625" t="s">
        <v>1897</v>
      </c>
      <c r="H5625">
        <v>10</v>
      </c>
      <c r="I5625">
        <v>39.24</v>
      </c>
      <c r="J5625" s="50">
        <v>392.4</v>
      </c>
      <c r="K5625" t="s">
        <v>1632</v>
      </c>
      <c r="M5625" t="s">
        <v>1621</v>
      </c>
      <c r="N5625">
        <v>20.71</v>
      </c>
      <c r="O5625" s="49">
        <v>44929</v>
      </c>
      <c r="P5625" s="50">
        <v>176.57999999999998</v>
      </c>
    </row>
    <row r="5626" spans="4:16" x14ac:dyDescent="0.2">
      <c r="D5626">
        <v>100003340</v>
      </c>
      <c r="E5626" s="49">
        <v>44339</v>
      </c>
      <c r="F5626" t="s">
        <v>4898</v>
      </c>
      <c r="G5626" t="s">
        <v>2004</v>
      </c>
      <c r="H5626">
        <v>9</v>
      </c>
      <c r="I5626">
        <v>116.54</v>
      </c>
      <c r="J5626" s="50">
        <v>1048.8599999999999</v>
      </c>
      <c r="K5626" t="s">
        <v>1632</v>
      </c>
      <c r="M5626" t="s">
        <v>1619</v>
      </c>
      <c r="N5626">
        <v>61.51</v>
      </c>
      <c r="O5626" s="49">
        <v>44343</v>
      </c>
      <c r="P5626" s="50">
        <v>471.98699999999997</v>
      </c>
    </row>
    <row r="5627" spans="4:16" x14ac:dyDescent="0.2">
      <c r="D5627">
        <v>100003341</v>
      </c>
      <c r="E5627" s="49">
        <v>45224</v>
      </c>
      <c r="F5627" t="s">
        <v>4899</v>
      </c>
      <c r="G5627" t="s">
        <v>1639</v>
      </c>
      <c r="H5627">
        <v>2</v>
      </c>
      <c r="I5627">
        <v>52.49</v>
      </c>
      <c r="J5627" s="50">
        <v>104.98</v>
      </c>
      <c r="K5627" t="s">
        <v>1632</v>
      </c>
      <c r="M5627" t="s">
        <v>1629</v>
      </c>
      <c r="N5627">
        <v>27.7</v>
      </c>
      <c r="O5627" s="49">
        <v>45229</v>
      </c>
      <c r="P5627" s="50">
        <v>47.241</v>
      </c>
    </row>
    <row r="5628" spans="4:16" x14ac:dyDescent="0.2">
      <c r="D5628">
        <v>100003341</v>
      </c>
      <c r="E5628" s="49">
        <v>45628</v>
      </c>
      <c r="F5628" t="s">
        <v>4899</v>
      </c>
      <c r="G5628" t="s">
        <v>1975</v>
      </c>
      <c r="H5628">
        <v>5</v>
      </c>
      <c r="I5628">
        <v>90.02</v>
      </c>
      <c r="J5628" s="50">
        <v>450.1</v>
      </c>
      <c r="K5628" t="s">
        <v>1632</v>
      </c>
      <c r="M5628" t="s">
        <v>1627</v>
      </c>
      <c r="N5628">
        <v>47.51</v>
      </c>
      <c r="O5628" s="49">
        <v>45633</v>
      </c>
      <c r="P5628" s="50">
        <v>202.54500000000002</v>
      </c>
    </row>
    <row r="5629" spans="4:16" x14ac:dyDescent="0.2">
      <c r="D5629">
        <v>100003342</v>
      </c>
      <c r="E5629" s="49">
        <v>44538</v>
      </c>
      <c r="F5629" t="s">
        <v>4900</v>
      </c>
      <c r="G5629" t="s">
        <v>1999</v>
      </c>
      <c r="H5629">
        <v>5</v>
      </c>
      <c r="I5629">
        <v>15.68</v>
      </c>
      <c r="J5629" s="50">
        <v>78.400000000000006</v>
      </c>
      <c r="K5629" t="s">
        <v>1618</v>
      </c>
      <c r="L5629" t="s">
        <v>4901</v>
      </c>
      <c r="M5629" t="s">
        <v>1621</v>
      </c>
      <c r="N5629">
        <v>8.2799999999999994</v>
      </c>
      <c r="O5629" s="49">
        <v>44539</v>
      </c>
      <c r="P5629" s="50">
        <v>35.28</v>
      </c>
    </row>
    <row r="5630" spans="4:16" x14ac:dyDescent="0.2">
      <c r="D5630">
        <v>100003343</v>
      </c>
      <c r="E5630" s="49">
        <v>45216</v>
      </c>
      <c r="F5630" t="s">
        <v>4902</v>
      </c>
      <c r="G5630" t="s">
        <v>1712</v>
      </c>
      <c r="H5630">
        <v>5</v>
      </c>
      <c r="I5630">
        <v>30.89</v>
      </c>
      <c r="J5630" s="50">
        <v>154.44999999999999</v>
      </c>
      <c r="K5630" t="s">
        <v>1618</v>
      </c>
      <c r="M5630" t="s">
        <v>1627</v>
      </c>
      <c r="N5630">
        <v>16.3</v>
      </c>
      <c r="O5630" s="49">
        <v>45217</v>
      </c>
      <c r="P5630" s="50">
        <v>69.502499999999998</v>
      </c>
    </row>
    <row r="5631" spans="4:16" x14ac:dyDescent="0.2">
      <c r="D5631">
        <v>100003343</v>
      </c>
      <c r="E5631" s="49">
        <v>44423</v>
      </c>
      <c r="F5631" t="s">
        <v>4902</v>
      </c>
      <c r="G5631" t="s">
        <v>1789</v>
      </c>
      <c r="H5631">
        <v>2</v>
      </c>
      <c r="I5631">
        <v>119.67</v>
      </c>
      <c r="J5631" s="50">
        <v>239.34</v>
      </c>
      <c r="K5631" t="s">
        <v>1618</v>
      </c>
      <c r="M5631" t="s">
        <v>1621</v>
      </c>
      <c r="N5631">
        <v>63.16</v>
      </c>
      <c r="O5631" s="49">
        <v>44427</v>
      </c>
      <c r="P5631" s="50">
        <v>107.703</v>
      </c>
    </row>
    <row r="5632" spans="4:16" x14ac:dyDescent="0.2">
      <c r="D5632">
        <v>100003344</v>
      </c>
      <c r="E5632" s="49">
        <v>45599</v>
      </c>
      <c r="F5632" t="s">
        <v>4903</v>
      </c>
      <c r="G5632" t="s">
        <v>1642</v>
      </c>
      <c r="H5632">
        <v>3</v>
      </c>
      <c r="I5632">
        <v>76.31</v>
      </c>
      <c r="J5632" s="50">
        <v>228.93</v>
      </c>
      <c r="K5632" t="s">
        <v>1632</v>
      </c>
      <c r="L5632" t="s">
        <v>1640</v>
      </c>
      <c r="M5632" t="s">
        <v>1621</v>
      </c>
      <c r="N5632">
        <v>40.270000000000003</v>
      </c>
      <c r="O5632" s="49">
        <v>45603</v>
      </c>
      <c r="P5632" s="50">
        <v>103.0185</v>
      </c>
    </row>
    <row r="5633" spans="4:16" x14ac:dyDescent="0.2">
      <c r="D5633">
        <v>100003345</v>
      </c>
      <c r="E5633" s="49">
        <v>45449</v>
      </c>
      <c r="F5633" t="s">
        <v>4904</v>
      </c>
      <c r="G5633" t="s">
        <v>1921</v>
      </c>
      <c r="H5633">
        <v>8</v>
      </c>
      <c r="I5633">
        <v>75</v>
      </c>
      <c r="J5633" s="50">
        <v>600</v>
      </c>
      <c r="K5633" t="s">
        <v>1632</v>
      </c>
      <c r="M5633" t="s">
        <v>1621</v>
      </c>
      <c r="N5633">
        <v>39.58</v>
      </c>
      <c r="O5633" s="49">
        <v>45450</v>
      </c>
      <c r="P5633" s="50">
        <v>270</v>
      </c>
    </row>
    <row r="5634" spans="4:16" x14ac:dyDescent="0.2">
      <c r="D5634">
        <v>100003345</v>
      </c>
      <c r="E5634" s="49">
        <v>45482</v>
      </c>
      <c r="F5634" t="s">
        <v>4904</v>
      </c>
      <c r="G5634" t="s">
        <v>2330</v>
      </c>
      <c r="H5634">
        <v>8</v>
      </c>
      <c r="I5634">
        <v>86.05</v>
      </c>
      <c r="J5634" s="50">
        <v>688.4</v>
      </c>
      <c r="K5634" t="s">
        <v>1632</v>
      </c>
      <c r="M5634" t="s">
        <v>1629</v>
      </c>
      <c r="N5634">
        <v>45.41</v>
      </c>
      <c r="O5634" s="49">
        <v>45485</v>
      </c>
      <c r="P5634" s="50">
        <v>309.77999999999997</v>
      </c>
    </row>
    <row r="5635" spans="4:16" x14ac:dyDescent="0.2">
      <c r="D5635">
        <v>100003345</v>
      </c>
      <c r="E5635" s="49">
        <v>44685</v>
      </c>
      <c r="F5635" t="s">
        <v>4904</v>
      </c>
      <c r="G5635" t="s">
        <v>2098</v>
      </c>
      <c r="H5635">
        <v>5</v>
      </c>
      <c r="I5635">
        <v>74.75</v>
      </c>
      <c r="J5635" s="50">
        <v>373.75</v>
      </c>
      <c r="K5635" t="s">
        <v>1632</v>
      </c>
      <c r="M5635" t="s">
        <v>1624</v>
      </c>
      <c r="N5635">
        <v>39.450000000000003</v>
      </c>
      <c r="O5635" s="49">
        <v>44689</v>
      </c>
      <c r="P5635" s="50">
        <v>168.1875</v>
      </c>
    </row>
    <row r="5636" spans="4:16" x14ac:dyDescent="0.2">
      <c r="D5636">
        <v>100003346</v>
      </c>
      <c r="E5636" s="49">
        <v>44546</v>
      </c>
      <c r="F5636" t="s">
        <v>4905</v>
      </c>
      <c r="G5636" t="s">
        <v>1767</v>
      </c>
      <c r="H5636">
        <v>5</v>
      </c>
      <c r="I5636">
        <v>54.41</v>
      </c>
      <c r="J5636" s="50">
        <v>272.05</v>
      </c>
      <c r="K5636" t="s">
        <v>1632</v>
      </c>
      <c r="M5636" t="s">
        <v>1627</v>
      </c>
      <c r="N5636">
        <v>28.72</v>
      </c>
      <c r="O5636" s="49">
        <v>44548</v>
      </c>
      <c r="P5636" s="50">
        <v>122.42250000000001</v>
      </c>
    </row>
    <row r="5637" spans="4:16" x14ac:dyDescent="0.2">
      <c r="D5637">
        <v>100003346</v>
      </c>
      <c r="E5637" s="49">
        <v>44509</v>
      </c>
      <c r="F5637" t="s">
        <v>4905</v>
      </c>
      <c r="G5637" t="s">
        <v>2071</v>
      </c>
      <c r="H5637">
        <v>4</v>
      </c>
      <c r="I5637">
        <v>38.18</v>
      </c>
      <c r="J5637" s="50">
        <v>152.72</v>
      </c>
      <c r="K5637" t="s">
        <v>1632</v>
      </c>
      <c r="M5637" t="s">
        <v>1619</v>
      </c>
      <c r="N5637">
        <v>20.149999999999999</v>
      </c>
      <c r="O5637" s="49">
        <v>44512</v>
      </c>
      <c r="P5637" s="50">
        <v>68.724000000000004</v>
      </c>
    </row>
    <row r="5638" spans="4:16" x14ac:dyDescent="0.2">
      <c r="D5638">
        <v>100003347</v>
      </c>
      <c r="E5638" s="49">
        <v>45574</v>
      </c>
      <c r="F5638" t="s">
        <v>4906</v>
      </c>
      <c r="G5638" t="s">
        <v>2076</v>
      </c>
      <c r="H5638">
        <v>4</v>
      </c>
      <c r="I5638">
        <v>85.13</v>
      </c>
      <c r="J5638" s="50">
        <v>340.52</v>
      </c>
      <c r="K5638" t="s">
        <v>1632</v>
      </c>
      <c r="M5638" t="s">
        <v>1619</v>
      </c>
      <c r="N5638">
        <v>44.93</v>
      </c>
      <c r="O5638" s="49">
        <v>45576</v>
      </c>
      <c r="P5638" s="50">
        <v>153.23400000000001</v>
      </c>
    </row>
    <row r="5639" spans="4:16" x14ac:dyDescent="0.2">
      <c r="D5639">
        <v>100003349</v>
      </c>
      <c r="E5639" s="49">
        <v>44615</v>
      </c>
      <c r="F5639" t="s">
        <v>2744</v>
      </c>
      <c r="G5639" t="s">
        <v>1626</v>
      </c>
      <c r="H5639">
        <v>7</v>
      </c>
      <c r="I5639">
        <v>64.069999999999993</v>
      </c>
      <c r="J5639" s="50">
        <v>448.49</v>
      </c>
      <c r="K5639" t="s">
        <v>1618</v>
      </c>
      <c r="L5639" t="s">
        <v>4907</v>
      </c>
      <c r="M5639" t="s">
        <v>1624</v>
      </c>
      <c r="N5639">
        <v>33.81</v>
      </c>
      <c r="O5639" s="49">
        <v>44618</v>
      </c>
      <c r="P5639" s="50">
        <v>201.82050000000001</v>
      </c>
    </row>
    <row r="5640" spans="4:16" x14ac:dyDescent="0.2">
      <c r="D5640">
        <v>100003350</v>
      </c>
      <c r="E5640" s="49">
        <v>44434</v>
      </c>
      <c r="F5640" t="s">
        <v>4908</v>
      </c>
      <c r="G5640" t="s">
        <v>1748</v>
      </c>
      <c r="H5640">
        <v>2</v>
      </c>
      <c r="I5640">
        <v>11.72</v>
      </c>
      <c r="J5640" s="50">
        <v>23.44</v>
      </c>
      <c r="K5640" t="s">
        <v>1632</v>
      </c>
      <c r="M5640" t="s">
        <v>1624</v>
      </c>
      <c r="N5640">
        <v>6.19</v>
      </c>
      <c r="O5640" s="49">
        <v>44436</v>
      </c>
      <c r="P5640" s="50">
        <v>10.548</v>
      </c>
    </row>
    <row r="5641" spans="4:16" x14ac:dyDescent="0.2">
      <c r="D5641">
        <v>100003352</v>
      </c>
      <c r="E5641" s="49">
        <v>44390</v>
      </c>
      <c r="F5641" t="s">
        <v>4909</v>
      </c>
      <c r="G5641" t="s">
        <v>1838</v>
      </c>
      <c r="H5641">
        <v>7</v>
      </c>
      <c r="I5641">
        <v>42.33</v>
      </c>
      <c r="J5641" s="50">
        <v>296.31</v>
      </c>
      <c r="K5641" t="s">
        <v>1618</v>
      </c>
      <c r="L5641" t="s">
        <v>4910</v>
      </c>
      <c r="M5641" t="s">
        <v>1624</v>
      </c>
      <c r="N5641">
        <v>22.34</v>
      </c>
      <c r="O5641" s="49">
        <v>44394</v>
      </c>
      <c r="P5641" s="50">
        <v>133.33950000000002</v>
      </c>
    </row>
    <row r="5642" spans="4:16" x14ac:dyDescent="0.2">
      <c r="D5642">
        <v>100003352</v>
      </c>
      <c r="E5642" s="49">
        <v>44839</v>
      </c>
      <c r="F5642" t="s">
        <v>4909</v>
      </c>
      <c r="G5642" t="s">
        <v>1756</v>
      </c>
      <c r="H5642">
        <v>3</v>
      </c>
      <c r="I5642">
        <v>66.69</v>
      </c>
      <c r="J5642" s="50">
        <v>200.07</v>
      </c>
      <c r="K5642" t="s">
        <v>1618</v>
      </c>
      <c r="L5642" t="s">
        <v>4910</v>
      </c>
      <c r="M5642" t="s">
        <v>1621</v>
      </c>
      <c r="N5642">
        <v>35.200000000000003</v>
      </c>
      <c r="O5642" s="49">
        <v>44840</v>
      </c>
      <c r="P5642" s="50">
        <v>90.031499999999994</v>
      </c>
    </row>
    <row r="5643" spans="4:16" x14ac:dyDescent="0.2">
      <c r="D5643">
        <v>100003352</v>
      </c>
      <c r="E5643" s="49">
        <v>45591</v>
      </c>
      <c r="F5643" t="s">
        <v>4909</v>
      </c>
      <c r="G5643" t="s">
        <v>1676</v>
      </c>
      <c r="H5643">
        <v>9</v>
      </c>
      <c r="I5643">
        <v>28.92</v>
      </c>
      <c r="J5643" s="50">
        <v>260.27999999999997</v>
      </c>
      <c r="K5643" t="s">
        <v>1618</v>
      </c>
      <c r="L5643" t="s">
        <v>4910</v>
      </c>
      <c r="M5643" t="s">
        <v>1624</v>
      </c>
      <c r="N5643">
        <v>15.26</v>
      </c>
      <c r="O5643" s="49">
        <v>45592</v>
      </c>
      <c r="P5643" s="50">
        <v>117.12599999999999</v>
      </c>
    </row>
    <row r="5644" spans="4:16" x14ac:dyDescent="0.2">
      <c r="D5644">
        <v>100003352</v>
      </c>
      <c r="E5644" s="49">
        <v>44296</v>
      </c>
      <c r="F5644" t="s">
        <v>4909</v>
      </c>
      <c r="G5644" t="s">
        <v>2460</v>
      </c>
      <c r="H5644">
        <v>5</v>
      </c>
      <c r="I5644">
        <v>79.72</v>
      </c>
      <c r="J5644" s="50">
        <v>398.6</v>
      </c>
      <c r="K5644" t="s">
        <v>1618</v>
      </c>
      <c r="L5644" t="s">
        <v>4910</v>
      </c>
      <c r="M5644" t="s">
        <v>1627</v>
      </c>
      <c r="N5644">
        <v>42.07</v>
      </c>
      <c r="O5644" s="49">
        <v>44298</v>
      </c>
      <c r="P5644" s="50">
        <v>179.37</v>
      </c>
    </row>
    <row r="5645" spans="4:16" x14ac:dyDescent="0.2">
      <c r="D5645">
        <v>100003352</v>
      </c>
      <c r="E5645" s="49">
        <v>45004</v>
      </c>
      <c r="F5645" t="s">
        <v>4909</v>
      </c>
      <c r="G5645" t="s">
        <v>1944</v>
      </c>
      <c r="H5645">
        <v>10</v>
      </c>
      <c r="I5645">
        <v>118.01</v>
      </c>
      <c r="J5645" s="50">
        <v>1180.0999999999999</v>
      </c>
      <c r="K5645" t="s">
        <v>1618</v>
      </c>
      <c r="L5645" t="s">
        <v>4910</v>
      </c>
      <c r="M5645" t="s">
        <v>1629</v>
      </c>
      <c r="N5645">
        <v>62.28</v>
      </c>
      <c r="O5645" s="49">
        <v>45008</v>
      </c>
      <c r="P5645" s="50">
        <v>531.04499999999996</v>
      </c>
    </row>
    <row r="5646" spans="4:16" x14ac:dyDescent="0.2">
      <c r="D5646">
        <v>100003352</v>
      </c>
      <c r="E5646" s="49">
        <v>45185</v>
      </c>
      <c r="F5646" t="s">
        <v>4909</v>
      </c>
      <c r="G5646" t="s">
        <v>1697</v>
      </c>
      <c r="H5646">
        <v>8</v>
      </c>
      <c r="I5646">
        <v>89.81</v>
      </c>
      <c r="J5646" s="50">
        <v>718.48</v>
      </c>
      <c r="K5646" t="s">
        <v>1618</v>
      </c>
      <c r="L5646" t="s">
        <v>4910</v>
      </c>
      <c r="M5646" t="s">
        <v>1619</v>
      </c>
      <c r="N5646">
        <v>47.4</v>
      </c>
      <c r="O5646" s="49">
        <v>45189</v>
      </c>
      <c r="P5646" s="50">
        <v>323.31600000000003</v>
      </c>
    </row>
    <row r="5647" spans="4:16" x14ac:dyDescent="0.2">
      <c r="D5647">
        <v>100003354</v>
      </c>
      <c r="E5647" s="49">
        <v>44516</v>
      </c>
      <c r="F5647" t="s">
        <v>4911</v>
      </c>
      <c r="G5647" t="s">
        <v>2086</v>
      </c>
      <c r="H5647">
        <v>10</v>
      </c>
      <c r="I5647">
        <v>32.69</v>
      </c>
      <c r="J5647" s="50">
        <v>326.89999999999998</v>
      </c>
      <c r="K5647" t="s">
        <v>1618</v>
      </c>
      <c r="L5647" t="s">
        <v>4912</v>
      </c>
      <c r="M5647" t="s">
        <v>1627</v>
      </c>
      <c r="N5647">
        <v>17.25</v>
      </c>
      <c r="O5647" s="49">
        <v>44519</v>
      </c>
      <c r="P5647" s="50">
        <v>147.10499999999999</v>
      </c>
    </row>
    <row r="5648" spans="4:16" x14ac:dyDescent="0.2">
      <c r="D5648">
        <v>100003355</v>
      </c>
      <c r="E5648" s="49">
        <v>44392</v>
      </c>
      <c r="F5648" t="s">
        <v>4913</v>
      </c>
      <c r="G5648" t="s">
        <v>2005</v>
      </c>
      <c r="H5648">
        <v>6</v>
      </c>
      <c r="I5648">
        <v>33.270000000000003</v>
      </c>
      <c r="J5648" s="50">
        <v>199.62</v>
      </c>
      <c r="K5648" t="s">
        <v>1618</v>
      </c>
      <c r="M5648" t="s">
        <v>1624</v>
      </c>
      <c r="N5648">
        <v>17.559999999999999</v>
      </c>
      <c r="O5648" s="49">
        <v>44395</v>
      </c>
      <c r="P5648" s="50">
        <v>89.829000000000008</v>
      </c>
    </row>
    <row r="5649" spans="4:16" x14ac:dyDescent="0.2">
      <c r="D5649">
        <v>100003355</v>
      </c>
      <c r="E5649" s="49">
        <v>44783</v>
      </c>
      <c r="F5649" t="s">
        <v>4913</v>
      </c>
      <c r="G5649" t="s">
        <v>1963</v>
      </c>
      <c r="H5649">
        <v>1</v>
      </c>
      <c r="I5649">
        <v>87.92</v>
      </c>
      <c r="J5649" s="50">
        <v>87.92</v>
      </c>
      <c r="K5649" t="s">
        <v>1618</v>
      </c>
      <c r="M5649" t="s">
        <v>1619</v>
      </c>
      <c r="N5649">
        <v>46.4</v>
      </c>
      <c r="O5649" s="49">
        <v>44787</v>
      </c>
      <c r="P5649" s="50">
        <v>39.564</v>
      </c>
    </row>
    <row r="5650" spans="4:16" x14ac:dyDescent="0.2">
      <c r="D5650">
        <v>100003355</v>
      </c>
      <c r="E5650" s="49">
        <v>44623</v>
      </c>
      <c r="F5650" t="s">
        <v>4913</v>
      </c>
      <c r="G5650" t="s">
        <v>1726</v>
      </c>
      <c r="H5650">
        <v>3</v>
      </c>
      <c r="I5650">
        <v>38.94</v>
      </c>
      <c r="J5650" s="50">
        <v>116.82</v>
      </c>
      <c r="K5650" t="s">
        <v>1618</v>
      </c>
      <c r="M5650" t="s">
        <v>1624</v>
      </c>
      <c r="N5650">
        <v>20.55</v>
      </c>
      <c r="O5650" s="49">
        <v>44625</v>
      </c>
      <c r="P5650" s="50">
        <v>52.568999999999996</v>
      </c>
    </row>
    <row r="5651" spans="4:16" x14ac:dyDescent="0.2">
      <c r="D5651">
        <v>100003355</v>
      </c>
      <c r="E5651" s="49">
        <v>44923</v>
      </c>
      <c r="F5651" t="s">
        <v>4913</v>
      </c>
      <c r="G5651" t="s">
        <v>2766</v>
      </c>
      <c r="H5651">
        <v>9</v>
      </c>
      <c r="I5651">
        <v>51.23</v>
      </c>
      <c r="J5651" s="50">
        <v>461.07</v>
      </c>
      <c r="K5651" t="s">
        <v>1618</v>
      </c>
      <c r="M5651" t="s">
        <v>1629</v>
      </c>
      <c r="N5651">
        <v>27.04</v>
      </c>
      <c r="O5651" s="49">
        <v>44926</v>
      </c>
      <c r="P5651" s="50">
        <v>207.48150000000001</v>
      </c>
    </row>
    <row r="5652" spans="4:16" x14ac:dyDescent="0.2">
      <c r="D5652">
        <v>100003357</v>
      </c>
      <c r="E5652" s="49">
        <v>45089</v>
      </c>
      <c r="F5652" t="s">
        <v>4914</v>
      </c>
      <c r="G5652" t="s">
        <v>1749</v>
      </c>
      <c r="H5652">
        <v>8</v>
      </c>
      <c r="I5652">
        <v>69.61</v>
      </c>
      <c r="J5652" s="50">
        <v>556.88</v>
      </c>
      <c r="K5652" t="s">
        <v>1618</v>
      </c>
      <c r="M5652" t="s">
        <v>1624</v>
      </c>
      <c r="N5652">
        <v>36.74</v>
      </c>
      <c r="O5652" s="49">
        <v>45094</v>
      </c>
      <c r="P5652" s="50">
        <v>250.596</v>
      </c>
    </row>
    <row r="5653" spans="4:16" x14ac:dyDescent="0.2">
      <c r="D5653">
        <v>100003358</v>
      </c>
      <c r="E5653" s="49">
        <v>44301</v>
      </c>
      <c r="F5653" t="s">
        <v>4915</v>
      </c>
      <c r="G5653" t="s">
        <v>2033</v>
      </c>
      <c r="H5653">
        <v>10</v>
      </c>
      <c r="I5653">
        <v>81.93</v>
      </c>
      <c r="J5653" s="50">
        <v>819.30000000000007</v>
      </c>
      <c r="K5653" t="s">
        <v>1618</v>
      </c>
      <c r="M5653" t="s">
        <v>1629</v>
      </c>
      <c r="N5653">
        <v>43.24</v>
      </c>
      <c r="O5653" s="49">
        <v>44304</v>
      </c>
      <c r="P5653" s="50">
        <v>368.68500000000006</v>
      </c>
    </row>
    <row r="5654" spans="4:16" x14ac:dyDescent="0.2">
      <c r="D5654">
        <v>100003361</v>
      </c>
      <c r="E5654" s="49">
        <v>45069</v>
      </c>
      <c r="F5654" t="s">
        <v>4916</v>
      </c>
      <c r="G5654" t="s">
        <v>2138</v>
      </c>
      <c r="H5654">
        <v>6</v>
      </c>
      <c r="I5654">
        <v>13.29</v>
      </c>
      <c r="J5654" s="50">
        <v>79.739999999999995</v>
      </c>
      <c r="K5654" t="s">
        <v>1632</v>
      </c>
      <c r="M5654" t="s">
        <v>1624</v>
      </c>
      <c r="N5654">
        <v>7.01</v>
      </c>
      <c r="O5654" s="49">
        <v>45072</v>
      </c>
      <c r="P5654" s="50">
        <v>35.882999999999996</v>
      </c>
    </row>
    <row r="5655" spans="4:16" x14ac:dyDescent="0.2">
      <c r="D5655">
        <v>100003361</v>
      </c>
      <c r="E5655" s="49">
        <v>44644</v>
      </c>
      <c r="F5655" t="s">
        <v>4916</v>
      </c>
      <c r="G5655" t="s">
        <v>2420</v>
      </c>
      <c r="H5655">
        <v>7</v>
      </c>
      <c r="I5655">
        <v>13.72</v>
      </c>
      <c r="J5655" s="50">
        <v>96.04</v>
      </c>
      <c r="K5655" t="s">
        <v>1632</v>
      </c>
      <c r="M5655" t="s">
        <v>1619</v>
      </c>
      <c r="N5655">
        <v>7.24</v>
      </c>
      <c r="O5655" s="49">
        <v>44645</v>
      </c>
      <c r="P5655" s="50">
        <v>43.218000000000004</v>
      </c>
    </row>
    <row r="5656" spans="4:16" x14ac:dyDescent="0.2">
      <c r="D5656">
        <v>100003361</v>
      </c>
      <c r="E5656" s="49">
        <v>44740</v>
      </c>
      <c r="F5656" t="s">
        <v>4916</v>
      </c>
      <c r="G5656" t="s">
        <v>2098</v>
      </c>
      <c r="H5656">
        <v>1</v>
      </c>
      <c r="I5656">
        <v>72.48</v>
      </c>
      <c r="J5656" s="50">
        <v>72.48</v>
      </c>
      <c r="K5656" t="s">
        <v>1632</v>
      </c>
      <c r="M5656" t="s">
        <v>1621</v>
      </c>
      <c r="N5656">
        <v>38.25</v>
      </c>
      <c r="O5656" s="49">
        <v>44743</v>
      </c>
      <c r="P5656" s="50">
        <v>32.616</v>
      </c>
    </row>
    <row r="5657" spans="4:16" x14ac:dyDescent="0.2">
      <c r="D5657">
        <v>100003363</v>
      </c>
      <c r="E5657" s="49">
        <v>45398</v>
      </c>
      <c r="F5657" t="s">
        <v>4917</v>
      </c>
      <c r="G5657" t="s">
        <v>1842</v>
      </c>
      <c r="H5657">
        <v>8</v>
      </c>
      <c r="I5657">
        <v>56.91</v>
      </c>
      <c r="J5657" s="50">
        <v>455.28</v>
      </c>
      <c r="K5657" t="s">
        <v>1632</v>
      </c>
      <c r="M5657" t="s">
        <v>1619</v>
      </c>
      <c r="N5657">
        <v>30.04</v>
      </c>
      <c r="O5657" s="49">
        <v>45403</v>
      </c>
      <c r="P5657" s="50">
        <v>204.876</v>
      </c>
    </row>
    <row r="5658" spans="4:16" x14ac:dyDescent="0.2">
      <c r="D5658">
        <v>100003364</v>
      </c>
      <c r="E5658" s="49">
        <v>45262</v>
      </c>
      <c r="F5658" t="s">
        <v>4918</v>
      </c>
      <c r="G5658" t="s">
        <v>1797</v>
      </c>
      <c r="H5658">
        <v>3</v>
      </c>
      <c r="I5658">
        <v>33.49</v>
      </c>
      <c r="J5658" s="50">
        <v>100.47</v>
      </c>
      <c r="K5658" t="s">
        <v>1618</v>
      </c>
      <c r="M5658" t="s">
        <v>1619</v>
      </c>
      <c r="N5658">
        <v>17.68</v>
      </c>
      <c r="O5658" s="49">
        <v>45267</v>
      </c>
      <c r="P5658" s="50">
        <v>45.211500000000001</v>
      </c>
    </row>
    <row r="5659" spans="4:16" x14ac:dyDescent="0.2">
      <c r="D5659">
        <v>100003364</v>
      </c>
      <c r="E5659" s="49">
        <v>45081</v>
      </c>
      <c r="F5659" t="s">
        <v>4918</v>
      </c>
      <c r="G5659" t="s">
        <v>2099</v>
      </c>
      <c r="H5659">
        <v>10</v>
      </c>
      <c r="I5659">
        <v>91.22</v>
      </c>
      <c r="J5659" s="50">
        <v>912.2</v>
      </c>
      <c r="K5659" t="s">
        <v>1618</v>
      </c>
      <c r="M5659" t="s">
        <v>1629</v>
      </c>
      <c r="N5659">
        <v>48.14</v>
      </c>
      <c r="O5659" s="49">
        <v>45085</v>
      </c>
      <c r="P5659" s="50">
        <v>410.49</v>
      </c>
    </row>
    <row r="5660" spans="4:16" x14ac:dyDescent="0.2">
      <c r="D5660">
        <v>100003364</v>
      </c>
      <c r="E5660" s="49">
        <v>45369</v>
      </c>
      <c r="F5660" t="s">
        <v>4918</v>
      </c>
      <c r="G5660" t="s">
        <v>1650</v>
      </c>
      <c r="H5660">
        <v>9</v>
      </c>
      <c r="I5660">
        <v>70.86</v>
      </c>
      <c r="J5660" s="50">
        <v>637.74</v>
      </c>
      <c r="K5660" t="s">
        <v>1618</v>
      </c>
      <c r="M5660" t="s">
        <v>1624</v>
      </c>
      <c r="N5660">
        <v>37.4</v>
      </c>
      <c r="O5660" s="49">
        <v>45371</v>
      </c>
      <c r="P5660" s="50">
        <v>286.983</v>
      </c>
    </row>
    <row r="5661" spans="4:16" x14ac:dyDescent="0.2">
      <c r="D5661">
        <v>100003365</v>
      </c>
      <c r="E5661" s="49">
        <v>45141</v>
      </c>
      <c r="F5661" t="s">
        <v>4919</v>
      </c>
      <c r="G5661" t="s">
        <v>1971</v>
      </c>
      <c r="H5661">
        <v>7</v>
      </c>
      <c r="I5661">
        <v>33.96</v>
      </c>
      <c r="J5661" s="50">
        <v>237.72</v>
      </c>
      <c r="K5661" t="s">
        <v>1618</v>
      </c>
      <c r="M5661" t="s">
        <v>1624</v>
      </c>
      <c r="N5661">
        <v>17.920000000000002</v>
      </c>
      <c r="O5661" s="49">
        <v>45144</v>
      </c>
      <c r="P5661" s="50">
        <v>106.974</v>
      </c>
    </row>
    <row r="5662" spans="4:16" x14ac:dyDescent="0.2">
      <c r="D5662">
        <v>100003365</v>
      </c>
      <c r="E5662" s="49">
        <v>45168</v>
      </c>
      <c r="F5662" t="s">
        <v>4919</v>
      </c>
      <c r="G5662" t="s">
        <v>1955</v>
      </c>
      <c r="H5662">
        <v>3</v>
      </c>
      <c r="I5662">
        <v>68.900000000000006</v>
      </c>
      <c r="J5662" s="50">
        <v>206.7</v>
      </c>
      <c r="K5662" t="s">
        <v>1618</v>
      </c>
      <c r="M5662" t="s">
        <v>1627</v>
      </c>
      <c r="N5662">
        <v>36.36</v>
      </c>
      <c r="O5662" s="49">
        <v>45169</v>
      </c>
      <c r="P5662" s="50">
        <v>93.015000000000001</v>
      </c>
    </row>
    <row r="5663" spans="4:16" x14ac:dyDescent="0.2">
      <c r="D5663">
        <v>100003365</v>
      </c>
      <c r="E5663" s="49">
        <v>45179</v>
      </c>
      <c r="F5663" t="s">
        <v>4919</v>
      </c>
      <c r="G5663" t="s">
        <v>1945</v>
      </c>
      <c r="H5663">
        <v>2</v>
      </c>
      <c r="I5663">
        <v>82.66</v>
      </c>
      <c r="J5663" s="50">
        <v>165.32</v>
      </c>
      <c r="K5663" t="s">
        <v>1618</v>
      </c>
      <c r="M5663" t="s">
        <v>1619</v>
      </c>
      <c r="N5663">
        <v>43.63</v>
      </c>
      <c r="O5663" s="49">
        <v>45184</v>
      </c>
      <c r="P5663" s="50">
        <v>74.394000000000005</v>
      </c>
    </row>
    <row r="5664" spans="4:16" x14ac:dyDescent="0.2">
      <c r="D5664">
        <v>100003366</v>
      </c>
      <c r="E5664" s="49">
        <v>45288</v>
      </c>
      <c r="F5664" t="s">
        <v>4920</v>
      </c>
      <c r="G5664" t="s">
        <v>2138</v>
      </c>
      <c r="H5664">
        <v>7</v>
      </c>
      <c r="I5664">
        <v>119.34</v>
      </c>
      <c r="J5664" s="50">
        <v>835.38</v>
      </c>
      <c r="K5664" t="s">
        <v>1632</v>
      </c>
      <c r="L5664" t="s">
        <v>4921</v>
      </c>
      <c r="M5664" t="s">
        <v>1627</v>
      </c>
      <c r="N5664">
        <v>62.98</v>
      </c>
      <c r="O5664" s="49">
        <v>45289</v>
      </c>
      <c r="P5664" s="50">
        <v>375.92099999999999</v>
      </c>
    </row>
    <row r="5665" spans="4:16" x14ac:dyDescent="0.2">
      <c r="D5665">
        <v>100003366</v>
      </c>
      <c r="E5665" s="49">
        <v>45210</v>
      </c>
      <c r="F5665" t="s">
        <v>4920</v>
      </c>
      <c r="G5665" t="s">
        <v>2093</v>
      </c>
      <c r="H5665">
        <v>1</v>
      </c>
      <c r="I5665">
        <v>56.35</v>
      </c>
      <c r="J5665" s="50">
        <v>56.35</v>
      </c>
      <c r="K5665" t="s">
        <v>1632</v>
      </c>
      <c r="L5665" t="s">
        <v>4921</v>
      </c>
      <c r="M5665" t="s">
        <v>1627</v>
      </c>
      <c r="N5665">
        <v>29.74</v>
      </c>
      <c r="O5665" s="49">
        <v>45214</v>
      </c>
      <c r="P5665" s="50">
        <v>25.357500000000002</v>
      </c>
    </row>
    <row r="5666" spans="4:16" x14ac:dyDescent="0.2">
      <c r="D5666">
        <v>100003366</v>
      </c>
      <c r="E5666" s="49">
        <v>45498</v>
      </c>
      <c r="F5666" t="s">
        <v>4920</v>
      </c>
      <c r="G5666" t="s">
        <v>2074</v>
      </c>
      <c r="H5666">
        <v>4</v>
      </c>
      <c r="I5666">
        <v>21.9</v>
      </c>
      <c r="J5666" s="50">
        <v>87.6</v>
      </c>
      <c r="K5666" t="s">
        <v>1632</v>
      </c>
      <c r="L5666" t="s">
        <v>4921</v>
      </c>
      <c r="M5666" t="s">
        <v>1619</v>
      </c>
      <c r="N5666">
        <v>11.56</v>
      </c>
      <c r="O5666" s="49">
        <v>45502</v>
      </c>
      <c r="P5666" s="50">
        <v>39.42</v>
      </c>
    </row>
    <row r="5667" spans="4:16" x14ac:dyDescent="0.2">
      <c r="D5667">
        <v>100003366</v>
      </c>
      <c r="E5667" s="49">
        <v>44628</v>
      </c>
      <c r="F5667" t="s">
        <v>4920</v>
      </c>
      <c r="G5667" t="s">
        <v>2343</v>
      </c>
      <c r="H5667">
        <v>9</v>
      </c>
      <c r="I5667">
        <v>116.1</v>
      </c>
      <c r="J5667" s="50">
        <v>1044.9000000000001</v>
      </c>
      <c r="K5667" t="s">
        <v>1632</v>
      </c>
      <c r="L5667" t="s">
        <v>4921</v>
      </c>
      <c r="M5667" t="s">
        <v>1619</v>
      </c>
      <c r="N5667">
        <v>61.27</v>
      </c>
      <c r="O5667" s="49">
        <v>44630</v>
      </c>
      <c r="P5667" s="50">
        <v>470.20500000000004</v>
      </c>
    </row>
    <row r="5668" spans="4:16" x14ac:dyDescent="0.2">
      <c r="D5668">
        <v>100003366</v>
      </c>
      <c r="E5668" s="49">
        <v>45000</v>
      </c>
      <c r="F5668" t="s">
        <v>4920</v>
      </c>
      <c r="G5668" t="s">
        <v>1900</v>
      </c>
      <c r="H5668">
        <v>4</v>
      </c>
      <c r="I5668">
        <v>14.36</v>
      </c>
      <c r="J5668" s="50">
        <v>57.44</v>
      </c>
      <c r="K5668" t="s">
        <v>1632</v>
      </c>
      <c r="L5668" t="s">
        <v>4921</v>
      </c>
      <c r="M5668" t="s">
        <v>1627</v>
      </c>
      <c r="N5668">
        <v>7.58</v>
      </c>
      <c r="O5668" s="49">
        <v>45003</v>
      </c>
      <c r="P5668" s="50">
        <v>25.847999999999999</v>
      </c>
    </row>
    <row r="5669" spans="4:16" x14ac:dyDescent="0.2">
      <c r="D5669">
        <v>100003366</v>
      </c>
      <c r="E5669" s="49">
        <v>44298</v>
      </c>
      <c r="F5669" t="s">
        <v>4920</v>
      </c>
      <c r="G5669" t="s">
        <v>1651</v>
      </c>
      <c r="H5669">
        <v>8</v>
      </c>
      <c r="I5669">
        <v>89.9</v>
      </c>
      <c r="J5669" s="50">
        <v>719.2</v>
      </c>
      <c r="K5669" t="s">
        <v>1632</v>
      </c>
      <c r="L5669" t="s">
        <v>4921</v>
      </c>
      <c r="M5669" t="s">
        <v>1627</v>
      </c>
      <c r="N5669">
        <v>47.45</v>
      </c>
      <c r="O5669" s="49">
        <v>44302</v>
      </c>
      <c r="P5669" s="50">
        <v>323.64000000000004</v>
      </c>
    </row>
    <row r="5670" spans="4:16" x14ac:dyDescent="0.2">
      <c r="D5670">
        <v>100003366</v>
      </c>
      <c r="E5670" s="49">
        <v>44995</v>
      </c>
      <c r="F5670" t="s">
        <v>4920</v>
      </c>
      <c r="G5670" t="s">
        <v>1710</v>
      </c>
      <c r="H5670">
        <v>4</v>
      </c>
      <c r="I5670">
        <v>29.43</v>
      </c>
      <c r="J5670" s="50">
        <v>117.72</v>
      </c>
      <c r="K5670" t="s">
        <v>1632</v>
      </c>
      <c r="L5670" t="s">
        <v>4921</v>
      </c>
      <c r="M5670" t="s">
        <v>1629</v>
      </c>
      <c r="N5670">
        <v>15.53</v>
      </c>
      <c r="O5670" s="49">
        <v>45000</v>
      </c>
      <c r="P5670" s="50">
        <v>52.974000000000004</v>
      </c>
    </row>
    <row r="5671" spans="4:16" x14ac:dyDescent="0.2">
      <c r="D5671">
        <v>100003367</v>
      </c>
      <c r="E5671" s="49">
        <v>44965</v>
      </c>
      <c r="F5671" t="s">
        <v>4922</v>
      </c>
      <c r="G5671" t="s">
        <v>1885</v>
      </c>
      <c r="H5671">
        <v>2</v>
      </c>
      <c r="I5671">
        <v>25.87</v>
      </c>
      <c r="J5671" s="50">
        <v>51.74</v>
      </c>
      <c r="K5671" t="s">
        <v>1618</v>
      </c>
      <c r="M5671" t="s">
        <v>1627</v>
      </c>
      <c r="N5671">
        <v>13.65</v>
      </c>
      <c r="O5671" s="49">
        <v>44966</v>
      </c>
      <c r="P5671" s="50">
        <v>23.283000000000001</v>
      </c>
    </row>
    <row r="5672" spans="4:16" x14ac:dyDescent="0.2">
      <c r="D5672">
        <v>100003367</v>
      </c>
      <c r="E5672" s="49">
        <v>44506</v>
      </c>
      <c r="F5672" t="s">
        <v>4922</v>
      </c>
      <c r="G5672" t="s">
        <v>1720</v>
      </c>
      <c r="H5672">
        <v>6</v>
      </c>
      <c r="I5672">
        <v>82.52</v>
      </c>
      <c r="J5672" s="50">
        <v>495.12</v>
      </c>
      <c r="K5672" t="s">
        <v>1618</v>
      </c>
      <c r="M5672" t="s">
        <v>1619</v>
      </c>
      <c r="N5672">
        <v>43.55</v>
      </c>
      <c r="O5672" s="49">
        <v>44510</v>
      </c>
      <c r="P5672" s="50">
        <v>222.804</v>
      </c>
    </row>
    <row r="5673" spans="4:16" x14ac:dyDescent="0.2">
      <c r="D5673">
        <v>100003367</v>
      </c>
      <c r="E5673" s="49">
        <v>45471</v>
      </c>
      <c r="F5673" t="s">
        <v>4922</v>
      </c>
      <c r="G5673" t="s">
        <v>1820</v>
      </c>
      <c r="H5673">
        <v>6</v>
      </c>
      <c r="I5673">
        <v>110</v>
      </c>
      <c r="J5673" s="50">
        <v>660</v>
      </c>
      <c r="K5673" t="s">
        <v>1618</v>
      </c>
      <c r="M5673" t="s">
        <v>1624</v>
      </c>
      <c r="N5673">
        <v>58.06</v>
      </c>
      <c r="O5673" s="49">
        <v>45474</v>
      </c>
      <c r="P5673" s="50">
        <v>297</v>
      </c>
    </row>
    <row r="5674" spans="4:16" x14ac:dyDescent="0.2">
      <c r="D5674">
        <v>100003370</v>
      </c>
      <c r="E5674" s="49">
        <v>45368</v>
      </c>
      <c r="F5674" t="s">
        <v>4923</v>
      </c>
      <c r="G5674" t="s">
        <v>1752</v>
      </c>
      <c r="H5674">
        <v>2</v>
      </c>
      <c r="I5674">
        <v>115.32</v>
      </c>
      <c r="J5674" s="50">
        <v>230.64</v>
      </c>
      <c r="K5674" t="s">
        <v>1632</v>
      </c>
      <c r="M5674" t="s">
        <v>1621</v>
      </c>
      <c r="N5674">
        <v>60.86</v>
      </c>
      <c r="O5674" s="49">
        <v>45373</v>
      </c>
      <c r="P5674" s="50">
        <v>103.788</v>
      </c>
    </row>
    <row r="5675" spans="4:16" x14ac:dyDescent="0.2">
      <c r="D5675">
        <v>100003372</v>
      </c>
      <c r="E5675" s="49">
        <v>44375</v>
      </c>
      <c r="F5675" t="s">
        <v>4924</v>
      </c>
      <c r="G5675" t="s">
        <v>1955</v>
      </c>
      <c r="H5675">
        <v>8</v>
      </c>
      <c r="I5675">
        <v>23.05</v>
      </c>
      <c r="J5675" s="50">
        <v>184.4</v>
      </c>
      <c r="K5675" t="s">
        <v>1618</v>
      </c>
      <c r="L5675" t="s">
        <v>4223</v>
      </c>
      <c r="M5675" t="s">
        <v>1629</v>
      </c>
      <c r="N5675">
        <v>12.17</v>
      </c>
      <c r="O5675" s="49">
        <v>44376</v>
      </c>
      <c r="P5675" s="50">
        <v>82.98</v>
      </c>
    </row>
    <row r="5676" spans="4:16" x14ac:dyDescent="0.2">
      <c r="D5676">
        <v>100003372</v>
      </c>
      <c r="E5676" s="49">
        <v>45458</v>
      </c>
      <c r="F5676" t="s">
        <v>4924</v>
      </c>
      <c r="G5676" t="s">
        <v>2232</v>
      </c>
      <c r="H5676">
        <v>9</v>
      </c>
      <c r="I5676">
        <v>94.59</v>
      </c>
      <c r="J5676" s="50">
        <v>851.31000000000006</v>
      </c>
      <c r="K5676" t="s">
        <v>1618</v>
      </c>
      <c r="L5676" t="s">
        <v>4223</v>
      </c>
      <c r="M5676" t="s">
        <v>1627</v>
      </c>
      <c r="N5676">
        <v>49.92</v>
      </c>
      <c r="O5676" s="49">
        <v>45463</v>
      </c>
      <c r="P5676" s="50">
        <v>383.08950000000004</v>
      </c>
    </row>
    <row r="5677" spans="4:16" x14ac:dyDescent="0.2">
      <c r="D5677">
        <v>100003372</v>
      </c>
      <c r="E5677" s="49">
        <v>45555</v>
      </c>
      <c r="F5677" t="s">
        <v>4924</v>
      </c>
      <c r="G5677" t="s">
        <v>2390</v>
      </c>
      <c r="H5677">
        <v>2</v>
      </c>
      <c r="I5677">
        <v>47.89</v>
      </c>
      <c r="J5677" s="50">
        <v>95.78</v>
      </c>
      <c r="K5677" t="s">
        <v>1618</v>
      </c>
      <c r="L5677" t="s">
        <v>4223</v>
      </c>
      <c r="M5677" t="s">
        <v>1619</v>
      </c>
      <c r="N5677">
        <v>25.28</v>
      </c>
      <c r="O5677" s="49">
        <v>45558</v>
      </c>
      <c r="P5677" s="50">
        <v>43.100999999999999</v>
      </c>
    </row>
    <row r="5678" spans="4:16" x14ac:dyDescent="0.2">
      <c r="D5678">
        <v>100003372</v>
      </c>
      <c r="E5678" s="49">
        <v>45508</v>
      </c>
      <c r="F5678" t="s">
        <v>4924</v>
      </c>
      <c r="G5678" t="s">
        <v>2707</v>
      </c>
      <c r="H5678">
        <v>1</v>
      </c>
      <c r="I5678">
        <v>66.41</v>
      </c>
      <c r="J5678" s="50">
        <v>66.41</v>
      </c>
      <c r="K5678" t="s">
        <v>1618</v>
      </c>
      <c r="L5678" t="s">
        <v>4223</v>
      </c>
      <c r="M5678" t="s">
        <v>1629</v>
      </c>
      <c r="N5678">
        <v>35.049999999999997</v>
      </c>
      <c r="O5678" s="49">
        <v>45513</v>
      </c>
      <c r="P5678" s="50">
        <v>29.884499999999999</v>
      </c>
    </row>
    <row r="5679" spans="4:16" x14ac:dyDescent="0.2">
      <c r="D5679">
        <v>100003372</v>
      </c>
      <c r="E5679" s="49">
        <v>44879</v>
      </c>
      <c r="F5679" t="s">
        <v>4924</v>
      </c>
      <c r="G5679" t="s">
        <v>2348</v>
      </c>
      <c r="H5679">
        <v>10</v>
      </c>
      <c r="I5679">
        <v>76.56</v>
      </c>
      <c r="J5679" s="50">
        <v>765.6</v>
      </c>
      <c r="K5679" t="s">
        <v>1618</v>
      </c>
      <c r="L5679" t="s">
        <v>4223</v>
      </c>
      <c r="M5679" t="s">
        <v>1621</v>
      </c>
      <c r="N5679">
        <v>40.409999999999997</v>
      </c>
      <c r="O5679" s="49">
        <v>44881</v>
      </c>
      <c r="P5679" s="50">
        <v>344.52000000000004</v>
      </c>
    </row>
    <row r="5680" spans="4:16" x14ac:dyDescent="0.2">
      <c r="D5680">
        <v>100003372</v>
      </c>
      <c r="E5680" s="49">
        <v>44904</v>
      </c>
      <c r="F5680" t="s">
        <v>4924</v>
      </c>
      <c r="G5680" t="s">
        <v>2062</v>
      </c>
      <c r="H5680">
        <v>8</v>
      </c>
      <c r="I5680">
        <v>76.64</v>
      </c>
      <c r="J5680" s="50">
        <v>613.12</v>
      </c>
      <c r="K5680" t="s">
        <v>1618</v>
      </c>
      <c r="L5680" t="s">
        <v>4223</v>
      </c>
      <c r="M5680" t="s">
        <v>1629</v>
      </c>
      <c r="N5680">
        <v>40.450000000000003</v>
      </c>
      <c r="O5680" s="49">
        <v>44906</v>
      </c>
      <c r="P5680" s="50">
        <v>275.904</v>
      </c>
    </row>
    <row r="5681" spans="4:16" x14ac:dyDescent="0.2">
      <c r="D5681">
        <v>100003373</v>
      </c>
      <c r="E5681" s="49">
        <v>44572</v>
      </c>
      <c r="F5681" t="s">
        <v>4925</v>
      </c>
      <c r="G5681" t="s">
        <v>1700</v>
      </c>
      <c r="H5681">
        <v>6</v>
      </c>
      <c r="I5681">
        <v>35.24</v>
      </c>
      <c r="J5681" s="50">
        <v>211.44</v>
      </c>
      <c r="K5681" t="s">
        <v>1618</v>
      </c>
      <c r="L5681" t="s">
        <v>4926</v>
      </c>
      <c r="M5681" t="s">
        <v>1627</v>
      </c>
      <c r="N5681">
        <v>18.600000000000001</v>
      </c>
      <c r="O5681" s="49">
        <v>44574</v>
      </c>
      <c r="P5681" s="50">
        <v>95.147999999999996</v>
      </c>
    </row>
    <row r="5682" spans="4:16" x14ac:dyDescent="0.2">
      <c r="D5682">
        <v>100003373</v>
      </c>
      <c r="E5682" s="49">
        <v>44403</v>
      </c>
      <c r="F5682" t="s">
        <v>4925</v>
      </c>
      <c r="G5682" t="s">
        <v>1710</v>
      </c>
      <c r="H5682">
        <v>6</v>
      </c>
      <c r="I5682">
        <v>98.57</v>
      </c>
      <c r="J5682" s="50">
        <v>591.41999999999996</v>
      </c>
      <c r="K5682" t="s">
        <v>1618</v>
      </c>
      <c r="L5682" t="s">
        <v>4926</v>
      </c>
      <c r="M5682" t="s">
        <v>1624</v>
      </c>
      <c r="N5682">
        <v>52.02</v>
      </c>
      <c r="O5682" s="49">
        <v>44404</v>
      </c>
      <c r="P5682" s="50">
        <v>266.13900000000001</v>
      </c>
    </row>
    <row r="5683" spans="4:16" x14ac:dyDescent="0.2">
      <c r="D5683">
        <v>100003373</v>
      </c>
      <c r="E5683" s="49">
        <v>44579</v>
      </c>
      <c r="F5683" t="s">
        <v>4925</v>
      </c>
      <c r="G5683" t="s">
        <v>1929</v>
      </c>
      <c r="H5683">
        <v>8</v>
      </c>
      <c r="I5683">
        <v>28.91</v>
      </c>
      <c r="J5683" s="50">
        <v>231.28</v>
      </c>
      <c r="K5683" t="s">
        <v>1618</v>
      </c>
      <c r="L5683" t="s">
        <v>4926</v>
      </c>
      <c r="M5683" t="s">
        <v>1621</v>
      </c>
      <c r="N5683">
        <v>15.26</v>
      </c>
      <c r="O5683" s="49">
        <v>44583</v>
      </c>
      <c r="P5683" s="50">
        <v>104.07600000000001</v>
      </c>
    </row>
    <row r="5684" spans="4:16" x14ac:dyDescent="0.2">
      <c r="D5684">
        <v>100003374</v>
      </c>
      <c r="E5684" s="49">
        <v>44427</v>
      </c>
      <c r="F5684" t="s">
        <v>4927</v>
      </c>
      <c r="G5684" t="s">
        <v>2485</v>
      </c>
      <c r="H5684">
        <v>8</v>
      </c>
      <c r="I5684">
        <v>18.57</v>
      </c>
      <c r="J5684" s="50">
        <v>148.56</v>
      </c>
      <c r="K5684" t="s">
        <v>1618</v>
      </c>
      <c r="M5684" t="s">
        <v>1621</v>
      </c>
      <c r="N5684">
        <v>9.8000000000000007</v>
      </c>
      <c r="O5684" s="49">
        <v>44430</v>
      </c>
      <c r="P5684" s="50">
        <v>66.852000000000004</v>
      </c>
    </row>
    <row r="5685" spans="4:16" x14ac:dyDescent="0.2">
      <c r="D5685">
        <v>100003375</v>
      </c>
      <c r="E5685" s="49">
        <v>45467</v>
      </c>
      <c r="F5685" t="s">
        <v>4928</v>
      </c>
      <c r="G5685" t="s">
        <v>2147</v>
      </c>
      <c r="H5685">
        <v>6</v>
      </c>
      <c r="I5685">
        <v>88.87</v>
      </c>
      <c r="J5685" s="50">
        <v>533.22</v>
      </c>
      <c r="K5685" t="s">
        <v>1618</v>
      </c>
      <c r="L5685" t="s">
        <v>4202</v>
      </c>
      <c r="M5685" t="s">
        <v>1629</v>
      </c>
      <c r="N5685">
        <v>46.9</v>
      </c>
      <c r="O5685" s="49">
        <v>45471</v>
      </c>
      <c r="P5685" s="50">
        <v>239.94900000000001</v>
      </c>
    </row>
    <row r="5686" spans="4:16" x14ac:dyDescent="0.2">
      <c r="D5686">
        <v>100003375</v>
      </c>
      <c r="E5686" s="49">
        <v>44330</v>
      </c>
      <c r="F5686" t="s">
        <v>4928</v>
      </c>
      <c r="G5686" t="s">
        <v>2460</v>
      </c>
      <c r="H5686">
        <v>10</v>
      </c>
      <c r="I5686">
        <v>81.180000000000007</v>
      </c>
      <c r="J5686" s="50">
        <v>811.80000000000007</v>
      </c>
      <c r="K5686" t="s">
        <v>1618</v>
      </c>
      <c r="L5686" t="s">
        <v>4202</v>
      </c>
      <c r="M5686" t="s">
        <v>1629</v>
      </c>
      <c r="N5686">
        <v>42.84</v>
      </c>
      <c r="O5686" s="49">
        <v>44331</v>
      </c>
      <c r="P5686" s="50">
        <v>365.31000000000006</v>
      </c>
    </row>
    <row r="5687" spans="4:16" x14ac:dyDescent="0.2">
      <c r="D5687">
        <v>100003375</v>
      </c>
      <c r="E5687" s="49">
        <v>44952</v>
      </c>
      <c r="F5687" t="s">
        <v>4928</v>
      </c>
      <c r="G5687" t="s">
        <v>1830</v>
      </c>
      <c r="H5687">
        <v>3</v>
      </c>
      <c r="I5687">
        <v>100.49</v>
      </c>
      <c r="J5687" s="50">
        <v>301.47000000000003</v>
      </c>
      <c r="K5687" t="s">
        <v>1618</v>
      </c>
      <c r="L5687" t="s">
        <v>4202</v>
      </c>
      <c r="M5687" t="s">
        <v>1629</v>
      </c>
      <c r="N5687">
        <v>53.04</v>
      </c>
      <c r="O5687" s="49">
        <v>44953</v>
      </c>
      <c r="P5687" s="50">
        <v>135.66150000000002</v>
      </c>
    </row>
    <row r="5688" spans="4:16" x14ac:dyDescent="0.2">
      <c r="D5688">
        <v>100003376</v>
      </c>
      <c r="E5688" s="49">
        <v>44480</v>
      </c>
      <c r="F5688" t="s">
        <v>4929</v>
      </c>
      <c r="G5688" t="s">
        <v>1932</v>
      </c>
      <c r="H5688">
        <v>6</v>
      </c>
      <c r="I5688">
        <v>38.65</v>
      </c>
      <c r="J5688" s="50">
        <v>231.9</v>
      </c>
      <c r="K5688" t="s">
        <v>1618</v>
      </c>
      <c r="L5688" t="s">
        <v>3721</v>
      </c>
      <c r="M5688" t="s">
        <v>1621</v>
      </c>
      <c r="N5688">
        <v>20.399999999999999</v>
      </c>
      <c r="O5688" s="49">
        <v>44484</v>
      </c>
      <c r="P5688" s="50">
        <v>104.355</v>
      </c>
    </row>
    <row r="5689" spans="4:16" x14ac:dyDescent="0.2">
      <c r="D5689">
        <v>100003376</v>
      </c>
      <c r="E5689" s="49">
        <v>44764</v>
      </c>
      <c r="F5689" t="s">
        <v>4929</v>
      </c>
      <c r="G5689" t="s">
        <v>2158</v>
      </c>
      <c r="H5689">
        <v>6</v>
      </c>
      <c r="I5689">
        <v>53.78</v>
      </c>
      <c r="J5689" s="50">
        <v>322.68</v>
      </c>
      <c r="K5689" t="s">
        <v>1618</v>
      </c>
      <c r="L5689" t="s">
        <v>3721</v>
      </c>
      <c r="M5689" t="s">
        <v>1624</v>
      </c>
      <c r="N5689">
        <v>28.38</v>
      </c>
      <c r="O5689" s="49">
        <v>44766</v>
      </c>
      <c r="P5689" s="50">
        <v>145.20600000000002</v>
      </c>
    </row>
    <row r="5690" spans="4:16" x14ac:dyDescent="0.2">
      <c r="D5690">
        <v>100003377</v>
      </c>
      <c r="E5690" s="49">
        <v>45119</v>
      </c>
      <c r="F5690" t="s">
        <v>4930</v>
      </c>
      <c r="G5690" t="s">
        <v>2378</v>
      </c>
      <c r="H5690">
        <v>8</v>
      </c>
      <c r="I5690">
        <v>108.8</v>
      </c>
      <c r="J5690" s="50">
        <v>870.4</v>
      </c>
      <c r="K5690" t="s">
        <v>1618</v>
      </c>
      <c r="L5690" t="s">
        <v>1659</v>
      </c>
      <c r="M5690" t="s">
        <v>1629</v>
      </c>
      <c r="N5690">
        <v>57.42</v>
      </c>
      <c r="O5690" s="49">
        <v>45123</v>
      </c>
      <c r="P5690" s="50">
        <v>391.68</v>
      </c>
    </row>
    <row r="5691" spans="4:16" x14ac:dyDescent="0.2">
      <c r="D5691">
        <v>100003378</v>
      </c>
      <c r="E5691" s="49">
        <v>44669</v>
      </c>
      <c r="F5691" t="s">
        <v>4931</v>
      </c>
      <c r="G5691" t="s">
        <v>2130</v>
      </c>
      <c r="H5691">
        <v>3</v>
      </c>
      <c r="I5691">
        <v>80.180000000000007</v>
      </c>
      <c r="J5691" s="50">
        <v>240.54</v>
      </c>
      <c r="K5691" t="s">
        <v>1618</v>
      </c>
      <c r="L5691" t="s">
        <v>3560</v>
      </c>
      <c r="M5691" t="s">
        <v>1621</v>
      </c>
      <c r="N5691">
        <v>42.32</v>
      </c>
      <c r="O5691" s="49">
        <v>44674</v>
      </c>
      <c r="P5691" s="50">
        <v>108.24299999999999</v>
      </c>
    </row>
    <row r="5692" spans="4:16" x14ac:dyDescent="0.2">
      <c r="D5692">
        <v>100003378</v>
      </c>
      <c r="E5692" s="49">
        <v>45500</v>
      </c>
      <c r="F5692" t="s">
        <v>4931</v>
      </c>
      <c r="G5692" t="s">
        <v>1851</v>
      </c>
      <c r="H5692">
        <v>6</v>
      </c>
      <c r="I5692">
        <v>89.07</v>
      </c>
      <c r="J5692" s="50">
        <v>534.41999999999996</v>
      </c>
      <c r="K5692" t="s">
        <v>1618</v>
      </c>
      <c r="L5692" t="s">
        <v>3560</v>
      </c>
      <c r="M5692" t="s">
        <v>1627</v>
      </c>
      <c r="N5692">
        <v>47.01</v>
      </c>
      <c r="O5692" s="49">
        <v>45503</v>
      </c>
      <c r="P5692" s="50">
        <v>240.48899999999998</v>
      </c>
    </row>
    <row r="5693" spans="4:16" x14ac:dyDescent="0.2">
      <c r="D5693">
        <v>100003380</v>
      </c>
      <c r="E5693" s="49">
        <v>44615</v>
      </c>
      <c r="F5693" t="s">
        <v>4932</v>
      </c>
      <c r="G5693" t="s">
        <v>1982</v>
      </c>
      <c r="H5693">
        <v>8</v>
      </c>
      <c r="I5693">
        <v>40.71</v>
      </c>
      <c r="J5693" s="50">
        <v>325.68</v>
      </c>
      <c r="K5693" t="s">
        <v>1632</v>
      </c>
      <c r="M5693" t="s">
        <v>1627</v>
      </c>
      <c r="N5693">
        <v>21.49</v>
      </c>
      <c r="O5693" s="49">
        <v>44620</v>
      </c>
      <c r="P5693" s="50">
        <v>146.55600000000001</v>
      </c>
    </row>
    <row r="5694" spans="4:16" x14ac:dyDescent="0.2">
      <c r="D5694">
        <v>100003380</v>
      </c>
      <c r="E5694" s="49">
        <v>45356</v>
      </c>
      <c r="F5694" t="s">
        <v>4932</v>
      </c>
      <c r="G5694" t="s">
        <v>1707</v>
      </c>
      <c r="H5694">
        <v>7</v>
      </c>
      <c r="I5694">
        <v>115.47</v>
      </c>
      <c r="J5694" s="50">
        <v>808.29</v>
      </c>
      <c r="K5694" t="s">
        <v>1632</v>
      </c>
      <c r="M5694" t="s">
        <v>1624</v>
      </c>
      <c r="N5694">
        <v>60.94</v>
      </c>
      <c r="O5694" s="49">
        <v>45357</v>
      </c>
      <c r="P5694" s="50">
        <v>363.73050000000001</v>
      </c>
    </row>
    <row r="5695" spans="4:16" x14ac:dyDescent="0.2">
      <c r="D5695">
        <v>100003380</v>
      </c>
      <c r="E5695" s="49">
        <v>45083</v>
      </c>
      <c r="F5695" t="s">
        <v>4932</v>
      </c>
      <c r="G5695" t="s">
        <v>1637</v>
      </c>
      <c r="H5695">
        <v>5</v>
      </c>
      <c r="I5695">
        <v>83.11</v>
      </c>
      <c r="J5695" s="50">
        <v>415.55</v>
      </c>
      <c r="K5695" t="s">
        <v>1632</v>
      </c>
      <c r="M5695" t="s">
        <v>1629</v>
      </c>
      <c r="N5695">
        <v>43.86</v>
      </c>
      <c r="O5695" s="49">
        <v>45084</v>
      </c>
      <c r="P5695" s="50">
        <v>186.9975</v>
      </c>
    </row>
    <row r="5696" spans="4:16" x14ac:dyDescent="0.2">
      <c r="D5696">
        <v>100003381</v>
      </c>
      <c r="E5696" s="49">
        <v>45189</v>
      </c>
      <c r="F5696" t="s">
        <v>4075</v>
      </c>
      <c r="G5696" t="s">
        <v>2348</v>
      </c>
      <c r="H5696">
        <v>6</v>
      </c>
      <c r="I5696">
        <v>107.09</v>
      </c>
      <c r="J5696" s="50">
        <v>642.54</v>
      </c>
      <c r="K5696" t="s">
        <v>1618</v>
      </c>
      <c r="M5696" t="s">
        <v>1629</v>
      </c>
      <c r="N5696">
        <v>56.52</v>
      </c>
      <c r="O5696" s="49">
        <v>45191</v>
      </c>
      <c r="P5696" s="50">
        <v>289.14299999999997</v>
      </c>
    </row>
    <row r="5697" spans="4:16" x14ac:dyDescent="0.2">
      <c r="D5697">
        <v>100003382</v>
      </c>
      <c r="E5697" s="49">
        <v>44693</v>
      </c>
      <c r="F5697" t="s">
        <v>4933</v>
      </c>
      <c r="G5697" t="s">
        <v>2039</v>
      </c>
      <c r="H5697">
        <v>7</v>
      </c>
      <c r="I5697">
        <v>25.42</v>
      </c>
      <c r="J5697" s="50">
        <v>177.94</v>
      </c>
      <c r="K5697" t="s">
        <v>1632</v>
      </c>
      <c r="M5697" t="s">
        <v>1619</v>
      </c>
      <c r="N5697">
        <v>13.42</v>
      </c>
      <c r="O5697" s="49">
        <v>44695</v>
      </c>
      <c r="P5697" s="50">
        <v>80.073000000000008</v>
      </c>
    </row>
    <row r="5698" spans="4:16" x14ac:dyDescent="0.2">
      <c r="D5698">
        <v>100003382</v>
      </c>
      <c r="E5698" s="49">
        <v>44609</v>
      </c>
      <c r="F5698" t="s">
        <v>4933</v>
      </c>
      <c r="G5698" t="s">
        <v>1700</v>
      </c>
      <c r="H5698">
        <v>7</v>
      </c>
      <c r="I5698">
        <v>58.23</v>
      </c>
      <c r="J5698" s="50">
        <v>407.61</v>
      </c>
      <c r="K5698" t="s">
        <v>1632</v>
      </c>
      <c r="M5698" t="s">
        <v>1627</v>
      </c>
      <c r="N5698">
        <v>30.73</v>
      </c>
      <c r="O5698" s="49">
        <v>44613</v>
      </c>
      <c r="P5698" s="50">
        <v>183.42450000000002</v>
      </c>
    </row>
    <row r="5699" spans="4:16" x14ac:dyDescent="0.2">
      <c r="D5699">
        <v>100003382</v>
      </c>
      <c r="E5699" s="49">
        <v>45425</v>
      </c>
      <c r="F5699" t="s">
        <v>4933</v>
      </c>
      <c r="G5699" t="s">
        <v>1631</v>
      </c>
      <c r="H5699">
        <v>1</v>
      </c>
      <c r="I5699">
        <v>99.34</v>
      </c>
      <c r="J5699" s="50">
        <v>99.34</v>
      </c>
      <c r="K5699" t="s">
        <v>1632</v>
      </c>
      <c r="M5699" t="s">
        <v>1621</v>
      </c>
      <c r="N5699">
        <v>52.43</v>
      </c>
      <c r="O5699" s="49">
        <v>45426</v>
      </c>
      <c r="P5699" s="50">
        <v>44.703000000000003</v>
      </c>
    </row>
    <row r="5700" spans="4:16" x14ac:dyDescent="0.2">
      <c r="D5700">
        <v>100003382</v>
      </c>
      <c r="E5700" s="49">
        <v>44202</v>
      </c>
      <c r="F5700" t="s">
        <v>4933</v>
      </c>
      <c r="G5700" t="s">
        <v>2198</v>
      </c>
      <c r="H5700">
        <v>5</v>
      </c>
      <c r="I5700">
        <v>16.100000000000001</v>
      </c>
      <c r="J5700" s="50">
        <v>80.5</v>
      </c>
      <c r="K5700" t="s">
        <v>1632</v>
      </c>
      <c r="M5700" t="s">
        <v>1619</v>
      </c>
      <c r="N5700">
        <v>8.5</v>
      </c>
      <c r="O5700" s="49">
        <v>44203</v>
      </c>
      <c r="P5700" s="50">
        <v>36.225000000000001</v>
      </c>
    </row>
    <row r="5701" spans="4:16" x14ac:dyDescent="0.2">
      <c r="D5701">
        <v>100003383</v>
      </c>
      <c r="E5701" s="49">
        <v>44295</v>
      </c>
      <c r="F5701" t="s">
        <v>4934</v>
      </c>
      <c r="G5701" t="s">
        <v>2202</v>
      </c>
      <c r="H5701">
        <v>10</v>
      </c>
      <c r="I5701">
        <v>115.36</v>
      </c>
      <c r="J5701" s="50">
        <v>1153.5999999999999</v>
      </c>
      <c r="K5701" t="s">
        <v>1632</v>
      </c>
      <c r="M5701" t="s">
        <v>1624</v>
      </c>
      <c r="N5701">
        <v>60.88</v>
      </c>
      <c r="O5701" s="49">
        <v>44297</v>
      </c>
      <c r="P5701" s="50">
        <v>519.12</v>
      </c>
    </row>
    <row r="5702" spans="4:16" x14ac:dyDescent="0.2">
      <c r="D5702">
        <v>100003384</v>
      </c>
      <c r="E5702" s="49">
        <v>45278</v>
      </c>
      <c r="F5702" t="s">
        <v>2432</v>
      </c>
      <c r="G5702" t="s">
        <v>1848</v>
      </c>
      <c r="H5702">
        <v>7</v>
      </c>
      <c r="I5702">
        <v>108.66</v>
      </c>
      <c r="J5702" s="50">
        <v>760.62</v>
      </c>
      <c r="K5702" t="s">
        <v>1632</v>
      </c>
      <c r="M5702" t="s">
        <v>1619</v>
      </c>
      <c r="N5702">
        <v>57.35</v>
      </c>
      <c r="O5702" s="49">
        <v>45282</v>
      </c>
      <c r="P5702" s="50">
        <v>342.279</v>
      </c>
    </row>
    <row r="5703" spans="4:16" x14ac:dyDescent="0.2">
      <c r="D5703">
        <v>100003384</v>
      </c>
      <c r="E5703" s="49">
        <v>44791</v>
      </c>
      <c r="F5703" t="s">
        <v>2432</v>
      </c>
      <c r="G5703" t="s">
        <v>1815</v>
      </c>
      <c r="H5703">
        <v>1</v>
      </c>
      <c r="I5703">
        <v>33.75</v>
      </c>
      <c r="J5703" s="50">
        <v>33.75</v>
      </c>
      <c r="K5703" t="s">
        <v>1632</v>
      </c>
      <c r="M5703" t="s">
        <v>1627</v>
      </c>
      <c r="N5703">
        <v>17.809999999999999</v>
      </c>
      <c r="O5703" s="49">
        <v>44793</v>
      </c>
      <c r="P5703" s="50">
        <v>15.1875</v>
      </c>
    </row>
    <row r="5704" spans="4:16" x14ac:dyDescent="0.2">
      <c r="D5704">
        <v>100003384</v>
      </c>
      <c r="E5704" s="49">
        <v>45191</v>
      </c>
      <c r="F5704" t="s">
        <v>2432</v>
      </c>
      <c r="G5704" t="s">
        <v>1754</v>
      </c>
      <c r="H5704">
        <v>2</v>
      </c>
      <c r="I5704">
        <v>70.87</v>
      </c>
      <c r="J5704" s="50">
        <v>141.74</v>
      </c>
      <c r="K5704" t="s">
        <v>1632</v>
      </c>
      <c r="M5704" t="s">
        <v>1624</v>
      </c>
      <c r="N5704">
        <v>37.4</v>
      </c>
      <c r="O5704" s="49">
        <v>45192</v>
      </c>
      <c r="P5704" s="50">
        <v>63.783000000000008</v>
      </c>
    </row>
    <row r="5705" spans="4:16" x14ac:dyDescent="0.2">
      <c r="D5705">
        <v>100003384</v>
      </c>
      <c r="E5705" s="49">
        <v>45226</v>
      </c>
      <c r="F5705" t="s">
        <v>2432</v>
      </c>
      <c r="G5705" t="s">
        <v>2420</v>
      </c>
      <c r="H5705">
        <v>8</v>
      </c>
      <c r="I5705">
        <v>76.86</v>
      </c>
      <c r="J5705" s="50">
        <v>614.88</v>
      </c>
      <c r="K5705" t="s">
        <v>1632</v>
      </c>
      <c r="M5705" t="s">
        <v>1621</v>
      </c>
      <c r="N5705">
        <v>40.56</v>
      </c>
      <c r="O5705" s="49">
        <v>45229</v>
      </c>
      <c r="P5705" s="50">
        <v>276.69600000000003</v>
      </c>
    </row>
    <row r="5706" spans="4:16" x14ac:dyDescent="0.2">
      <c r="D5706">
        <v>100003384</v>
      </c>
      <c r="E5706" s="49">
        <v>44205</v>
      </c>
      <c r="F5706" t="s">
        <v>2432</v>
      </c>
      <c r="G5706" t="s">
        <v>1900</v>
      </c>
      <c r="H5706">
        <v>6</v>
      </c>
      <c r="I5706">
        <v>85.66</v>
      </c>
      <c r="J5706" s="50">
        <v>513.96</v>
      </c>
      <c r="K5706" t="s">
        <v>1632</v>
      </c>
      <c r="M5706" t="s">
        <v>1621</v>
      </c>
      <c r="N5706">
        <v>45.21</v>
      </c>
      <c r="O5706" s="49">
        <v>44207</v>
      </c>
      <c r="P5706" s="50">
        <v>231.28200000000001</v>
      </c>
    </row>
    <row r="5707" spans="4:16" x14ac:dyDescent="0.2">
      <c r="D5707">
        <v>100003386</v>
      </c>
      <c r="E5707" s="49">
        <v>45134</v>
      </c>
      <c r="F5707" t="s">
        <v>4935</v>
      </c>
      <c r="G5707" t="s">
        <v>2116</v>
      </c>
      <c r="H5707">
        <v>1</v>
      </c>
      <c r="I5707">
        <v>32.99</v>
      </c>
      <c r="J5707" s="50">
        <v>32.99</v>
      </c>
      <c r="K5707" t="s">
        <v>1618</v>
      </c>
      <c r="M5707" t="s">
        <v>1621</v>
      </c>
      <c r="N5707">
        <v>17.41</v>
      </c>
      <c r="O5707" s="49">
        <v>45138</v>
      </c>
      <c r="P5707" s="50">
        <v>14.845500000000001</v>
      </c>
    </row>
    <row r="5708" spans="4:16" x14ac:dyDescent="0.2">
      <c r="D5708">
        <v>100003387</v>
      </c>
      <c r="E5708" s="49">
        <v>45612</v>
      </c>
      <c r="F5708" t="s">
        <v>4936</v>
      </c>
      <c r="G5708" t="s">
        <v>1742</v>
      </c>
      <c r="H5708">
        <v>9</v>
      </c>
      <c r="I5708">
        <v>11.81</v>
      </c>
      <c r="J5708" s="50">
        <v>106.29</v>
      </c>
      <c r="K5708" t="s">
        <v>1632</v>
      </c>
      <c r="M5708" t="s">
        <v>1621</v>
      </c>
      <c r="N5708">
        <v>6.23</v>
      </c>
      <c r="O5708" s="49">
        <v>45615</v>
      </c>
      <c r="P5708" s="50">
        <v>47.830500000000001</v>
      </c>
    </row>
    <row r="5709" spans="4:16" x14ac:dyDescent="0.2">
      <c r="D5709">
        <v>100003388</v>
      </c>
      <c r="E5709" s="49">
        <v>44688</v>
      </c>
      <c r="F5709" t="s">
        <v>2383</v>
      </c>
      <c r="G5709" t="s">
        <v>2373</v>
      </c>
      <c r="H5709">
        <v>1</v>
      </c>
      <c r="I5709">
        <v>14.53</v>
      </c>
      <c r="J5709" s="50">
        <v>14.53</v>
      </c>
      <c r="K5709" t="s">
        <v>1618</v>
      </c>
      <c r="M5709" t="s">
        <v>1624</v>
      </c>
      <c r="N5709">
        <v>7.67</v>
      </c>
      <c r="O5709" s="49">
        <v>44692</v>
      </c>
      <c r="P5709" s="50">
        <v>6.5385</v>
      </c>
    </row>
    <row r="5710" spans="4:16" x14ac:dyDescent="0.2">
      <c r="D5710">
        <v>100003388</v>
      </c>
      <c r="E5710" s="49">
        <v>44899</v>
      </c>
      <c r="F5710" t="s">
        <v>2383</v>
      </c>
      <c r="G5710" t="s">
        <v>2514</v>
      </c>
      <c r="H5710">
        <v>3</v>
      </c>
      <c r="I5710">
        <v>21.07</v>
      </c>
      <c r="J5710" s="50">
        <v>63.21</v>
      </c>
      <c r="K5710" t="s">
        <v>1618</v>
      </c>
      <c r="M5710" t="s">
        <v>1619</v>
      </c>
      <c r="N5710">
        <v>11.12</v>
      </c>
      <c r="O5710" s="49">
        <v>44903</v>
      </c>
      <c r="P5710" s="50">
        <v>28.444500000000001</v>
      </c>
    </row>
    <row r="5711" spans="4:16" x14ac:dyDescent="0.2">
      <c r="D5711">
        <v>100003388</v>
      </c>
      <c r="E5711" s="49">
        <v>45650</v>
      </c>
      <c r="F5711" t="s">
        <v>2383</v>
      </c>
      <c r="G5711" t="s">
        <v>2261</v>
      </c>
      <c r="H5711">
        <v>4</v>
      </c>
      <c r="I5711">
        <v>31.98</v>
      </c>
      <c r="J5711" s="50">
        <v>127.92</v>
      </c>
      <c r="K5711" t="s">
        <v>1618</v>
      </c>
      <c r="M5711" t="s">
        <v>1619</v>
      </c>
      <c r="N5711">
        <v>16.88</v>
      </c>
      <c r="O5711" s="49">
        <v>45653</v>
      </c>
      <c r="P5711" s="50">
        <v>57.564</v>
      </c>
    </row>
    <row r="5712" spans="4:16" x14ac:dyDescent="0.2">
      <c r="D5712">
        <v>100003388</v>
      </c>
      <c r="E5712" s="49">
        <v>44418</v>
      </c>
      <c r="F5712" t="s">
        <v>2383</v>
      </c>
      <c r="G5712" t="s">
        <v>1626</v>
      </c>
      <c r="H5712">
        <v>1</v>
      </c>
      <c r="I5712">
        <v>75.260000000000005</v>
      </c>
      <c r="J5712" s="50">
        <v>75.260000000000005</v>
      </c>
      <c r="K5712" t="s">
        <v>1618</v>
      </c>
      <c r="M5712" t="s">
        <v>1624</v>
      </c>
      <c r="N5712">
        <v>39.72</v>
      </c>
      <c r="O5712" s="49">
        <v>44420</v>
      </c>
      <c r="P5712" s="50">
        <v>33.867000000000004</v>
      </c>
    </row>
    <row r="5713" spans="4:16" x14ac:dyDescent="0.2">
      <c r="D5713">
        <v>100003388</v>
      </c>
      <c r="E5713" s="49">
        <v>45287</v>
      </c>
      <c r="F5713" t="s">
        <v>2383</v>
      </c>
      <c r="G5713" t="s">
        <v>2076</v>
      </c>
      <c r="H5713">
        <v>3</v>
      </c>
      <c r="I5713">
        <v>119.45</v>
      </c>
      <c r="J5713" s="50">
        <v>358.35</v>
      </c>
      <c r="K5713" t="s">
        <v>1618</v>
      </c>
      <c r="M5713" t="s">
        <v>1624</v>
      </c>
      <c r="N5713">
        <v>63.04</v>
      </c>
      <c r="O5713" s="49">
        <v>45289</v>
      </c>
      <c r="P5713" s="50">
        <v>161.25750000000002</v>
      </c>
    </row>
    <row r="5714" spans="4:16" x14ac:dyDescent="0.2">
      <c r="D5714">
        <v>100003388</v>
      </c>
      <c r="E5714" s="49">
        <v>45116</v>
      </c>
      <c r="F5714" t="s">
        <v>2383</v>
      </c>
      <c r="G5714" t="s">
        <v>1743</v>
      </c>
      <c r="H5714">
        <v>4</v>
      </c>
      <c r="I5714">
        <v>75.38</v>
      </c>
      <c r="J5714" s="50">
        <v>301.52</v>
      </c>
      <c r="K5714" t="s">
        <v>1618</v>
      </c>
      <c r="M5714" t="s">
        <v>1621</v>
      </c>
      <c r="N5714">
        <v>39.78</v>
      </c>
      <c r="O5714" s="49">
        <v>45118</v>
      </c>
      <c r="P5714" s="50">
        <v>135.684</v>
      </c>
    </row>
    <row r="5715" spans="4:16" x14ac:dyDescent="0.2">
      <c r="D5715">
        <v>100003389</v>
      </c>
      <c r="E5715" s="49">
        <v>45488</v>
      </c>
      <c r="F5715" t="s">
        <v>4937</v>
      </c>
      <c r="G5715" t="s">
        <v>1718</v>
      </c>
      <c r="H5715">
        <v>7</v>
      </c>
      <c r="I5715">
        <v>62.6</v>
      </c>
      <c r="J5715" s="50">
        <v>438.2</v>
      </c>
      <c r="K5715" t="s">
        <v>1618</v>
      </c>
      <c r="M5715" t="s">
        <v>1621</v>
      </c>
      <c r="N5715">
        <v>33.04</v>
      </c>
      <c r="O5715" s="49">
        <v>45493</v>
      </c>
      <c r="P5715" s="50">
        <v>197.19</v>
      </c>
    </row>
    <row r="5716" spans="4:16" x14ac:dyDescent="0.2">
      <c r="D5716">
        <v>100003389</v>
      </c>
      <c r="E5716" s="49">
        <v>44291</v>
      </c>
      <c r="F5716" t="s">
        <v>4937</v>
      </c>
      <c r="G5716" t="s">
        <v>2328</v>
      </c>
      <c r="H5716">
        <v>7</v>
      </c>
      <c r="I5716">
        <v>93.11</v>
      </c>
      <c r="J5716" s="50">
        <v>651.77</v>
      </c>
      <c r="K5716" t="s">
        <v>1618</v>
      </c>
      <c r="M5716" t="s">
        <v>1624</v>
      </c>
      <c r="N5716">
        <v>49.14</v>
      </c>
      <c r="O5716" s="49">
        <v>44292</v>
      </c>
      <c r="P5716" s="50">
        <v>293.29649999999998</v>
      </c>
    </row>
    <row r="5717" spans="4:16" x14ac:dyDescent="0.2">
      <c r="D5717">
        <v>100003390</v>
      </c>
      <c r="E5717" s="49">
        <v>45621</v>
      </c>
      <c r="F5717" t="s">
        <v>4938</v>
      </c>
      <c r="G5717" t="s">
        <v>1853</v>
      </c>
      <c r="H5717">
        <v>5</v>
      </c>
      <c r="I5717">
        <v>94.67</v>
      </c>
      <c r="J5717" s="50">
        <v>473.35</v>
      </c>
      <c r="K5717" t="s">
        <v>1618</v>
      </c>
      <c r="M5717" t="s">
        <v>1624</v>
      </c>
      <c r="N5717">
        <v>49.96</v>
      </c>
      <c r="O5717" s="49">
        <v>45623</v>
      </c>
      <c r="P5717" s="50">
        <v>213.00750000000002</v>
      </c>
    </row>
    <row r="5718" spans="4:16" x14ac:dyDescent="0.2">
      <c r="D5718">
        <v>100003390</v>
      </c>
      <c r="E5718" s="49">
        <v>44219</v>
      </c>
      <c r="F5718" t="s">
        <v>4938</v>
      </c>
      <c r="G5718" t="s">
        <v>1714</v>
      </c>
      <c r="H5718">
        <v>6</v>
      </c>
      <c r="I5718">
        <v>60.17</v>
      </c>
      <c r="J5718" s="50">
        <v>361.02</v>
      </c>
      <c r="K5718" t="s">
        <v>1618</v>
      </c>
      <c r="M5718" t="s">
        <v>1624</v>
      </c>
      <c r="N5718">
        <v>31.76</v>
      </c>
      <c r="O5718" s="49">
        <v>44221</v>
      </c>
      <c r="P5718" s="50">
        <v>162.459</v>
      </c>
    </row>
    <row r="5719" spans="4:16" x14ac:dyDescent="0.2">
      <c r="D5719">
        <v>100003390</v>
      </c>
      <c r="E5719" s="49">
        <v>44585</v>
      </c>
      <c r="F5719" t="s">
        <v>4938</v>
      </c>
      <c r="G5719" t="s">
        <v>1651</v>
      </c>
      <c r="H5719">
        <v>4</v>
      </c>
      <c r="I5719">
        <v>30.39</v>
      </c>
      <c r="J5719" s="50">
        <v>121.56</v>
      </c>
      <c r="K5719" t="s">
        <v>1618</v>
      </c>
      <c r="M5719" t="s">
        <v>1627</v>
      </c>
      <c r="N5719">
        <v>16.04</v>
      </c>
      <c r="O5719" s="49">
        <v>44589</v>
      </c>
      <c r="P5719" s="50">
        <v>54.702000000000005</v>
      </c>
    </row>
    <row r="5720" spans="4:16" x14ac:dyDescent="0.2">
      <c r="D5720">
        <v>100003390</v>
      </c>
      <c r="E5720" s="49">
        <v>44252</v>
      </c>
      <c r="F5720" t="s">
        <v>4938</v>
      </c>
      <c r="G5720" t="s">
        <v>2130</v>
      </c>
      <c r="H5720">
        <v>4</v>
      </c>
      <c r="I5720">
        <v>74.06</v>
      </c>
      <c r="J5720" s="50">
        <v>296.24</v>
      </c>
      <c r="K5720" t="s">
        <v>1618</v>
      </c>
      <c r="M5720" t="s">
        <v>1624</v>
      </c>
      <c r="N5720">
        <v>39.090000000000003</v>
      </c>
      <c r="O5720" s="49">
        <v>44255</v>
      </c>
      <c r="P5720" s="50">
        <v>133.30800000000002</v>
      </c>
    </row>
    <row r="5721" spans="4:16" x14ac:dyDescent="0.2">
      <c r="D5721">
        <v>100003390</v>
      </c>
      <c r="E5721" s="49">
        <v>45556</v>
      </c>
      <c r="F5721" t="s">
        <v>4938</v>
      </c>
      <c r="G5721" t="s">
        <v>2134</v>
      </c>
      <c r="H5721">
        <v>4</v>
      </c>
      <c r="I5721">
        <v>111.83</v>
      </c>
      <c r="J5721" s="50">
        <v>447.32</v>
      </c>
      <c r="K5721" t="s">
        <v>1618</v>
      </c>
      <c r="M5721" t="s">
        <v>1624</v>
      </c>
      <c r="N5721">
        <v>59.02</v>
      </c>
      <c r="O5721" s="49">
        <v>45559</v>
      </c>
      <c r="P5721" s="50">
        <v>201.29400000000001</v>
      </c>
    </row>
    <row r="5722" spans="4:16" x14ac:dyDescent="0.2">
      <c r="D5722">
        <v>100003390</v>
      </c>
      <c r="E5722" s="49">
        <v>45143</v>
      </c>
      <c r="F5722" t="s">
        <v>4938</v>
      </c>
      <c r="G5722" t="s">
        <v>2038</v>
      </c>
      <c r="H5722">
        <v>10</v>
      </c>
      <c r="I5722">
        <v>44.02</v>
      </c>
      <c r="J5722" s="50">
        <v>440.2</v>
      </c>
      <c r="K5722" t="s">
        <v>1618</v>
      </c>
      <c r="M5722" t="s">
        <v>1627</v>
      </c>
      <c r="N5722">
        <v>23.23</v>
      </c>
      <c r="O5722" s="49">
        <v>45144</v>
      </c>
      <c r="P5722" s="50">
        <v>198.09</v>
      </c>
    </row>
    <row r="5723" spans="4:16" x14ac:dyDescent="0.2">
      <c r="D5723">
        <v>100003390</v>
      </c>
      <c r="E5723" s="49">
        <v>45375</v>
      </c>
      <c r="F5723" t="s">
        <v>4938</v>
      </c>
      <c r="G5723" t="s">
        <v>1626</v>
      </c>
      <c r="H5723">
        <v>7</v>
      </c>
      <c r="I5723">
        <v>70.89</v>
      </c>
      <c r="J5723" s="50">
        <v>496.23</v>
      </c>
      <c r="K5723" t="s">
        <v>1618</v>
      </c>
      <c r="M5723" t="s">
        <v>1621</v>
      </c>
      <c r="N5723">
        <v>37.409999999999997</v>
      </c>
      <c r="O5723" s="49">
        <v>45377</v>
      </c>
      <c r="P5723" s="50">
        <v>223.30350000000001</v>
      </c>
    </row>
    <row r="5724" spans="4:16" x14ac:dyDescent="0.2">
      <c r="D5724">
        <v>100003390</v>
      </c>
      <c r="E5724" s="49">
        <v>45253</v>
      </c>
      <c r="F5724" t="s">
        <v>4938</v>
      </c>
      <c r="G5724" t="s">
        <v>2230</v>
      </c>
      <c r="H5724">
        <v>3</v>
      </c>
      <c r="I5724">
        <v>82.93</v>
      </c>
      <c r="J5724" s="50">
        <v>248.79</v>
      </c>
      <c r="K5724" t="s">
        <v>1618</v>
      </c>
      <c r="M5724" t="s">
        <v>1621</v>
      </c>
      <c r="N5724">
        <v>43.77</v>
      </c>
      <c r="O5724" s="49">
        <v>45254</v>
      </c>
      <c r="P5724" s="50">
        <v>111.9555</v>
      </c>
    </row>
    <row r="5725" spans="4:16" x14ac:dyDescent="0.2">
      <c r="D5725">
        <v>100003390</v>
      </c>
      <c r="E5725" s="49">
        <v>45079</v>
      </c>
      <c r="F5725" t="s">
        <v>4938</v>
      </c>
      <c r="G5725" t="s">
        <v>2301</v>
      </c>
      <c r="H5725">
        <v>5</v>
      </c>
      <c r="I5725">
        <v>74.39</v>
      </c>
      <c r="J5725" s="50">
        <v>371.95</v>
      </c>
      <c r="K5725" t="s">
        <v>1618</v>
      </c>
      <c r="M5725" t="s">
        <v>1627</v>
      </c>
      <c r="N5725">
        <v>39.26</v>
      </c>
      <c r="O5725" s="49">
        <v>45080</v>
      </c>
      <c r="P5725" s="50">
        <v>167.3775</v>
      </c>
    </row>
    <row r="5726" spans="4:16" x14ac:dyDescent="0.2">
      <c r="D5726">
        <v>100003390</v>
      </c>
      <c r="E5726" s="49">
        <v>44551</v>
      </c>
      <c r="F5726" t="s">
        <v>4938</v>
      </c>
      <c r="G5726" t="s">
        <v>1885</v>
      </c>
      <c r="H5726">
        <v>3</v>
      </c>
      <c r="I5726">
        <v>92.93</v>
      </c>
      <c r="J5726" s="50">
        <v>278.79000000000002</v>
      </c>
      <c r="K5726" t="s">
        <v>1618</v>
      </c>
      <c r="M5726" t="s">
        <v>1627</v>
      </c>
      <c r="N5726">
        <v>49.05</v>
      </c>
      <c r="O5726" s="49">
        <v>44555</v>
      </c>
      <c r="P5726" s="50">
        <v>125.45550000000001</v>
      </c>
    </row>
    <row r="5727" spans="4:16" x14ac:dyDescent="0.2">
      <c r="D5727">
        <v>100003390</v>
      </c>
      <c r="E5727" s="49">
        <v>45227</v>
      </c>
      <c r="F5727" t="s">
        <v>4938</v>
      </c>
      <c r="G5727" t="s">
        <v>1767</v>
      </c>
      <c r="H5727">
        <v>10</v>
      </c>
      <c r="I5727">
        <v>65.680000000000007</v>
      </c>
      <c r="J5727" s="50">
        <v>656.80000000000007</v>
      </c>
      <c r="K5727" t="s">
        <v>1618</v>
      </c>
      <c r="M5727" t="s">
        <v>1619</v>
      </c>
      <c r="N5727">
        <v>34.659999999999997</v>
      </c>
      <c r="O5727" s="49">
        <v>45230</v>
      </c>
      <c r="P5727" s="50">
        <v>295.56000000000006</v>
      </c>
    </row>
    <row r="5728" spans="4:16" x14ac:dyDescent="0.2">
      <c r="D5728">
        <v>100003392</v>
      </c>
      <c r="E5728" s="49">
        <v>45106</v>
      </c>
      <c r="F5728" t="s">
        <v>4939</v>
      </c>
      <c r="G5728" t="s">
        <v>2182</v>
      </c>
      <c r="H5728">
        <v>10</v>
      </c>
      <c r="I5728">
        <v>70.3</v>
      </c>
      <c r="J5728" s="50">
        <v>703</v>
      </c>
      <c r="K5728" t="s">
        <v>1618</v>
      </c>
      <c r="M5728" t="s">
        <v>1619</v>
      </c>
      <c r="N5728">
        <v>37.1</v>
      </c>
      <c r="O5728" s="49">
        <v>45109</v>
      </c>
      <c r="P5728" s="50">
        <v>316.35000000000002</v>
      </c>
    </row>
    <row r="5729" spans="4:16" x14ac:dyDescent="0.2">
      <c r="D5729">
        <v>100003392</v>
      </c>
      <c r="E5729" s="49">
        <v>44639</v>
      </c>
      <c r="F5729" t="s">
        <v>4939</v>
      </c>
      <c r="G5729" t="s">
        <v>1699</v>
      </c>
      <c r="H5729">
        <v>4</v>
      </c>
      <c r="I5729">
        <v>39.65</v>
      </c>
      <c r="J5729" s="50">
        <v>158.6</v>
      </c>
      <c r="K5729" t="s">
        <v>1618</v>
      </c>
      <c r="M5729" t="s">
        <v>1619</v>
      </c>
      <c r="N5729">
        <v>20.93</v>
      </c>
      <c r="O5729" s="49">
        <v>44640</v>
      </c>
      <c r="P5729" s="50">
        <v>71.37</v>
      </c>
    </row>
    <row r="5730" spans="4:16" x14ac:dyDescent="0.2">
      <c r="D5730">
        <v>100003392</v>
      </c>
      <c r="E5730" s="49">
        <v>44936</v>
      </c>
      <c r="F5730" t="s">
        <v>4939</v>
      </c>
      <c r="G5730" t="s">
        <v>1846</v>
      </c>
      <c r="H5730">
        <v>6</v>
      </c>
      <c r="I5730">
        <v>99.02</v>
      </c>
      <c r="J5730" s="50">
        <v>594.12</v>
      </c>
      <c r="K5730" t="s">
        <v>1618</v>
      </c>
      <c r="M5730" t="s">
        <v>1629</v>
      </c>
      <c r="N5730">
        <v>52.26</v>
      </c>
      <c r="O5730" s="49">
        <v>44940</v>
      </c>
      <c r="P5730" s="50">
        <v>267.35399999999998</v>
      </c>
    </row>
    <row r="5731" spans="4:16" x14ac:dyDescent="0.2">
      <c r="D5731">
        <v>100003392</v>
      </c>
      <c r="E5731" s="49">
        <v>45390</v>
      </c>
      <c r="F5731" t="s">
        <v>4939</v>
      </c>
      <c r="G5731" t="s">
        <v>1642</v>
      </c>
      <c r="H5731">
        <v>4</v>
      </c>
      <c r="I5731">
        <v>45.87</v>
      </c>
      <c r="J5731" s="50">
        <v>183.48</v>
      </c>
      <c r="K5731" t="s">
        <v>1618</v>
      </c>
      <c r="M5731" t="s">
        <v>1629</v>
      </c>
      <c r="N5731">
        <v>24.21</v>
      </c>
      <c r="O5731" s="49">
        <v>45391</v>
      </c>
      <c r="P5731" s="50">
        <v>82.566000000000003</v>
      </c>
    </row>
    <row r="5732" spans="4:16" x14ac:dyDescent="0.2">
      <c r="D5732">
        <v>100003393</v>
      </c>
      <c r="E5732" s="49">
        <v>45198</v>
      </c>
      <c r="F5732" t="s">
        <v>4940</v>
      </c>
      <c r="G5732" t="s">
        <v>1913</v>
      </c>
      <c r="H5732">
        <v>2</v>
      </c>
      <c r="I5732">
        <v>54.01</v>
      </c>
      <c r="J5732" s="50">
        <v>108.02</v>
      </c>
      <c r="K5732" t="s">
        <v>1632</v>
      </c>
      <c r="M5732" t="s">
        <v>1619</v>
      </c>
      <c r="N5732">
        <v>28.51</v>
      </c>
      <c r="O5732" s="49">
        <v>45203</v>
      </c>
      <c r="P5732" s="50">
        <v>48.609000000000002</v>
      </c>
    </row>
    <row r="5733" spans="4:16" x14ac:dyDescent="0.2">
      <c r="D5733">
        <v>100003395</v>
      </c>
      <c r="E5733" s="49">
        <v>44695</v>
      </c>
      <c r="F5733" t="s">
        <v>4941</v>
      </c>
      <c r="G5733" t="s">
        <v>2016</v>
      </c>
      <c r="H5733">
        <v>3</v>
      </c>
      <c r="I5733">
        <v>79.099999999999994</v>
      </c>
      <c r="J5733" s="50">
        <v>237.3</v>
      </c>
      <c r="K5733" t="s">
        <v>1618</v>
      </c>
      <c r="M5733" t="s">
        <v>1629</v>
      </c>
      <c r="N5733">
        <v>41.75</v>
      </c>
      <c r="O5733" s="49">
        <v>44696</v>
      </c>
      <c r="P5733" s="50">
        <v>106.78500000000001</v>
      </c>
    </row>
    <row r="5734" spans="4:16" x14ac:dyDescent="0.2">
      <c r="D5734">
        <v>100003395</v>
      </c>
      <c r="E5734" s="49">
        <v>44821</v>
      </c>
      <c r="F5734" t="s">
        <v>4941</v>
      </c>
      <c r="G5734" t="s">
        <v>1709</v>
      </c>
      <c r="H5734">
        <v>10</v>
      </c>
      <c r="I5734">
        <v>111.54</v>
      </c>
      <c r="J5734" s="50">
        <v>1115.4000000000001</v>
      </c>
      <c r="K5734" t="s">
        <v>1618</v>
      </c>
      <c r="M5734" t="s">
        <v>1629</v>
      </c>
      <c r="N5734">
        <v>58.87</v>
      </c>
      <c r="O5734" s="49">
        <v>44823</v>
      </c>
      <c r="P5734" s="50">
        <v>501.93000000000006</v>
      </c>
    </row>
    <row r="5735" spans="4:16" x14ac:dyDescent="0.2">
      <c r="D5735">
        <v>100003395</v>
      </c>
      <c r="E5735" s="49">
        <v>44325</v>
      </c>
      <c r="F5735" t="s">
        <v>4941</v>
      </c>
      <c r="G5735" t="s">
        <v>1626</v>
      </c>
      <c r="H5735">
        <v>5</v>
      </c>
      <c r="I5735">
        <v>58.03</v>
      </c>
      <c r="J5735" s="50">
        <v>290.14999999999998</v>
      </c>
      <c r="K5735" t="s">
        <v>1618</v>
      </c>
      <c r="M5735" t="s">
        <v>1629</v>
      </c>
      <c r="N5735">
        <v>30.63</v>
      </c>
      <c r="O5735" s="49">
        <v>44326</v>
      </c>
      <c r="P5735" s="50">
        <v>130.5675</v>
      </c>
    </row>
    <row r="5736" spans="4:16" x14ac:dyDescent="0.2">
      <c r="D5736">
        <v>100003396</v>
      </c>
      <c r="E5736" s="49">
        <v>44919</v>
      </c>
      <c r="F5736" t="s">
        <v>4942</v>
      </c>
      <c r="G5736" t="s">
        <v>2380</v>
      </c>
      <c r="H5736">
        <v>6</v>
      </c>
      <c r="I5736">
        <v>56.4</v>
      </c>
      <c r="J5736" s="50">
        <v>338.4</v>
      </c>
      <c r="K5736" t="s">
        <v>1618</v>
      </c>
      <c r="M5736" t="s">
        <v>1624</v>
      </c>
      <c r="N5736">
        <v>29.77</v>
      </c>
      <c r="O5736" s="49">
        <v>44924</v>
      </c>
      <c r="P5736" s="50">
        <v>152.28</v>
      </c>
    </row>
    <row r="5737" spans="4:16" x14ac:dyDescent="0.2">
      <c r="D5737">
        <v>100003396</v>
      </c>
      <c r="E5737" s="49">
        <v>44480</v>
      </c>
      <c r="F5737" t="s">
        <v>4942</v>
      </c>
      <c r="G5737" t="s">
        <v>2101</v>
      </c>
      <c r="H5737">
        <v>5</v>
      </c>
      <c r="I5737">
        <v>101.33</v>
      </c>
      <c r="J5737" s="50">
        <v>506.65</v>
      </c>
      <c r="K5737" t="s">
        <v>1618</v>
      </c>
      <c r="M5737" t="s">
        <v>1621</v>
      </c>
      <c r="N5737">
        <v>53.48</v>
      </c>
      <c r="O5737" s="49">
        <v>44485</v>
      </c>
      <c r="P5737" s="50">
        <v>227.99250000000001</v>
      </c>
    </row>
    <row r="5738" spans="4:16" x14ac:dyDescent="0.2">
      <c r="D5738">
        <v>100003398</v>
      </c>
      <c r="E5738" s="49">
        <v>45026</v>
      </c>
      <c r="F5738" t="s">
        <v>4943</v>
      </c>
      <c r="G5738" t="s">
        <v>2427</v>
      </c>
      <c r="H5738">
        <v>5</v>
      </c>
      <c r="I5738">
        <v>87.72</v>
      </c>
      <c r="J5738" s="50">
        <v>438.6</v>
      </c>
      <c r="K5738" t="s">
        <v>1618</v>
      </c>
      <c r="M5738" t="s">
        <v>1629</v>
      </c>
      <c r="N5738">
        <v>46.3</v>
      </c>
      <c r="O5738" s="49">
        <v>45027</v>
      </c>
      <c r="P5738" s="50">
        <v>197.37</v>
      </c>
    </row>
    <row r="5739" spans="4:16" x14ac:dyDescent="0.2">
      <c r="D5739">
        <v>100003398</v>
      </c>
      <c r="E5739" s="49">
        <v>45295</v>
      </c>
      <c r="F5739" t="s">
        <v>4943</v>
      </c>
      <c r="G5739" t="s">
        <v>2057</v>
      </c>
      <c r="H5739">
        <v>7</v>
      </c>
      <c r="I5739">
        <v>36.549999999999997</v>
      </c>
      <c r="J5739" s="50">
        <v>255.85</v>
      </c>
      <c r="K5739" t="s">
        <v>1618</v>
      </c>
      <c r="M5739" t="s">
        <v>1619</v>
      </c>
      <c r="N5739">
        <v>19.29</v>
      </c>
      <c r="O5739" s="49">
        <v>45296</v>
      </c>
      <c r="P5739" s="50">
        <v>115.13249999999999</v>
      </c>
    </row>
    <row r="5740" spans="4:16" x14ac:dyDescent="0.2">
      <c r="D5740">
        <v>100003398</v>
      </c>
      <c r="E5740" s="49">
        <v>45127</v>
      </c>
      <c r="F5740" t="s">
        <v>4943</v>
      </c>
      <c r="G5740" t="s">
        <v>2581</v>
      </c>
      <c r="H5740">
        <v>3</v>
      </c>
      <c r="I5740">
        <v>104.14</v>
      </c>
      <c r="J5740" s="50">
        <v>312.42</v>
      </c>
      <c r="K5740" t="s">
        <v>1618</v>
      </c>
      <c r="M5740" t="s">
        <v>1629</v>
      </c>
      <c r="N5740">
        <v>54.96</v>
      </c>
      <c r="O5740" s="49">
        <v>45130</v>
      </c>
      <c r="P5740" s="50">
        <v>140.589</v>
      </c>
    </row>
    <row r="5741" spans="4:16" x14ac:dyDescent="0.2">
      <c r="D5741">
        <v>100003398</v>
      </c>
      <c r="E5741" s="49">
        <v>45016</v>
      </c>
      <c r="F5741" t="s">
        <v>4943</v>
      </c>
      <c r="G5741" t="s">
        <v>1738</v>
      </c>
      <c r="H5741">
        <v>8</v>
      </c>
      <c r="I5741">
        <v>41.87</v>
      </c>
      <c r="J5741" s="50">
        <v>334.96</v>
      </c>
      <c r="K5741" t="s">
        <v>1618</v>
      </c>
      <c r="M5741" t="s">
        <v>1619</v>
      </c>
      <c r="N5741">
        <v>22.1</v>
      </c>
      <c r="O5741" s="49">
        <v>45018</v>
      </c>
      <c r="P5741" s="50">
        <v>150.732</v>
      </c>
    </row>
    <row r="5742" spans="4:16" x14ac:dyDescent="0.2">
      <c r="D5742">
        <v>100003400</v>
      </c>
      <c r="E5742" s="49">
        <v>45172</v>
      </c>
      <c r="F5742" t="s">
        <v>4944</v>
      </c>
      <c r="G5742" t="s">
        <v>1655</v>
      </c>
      <c r="H5742">
        <v>4</v>
      </c>
      <c r="I5742">
        <v>96</v>
      </c>
      <c r="J5742" s="50">
        <v>384</v>
      </c>
      <c r="K5742" t="s">
        <v>1632</v>
      </c>
      <c r="L5742" t="s">
        <v>4440</v>
      </c>
      <c r="M5742" t="s">
        <v>1621</v>
      </c>
      <c r="N5742">
        <v>50.67</v>
      </c>
      <c r="O5742" s="49">
        <v>45173</v>
      </c>
      <c r="P5742" s="50">
        <v>172.8</v>
      </c>
    </row>
    <row r="5743" spans="4:16" x14ac:dyDescent="0.2">
      <c r="D5743">
        <v>100003401</v>
      </c>
      <c r="E5743" s="49">
        <v>44702</v>
      </c>
      <c r="F5743" t="s">
        <v>4945</v>
      </c>
      <c r="G5743" t="s">
        <v>2191</v>
      </c>
      <c r="H5743">
        <v>8</v>
      </c>
      <c r="I5743">
        <v>33.270000000000003</v>
      </c>
      <c r="J5743" s="50">
        <v>266.16000000000003</v>
      </c>
      <c r="K5743" t="s">
        <v>1618</v>
      </c>
      <c r="M5743" t="s">
        <v>1627</v>
      </c>
      <c r="N5743">
        <v>17.559999999999999</v>
      </c>
      <c r="O5743" s="49">
        <v>44707</v>
      </c>
      <c r="P5743" s="50">
        <v>119.77200000000002</v>
      </c>
    </row>
    <row r="5744" spans="4:16" x14ac:dyDescent="0.2">
      <c r="D5744">
        <v>100003402</v>
      </c>
      <c r="E5744" s="49">
        <v>44509</v>
      </c>
      <c r="F5744" t="s">
        <v>4946</v>
      </c>
      <c r="G5744" t="s">
        <v>2692</v>
      </c>
      <c r="H5744">
        <v>3</v>
      </c>
      <c r="I5744">
        <v>57.24</v>
      </c>
      <c r="J5744" s="50">
        <v>171.72</v>
      </c>
      <c r="K5744" t="s">
        <v>1618</v>
      </c>
      <c r="M5744" t="s">
        <v>1629</v>
      </c>
      <c r="N5744">
        <v>30.21</v>
      </c>
      <c r="O5744" s="49">
        <v>44510</v>
      </c>
      <c r="P5744" s="50">
        <v>77.274000000000001</v>
      </c>
    </row>
    <row r="5745" spans="4:16" x14ac:dyDescent="0.2">
      <c r="D5745">
        <v>100003402</v>
      </c>
      <c r="E5745" s="49">
        <v>44201</v>
      </c>
      <c r="F5745" t="s">
        <v>4946</v>
      </c>
      <c r="G5745" t="s">
        <v>1727</v>
      </c>
      <c r="H5745">
        <v>5</v>
      </c>
      <c r="I5745">
        <v>40.43</v>
      </c>
      <c r="J5745" s="50">
        <v>202.15</v>
      </c>
      <c r="K5745" t="s">
        <v>1618</v>
      </c>
      <c r="M5745" t="s">
        <v>1624</v>
      </c>
      <c r="N5745">
        <v>21.34</v>
      </c>
      <c r="O5745" s="49">
        <v>44204</v>
      </c>
      <c r="P5745" s="50">
        <v>90.967500000000001</v>
      </c>
    </row>
    <row r="5746" spans="4:16" x14ac:dyDescent="0.2">
      <c r="D5746">
        <v>100003403</v>
      </c>
      <c r="E5746" s="49">
        <v>45029</v>
      </c>
      <c r="F5746" t="s">
        <v>4413</v>
      </c>
      <c r="G5746" t="s">
        <v>1838</v>
      </c>
      <c r="H5746">
        <v>2</v>
      </c>
      <c r="I5746">
        <v>96.96</v>
      </c>
      <c r="J5746" s="50">
        <v>193.92</v>
      </c>
      <c r="K5746" t="s">
        <v>1618</v>
      </c>
      <c r="L5746" t="s">
        <v>2276</v>
      </c>
      <c r="M5746" t="s">
        <v>1629</v>
      </c>
      <c r="N5746">
        <v>51.17</v>
      </c>
      <c r="O5746" s="49">
        <v>45030</v>
      </c>
      <c r="P5746" s="50">
        <v>87.263999999999996</v>
      </c>
    </row>
    <row r="5747" spans="4:16" x14ac:dyDescent="0.2">
      <c r="D5747">
        <v>100003404</v>
      </c>
      <c r="E5747" s="49">
        <v>45170</v>
      </c>
      <c r="F5747" t="s">
        <v>4947</v>
      </c>
      <c r="G5747" t="s">
        <v>1945</v>
      </c>
      <c r="H5747">
        <v>9</v>
      </c>
      <c r="I5747">
        <v>74.510000000000005</v>
      </c>
      <c r="J5747" s="50">
        <v>670.59</v>
      </c>
      <c r="K5747" t="s">
        <v>1632</v>
      </c>
      <c r="M5747" t="s">
        <v>1621</v>
      </c>
      <c r="N5747">
        <v>39.32</v>
      </c>
      <c r="O5747" s="49">
        <v>45171</v>
      </c>
      <c r="P5747" s="50">
        <v>301.76550000000003</v>
      </c>
    </row>
    <row r="5748" spans="4:16" x14ac:dyDescent="0.2">
      <c r="D5748">
        <v>100003404</v>
      </c>
      <c r="E5748" s="49">
        <v>44546</v>
      </c>
      <c r="F5748" t="s">
        <v>4947</v>
      </c>
      <c r="G5748" t="s">
        <v>2038</v>
      </c>
      <c r="H5748">
        <v>10</v>
      </c>
      <c r="I5748">
        <v>26.52</v>
      </c>
      <c r="J5748" s="50">
        <v>265.2</v>
      </c>
      <c r="K5748" t="s">
        <v>1632</v>
      </c>
      <c r="M5748" t="s">
        <v>1621</v>
      </c>
      <c r="N5748">
        <v>14</v>
      </c>
      <c r="O5748" s="49">
        <v>44549</v>
      </c>
      <c r="P5748" s="50">
        <v>119.34</v>
      </c>
    </row>
    <row r="5749" spans="4:16" x14ac:dyDescent="0.2">
      <c r="D5749">
        <v>100003404</v>
      </c>
      <c r="E5749" s="49">
        <v>45328</v>
      </c>
      <c r="F5749" t="s">
        <v>4947</v>
      </c>
      <c r="G5749" t="s">
        <v>2101</v>
      </c>
      <c r="H5749">
        <v>9</v>
      </c>
      <c r="I5749">
        <v>109.54</v>
      </c>
      <c r="J5749" s="50">
        <v>985.86</v>
      </c>
      <c r="K5749" t="s">
        <v>1632</v>
      </c>
      <c r="M5749" t="s">
        <v>1629</v>
      </c>
      <c r="N5749">
        <v>57.81</v>
      </c>
      <c r="O5749" s="49">
        <v>45332</v>
      </c>
      <c r="P5749" s="50">
        <v>443.637</v>
      </c>
    </row>
    <row r="5750" spans="4:16" x14ac:dyDescent="0.2">
      <c r="D5750">
        <v>100003404</v>
      </c>
      <c r="E5750" s="49">
        <v>45617</v>
      </c>
      <c r="F5750" t="s">
        <v>4947</v>
      </c>
      <c r="G5750" t="s">
        <v>1729</v>
      </c>
      <c r="H5750">
        <v>4</v>
      </c>
      <c r="I5750">
        <v>34.85</v>
      </c>
      <c r="J5750" s="50">
        <v>139.4</v>
      </c>
      <c r="K5750" t="s">
        <v>1632</v>
      </c>
      <c r="M5750" t="s">
        <v>1629</v>
      </c>
      <c r="N5750">
        <v>18.39</v>
      </c>
      <c r="O5750" s="49">
        <v>45622</v>
      </c>
      <c r="P5750" s="50">
        <v>62.730000000000004</v>
      </c>
    </row>
    <row r="5751" spans="4:16" x14ac:dyDescent="0.2">
      <c r="D5751">
        <v>100003406</v>
      </c>
      <c r="E5751" s="49">
        <v>44446</v>
      </c>
      <c r="F5751" t="s">
        <v>4948</v>
      </c>
      <c r="G5751" t="s">
        <v>1686</v>
      </c>
      <c r="H5751">
        <v>7</v>
      </c>
      <c r="I5751">
        <v>83.44</v>
      </c>
      <c r="J5751" s="50">
        <v>584.07999999999993</v>
      </c>
      <c r="K5751" t="s">
        <v>1618</v>
      </c>
      <c r="L5751" t="s">
        <v>4949</v>
      </c>
      <c r="M5751" t="s">
        <v>1627</v>
      </c>
      <c r="N5751">
        <v>44.04</v>
      </c>
      <c r="O5751" s="49">
        <v>44448</v>
      </c>
      <c r="P5751" s="50">
        <v>262.83599999999996</v>
      </c>
    </row>
    <row r="5752" spans="4:16" x14ac:dyDescent="0.2">
      <c r="D5752">
        <v>100003406</v>
      </c>
      <c r="E5752" s="49">
        <v>45605</v>
      </c>
      <c r="F5752" t="s">
        <v>4948</v>
      </c>
      <c r="G5752" t="s">
        <v>1674</v>
      </c>
      <c r="H5752">
        <v>1</v>
      </c>
      <c r="I5752">
        <v>57.62</v>
      </c>
      <c r="J5752" s="50">
        <v>57.62</v>
      </c>
      <c r="K5752" t="s">
        <v>1618</v>
      </c>
      <c r="L5752" t="s">
        <v>4949</v>
      </c>
      <c r="M5752" t="s">
        <v>1627</v>
      </c>
      <c r="N5752">
        <v>30.41</v>
      </c>
      <c r="O5752" s="49">
        <v>45610</v>
      </c>
      <c r="P5752" s="50">
        <v>25.928999999999998</v>
      </c>
    </row>
    <row r="5753" spans="4:16" x14ac:dyDescent="0.2">
      <c r="D5753">
        <v>100003406</v>
      </c>
      <c r="E5753" s="49">
        <v>45192</v>
      </c>
      <c r="F5753" t="s">
        <v>4948</v>
      </c>
      <c r="G5753" t="s">
        <v>2111</v>
      </c>
      <c r="H5753">
        <v>3</v>
      </c>
      <c r="I5753">
        <v>38.26</v>
      </c>
      <c r="J5753" s="50">
        <v>114.78</v>
      </c>
      <c r="K5753" t="s">
        <v>1618</v>
      </c>
      <c r="L5753" t="s">
        <v>4949</v>
      </c>
      <c r="M5753" t="s">
        <v>1629</v>
      </c>
      <c r="N5753">
        <v>20.190000000000001</v>
      </c>
      <c r="O5753" s="49">
        <v>45197</v>
      </c>
      <c r="P5753" s="50">
        <v>51.651000000000003</v>
      </c>
    </row>
    <row r="5754" spans="4:16" x14ac:dyDescent="0.2">
      <c r="D5754">
        <v>100003406</v>
      </c>
      <c r="E5754" s="49">
        <v>44718</v>
      </c>
      <c r="F5754" t="s">
        <v>4948</v>
      </c>
      <c r="G5754" t="s">
        <v>1650</v>
      </c>
      <c r="H5754">
        <v>8</v>
      </c>
      <c r="I5754">
        <v>72.95</v>
      </c>
      <c r="J5754" s="50">
        <v>583.6</v>
      </c>
      <c r="K5754" t="s">
        <v>1618</v>
      </c>
      <c r="L5754" t="s">
        <v>4949</v>
      </c>
      <c r="M5754" t="s">
        <v>1621</v>
      </c>
      <c r="N5754">
        <v>38.5</v>
      </c>
      <c r="O5754" s="49">
        <v>44719</v>
      </c>
      <c r="P5754" s="50">
        <v>262.62</v>
      </c>
    </row>
    <row r="5755" spans="4:16" x14ac:dyDescent="0.2">
      <c r="D5755">
        <v>100003407</v>
      </c>
      <c r="E5755" s="49">
        <v>45042</v>
      </c>
      <c r="F5755" t="s">
        <v>4950</v>
      </c>
      <c r="G5755" t="s">
        <v>2242</v>
      </c>
      <c r="H5755">
        <v>10</v>
      </c>
      <c r="I5755">
        <v>47.84</v>
      </c>
      <c r="J5755" s="50">
        <v>478.4</v>
      </c>
      <c r="K5755" t="s">
        <v>1618</v>
      </c>
      <c r="M5755" t="s">
        <v>1619</v>
      </c>
      <c r="N5755">
        <v>25.25</v>
      </c>
      <c r="O5755" s="49">
        <v>45044</v>
      </c>
      <c r="P5755" s="50">
        <v>215.28</v>
      </c>
    </row>
    <row r="5756" spans="4:16" x14ac:dyDescent="0.2">
      <c r="D5756">
        <v>100003408</v>
      </c>
      <c r="E5756" s="49">
        <v>45307</v>
      </c>
      <c r="F5756" t="s">
        <v>4951</v>
      </c>
      <c r="G5756" t="s">
        <v>2745</v>
      </c>
      <c r="H5756">
        <v>8</v>
      </c>
      <c r="I5756">
        <v>105.59</v>
      </c>
      <c r="J5756" s="50">
        <v>844.72</v>
      </c>
      <c r="K5756" t="s">
        <v>1632</v>
      </c>
      <c r="M5756" t="s">
        <v>1629</v>
      </c>
      <c r="N5756">
        <v>55.73</v>
      </c>
      <c r="O5756" s="49">
        <v>45311</v>
      </c>
      <c r="P5756" s="50">
        <v>380.12400000000002</v>
      </c>
    </row>
    <row r="5757" spans="4:16" x14ac:dyDescent="0.2">
      <c r="D5757">
        <v>100003409</v>
      </c>
      <c r="E5757" s="49">
        <v>44401</v>
      </c>
      <c r="F5757" t="s">
        <v>4952</v>
      </c>
      <c r="G5757" t="s">
        <v>2706</v>
      </c>
      <c r="H5757">
        <v>5</v>
      </c>
      <c r="I5757">
        <v>60.31</v>
      </c>
      <c r="J5757" s="50">
        <v>301.55</v>
      </c>
      <c r="K5757" t="s">
        <v>1618</v>
      </c>
      <c r="L5757" t="s">
        <v>2882</v>
      </c>
      <c r="M5757" t="s">
        <v>1621</v>
      </c>
      <c r="N5757">
        <v>31.83</v>
      </c>
      <c r="O5757" s="49">
        <v>44406</v>
      </c>
      <c r="P5757" s="50">
        <v>135.69750000000002</v>
      </c>
    </row>
    <row r="5758" spans="4:16" x14ac:dyDescent="0.2">
      <c r="D5758">
        <v>100003411</v>
      </c>
      <c r="E5758" s="49">
        <v>45147</v>
      </c>
      <c r="F5758" t="s">
        <v>4953</v>
      </c>
      <c r="G5758" t="s">
        <v>1834</v>
      </c>
      <c r="H5758">
        <v>1</v>
      </c>
      <c r="I5758">
        <v>46.93</v>
      </c>
      <c r="J5758" s="50">
        <v>46.93</v>
      </c>
      <c r="K5758" t="s">
        <v>1618</v>
      </c>
      <c r="M5758" t="s">
        <v>1627</v>
      </c>
      <c r="N5758">
        <v>24.77</v>
      </c>
      <c r="O5758" s="49">
        <v>45149</v>
      </c>
      <c r="P5758" s="50">
        <v>21.118500000000001</v>
      </c>
    </row>
    <row r="5759" spans="4:16" x14ac:dyDescent="0.2">
      <c r="D5759">
        <v>100003411</v>
      </c>
      <c r="E5759" s="49">
        <v>44726</v>
      </c>
      <c r="F5759" t="s">
        <v>4953</v>
      </c>
      <c r="G5759" t="s">
        <v>2574</v>
      </c>
      <c r="H5759">
        <v>1</v>
      </c>
      <c r="I5759">
        <v>40.840000000000003</v>
      </c>
      <c r="J5759" s="50">
        <v>40.840000000000003</v>
      </c>
      <c r="K5759" t="s">
        <v>1618</v>
      </c>
      <c r="M5759" t="s">
        <v>1629</v>
      </c>
      <c r="N5759">
        <v>21.55</v>
      </c>
      <c r="O5759" s="49">
        <v>44731</v>
      </c>
      <c r="P5759" s="50">
        <v>18.378000000000004</v>
      </c>
    </row>
    <row r="5760" spans="4:16" x14ac:dyDescent="0.2">
      <c r="D5760">
        <v>100003411</v>
      </c>
      <c r="E5760" s="49">
        <v>44881</v>
      </c>
      <c r="F5760" t="s">
        <v>4953</v>
      </c>
      <c r="G5760" t="s">
        <v>1637</v>
      </c>
      <c r="H5760">
        <v>8</v>
      </c>
      <c r="I5760">
        <v>31.09</v>
      </c>
      <c r="J5760" s="50">
        <v>248.72</v>
      </c>
      <c r="K5760" t="s">
        <v>1618</v>
      </c>
      <c r="M5760" t="s">
        <v>1627</v>
      </c>
      <c r="N5760">
        <v>16.41</v>
      </c>
      <c r="O5760" s="49">
        <v>44882</v>
      </c>
      <c r="P5760" s="50">
        <v>111.92400000000001</v>
      </c>
    </row>
    <row r="5761" spans="4:16" x14ac:dyDescent="0.2">
      <c r="D5761">
        <v>100003412</v>
      </c>
      <c r="E5761" s="49">
        <v>45626</v>
      </c>
      <c r="F5761" t="s">
        <v>4954</v>
      </c>
      <c r="G5761" t="s">
        <v>1820</v>
      </c>
      <c r="H5761">
        <v>8</v>
      </c>
      <c r="I5761">
        <v>69.5</v>
      </c>
      <c r="J5761" s="50">
        <v>556</v>
      </c>
      <c r="K5761" t="s">
        <v>1618</v>
      </c>
      <c r="M5761" t="s">
        <v>1627</v>
      </c>
      <c r="N5761">
        <v>36.68</v>
      </c>
      <c r="O5761" s="49">
        <v>45627</v>
      </c>
      <c r="P5761" s="50">
        <v>250.20000000000002</v>
      </c>
    </row>
    <row r="5762" spans="4:16" x14ac:dyDescent="0.2">
      <c r="D5762">
        <v>100003413</v>
      </c>
      <c r="E5762" s="49">
        <v>45485</v>
      </c>
      <c r="F5762" t="s">
        <v>4955</v>
      </c>
      <c r="G5762" t="s">
        <v>1766</v>
      </c>
      <c r="H5762">
        <v>5</v>
      </c>
      <c r="I5762">
        <v>42.26</v>
      </c>
      <c r="J5762" s="50">
        <v>211.3</v>
      </c>
      <c r="K5762" t="s">
        <v>1632</v>
      </c>
      <c r="M5762" t="s">
        <v>1621</v>
      </c>
      <c r="N5762">
        <v>22.3</v>
      </c>
      <c r="O5762" s="49">
        <v>45488</v>
      </c>
      <c r="P5762" s="50">
        <v>95.085000000000008</v>
      </c>
    </row>
    <row r="5763" spans="4:16" x14ac:dyDescent="0.2">
      <c r="D5763">
        <v>100003413</v>
      </c>
      <c r="E5763" s="49">
        <v>44938</v>
      </c>
      <c r="F5763" t="s">
        <v>4955</v>
      </c>
      <c r="G5763" t="s">
        <v>1762</v>
      </c>
      <c r="H5763">
        <v>5</v>
      </c>
      <c r="I5763">
        <v>30.08</v>
      </c>
      <c r="J5763" s="50">
        <v>150.4</v>
      </c>
      <c r="K5763" t="s">
        <v>1632</v>
      </c>
      <c r="M5763" t="s">
        <v>1619</v>
      </c>
      <c r="N5763">
        <v>15.88</v>
      </c>
      <c r="O5763" s="49">
        <v>44943</v>
      </c>
      <c r="P5763" s="50">
        <v>67.680000000000007</v>
      </c>
    </row>
    <row r="5764" spans="4:16" x14ac:dyDescent="0.2">
      <c r="D5764">
        <v>100003413</v>
      </c>
      <c r="E5764" s="49">
        <v>44214</v>
      </c>
      <c r="F5764" t="s">
        <v>4955</v>
      </c>
      <c r="G5764" t="s">
        <v>1900</v>
      </c>
      <c r="H5764">
        <v>10</v>
      </c>
      <c r="I5764">
        <v>117.07</v>
      </c>
      <c r="J5764" s="50">
        <v>1170.7</v>
      </c>
      <c r="K5764" t="s">
        <v>1632</v>
      </c>
      <c r="M5764" t="s">
        <v>1624</v>
      </c>
      <c r="N5764">
        <v>61.79</v>
      </c>
      <c r="O5764" s="49">
        <v>44216</v>
      </c>
      <c r="P5764" s="50">
        <v>526.81500000000005</v>
      </c>
    </row>
    <row r="5765" spans="4:16" x14ac:dyDescent="0.2">
      <c r="D5765">
        <v>100003413</v>
      </c>
      <c r="E5765" s="49">
        <v>44904</v>
      </c>
      <c r="F5765" t="s">
        <v>4955</v>
      </c>
      <c r="G5765" t="s">
        <v>2159</v>
      </c>
      <c r="H5765">
        <v>5</v>
      </c>
      <c r="I5765">
        <v>119.82</v>
      </c>
      <c r="J5765" s="50">
        <v>599.09999999999991</v>
      </c>
      <c r="K5765" t="s">
        <v>1632</v>
      </c>
      <c r="M5765" t="s">
        <v>1629</v>
      </c>
      <c r="N5765">
        <v>63.24</v>
      </c>
      <c r="O5765" s="49">
        <v>44907</v>
      </c>
      <c r="P5765" s="50">
        <v>269.59499999999997</v>
      </c>
    </row>
    <row r="5766" spans="4:16" x14ac:dyDescent="0.2">
      <c r="D5766">
        <v>100003414</v>
      </c>
      <c r="E5766" s="49">
        <v>44297</v>
      </c>
      <c r="F5766" t="s">
        <v>4956</v>
      </c>
      <c r="G5766" t="s">
        <v>1825</v>
      </c>
      <c r="H5766">
        <v>7</v>
      </c>
      <c r="I5766">
        <v>54.43</v>
      </c>
      <c r="J5766" s="50">
        <v>381.01</v>
      </c>
      <c r="K5766" t="s">
        <v>1618</v>
      </c>
      <c r="M5766" t="s">
        <v>1624</v>
      </c>
      <c r="N5766">
        <v>28.73</v>
      </c>
      <c r="O5766" s="49">
        <v>44299</v>
      </c>
      <c r="P5766" s="50">
        <v>171.4545</v>
      </c>
    </row>
    <row r="5767" spans="4:16" x14ac:dyDescent="0.2">
      <c r="D5767">
        <v>100003414</v>
      </c>
      <c r="E5767" s="49">
        <v>44930</v>
      </c>
      <c r="F5767" t="s">
        <v>4956</v>
      </c>
      <c r="G5767" t="s">
        <v>1637</v>
      </c>
      <c r="H5767">
        <v>4</v>
      </c>
      <c r="I5767">
        <v>85.87</v>
      </c>
      <c r="J5767" s="50">
        <v>343.48</v>
      </c>
      <c r="K5767" t="s">
        <v>1618</v>
      </c>
      <c r="M5767" t="s">
        <v>1629</v>
      </c>
      <c r="N5767">
        <v>45.32</v>
      </c>
      <c r="O5767" s="49">
        <v>44931</v>
      </c>
      <c r="P5767" s="50">
        <v>154.566</v>
      </c>
    </row>
    <row r="5768" spans="4:16" x14ac:dyDescent="0.2">
      <c r="D5768">
        <v>100003415</v>
      </c>
      <c r="E5768" s="49">
        <v>44418</v>
      </c>
      <c r="F5768" t="s">
        <v>4957</v>
      </c>
      <c r="G5768" t="s">
        <v>2025</v>
      </c>
      <c r="H5768">
        <v>6</v>
      </c>
      <c r="I5768">
        <v>97.76</v>
      </c>
      <c r="J5768" s="50">
        <v>586.56000000000006</v>
      </c>
      <c r="K5768" t="s">
        <v>1618</v>
      </c>
      <c r="M5768" t="s">
        <v>1619</v>
      </c>
      <c r="N5768">
        <v>51.6</v>
      </c>
      <c r="O5768" s="49">
        <v>44421</v>
      </c>
      <c r="P5768" s="50">
        <v>263.95200000000006</v>
      </c>
    </row>
    <row r="5769" spans="4:16" x14ac:dyDescent="0.2">
      <c r="D5769">
        <v>100003417</v>
      </c>
      <c r="E5769" s="49">
        <v>45472</v>
      </c>
      <c r="F5769" t="s">
        <v>4958</v>
      </c>
      <c r="G5769" t="s">
        <v>1955</v>
      </c>
      <c r="H5769">
        <v>7</v>
      </c>
      <c r="I5769">
        <v>92.55</v>
      </c>
      <c r="J5769" s="50">
        <v>647.85</v>
      </c>
      <c r="K5769" t="s">
        <v>1632</v>
      </c>
      <c r="M5769" t="s">
        <v>1627</v>
      </c>
      <c r="N5769">
        <v>48.85</v>
      </c>
      <c r="O5769" s="49">
        <v>45475</v>
      </c>
      <c r="P5769" s="50">
        <v>291.53250000000003</v>
      </c>
    </row>
    <row r="5770" spans="4:16" x14ac:dyDescent="0.2">
      <c r="D5770">
        <v>100003417</v>
      </c>
      <c r="E5770" s="49">
        <v>45629</v>
      </c>
      <c r="F5770" t="s">
        <v>4958</v>
      </c>
      <c r="G5770" t="s">
        <v>2305</v>
      </c>
      <c r="H5770">
        <v>1</v>
      </c>
      <c r="I5770">
        <v>34.340000000000003</v>
      </c>
      <c r="J5770" s="50">
        <v>34.340000000000003</v>
      </c>
      <c r="K5770" t="s">
        <v>1632</v>
      </c>
      <c r="M5770" t="s">
        <v>1621</v>
      </c>
      <c r="N5770">
        <v>18.12</v>
      </c>
      <c r="O5770" s="49">
        <v>45634</v>
      </c>
      <c r="P5770" s="50">
        <v>15.453000000000001</v>
      </c>
    </row>
    <row r="5771" spans="4:16" x14ac:dyDescent="0.2">
      <c r="D5771">
        <v>100003417</v>
      </c>
      <c r="E5771" s="49">
        <v>45041</v>
      </c>
      <c r="F5771" t="s">
        <v>4958</v>
      </c>
      <c r="G5771" t="s">
        <v>2159</v>
      </c>
      <c r="H5771">
        <v>1</v>
      </c>
      <c r="I5771">
        <v>35.08</v>
      </c>
      <c r="J5771" s="50">
        <v>35.08</v>
      </c>
      <c r="K5771" t="s">
        <v>1632</v>
      </c>
      <c r="M5771" t="s">
        <v>1619</v>
      </c>
      <c r="N5771">
        <v>18.510000000000002</v>
      </c>
      <c r="O5771" s="49">
        <v>45046</v>
      </c>
      <c r="P5771" s="50">
        <v>15.786</v>
      </c>
    </row>
    <row r="5772" spans="4:16" x14ac:dyDescent="0.2">
      <c r="D5772">
        <v>100003419</v>
      </c>
      <c r="E5772" s="49">
        <v>44944</v>
      </c>
      <c r="F5772" t="s">
        <v>4959</v>
      </c>
      <c r="G5772" t="s">
        <v>2387</v>
      </c>
      <c r="H5772">
        <v>10</v>
      </c>
      <c r="I5772">
        <v>77.849999999999994</v>
      </c>
      <c r="J5772" s="50">
        <v>778.5</v>
      </c>
      <c r="K5772" t="s">
        <v>1618</v>
      </c>
      <c r="M5772" t="s">
        <v>1619</v>
      </c>
      <c r="N5772">
        <v>41.09</v>
      </c>
      <c r="O5772" s="49">
        <v>44949</v>
      </c>
      <c r="P5772" s="50">
        <v>350.32499999999999</v>
      </c>
    </row>
    <row r="5773" spans="4:16" x14ac:dyDescent="0.2">
      <c r="D5773">
        <v>100003420</v>
      </c>
      <c r="E5773" s="49">
        <v>45001</v>
      </c>
      <c r="F5773" t="s">
        <v>4960</v>
      </c>
      <c r="G5773" t="s">
        <v>2191</v>
      </c>
      <c r="H5773">
        <v>9</v>
      </c>
      <c r="I5773">
        <v>19.149999999999999</v>
      </c>
      <c r="J5773" s="50">
        <v>172.35</v>
      </c>
      <c r="K5773" t="s">
        <v>1618</v>
      </c>
      <c r="L5773" t="s">
        <v>4961</v>
      </c>
      <c r="M5773" t="s">
        <v>1619</v>
      </c>
      <c r="N5773">
        <v>10.11</v>
      </c>
      <c r="O5773" s="49">
        <v>45005</v>
      </c>
      <c r="P5773" s="50">
        <v>77.557500000000005</v>
      </c>
    </row>
    <row r="5774" spans="4:16" x14ac:dyDescent="0.2">
      <c r="D5774">
        <v>100003420</v>
      </c>
      <c r="E5774" s="49">
        <v>45206</v>
      </c>
      <c r="F5774" t="s">
        <v>4960</v>
      </c>
      <c r="G5774" t="s">
        <v>2393</v>
      </c>
      <c r="H5774">
        <v>2</v>
      </c>
      <c r="I5774">
        <v>93.84</v>
      </c>
      <c r="J5774" s="50">
        <v>187.68</v>
      </c>
      <c r="K5774" t="s">
        <v>1618</v>
      </c>
      <c r="L5774" t="s">
        <v>4961</v>
      </c>
      <c r="M5774" t="s">
        <v>1629</v>
      </c>
      <c r="N5774">
        <v>49.53</v>
      </c>
      <c r="O5774" s="49">
        <v>45208</v>
      </c>
      <c r="P5774" s="50">
        <v>84.456000000000003</v>
      </c>
    </row>
    <row r="5775" spans="4:16" x14ac:dyDescent="0.2">
      <c r="D5775">
        <v>100003420</v>
      </c>
      <c r="E5775" s="49">
        <v>45369</v>
      </c>
      <c r="F5775" t="s">
        <v>4960</v>
      </c>
      <c r="G5775" t="s">
        <v>1641</v>
      </c>
      <c r="H5775">
        <v>8</v>
      </c>
      <c r="I5775">
        <v>52.52</v>
      </c>
      <c r="J5775" s="50">
        <v>420.16</v>
      </c>
      <c r="K5775" t="s">
        <v>1618</v>
      </c>
      <c r="L5775" t="s">
        <v>4961</v>
      </c>
      <c r="M5775" t="s">
        <v>1619</v>
      </c>
      <c r="N5775">
        <v>27.72</v>
      </c>
      <c r="O5775" s="49">
        <v>45374</v>
      </c>
      <c r="P5775" s="50">
        <v>189.072</v>
      </c>
    </row>
    <row r="5776" spans="4:16" x14ac:dyDescent="0.2">
      <c r="D5776">
        <v>100003420</v>
      </c>
      <c r="E5776" s="49">
        <v>44855</v>
      </c>
      <c r="F5776" t="s">
        <v>4960</v>
      </c>
      <c r="G5776" t="s">
        <v>1842</v>
      </c>
      <c r="H5776">
        <v>3</v>
      </c>
      <c r="I5776">
        <v>115.76</v>
      </c>
      <c r="J5776" s="50">
        <v>347.28</v>
      </c>
      <c r="K5776" t="s">
        <v>1618</v>
      </c>
      <c r="L5776" t="s">
        <v>4961</v>
      </c>
      <c r="M5776" t="s">
        <v>1624</v>
      </c>
      <c r="N5776">
        <v>61.1</v>
      </c>
      <c r="O5776" s="49">
        <v>44856</v>
      </c>
      <c r="P5776" s="50">
        <v>156.27599999999998</v>
      </c>
    </row>
    <row r="5777" spans="4:16" x14ac:dyDescent="0.2">
      <c r="D5777">
        <v>100003420</v>
      </c>
      <c r="E5777" s="49">
        <v>44467</v>
      </c>
      <c r="F5777" t="s">
        <v>4960</v>
      </c>
      <c r="G5777" t="s">
        <v>2039</v>
      </c>
      <c r="H5777">
        <v>9</v>
      </c>
      <c r="I5777">
        <v>10.72</v>
      </c>
      <c r="J5777" s="50">
        <v>96.48</v>
      </c>
      <c r="K5777" t="s">
        <v>1618</v>
      </c>
      <c r="L5777" t="s">
        <v>4961</v>
      </c>
      <c r="M5777" t="s">
        <v>1627</v>
      </c>
      <c r="N5777">
        <v>5.66</v>
      </c>
      <c r="O5777" s="49">
        <v>44472</v>
      </c>
      <c r="P5777" s="50">
        <v>43.416000000000004</v>
      </c>
    </row>
    <row r="5778" spans="4:16" x14ac:dyDescent="0.2">
      <c r="D5778">
        <v>100003422</v>
      </c>
      <c r="E5778" s="49">
        <v>45163</v>
      </c>
      <c r="F5778" t="s">
        <v>4962</v>
      </c>
      <c r="G5778" t="s">
        <v>2232</v>
      </c>
      <c r="H5778">
        <v>4</v>
      </c>
      <c r="I5778">
        <v>111.03</v>
      </c>
      <c r="J5778" s="50">
        <v>444.12</v>
      </c>
      <c r="K5778" t="s">
        <v>1632</v>
      </c>
      <c r="M5778" t="s">
        <v>1629</v>
      </c>
      <c r="N5778">
        <v>58.6</v>
      </c>
      <c r="O5778" s="49">
        <v>45164</v>
      </c>
      <c r="P5778" s="50">
        <v>199.85400000000001</v>
      </c>
    </row>
    <row r="5779" spans="4:16" x14ac:dyDescent="0.2">
      <c r="D5779">
        <v>100003423</v>
      </c>
      <c r="E5779" s="49">
        <v>45141</v>
      </c>
      <c r="F5779" t="s">
        <v>4963</v>
      </c>
      <c r="G5779" t="s">
        <v>1754</v>
      </c>
      <c r="H5779">
        <v>1</v>
      </c>
      <c r="I5779">
        <v>68.150000000000006</v>
      </c>
      <c r="J5779" s="50">
        <v>68.150000000000006</v>
      </c>
      <c r="K5779" t="s">
        <v>1618</v>
      </c>
      <c r="M5779" t="s">
        <v>1629</v>
      </c>
      <c r="N5779">
        <v>35.97</v>
      </c>
      <c r="O5779" s="49">
        <v>45145</v>
      </c>
      <c r="P5779" s="50">
        <v>30.667500000000004</v>
      </c>
    </row>
    <row r="5780" spans="4:16" x14ac:dyDescent="0.2">
      <c r="D5780">
        <v>100003424</v>
      </c>
      <c r="E5780" s="49">
        <v>44908</v>
      </c>
      <c r="F5780" t="s">
        <v>4964</v>
      </c>
      <c r="G5780" t="s">
        <v>1758</v>
      </c>
      <c r="H5780">
        <v>4</v>
      </c>
      <c r="I5780">
        <v>21.26</v>
      </c>
      <c r="J5780" s="50">
        <v>85.04</v>
      </c>
      <c r="K5780" t="s">
        <v>1618</v>
      </c>
      <c r="M5780" t="s">
        <v>1619</v>
      </c>
      <c r="N5780">
        <v>11.22</v>
      </c>
      <c r="O5780" s="49">
        <v>44911</v>
      </c>
      <c r="P5780" s="50">
        <v>38.268000000000001</v>
      </c>
    </row>
    <row r="5781" spans="4:16" x14ac:dyDescent="0.2">
      <c r="D5781">
        <v>100003424</v>
      </c>
      <c r="E5781" s="49">
        <v>44362</v>
      </c>
      <c r="F5781" t="s">
        <v>4964</v>
      </c>
      <c r="G5781" t="s">
        <v>2348</v>
      </c>
      <c r="H5781">
        <v>9</v>
      </c>
      <c r="I5781">
        <v>35.369999999999997</v>
      </c>
      <c r="J5781" s="50">
        <v>318.33</v>
      </c>
      <c r="K5781" t="s">
        <v>1618</v>
      </c>
      <c r="M5781" t="s">
        <v>1624</v>
      </c>
      <c r="N5781">
        <v>18.670000000000002</v>
      </c>
      <c r="O5781" s="49">
        <v>44367</v>
      </c>
      <c r="P5781" s="50">
        <v>143.24850000000001</v>
      </c>
    </row>
    <row r="5782" spans="4:16" x14ac:dyDescent="0.2">
      <c r="D5782">
        <v>100003424</v>
      </c>
      <c r="E5782" s="49">
        <v>44892</v>
      </c>
      <c r="F5782" t="s">
        <v>4964</v>
      </c>
      <c r="G5782" t="s">
        <v>1830</v>
      </c>
      <c r="H5782">
        <v>3</v>
      </c>
      <c r="I5782">
        <v>113.44</v>
      </c>
      <c r="J5782" s="50">
        <v>340.32</v>
      </c>
      <c r="K5782" t="s">
        <v>1618</v>
      </c>
      <c r="M5782" t="s">
        <v>1629</v>
      </c>
      <c r="N5782">
        <v>59.87</v>
      </c>
      <c r="O5782" s="49">
        <v>44895</v>
      </c>
      <c r="P5782" s="50">
        <v>153.14400000000001</v>
      </c>
    </row>
    <row r="5783" spans="4:16" x14ac:dyDescent="0.2">
      <c r="D5783">
        <v>100003424</v>
      </c>
      <c r="E5783" s="49">
        <v>44967</v>
      </c>
      <c r="F5783" t="s">
        <v>4964</v>
      </c>
      <c r="G5783" t="s">
        <v>1834</v>
      </c>
      <c r="H5783">
        <v>10</v>
      </c>
      <c r="I5783">
        <v>88.89</v>
      </c>
      <c r="J5783" s="50">
        <v>888.9</v>
      </c>
      <c r="K5783" t="s">
        <v>1618</v>
      </c>
      <c r="M5783" t="s">
        <v>1621</v>
      </c>
      <c r="N5783">
        <v>46.91</v>
      </c>
      <c r="O5783" s="49">
        <v>44969</v>
      </c>
      <c r="P5783" s="50">
        <v>400.005</v>
      </c>
    </row>
    <row r="5784" spans="4:16" x14ac:dyDescent="0.2">
      <c r="D5784">
        <v>100003424</v>
      </c>
      <c r="E5784" s="49">
        <v>45158</v>
      </c>
      <c r="F5784" t="s">
        <v>4964</v>
      </c>
      <c r="G5784" t="s">
        <v>1924</v>
      </c>
      <c r="H5784">
        <v>3</v>
      </c>
      <c r="I5784">
        <v>15.47</v>
      </c>
      <c r="J5784" s="50">
        <v>46.41</v>
      </c>
      <c r="K5784" t="s">
        <v>1618</v>
      </c>
      <c r="M5784" t="s">
        <v>1627</v>
      </c>
      <c r="N5784">
        <v>8.16</v>
      </c>
      <c r="O5784" s="49">
        <v>45159</v>
      </c>
      <c r="P5784" s="50">
        <v>20.884499999999999</v>
      </c>
    </row>
    <row r="5785" spans="4:16" x14ac:dyDescent="0.2">
      <c r="D5785">
        <v>100003424</v>
      </c>
      <c r="E5785" s="49">
        <v>44369</v>
      </c>
      <c r="F5785" t="s">
        <v>4964</v>
      </c>
      <c r="G5785" t="s">
        <v>2337</v>
      </c>
      <c r="H5785">
        <v>9</v>
      </c>
      <c r="I5785">
        <v>10.58</v>
      </c>
      <c r="J5785" s="50">
        <v>95.22</v>
      </c>
      <c r="K5785" t="s">
        <v>1618</v>
      </c>
      <c r="M5785" t="s">
        <v>1627</v>
      </c>
      <c r="N5785">
        <v>5.58</v>
      </c>
      <c r="O5785" s="49">
        <v>44374</v>
      </c>
      <c r="P5785" s="50">
        <v>42.849000000000004</v>
      </c>
    </row>
    <row r="5786" spans="4:16" x14ac:dyDescent="0.2">
      <c r="D5786">
        <v>100003425</v>
      </c>
      <c r="E5786" s="49">
        <v>44572</v>
      </c>
      <c r="F5786" t="s">
        <v>4965</v>
      </c>
      <c r="G5786" t="s">
        <v>1676</v>
      </c>
      <c r="H5786">
        <v>8</v>
      </c>
      <c r="I5786">
        <v>85.08</v>
      </c>
      <c r="J5786" s="50">
        <v>680.64</v>
      </c>
      <c r="K5786" t="s">
        <v>1632</v>
      </c>
      <c r="M5786" t="s">
        <v>1619</v>
      </c>
      <c r="N5786">
        <v>44.9</v>
      </c>
      <c r="O5786" s="49">
        <v>44575</v>
      </c>
      <c r="P5786" s="50">
        <v>306.28800000000001</v>
      </c>
    </row>
    <row r="5787" spans="4:16" x14ac:dyDescent="0.2">
      <c r="D5787">
        <v>100003425</v>
      </c>
      <c r="E5787" s="49">
        <v>45192</v>
      </c>
      <c r="F5787" t="s">
        <v>4965</v>
      </c>
      <c r="G5787" t="s">
        <v>1895</v>
      </c>
      <c r="H5787">
        <v>2</v>
      </c>
      <c r="I5787">
        <v>113.67</v>
      </c>
      <c r="J5787" s="50">
        <v>227.34</v>
      </c>
      <c r="K5787" t="s">
        <v>1632</v>
      </c>
      <c r="M5787" t="s">
        <v>1621</v>
      </c>
      <c r="N5787">
        <v>59.99</v>
      </c>
      <c r="O5787" s="49">
        <v>45197</v>
      </c>
      <c r="P5787" s="50">
        <v>102.303</v>
      </c>
    </row>
    <row r="5788" spans="4:16" x14ac:dyDescent="0.2">
      <c r="D5788">
        <v>100003425</v>
      </c>
      <c r="E5788" s="49">
        <v>44681</v>
      </c>
      <c r="F5788" t="s">
        <v>4965</v>
      </c>
      <c r="G5788" t="s">
        <v>1805</v>
      </c>
      <c r="H5788">
        <v>3</v>
      </c>
      <c r="I5788">
        <v>28.9</v>
      </c>
      <c r="J5788" s="50">
        <v>86.699999999999989</v>
      </c>
      <c r="K5788" t="s">
        <v>1632</v>
      </c>
      <c r="M5788" t="s">
        <v>1629</v>
      </c>
      <c r="N5788">
        <v>15.25</v>
      </c>
      <c r="O5788" s="49">
        <v>44686</v>
      </c>
      <c r="P5788" s="50">
        <v>39.014999999999993</v>
      </c>
    </row>
    <row r="5789" spans="4:16" x14ac:dyDescent="0.2">
      <c r="D5789">
        <v>100003426</v>
      </c>
      <c r="E5789" s="49">
        <v>44669</v>
      </c>
      <c r="F5789" t="s">
        <v>4966</v>
      </c>
      <c r="G5789" t="s">
        <v>2050</v>
      </c>
      <c r="H5789">
        <v>6</v>
      </c>
      <c r="I5789">
        <v>107.81</v>
      </c>
      <c r="J5789" s="50">
        <v>646.86</v>
      </c>
      <c r="K5789" t="s">
        <v>1618</v>
      </c>
      <c r="M5789" t="s">
        <v>1627</v>
      </c>
      <c r="N5789">
        <v>56.9</v>
      </c>
      <c r="O5789" s="49">
        <v>44673</v>
      </c>
      <c r="P5789" s="50">
        <v>291.08699999999999</v>
      </c>
    </row>
    <row r="5790" spans="4:16" x14ac:dyDescent="0.2">
      <c r="D5790">
        <v>100003426</v>
      </c>
      <c r="E5790" s="49">
        <v>44407</v>
      </c>
      <c r="F5790" t="s">
        <v>4966</v>
      </c>
      <c r="G5790" t="s">
        <v>1929</v>
      </c>
      <c r="H5790">
        <v>8</v>
      </c>
      <c r="I5790">
        <v>86.48</v>
      </c>
      <c r="J5790" s="50">
        <v>691.84</v>
      </c>
      <c r="K5790" t="s">
        <v>1618</v>
      </c>
      <c r="M5790" t="s">
        <v>1621</v>
      </c>
      <c r="N5790">
        <v>45.64</v>
      </c>
      <c r="O5790" s="49">
        <v>44409</v>
      </c>
      <c r="P5790" s="50">
        <v>311.32800000000003</v>
      </c>
    </row>
    <row r="5791" spans="4:16" x14ac:dyDescent="0.2">
      <c r="D5791">
        <v>100003427</v>
      </c>
      <c r="E5791" s="49">
        <v>45117</v>
      </c>
      <c r="F5791" t="s">
        <v>4967</v>
      </c>
      <c r="G5791" t="s">
        <v>1842</v>
      </c>
      <c r="H5791">
        <v>10</v>
      </c>
      <c r="I5791">
        <v>57.62</v>
      </c>
      <c r="J5791" s="50">
        <v>576.19999999999993</v>
      </c>
      <c r="K5791" t="s">
        <v>1618</v>
      </c>
      <c r="L5791" t="s">
        <v>4968</v>
      </c>
      <c r="M5791" t="s">
        <v>1621</v>
      </c>
      <c r="N5791">
        <v>30.41</v>
      </c>
      <c r="O5791" s="49">
        <v>45118</v>
      </c>
      <c r="P5791" s="50">
        <v>259.28999999999996</v>
      </c>
    </row>
    <row r="5792" spans="4:16" x14ac:dyDescent="0.2">
      <c r="D5792">
        <v>100003429</v>
      </c>
      <c r="E5792" s="49">
        <v>44296</v>
      </c>
      <c r="F5792" t="s">
        <v>4969</v>
      </c>
      <c r="G5792" t="s">
        <v>1980</v>
      </c>
      <c r="H5792">
        <v>3</v>
      </c>
      <c r="I5792">
        <v>84.55</v>
      </c>
      <c r="J5792" s="50">
        <v>253.65</v>
      </c>
      <c r="K5792" t="s">
        <v>1618</v>
      </c>
      <c r="M5792" t="s">
        <v>1621</v>
      </c>
      <c r="N5792">
        <v>44.62</v>
      </c>
      <c r="O5792" s="49">
        <v>44300</v>
      </c>
      <c r="P5792" s="50">
        <v>114.1425</v>
      </c>
    </row>
    <row r="5793" spans="4:16" x14ac:dyDescent="0.2">
      <c r="D5793">
        <v>100003431</v>
      </c>
      <c r="E5793" s="49">
        <v>44381</v>
      </c>
      <c r="F5793" t="s">
        <v>4149</v>
      </c>
      <c r="G5793" t="s">
        <v>1623</v>
      </c>
      <c r="H5793">
        <v>2</v>
      </c>
      <c r="I5793">
        <v>59.25</v>
      </c>
      <c r="J5793" s="50">
        <v>118.5</v>
      </c>
      <c r="K5793" t="s">
        <v>1632</v>
      </c>
      <c r="L5793" t="s">
        <v>4970</v>
      </c>
      <c r="M5793" t="s">
        <v>1619</v>
      </c>
      <c r="N5793">
        <v>31.27</v>
      </c>
      <c r="O5793" s="49">
        <v>44386</v>
      </c>
      <c r="P5793" s="50">
        <v>53.325000000000003</v>
      </c>
    </row>
    <row r="5794" spans="4:16" x14ac:dyDescent="0.2">
      <c r="D5794">
        <v>100003431</v>
      </c>
      <c r="E5794" s="49">
        <v>44707</v>
      </c>
      <c r="F5794" t="s">
        <v>4149</v>
      </c>
      <c r="G5794" t="s">
        <v>1901</v>
      </c>
      <c r="H5794">
        <v>2</v>
      </c>
      <c r="I5794">
        <v>84.74</v>
      </c>
      <c r="J5794" s="50">
        <v>169.48</v>
      </c>
      <c r="K5794" t="s">
        <v>1632</v>
      </c>
      <c r="L5794" t="s">
        <v>4970</v>
      </c>
      <c r="M5794" t="s">
        <v>1619</v>
      </c>
      <c r="N5794">
        <v>44.72</v>
      </c>
      <c r="O5794" s="49">
        <v>44711</v>
      </c>
      <c r="P5794" s="50">
        <v>76.265999999999991</v>
      </c>
    </row>
    <row r="5795" spans="4:16" x14ac:dyDescent="0.2">
      <c r="D5795">
        <v>100003431</v>
      </c>
      <c r="E5795" s="49">
        <v>44315</v>
      </c>
      <c r="F5795" t="s">
        <v>4149</v>
      </c>
      <c r="G5795" t="s">
        <v>1701</v>
      </c>
      <c r="H5795">
        <v>9</v>
      </c>
      <c r="I5795">
        <v>100.71</v>
      </c>
      <c r="J5795" s="50">
        <v>906.39</v>
      </c>
      <c r="K5795" t="s">
        <v>1632</v>
      </c>
      <c r="L5795" t="s">
        <v>4970</v>
      </c>
      <c r="M5795" t="s">
        <v>1619</v>
      </c>
      <c r="N5795">
        <v>53.15</v>
      </c>
      <c r="O5795" s="49">
        <v>44320</v>
      </c>
      <c r="P5795" s="50">
        <v>407.87549999999999</v>
      </c>
    </row>
    <row r="5796" spans="4:16" x14ac:dyDescent="0.2">
      <c r="D5796">
        <v>100003431</v>
      </c>
      <c r="E5796" s="49">
        <v>45217</v>
      </c>
      <c r="F5796" t="s">
        <v>4149</v>
      </c>
      <c r="G5796" t="s">
        <v>1975</v>
      </c>
      <c r="H5796">
        <v>6</v>
      </c>
      <c r="I5796">
        <v>63.97</v>
      </c>
      <c r="J5796" s="50">
        <v>383.82</v>
      </c>
      <c r="K5796" t="s">
        <v>1632</v>
      </c>
      <c r="L5796" t="s">
        <v>4970</v>
      </c>
      <c r="M5796" t="s">
        <v>1619</v>
      </c>
      <c r="N5796">
        <v>33.76</v>
      </c>
      <c r="O5796" s="49">
        <v>45221</v>
      </c>
      <c r="P5796" s="50">
        <v>172.71899999999999</v>
      </c>
    </row>
    <row r="5797" spans="4:16" x14ac:dyDescent="0.2">
      <c r="D5797">
        <v>100003431</v>
      </c>
      <c r="E5797" s="49">
        <v>45380</v>
      </c>
      <c r="F5797" t="s">
        <v>4149</v>
      </c>
      <c r="G5797" t="s">
        <v>2291</v>
      </c>
      <c r="H5797">
        <v>5</v>
      </c>
      <c r="I5797">
        <v>60.84</v>
      </c>
      <c r="J5797" s="50">
        <v>304.2</v>
      </c>
      <c r="K5797" t="s">
        <v>1632</v>
      </c>
      <c r="L5797" t="s">
        <v>4970</v>
      </c>
      <c r="M5797" t="s">
        <v>1627</v>
      </c>
      <c r="N5797">
        <v>32.11</v>
      </c>
      <c r="O5797" s="49">
        <v>45383</v>
      </c>
      <c r="P5797" s="50">
        <v>136.88999999999999</v>
      </c>
    </row>
    <row r="5798" spans="4:16" x14ac:dyDescent="0.2">
      <c r="D5798">
        <v>100003431</v>
      </c>
      <c r="E5798" s="49">
        <v>44431</v>
      </c>
      <c r="F5798" t="s">
        <v>4149</v>
      </c>
      <c r="G5798" t="s">
        <v>1901</v>
      </c>
      <c r="H5798">
        <v>6</v>
      </c>
      <c r="I5798">
        <v>25.53</v>
      </c>
      <c r="J5798" s="50">
        <v>153.18</v>
      </c>
      <c r="K5798" t="s">
        <v>1632</v>
      </c>
      <c r="L5798" t="s">
        <v>4970</v>
      </c>
      <c r="M5798" t="s">
        <v>1627</v>
      </c>
      <c r="N5798">
        <v>13.47</v>
      </c>
      <c r="O5798" s="49">
        <v>44432</v>
      </c>
      <c r="P5798" s="50">
        <v>68.931000000000012</v>
      </c>
    </row>
    <row r="5799" spans="4:16" x14ac:dyDescent="0.2">
      <c r="D5799">
        <v>100003432</v>
      </c>
      <c r="E5799" s="49">
        <v>45586</v>
      </c>
      <c r="F5799" t="s">
        <v>4971</v>
      </c>
      <c r="G5799" t="s">
        <v>1819</v>
      </c>
      <c r="H5799">
        <v>4</v>
      </c>
      <c r="I5799">
        <v>44.64</v>
      </c>
      <c r="J5799" s="50">
        <v>178.56</v>
      </c>
      <c r="K5799" t="s">
        <v>1618</v>
      </c>
      <c r="M5799" t="s">
        <v>1629</v>
      </c>
      <c r="N5799">
        <v>23.56</v>
      </c>
      <c r="O5799" s="49">
        <v>45589</v>
      </c>
      <c r="P5799" s="50">
        <v>80.352000000000004</v>
      </c>
    </row>
    <row r="5800" spans="4:16" x14ac:dyDescent="0.2">
      <c r="D5800">
        <v>100003434</v>
      </c>
      <c r="E5800" s="49">
        <v>45470</v>
      </c>
      <c r="F5800" t="s">
        <v>4972</v>
      </c>
      <c r="G5800" t="s">
        <v>1866</v>
      </c>
      <c r="H5800">
        <v>4</v>
      </c>
      <c r="I5800">
        <v>35.950000000000003</v>
      </c>
      <c r="J5800" s="50">
        <v>143.80000000000001</v>
      </c>
      <c r="K5800" t="s">
        <v>1632</v>
      </c>
      <c r="M5800" t="s">
        <v>1627</v>
      </c>
      <c r="N5800">
        <v>18.97</v>
      </c>
      <c r="O5800" s="49">
        <v>45473</v>
      </c>
      <c r="P5800" s="50">
        <v>64.710000000000008</v>
      </c>
    </row>
    <row r="5801" spans="4:16" x14ac:dyDescent="0.2">
      <c r="D5801">
        <v>100003434</v>
      </c>
      <c r="E5801" s="49">
        <v>44458</v>
      </c>
      <c r="F5801" t="s">
        <v>4972</v>
      </c>
      <c r="G5801" t="s">
        <v>2069</v>
      </c>
      <c r="H5801">
        <v>3</v>
      </c>
      <c r="I5801">
        <v>53.71</v>
      </c>
      <c r="J5801" s="50">
        <v>161.13</v>
      </c>
      <c r="K5801" t="s">
        <v>1632</v>
      </c>
      <c r="M5801" t="s">
        <v>1627</v>
      </c>
      <c r="N5801">
        <v>28.35</v>
      </c>
      <c r="O5801" s="49">
        <v>44461</v>
      </c>
      <c r="P5801" s="50">
        <v>72.508499999999998</v>
      </c>
    </row>
    <row r="5802" spans="4:16" x14ac:dyDescent="0.2">
      <c r="D5802">
        <v>100003434</v>
      </c>
      <c r="E5802" s="49">
        <v>44417</v>
      </c>
      <c r="F5802" t="s">
        <v>4972</v>
      </c>
      <c r="G5802" t="s">
        <v>2378</v>
      </c>
      <c r="H5802">
        <v>6</v>
      </c>
      <c r="I5802">
        <v>65.930000000000007</v>
      </c>
      <c r="J5802" s="50">
        <v>395.58</v>
      </c>
      <c r="K5802" t="s">
        <v>1632</v>
      </c>
      <c r="M5802" t="s">
        <v>1629</v>
      </c>
      <c r="N5802">
        <v>34.799999999999997</v>
      </c>
      <c r="O5802" s="49">
        <v>44420</v>
      </c>
      <c r="P5802" s="50">
        <v>178.011</v>
      </c>
    </row>
    <row r="5803" spans="4:16" x14ac:dyDescent="0.2">
      <c r="D5803">
        <v>100003435</v>
      </c>
      <c r="E5803" s="49">
        <v>44593</v>
      </c>
      <c r="F5803" t="s">
        <v>4973</v>
      </c>
      <c r="G5803" t="s">
        <v>1731</v>
      </c>
      <c r="H5803">
        <v>4</v>
      </c>
      <c r="I5803">
        <v>41.95</v>
      </c>
      <c r="J5803" s="50">
        <v>167.8</v>
      </c>
      <c r="K5803" t="s">
        <v>1618</v>
      </c>
      <c r="L5803" t="s">
        <v>4974</v>
      </c>
      <c r="M5803" t="s">
        <v>1624</v>
      </c>
      <c r="N5803">
        <v>22.14</v>
      </c>
      <c r="O5803" s="49">
        <v>44594</v>
      </c>
      <c r="P5803" s="50">
        <v>75.510000000000005</v>
      </c>
    </row>
    <row r="5804" spans="4:16" x14ac:dyDescent="0.2">
      <c r="D5804">
        <v>100003436</v>
      </c>
      <c r="E5804" s="49">
        <v>45254</v>
      </c>
      <c r="F5804" t="s">
        <v>4975</v>
      </c>
      <c r="G5804" t="s">
        <v>1978</v>
      </c>
      <c r="H5804">
        <v>6</v>
      </c>
      <c r="I5804">
        <v>57.53</v>
      </c>
      <c r="J5804" s="50">
        <v>345.18</v>
      </c>
      <c r="K5804" t="s">
        <v>1632</v>
      </c>
      <c r="M5804" t="s">
        <v>1627</v>
      </c>
      <c r="N5804">
        <v>30.36</v>
      </c>
      <c r="O5804" s="49">
        <v>45258</v>
      </c>
      <c r="P5804" s="50">
        <v>155.33100000000002</v>
      </c>
    </row>
    <row r="5805" spans="4:16" x14ac:dyDescent="0.2">
      <c r="D5805">
        <v>100003438</v>
      </c>
      <c r="E5805" s="49">
        <v>44394</v>
      </c>
      <c r="F5805" t="s">
        <v>4976</v>
      </c>
      <c r="G5805" t="s">
        <v>2003</v>
      </c>
      <c r="H5805">
        <v>4</v>
      </c>
      <c r="I5805">
        <v>87</v>
      </c>
      <c r="J5805" s="50">
        <v>348</v>
      </c>
      <c r="K5805" t="s">
        <v>1632</v>
      </c>
      <c r="L5805" t="s">
        <v>4977</v>
      </c>
      <c r="M5805" t="s">
        <v>1629</v>
      </c>
      <c r="N5805">
        <v>45.92</v>
      </c>
      <c r="O5805" s="49">
        <v>44395</v>
      </c>
      <c r="P5805" s="50">
        <v>156.6</v>
      </c>
    </row>
    <row r="5806" spans="4:16" x14ac:dyDescent="0.2">
      <c r="D5806">
        <v>100003438</v>
      </c>
      <c r="E5806" s="49">
        <v>45523</v>
      </c>
      <c r="F5806" t="s">
        <v>4976</v>
      </c>
      <c r="G5806" t="s">
        <v>1874</v>
      </c>
      <c r="H5806">
        <v>6</v>
      </c>
      <c r="I5806">
        <v>41.13</v>
      </c>
      <c r="J5806" s="50">
        <v>246.78</v>
      </c>
      <c r="K5806" t="s">
        <v>1632</v>
      </c>
      <c r="L5806" t="s">
        <v>4977</v>
      </c>
      <c r="M5806" t="s">
        <v>1621</v>
      </c>
      <c r="N5806">
        <v>21.71</v>
      </c>
      <c r="O5806" s="49">
        <v>45528</v>
      </c>
      <c r="P5806" s="50">
        <v>111.051</v>
      </c>
    </row>
    <row r="5807" spans="4:16" x14ac:dyDescent="0.2">
      <c r="D5807">
        <v>100003438</v>
      </c>
      <c r="E5807" s="49">
        <v>44310</v>
      </c>
      <c r="F5807" t="s">
        <v>4976</v>
      </c>
      <c r="G5807" t="s">
        <v>1691</v>
      </c>
      <c r="H5807">
        <v>9</v>
      </c>
      <c r="I5807">
        <v>93.31</v>
      </c>
      <c r="J5807" s="50">
        <v>839.79</v>
      </c>
      <c r="K5807" t="s">
        <v>1632</v>
      </c>
      <c r="L5807" t="s">
        <v>4977</v>
      </c>
      <c r="M5807" t="s">
        <v>1624</v>
      </c>
      <c r="N5807">
        <v>49.25</v>
      </c>
      <c r="O5807" s="49">
        <v>44314</v>
      </c>
      <c r="P5807" s="50">
        <v>377.90550000000002</v>
      </c>
    </row>
    <row r="5808" spans="4:16" x14ac:dyDescent="0.2">
      <c r="D5808">
        <v>100003439</v>
      </c>
      <c r="E5808" s="49">
        <v>45558</v>
      </c>
      <c r="F5808" t="s">
        <v>4978</v>
      </c>
      <c r="G5808" t="s">
        <v>1691</v>
      </c>
      <c r="H5808">
        <v>3</v>
      </c>
      <c r="I5808">
        <v>87.46</v>
      </c>
      <c r="J5808" s="50">
        <v>262.38</v>
      </c>
      <c r="K5808" t="s">
        <v>1618</v>
      </c>
      <c r="M5808" t="s">
        <v>1627</v>
      </c>
      <c r="N5808">
        <v>46.16</v>
      </c>
      <c r="O5808" s="49">
        <v>45563</v>
      </c>
      <c r="P5808" s="50">
        <v>118.071</v>
      </c>
    </row>
    <row r="5809" spans="4:16" x14ac:dyDescent="0.2">
      <c r="D5809">
        <v>100003440</v>
      </c>
      <c r="E5809" s="49">
        <v>45159</v>
      </c>
      <c r="F5809" t="s">
        <v>4979</v>
      </c>
      <c r="G5809" t="s">
        <v>1740</v>
      </c>
      <c r="H5809">
        <v>3</v>
      </c>
      <c r="I5809">
        <v>15.08</v>
      </c>
      <c r="J5809" s="50">
        <v>45.24</v>
      </c>
      <c r="K5809" t="s">
        <v>1632</v>
      </c>
      <c r="M5809" t="s">
        <v>1627</v>
      </c>
      <c r="N5809">
        <v>7.96</v>
      </c>
      <c r="O5809" s="49">
        <v>45163</v>
      </c>
      <c r="P5809" s="50">
        <v>20.358000000000001</v>
      </c>
    </row>
    <row r="5810" spans="4:16" x14ac:dyDescent="0.2">
      <c r="D5810">
        <v>100003441</v>
      </c>
      <c r="E5810" s="49">
        <v>45459</v>
      </c>
      <c r="F5810" t="s">
        <v>4980</v>
      </c>
      <c r="G5810" t="s">
        <v>2062</v>
      </c>
      <c r="H5810">
        <v>1</v>
      </c>
      <c r="I5810">
        <v>58.4</v>
      </c>
      <c r="J5810" s="50">
        <v>58.4</v>
      </c>
      <c r="K5810" t="s">
        <v>1632</v>
      </c>
      <c r="M5810" t="s">
        <v>1627</v>
      </c>
      <c r="N5810">
        <v>30.82</v>
      </c>
      <c r="O5810" s="49">
        <v>45463</v>
      </c>
      <c r="P5810" s="50">
        <v>26.28</v>
      </c>
    </row>
    <row r="5811" spans="4:16" x14ac:dyDescent="0.2">
      <c r="D5811">
        <v>100003441</v>
      </c>
      <c r="E5811" s="49">
        <v>45185</v>
      </c>
      <c r="F5811" t="s">
        <v>4980</v>
      </c>
      <c r="G5811" t="s">
        <v>1922</v>
      </c>
      <c r="H5811">
        <v>3</v>
      </c>
      <c r="I5811">
        <v>95.17</v>
      </c>
      <c r="J5811" s="50">
        <v>285.51</v>
      </c>
      <c r="K5811" t="s">
        <v>1632</v>
      </c>
      <c r="M5811" t="s">
        <v>1627</v>
      </c>
      <c r="N5811">
        <v>50.23</v>
      </c>
      <c r="O5811" s="49">
        <v>45187</v>
      </c>
      <c r="P5811" s="50">
        <v>128.4795</v>
      </c>
    </row>
    <row r="5812" spans="4:16" x14ac:dyDescent="0.2">
      <c r="D5812">
        <v>100003441</v>
      </c>
      <c r="E5812" s="49">
        <v>45113</v>
      </c>
      <c r="F5812" t="s">
        <v>4980</v>
      </c>
      <c r="G5812" t="s">
        <v>1691</v>
      </c>
      <c r="H5812">
        <v>6</v>
      </c>
      <c r="I5812">
        <v>109.88</v>
      </c>
      <c r="J5812" s="50">
        <v>659.28</v>
      </c>
      <c r="K5812" t="s">
        <v>1632</v>
      </c>
      <c r="M5812" t="s">
        <v>1627</v>
      </c>
      <c r="N5812">
        <v>57.99</v>
      </c>
      <c r="O5812" s="49">
        <v>45114</v>
      </c>
      <c r="P5812" s="50">
        <v>296.67599999999999</v>
      </c>
    </row>
    <row r="5813" spans="4:16" x14ac:dyDescent="0.2">
      <c r="D5813">
        <v>100003442</v>
      </c>
      <c r="E5813" s="49">
        <v>44843</v>
      </c>
      <c r="F5813" t="s">
        <v>4981</v>
      </c>
      <c r="G5813" t="s">
        <v>2161</v>
      </c>
      <c r="H5813">
        <v>2</v>
      </c>
      <c r="I5813">
        <v>22.45</v>
      </c>
      <c r="J5813" s="50">
        <v>44.9</v>
      </c>
      <c r="K5813" t="s">
        <v>1618</v>
      </c>
      <c r="M5813" t="s">
        <v>1619</v>
      </c>
      <c r="N5813">
        <v>11.85</v>
      </c>
      <c r="O5813" s="49">
        <v>44846</v>
      </c>
      <c r="P5813" s="50">
        <v>20.204999999999998</v>
      </c>
    </row>
    <row r="5814" spans="4:16" x14ac:dyDescent="0.2">
      <c r="D5814">
        <v>100003442</v>
      </c>
      <c r="E5814" s="49">
        <v>44260</v>
      </c>
      <c r="F5814" t="s">
        <v>4981</v>
      </c>
      <c r="G5814" t="s">
        <v>2134</v>
      </c>
      <c r="H5814">
        <v>2</v>
      </c>
      <c r="I5814">
        <v>70.09</v>
      </c>
      <c r="J5814" s="50">
        <v>140.18</v>
      </c>
      <c r="K5814" t="s">
        <v>1618</v>
      </c>
      <c r="M5814" t="s">
        <v>1629</v>
      </c>
      <c r="N5814">
        <v>36.99</v>
      </c>
      <c r="O5814" s="49">
        <v>44263</v>
      </c>
      <c r="P5814" s="50">
        <v>63.081000000000003</v>
      </c>
    </row>
    <row r="5815" spans="4:16" x14ac:dyDescent="0.2">
      <c r="D5815">
        <v>100003444</v>
      </c>
      <c r="E5815" s="49">
        <v>45117</v>
      </c>
      <c r="F5815" t="s">
        <v>4982</v>
      </c>
      <c r="G5815" t="s">
        <v>1918</v>
      </c>
      <c r="H5815">
        <v>5</v>
      </c>
      <c r="I5815">
        <v>23.06</v>
      </c>
      <c r="J5815" s="50">
        <v>115.3</v>
      </c>
      <c r="K5815" t="s">
        <v>1618</v>
      </c>
      <c r="M5815" t="s">
        <v>1624</v>
      </c>
      <c r="N5815">
        <v>12.17</v>
      </c>
      <c r="O5815" s="49">
        <v>45118</v>
      </c>
      <c r="P5815" s="50">
        <v>51.884999999999998</v>
      </c>
    </row>
    <row r="5816" spans="4:16" x14ac:dyDescent="0.2">
      <c r="D5816">
        <v>100003445</v>
      </c>
      <c r="E5816" s="49">
        <v>44705</v>
      </c>
      <c r="F5816" t="s">
        <v>4983</v>
      </c>
      <c r="G5816" t="s">
        <v>1958</v>
      </c>
      <c r="H5816">
        <v>10</v>
      </c>
      <c r="I5816">
        <v>35.39</v>
      </c>
      <c r="J5816" s="50">
        <v>353.9</v>
      </c>
      <c r="K5816" t="s">
        <v>1618</v>
      </c>
      <c r="L5816" t="s">
        <v>2131</v>
      </c>
      <c r="M5816" t="s">
        <v>1624</v>
      </c>
      <c r="N5816">
        <v>18.68</v>
      </c>
      <c r="O5816" s="49">
        <v>44709</v>
      </c>
      <c r="P5816" s="50">
        <v>159.255</v>
      </c>
    </row>
    <row r="5817" spans="4:16" x14ac:dyDescent="0.2">
      <c r="D5817">
        <v>100003445</v>
      </c>
      <c r="E5817" s="49">
        <v>45391</v>
      </c>
      <c r="F5817" t="s">
        <v>4983</v>
      </c>
      <c r="G5817" t="s">
        <v>1719</v>
      </c>
      <c r="H5817">
        <v>4</v>
      </c>
      <c r="I5817">
        <v>65.709999999999994</v>
      </c>
      <c r="J5817" s="50">
        <v>262.83999999999997</v>
      </c>
      <c r="K5817" t="s">
        <v>1618</v>
      </c>
      <c r="L5817" t="s">
        <v>2131</v>
      </c>
      <c r="M5817" t="s">
        <v>1629</v>
      </c>
      <c r="N5817">
        <v>34.68</v>
      </c>
      <c r="O5817" s="49">
        <v>45395</v>
      </c>
      <c r="P5817" s="50">
        <v>118.27799999999999</v>
      </c>
    </row>
    <row r="5818" spans="4:16" x14ac:dyDescent="0.2">
      <c r="D5818">
        <v>100003446</v>
      </c>
      <c r="E5818" s="49">
        <v>44826</v>
      </c>
      <c r="F5818" t="s">
        <v>4984</v>
      </c>
      <c r="G5818" t="s">
        <v>1620</v>
      </c>
      <c r="H5818">
        <v>3</v>
      </c>
      <c r="I5818">
        <v>102.81</v>
      </c>
      <c r="J5818" s="50">
        <v>308.43</v>
      </c>
      <c r="K5818" t="s">
        <v>1618</v>
      </c>
      <c r="M5818" t="s">
        <v>1627</v>
      </c>
      <c r="N5818">
        <v>54.26</v>
      </c>
      <c r="O5818" s="49">
        <v>44827</v>
      </c>
      <c r="P5818" s="50">
        <v>138.79349999999999</v>
      </c>
    </row>
    <row r="5819" spans="4:16" x14ac:dyDescent="0.2">
      <c r="D5819">
        <v>100003447</v>
      </c>
      <c r="E5819" s="49">
        <v>45289</v>
      </c>
      <c r="F5819" t="s">
        <v>4985</v>
      </c>
      <c r="G5819" t="s">
        <v>2098</v>
      </c>
      <c r="H5819">
        <v>5</v>
      </c>
      <c r="I5819">
        <v>113.76</v>
      </c>
      <c r="J5819" s="50">
        <v>568.80000000000007</v>
      </c>
      <c r="K5819" t="s">
        <v>1632</v>
      </c>
      <c r="M5819" t="s">
        <v>1627</v>
      </c>
      <c r="N5819">
        <v>60.04</v>
      </c>
      <c r="O5819" s="49">
        <v>45292</v>
      </c>
      <c r="P5819" s="50">
        <v>255.96000000000004</v>
      </c>
    </row>
    <row r="5820" spans="4:16" x14ac:dyDescent="0.2">
      <c r="D5820">
        <v>100003447</v>
      </c>
      <c r="E5820" s="49">
        <v>44798</v>
      </c>
      <c r="F5820" t="s">
        <v>4985</v>
      </c>
      <c r="G5820" t="s">
        <v>2111</v>
      </c>
      <c r="H5820">
        <v>4</v>
      </c>
      <c r="I5820">
        <v>87.77</v>
      </c>
      <c r="J5820" s="50">
        <v>351.08</v>
      </c>
      <c r="K5820" t="s">
        <v>1632</v>
      </c>
      <c r="M5820" t="s">
        <v>1627</v>
      </c>
      <c r="N5820">
        <v>46.32</v>
      </c>
      <c r="O5820" s="49">
        <v>44801</v>
      </c>
      <c r="P5820" s="50">
        <v>157.98599999999999</v>
      </c>
    </row>
    <row r="5821" spans="4:16" x14ac:dyDescent="0.2">
      <c r="D5821">
        <v>100003447</v>
      </c>
      <c r="E5821" s="49">
        <v>44364</v>
      </c>
      <c r="F5821" t="s">
        <v>4985</v>
      </c>
      <c r="G5821" t="s">
        <v>1714</v>
      </c>
      <c r="H5821">
        <v>5</v>
      </c>
      <c r="I5821">
        <v>117.38</v>
      </c>
      <c r="J5821" s="50">
        <v>586.9</v>
      </c>
      <c r="K5821" t="s">
        <v>1632</v>
      </c>
      <c r="M5821" t="s">
        <v>1627</v>
      </c>
      <c r="N5821">
        <v>61.95</v>
      </c>
      <c r="O5821" s="49">
        <v>44367</v>
      </c>
      <c r="P5821" s="50">
        <v>264.10500000000002</v>
      </c>
    </row>
    <row r="5822" spans="4:16" x14ac:dyDescent="0.2">
      <c r="D5822">
        <v>100003447</v>
      </c>
      <c r="E5822" s="49">
        <v>44747</v>
      </c>
      <c r="F5822" t="s">
        <v>4985</v>
      </c>
      <c r="G5822" t="s">
        <v>1710</v>
      </c>
      <c r="H5822">
        <v>1</v>
      </c>
      <c r="I5822">
        <v>98.02</v>
      </c>
      <c r="J5822" s="50">
        <v>98.02</v>
      </c>
      <c r="K5822" t="s">
        <v>1632</v>
      </c>
      <c r="M5822" t="s">
        <v>1621</v>
      </c>
      <c r="N5822">
        <v>51.73</v>
      </c>
      <c r="O5822" s="49">
        <v>44749</v>
      </c>
      <c r="P5822" s="50">
        <v>44.109000000000002</v>
      </c>
    </row>
    <row r="5823" spans="4:16" x14ac:dyDescent="0.2">
      <c r="D5823">
        <v>100003447</v>
      </c>
      <c r="E5823" s="49">
        <v>45494</v>
      </c>
      <c r="F5823" t="s">
        <v>4985</v>
      </c>
      <c r="G5823" t="s">
        <v>1770</v>
      </c>
      <c r="H5823">
        <v>10</v>
      </c>
      <c r="I5823">
        <v>13.04</v>
      </c>
      <c r="J5823" s="50">
        <v>130.4</v>
      </c>
      <c r="K5823" t="s">
        <v>1632</v>
      </c>
      <c r="M5823" t="s">
        <v>1627</v>
      </c>
      <c r="N5823">
        <v>6.88</v>
      </c>
      <c r="O5823" s="49">
        <v>45497</v>
      </c>
      <c r="P5823" s="50">
        <v>58.680000000000007</v>
      </c>
    </row>
    <row r="5824" spans="4:16" x14ac:dyDescent="0.2">
      <c r="D5824">
        <v>100003448</v>
      </c>
      <c r="E5824" s="49">
        <v>45119</v>
      </c>
      <c r="F5824" t="s">
        <v>3532</v>
      </c>
      <c r="G5824" t="s">
        <v>1666</v>
      </c>
      <c r="H5824">
        <v>6</v>
      </c>
      <c r="I5824">
        <v>74.989999999999995</v>
      </c>
      <c r="J5824" s="50">
        <v>449.93999999999988</v>
      </c>
      <c r="K5824" t="s">
        <v>1618</v>
      </c>
      <c r="L5824" t="s">
        <v>4986</v>
      </c>
      <c r="M5824" t="s">
        <v>1619</v>
      </c>
      <c r="N5824">
        <v>39.58</v>
      </c>
      <c r="O5824" s="49">
        <v>45122</v>
      </c>
      <c r="P5824" s="50">
        <v>202.47299999999996</v>
      </c>
    </row>
    <row r="5825" spans="4:16" x14ac:dyDescent="0.2">
      <c r="D5825">
        <v>100003448</v>
      </c>
      <c r="E5825" s="49">
        <v>45130</v>
      </c>
      <c r="F5825" t="s">
        <v>3532</v>
      </c>
      <c r="G5825" t="s">
        <v>1937</v>
      </c>
      <c r="H5825">
        <v>8</v>
      </c>
      <c r="I5825">
        <v>80.900000000000006</v>
      </c>
      <c r="J5825" s="50">
        <v>647.20000000000005</v>
      </c>
      <c r="K5825" t="s">
        <v>1618</v>
      </c>
      <c r="L5825" t="s">
        <v>4986</v>
      </c>
      <c r="M5825" t="s">
        <v>1627</v>
      </c>
      <c r="N5825">
        <v>42.7</v>
      </c>
      <c r="O5825" s="49">
        <v>45132</v>
      </c>
      <c r="P5825" s="50">
        <v>291.24</v>
      </c>
    </row>
    <row r="5826" spans="4:16" x14ac:dyDescent="0.2">
      <c r="D5826">
        <v>100003448</v>
      </c>
      <c r="E5826" s="49">
        <v>45082</v>
      </c>
      <c r="F5826" t="s">
        <v>3532</v>
      </c>
      <c r="G5826" t="s">
        <v>2150</v>
      </c>
      <c r="H5826">
        <v>5</v>
      </c>
      <c r="I5826">
        <v>20.079999999999998</v>
      </c>
      <c r="J5826" s="50">
        <v>100.4</v>
      </c>
      <c r="K5826" t="s">
        <v>1618</v>
      </c>
      <c r="L5826" t="s">
        <v>4986</v>
      </c>
      <c r="M5826" t="s">
        <v>1621</v>
      </c>
      <c r="N5826">
        <v>10.6</v>
      </c>
      <c r="O5826" s="49">
        <v>45087</v>
      </c>
      <c r="P5826" s="50">
        <v>45.180000000000007</v>
      </c>
    </row>
    <row r="5827" spans="4:16" x14ac:dyDescent="0.2">
      <c r="D5827">
        <v>100003448</v>
      </c>
      <c r="E5827" s="49">
        <v>44711</v>
      </c>
      <c r="F5827" t="s">
        <v>3532</v>
      </c>
      <c r="G5827" t="s">
        <v>1760</v>
      </c>
      <c r="H5827">
        <v>10</v>
      </c>
      <c r="I5827">
        <v>79.02</v>
      </c>
      <c r="J5827" s="50">
        <v>790.19999999999993</v>
      </c>
      <c r="K5827" t="s">
        <v>1618</v>
      </c>
      <c r="L5827" t="s">
        <v>4986</v>
      </c>
      <c r="M5827" t="s">
        <v>1627</v>
      </c>
      <c r="N5827">
        <v>41.7</v>
      </c>
      <c r="O5827" s="49">
        <v>44712</v>
      </c>
      <c r="P5827" s="50">
        <v>355.59</v>
      </c>
    </row>
    <row r="5828" spans="4:16" x14ac:dyDescent="0.2">
      <c r="D5828">
        <v>100003448</v>
      </c>
      <c r="E5828" s="49">
        <v>45633</v>
      </c>
      <c r="F5828" t="s">
        <v>3532</v>
      </c>
      <c r="G5828" t="s">
        <v>1805</v>
      </c>
      <c r="H5828">
        <v>8</v>
      </c>
      <c r="I5828">
        <v>110.76</v>
      </c>
      <c r="J5828" s="50">
        <v>886.08</v>
      </c>
      <c r="K5828" t="s">
        <v>1618</v>
      </c>
      <c r="L5828" t="s">
        <v>4986</v>
      </c>
      <c r="M5828" t="s">
        <v>1624</v>
      </c>
      <c r="N5828">
        <v>58.46</v>
      </c>
      <c r="O5828" s="49">
        <v>45635</v>
      </c>
      <c r="P5828" s="50">
        <v>398.73600000000005</v>
      </c>
    </row>
    <row r="5829" spans="4:16" x14ac:dyDescent="0.2">
      <c r="D5829">
        <v>100003449</v>
      </c>
      <c r="E5829" s="49">
        <v>45535</v>
      </c>
      <c r="F5829" t="s">
        <v>4987</v>
      </c>
      <c r="G5829" t="s">
        <v>2553</v>
      </c>
      <c r="H5829">
        <v>8</v>
      </c>
      <c r="I5829">
        <v>52.77</v>
      </c>
      <c r="J5829" s="50">
        <v>422.16</v>
      </c>
      <c r="K5829" t="s">
        <v>1632</v>
      </c>
      <c r="L5829" t="s">
        <v>4988</v>
      </c>
      <c r="M5829" t="s">
        <v>1629</v>
      </c>
      <c r="N5829">
        <v>27.85</v>
      </c>
      <c r="O5829" s="49">
        <v>45539</v>
      </c>
      <c r="P5829" s="50">
        <v>189.97200000000001</v>
      </c>
    </row>
    <row r="5830" spans="4:16" x14ac:dyDescent="0.2">
      <c r="D5830">
        <v>100003449</v>
      </c>
      <c r="E5830" s="49">
        <v>45646</v>
      </c>
      <c r="F5830" t="s">
        <v>4987</v>
      </c>
      <c r="G5830" t="s">
        <v>2745</v>
      </c>
      <c r="H5830">
        <v>2</v>
      </c>
      <c r="I5830">
        <v>83.17</v>
      </c>
      <c r="J5830" s="50">
        <v>166.34</v>
      </c>
      <c r="K5830" t="s">
        <v>1632</v>
      </c>
      <c r="L5830" t="s">
        <v>4988</v>
      </c>
      <c r="M5830" t="s">
        <v>1629</v>
      </c>
      <c r="N5830">
        <v>43.89</v>
      </c>
      <c r="O5830" s="49">
        <v>45650</v>
      </c>
      <c r="P5830" s="50">
        <v>74.853000000000009</v>
      </c>
    </row>
    <row r="5831" spans="4:16" x14ac:dyDescent="0.2">
      <c r="D5831">
        <v>100003450</v>
      </c>
      <c r="E5831" s="49">
        <v>45214</v>
      </c>
      <c r="F5831" t="s">
        <v>4989</v>
      </c>
      <c r="G5831" t="s">
        <v>2007</v>
      </c>
      <c r="H5831">
        <v>1</v>
      </c>
      <c r="I5831">
        <v>12.09</v>
      </c>
      <c r="J5831" s="50">
        <v>12.09</v>
      </c>
      <c r="K5831" t="s">
        <v>1618</v>
      </c>
      <c r="M5831" t="s">
        <v>1627</v>
      </c>
      <c r="N5831">
        <v>6.38</v>
      </c>
      <c r="O5831" s="49">
        <v>45215</v>
      </c>
      <c r="P5831" s="50">
        <v>5.4405000000000001</v>
      </c>
    </row>
    <row r="5832" spans="4:16" x14ac:dyDescent="0.2">
      <c r="D5832">
        <v>100003451</v>
      </c>
      <c r="E5832" s="49">
        <v>44736</v>
      </c>
      <c r="F5832" t="s">
        <v>4990</v>
      </c>
      <c r="G5832" t="s">
        <v>1728</v>
      </c>
      <c r="H5832">
        <v>4</v>
      </c>
      <c r="I5832">
        <v>80.959999999999994</v>
      </c>
      <c r="J5832" s="50">
        <v>323.83999999999997</v>
      </c>
      <c r="K5832" t="s">
        <v>1618</v>
      </c>
      <c r="L5832" t="s">
        <v>1911</v>
      </c>
      <c r="M5832" t="s">
        <v>1629</v>
      </c>
      <c r="N5832">
        <v>42.73</v>
      </c>
      <c r="O5832" s="49">
        <v>44740</v>
      </c>
      <c r="P5832" s="50">
        <v>145.72799999999998</v>
      </c>
    </row>
    <row r="5833" spans="4:16" x14ac:dyDescent="0.2">
      <c r="D5833">
        <v>100003451</v>
      </c>
      <c r="E5833" s="49">
        <v>44920</v>
      </c>
      <c r="F5833" t="s">
        <v>4990</v>
      </c>
      <c r="G5833" t="s">
        <v>1812</v>
      </c>
      <c r="H5833">
        <v>7</v>
      </c>
      <c r="I5833">
        <v>43.51</v>
      </c>
      <c r="J5833" s="50">
        <v>304.57</v>
      </c>
      <c r="K5833" t="s">
        <v>1618</v>
      </c>
      <c r="L5833" t="s">
        <v>1911</v>
      </c>
      <c r="M5833" t="s">
        <v>1624</v>
      </c>
      <c r="N5833">
        <v>22.96</v>
      </c>
      <c r="O5833" s="49">
        <v>44922</v>
      </c>
      <c r="P5833" s="50">
        <v>137.0565</v>
      </c>
    </row>
    <row r="5834" spans="4:16" x14ac:dyDescent="0.2">
      <c r="D5834">
        <v>100003452</v>
      </c>
      <c r="E5834" s="49">
        <v>44848</v>
      </c>
      <c r="F5834" t="s">
        <v>4991</v>
      </c>
      <c r="G5834" t="s">
        <v>2174</v>
      </c>
      <c r="H5834">
        <v>2</v>
      </c>
      <c r="I5834">
        <v>13.32</v>
      </c>
      <c r="J5834" s="50">
        <v>26.64</v>
      </c>
      <c r="K5834" t="s">
        <v>1618</v>
      </c>
      <c r="L5834" t="s">
        <v>4992</v>
      </c>
      <c r="M5834" t="s">
        <v>1627</v>
      </c>
      <c r="N5834">
        <v>7.03</v>
      </c>
      <c r="O5834" s="49">
        <v>44850</v>
      </c>
      <c r="P5834" s="50">
        <v>11.988000000000001</v>
      </c>
    </row>
    <row r="5835" spans="4:16" x14ac:dyDescent="0.2">
      <c r="D5835">
        <v>100003453</v>
      </c>
      <c r="E5835" s="49">
        <v>45376</v>
      </c>
      <c r="F5835" t="s">
        <v>4993</v>
      </c>
      <c r="G5835" t="s">
        <v>1626</v>
      </c>
      <c r="H5835">
        <v>7</v>
      </c>
      <c r="I5835">
        <v>109.53</v>
      </c>
      <c r="J5835" s="50">
        <v>766.71</v>
      </c>
      <c r="K5835" t="s">
        <v>1632</v>
      </c>
      <c r="L5835" t="s">
        <v>3956</v>
      </c>
      <c r="M5835" t="s">
        <v>1629</v>
      </c>
      <c r="N5835">
        <v>57.81</v>
      </c>
      <c r="O5835" s="49">
        <v>45379</v>
      </c>
      <c r="P5835" s="50">
        <v>345.01950000000005</v>
      </c>
    </row>
    <row r="5836" spans="4:16" x14ac:dyDescent="0.2">
      <c r="D5836">
        <v>100003453</v>
      </c>
      <c r="E5836" s="49">
        <v>45479</v>
      </c>
      <c r="F5836" t="s">
        <v>4993</v>
      </c>
      <c r="G5836" t="s">
        <v>2348</v>
      </c>
      <c r="H5836">
        <v>2</v>
      </c>
      <c r="I5836">
        <v>72.099999999999994</v>
      </c>
      <c r="J5836" s="50">
        <v>144.19999999999999</v>
      </c>
      <c r="K5836" t="s">
        <v>1632</v>
      </c>
      <c r="L5836" t="s">
        <v>3956</v>
      </c>
      <c r="M5836" t="s">
        <v>1619</v>
      </c>
      <c r="N5836">
        <v>38.049999999999997</v>
      </c>
      <c r="O5836" s="49">
        <v>45482</v>
      </c>
      <c r="P5836" s="50">
        <v>64.89</v>
      </c>
    </row>
    <row r="5837" spans="4:16" x14ac:dyDescent="0.2">
      <c r="D5837">
        <v>100003454</v>
      </c>
      <c r="E5837" s="49">
        <v>45142</v>
      </c>
      <c r="F5837" t="s">
        <v>4994</v>
      </c>
      <c r="G5837" t="s">
        <v>2004</v>
      </c>
      <c r="H5837">
        <v>1</v>
      </c>
      <c r="I5837">
        <v>54.74</v>
      </c>
      <c r="J5837" s="50">
        <v>54.74</v>
      </c>
      <c r="K5837" t="s">
        <v>1632</v>
      </c>
      <c r="M5837" t="s">
        <v>1621</v>
      </c>
      <c r="N5837">
        <v>28.89</v>
      </c>
      <c r="O5837" s="49">
        <v>45145</v>
      </c>
      <c r="P5837" s="50">
        <v>24.633000000000003</v>
      </c>
    </row>
    <row r="5838" spans="4:16" x14ac:dyDescent="0.2">
      <c r="D5838">
        <v>100003454</v>
      </c>
      <c r="E5838" s="49">
        <v>45036</v>
      </c>
      <c r="F5838" t="s">
        <v>4994</v>
      </c>
      <c r="G5838" t="s">
        <v>1677</v>
      </c>
      <c r="H5838">
        <v>5</v>
      </c>
      <c r="I5838">
        <v>23.84</v>
      </c>
      <c r="J5838" s="50">
        <v>119.2</v>
      </c>
      <c r="K5838" t="s">
        <v>1632</v>
      </c>
      <c r="M5838" t="s">
        <v>1621</v>
      </c>
      <c r="N5838">
        <v>12.58</v>
      </c>
      <c r="O5838" s="49">
        <v>45038</v>
      </c>
      <c r="P5838" s="50">
        <v>53.64</v>
      </c>
    </row>
    <row r="5839" spans="4:16" x14ac:dyDescent="0.2">
      <c r="D5839">
        <v>100003455</v>
      </c>
      <c r="E5839" s="49">
        <v>44274</v>
      </c>
      <c r="F5839" t="s">
        <v>4995</v>
      </c>
      <c r="G5839" t="s">
        <v>1667</v>
      </c>
      <c r="H5839">
        <v>3</v>
      </c>
      <c r="I5839">
        <v>119.92</v>
      </c>
      <c r="J5839" s="50">
        <v>359.76</v>
      </c>
      <c r="K5839" t="s">
        <v>1632</v>
      </c>
      <c r="M5839" t="s">
        <v>1624</v>
      </c>
      <c r="N5839">
        <v>63.29</v>
      </c>
      <c r="O5839" s="49">
        <v>44275</v>
      </c>
      <c r="P5839" s="50">
        <v>161.892</v>
      </c>
    </row>
    <row r="5840" spans="4:16" x14ac:dyDescent="0.2">
      <c r="D5840">
        <v>100003456</v>
      </c>
      <c r="E5840" s="49">
        <v>44682</v>
      </c>
      <c r="F5840" t="s">
        <v>4996</v>
      </c>
      <c r="G5840" t="s">
        <v>1664</v>
      </c>
      <c r="H5840">
        <v>8</v>
      </c>
      <c r="I5840">
        <v>36.950000000000003</v>
      </c>
      <c r="J5840" s="50">
        <v>295.60000000000002</v>
      </c>
      <c r="K5840" t="s">
        <v>1632</v>
      </c>
      <c r="M5840" t="s">
        <v>1621</v>
      </c>
      <c r="N5840">
        <v>19.5</v>
      </c>
      <c r="O5840" s="49">
        <v>44685</v>
      </c>
      <c r="P5840" s="50">
        <v>133.02000000000001</v>
      </c>
    </row>
    <row r="5841" spans="4:16" x14ac:dyDescent="0.2">
      <c r="D5841">
        <v>100003457</v>
      </c>
      <c r="E5841" s="49">
        <v>44837</v>
      </c>
      <c r="F5841" t="s">
        <v>4997</v>
      </c>
      <c r="G5841" t="s">
        <v>1620</v>
      </c>
      <c r="H5841">
        <v>5</v>
      </c>
      <c r="I5841">
        <v>116.59</v>
      </c>
      <c r="J5841" s="50">
        <v>582.95000000000005</v>
      </c>
      <c r="K5841" t="s">
        <v>1632</v>
      </c>
      <c r="M5841" t="s">
        <v>1619</v>
      </c>
      <c r="N5841">
        <v>61.53</v>
      </c>
      <c r="O5841" s="49">
        <v>44842</v>
      </c>
      <c r="P5841" s="50">
        <v>262.32750000000004</v>
      </c>
    </row>
    <row r="5842" spans="4:16" x14ac:dyDescent="0.2">
      <c r="D5842">
        <v>100003457</v>
      </c>
      <c r="E5842" s="49">
        <v>44899</v>
      </c>
      <c r="F5842" t="s">
        <v>4997</v>
      </c>
      <c r="G5842" t="s">
        <v>2074</v>
      </c>
      <c r="H5842">
        <v>9</v>
      </c>
      <c r="I5842">
        <v>89.26</v>
      </c>
      <c r="J5842" s="50">
        <v>803.34</v>
      </c>
      <c r="K5842" t="s">
        <v>1632</v>
      </c>
      <c r="M5842" t="s">
        <v>1624</v>
      </c>
      <c r="N5842">
        <v>47.11</v>
      </c>
      <c r="O5842" s="49">
        <v>44904</v>
      </c>
      <c r="P5842" s="50">
        <v>361.50300000000004</v>
      </c>
    </row>
    <row r="5843" spans="4:16" x14ac:dyDescent="0.2">
      <c r="D5843">
        <v>100003457</v>
      </c>
      <c r="E5843" s="49">
        <v>44486</v>
      </c>
      <c r="F5843" t="s">
        <v>4997</v>
      </c>
      <c r="G5843" t="s">
        <v>2698</v>
      </c>
      <c r="H5843">
        <v>1</v>
      </c>
      <c r="I5843">
        <v>86.52</v>
      </c>
      <c r="J5843" s="50">
        <v>86.52</v>
      </c>
      <c r="K5843" t="s">
        <v>1632</v>
      </c>
      <c r="M5843" t="s">
        <v>1619</v>
      </c>
      <c r="N5843">
        <v>45.66</v>
      </c>
      <c r="O5843" s="49">
        <v>44491</v>
      </c>
      <c r="P5843" s="50">
        <v>38.933999999999997</v>
      </c>
    </row>
    <row r="5844" spans="4:16" x14ac:dyDescent="0.2">
      <c r="D5844">
        <v>100003457</v>
      </c>
      <c r="E5844" s="49">
        <v>45612</v>
      </c>
      <c r="F5844" t="s">
        <v>4997</v>
      </c>
      <c r="G5844" t="s">
        <v>2230</v>
      </c>
      <c r="H5844">
        <v>4</v>
      </c>
      <c r="I5844">
        <v>13.09</v>
      </c>
      <c r="J5844" s="50">
        <v>52.36</v>
      </c>
      <c r="K5844" t="s">
        <v>1632</v>
      </c>
      <c r="M5844" t="s">
        <v>1629</v>
      </c>
      <c r="N5844">
        <v>6.91</v>
      </c>
      <c r="O5844" s="49">
        <v>45616</v>
      </c>
      <c r="P5844" s="50">
        <v>23.562000000000001</v>
      </c>
    </row>
    <row r="5845" spans="4:16" x14ac:dyDescent="0.2">
      <c r="D5845">
        <v>100003457</v>
      </c>
      <c r="E5845" s="49">
        <v>44689</v>
      </c>
      <c r="F5845" t="s">
        <v>4997</v>
      </c>
      <c r="G5845" t="s">
        <v>3135</v>
      </c>
      <c r="H5845">
        <v>5</v>
      </c>
      <c r="I5845">
        <v>91.06</v>
      </c>
      <c r="J5845" s="50">
        <v>455.3</v>
      </c>
      <c r="K5845" t="s">
        <v>1632</v>
      </c>
      <c r="M5845" t="s">
        <v>1621</v>
      </c>
      <c r="N5845">
        <v>48.06</v>
      </c>
      <c r="O5845" s="49">
        <v>44690</v>
      </c>
      <c r="P5845" s="50">
        <v>204.88500000000002</v>
      </c>
    </row>
    <row r="5846" spans="4:16" x14ac:dyDescent="0.2">
      <c r="D5846">
        <v>100003457</v>
      </c>
      <c r="E5846" s="49">
        <v>45021</v>
      </c>
      <c r="F5846" t="s">
        <v>4997</v>
      </c>
      <c r="G5846" t="s">
        <v>1990</v>
      </c>
      <c r="H5846">
        <v>3</v>
      </c>
      <c r="I5846">
        <v>33.69</v>
      </c>
      <c r="J5846" s="50">
        <v>101.07</v>
      </c>
      <c r="K5846" t="s">
        <v>1632</v>
      </c>
      <c r="M5846" t="s">
        <v>1629</v>
      </c>
      <c r="N5846">
        <v>17.78</v>
      </c>
      <c r="O5846" s="49">
        <v>45026</v>
      </c>
      <c r="P5846" s="50">
        <v>45.481499999999997</v>
      </c>
    </row>
    <row r="5847" spans="4:16" x14ac:dyDescent="0.2">
      <c r="D5847">
        <v>100003457</v>
      </c>
      <c r="E5847" s="49">
        <v>44637</v>
      </c>
      <c r="F5847" t="s">
        <v>4997</v>
      </c>
      <c r="G5847" t="s">
        <v>1975</v>
      </c>
      <c r="H5847">
        <v>10</v>
      </c>
      <c r="I5847">
        <v>81.569999999999993</v>
      </c>
      <c r="J5847" s="50">
        <v>815.69999999999993</v>
      </c>
      <c r="K5847" t="s">
        <v>1632</v>
      </c>
      <c r="M5847" t="s">
        <v>1627</v>
      </c>
      <c r="N5847">
        <v>43.05</v>
      </c>
      <c r="O5847" s="49">
        <v>44642</v>
      </c>
      <c r="P5847" s="50">
        <v>367.065</v>
      </c>
    </row>
    <row r="5848" spans="4:16" x14ac:dyDescent="0.2">
      <c r="D5848">
        <v>100003457</v>
      </c>
      <c r="E5848" s="49">
        <v>45130</v>
      </c>
      <c r="F5848" t="s">
        <v>4997</v>
      </c>
      <c r="G5848" t="s">
        <v>1762</v>
      </c>
      <c r="H5848">
        <v>2</v>
      </c>
      <c r="I5848">
        <v>118.21</v>
      </c>
      <c r="J5848" s="50">
        <v>236.42</v>
      </c>
      <c r="K5848" t="s">
        <v>1632</v>
      </c>
      <c r="M5848" t="s">
        <v>1621</v>
      </c>
      <c r="N5848">
        <v>62.39</v>
      </c>
      <c r="O5848" s="49">
        <v>45133</v>
      </c>
      <c r="P5848" s="50">
        <v>106.389</v>
      </c>
    </row>
    <row r="5849" spans="4:16" x14ac:dyDescent="0.2">
      <c r="D5849">
        <v>100003457</v>
      </c>
      <c r="E5849" s="49">
        <v>45273</v>
      </c>
      <c r="F5849" t="s">
        <v>4997</v>
      </c>
      <c r="G5849" t="s">
        <v>1697</v>
      </c>
      <c r="H5849">
        <v>7</v>
      </c>
      <c r="I5849">
        <v>86.57</v>
      </c>
      <c r="J5849" s="50">
        <v>605.99</v>
      </c>
      <c r="K5849" t="s">
        <v>1632</v>
      </c>
      <c r="M5849" t="s">
        <v>1627</v>
      </c>
      <c r="N5849">
        <v>45.69</v>
      </c>
      <c r="O5849" s="49">
        <v>45278</v>
      </c>
      <c r="P5849" s="50">
        <v>272.69550000000004</v>
      </c>
    </row>
    <row r="5850" spans="4:16" x14ac:dyDescent="0.2">
      <c r="D5850">
        <v>100003458</v>
      </c>
      <c r="E5850" s="49">
        <v>44531</v>
      </c>
      <c r="F5850" t="s">
        <v>4998</v>
      </c>
      <c r="G5850" t="s">
        <v>1693</v>
      </c>
      <c r="H5850">
        <v>6</v>
      </c>
      <c r="I5850">
        <v>58.33</v>
      </c>
      <c r="J5850" s="50">
        <v>349.98</v>
      </c>
      <c r="K5850" t="s">
        <v>1618</v>
      </c>
      <c r="L5850" t="s">
        <v>4185</v>
      </c>
      <c r="M5850" t="s">
        <v>1629</v>
      </c>
      <c r="N5850">
        <v>30.79</v>
      </c>
      <c r="O5850" s="49">
        <v>44535</v>
      </c>
      <c r="P5850" s="50">
        <v>157.49100000000001</v>
      </c>
    </row>
    <row r="5851" spans="4:16" x14ac:dyDescent="0.2">
      <c r="D5851">
        <v>100003458</v>
      </c>
      <c r="E5851" s="49">
        <v>44298</v>
      </c>
      <c r="F5851" t="s">
        <v>4998</v>
      </c>
      <c r="G5851" t="s">
        <v>1848</v>
      </c>
      <c r="H5851">
        <v>1</v>
      </c>
      <c r="I5851">
        <v>82.99</v>
      </c>
      <c r="J5851" s="50">
        <v>82.99</v>
      </c>
      <c r="K5851" t="s">
        <v>1618</v>
      </c>
      <c r="L5851" t="s">
        <v>4185</v>
      </c>
      <c r="M5851" t="s">
        <v>1619</v>
      </c>
      <c r="N5851">
        <v>43.8</v>
      </c>
      <c r="O5851" s="49">
        <v>44300</v>
      </c>
      <c r="P5851" s="50">
        <v>37.345500000000001</v>
      </c>
    </row>
    <row r="5852" spans="4:16" x14ac:dyDescent="0.2">
      <c r="D5852">
        <v>100003459</v>
      </c>
      <c r="E5852" s="49">
        <v>45355</v>
      </c>
      <c r="F5852" t="s">
        <v>4999</v>
      </c>
      <c r="G5852" t="s">
        <v>1740</v>
      </c>
      <c r="H5852">
        <v>4</v>
      </c>
      <c r="I5852">
        <v>33.049999999999997</v>
      </c>
      <c r="J5852" s="50">
        <v>132.19999999999999</v>
      </c>
      <c r="K5852" t="s">
        <v>1618</v>
      </c>
      <c r="L5852" t="s">
        <v>2830</v>
      </c>
      <c r="M5852" t="s">
        <v>1629</v>
      </c>
      <c r="N5852">
        <v>17.440000000000001</v>
      </c>
      <c r="O5852" s="49">
        <v>45358</v>
      </c>
      <c r="P5852" s="50">
        <v>59.489999999999995</v>
      </c>
    </row>
    <row r="5853" spans="4:16" x14ac:dyDescent="0.2">
      <c r="D5853">
        <v>100003460</v>
      </c>
      <c r="E5853" s="49">
        <v>44439</v>
      </c>
      <c r="F5853" t="s">
        <v>5000</v>
      </c>
      <c r="G5853" t="s">
        <v>2099</v>
      </c>
      <c r="H5853">
        <v>1</v>
      </c>
      <c r="I5853">
        <v>77.7</v>
      </c>
      <c r="J5853" s="50">
        <v>77.7</v>
      </c>
      <c r="K5853" t="s">
        <v>1632</v>
      </c>
      <c r="L5853" t="s">
        <v>4574</v>
      </c>
      <c r="M5853" t="s">
        <v>1629</v>
      </c>
      <c r="N5853">
        <v>41.01</v>
      </c>
      <c r="O5853" s="49">
        <v>44444</v>
      </c>
      <c r="P5853" s="50">
        <v>34.965000000000003</v>
      </c>
    </row>
    <row r="5854" spans="4:16" x14ac:dyDescent="0.2">
      <c r="D5854">
        <v>100003460</v>
      </c>
      <c r="E5854" s="49">
        <v>45560</v>
      </c>
      <c r="F5854" t="s">
        <v>5000</v>
      </c>
      <c r="G5854" t="s">
        <v>1853</v>
      </c>
      <c r="H5854">
        <v>1</v>
      </c>
      <c r="I5854">
        <v>59.55</v>
      </c>
      <c r="J5854" s="50">
        <v>59.55</v>
      </c>
      <c r="K5854" t="s">
        <v>1632</v>
      </c>
      <c r="L5854" t="s">
        <v>4574</v>
      </c>
      <c r="M5854" t="s">
        <v>1627</v>
      </c>
      <c r="N5854">
        <v>31.43</v>
      </c>
      <c r="O5854" s="49">
        <v>45564</v>
      </c>
      <c r="P5854" s="50">
        <v>26.797499999999999</v>
      </c>
    </row>
    <row r="5855" spans="4:16" x14ac:dyDescent="0.2">
      <c r="D5855">
        <v>100003461</v>
      </c>
      <c r="E5855" s="49">
        <v>45195</v>
      </c>
      <c r="F5855" t="s">
        <v>5001</v>
      </c>
      <c r="G5855" t="s">
        <v>1851</v>
      </c>
      <c r="H5855">
        <v>3</v>
      </c>
      <c r="I5855">
        <v>92.76</v>
      </c>
      <c r="J5855" s="50">
        <v>278.27999999999997</v>
      </c>
      <c r="K5855" t="s">
        <v>1632</v>
      </c>
      <c r="M5855" t="s">
        <v>1619</v>
      </c>
      <c r="N5855">
        <v>48.96</v>
      </c>
      <c r="O5855" s="49">
        <v>45200</v>
      </c>
      <c r="P5855" s="50">
        <v>125.22599999999998</v>
      </c>
    </row>
    <row r="5856" spans="4:16" x14ac:dyDescent="0.2">
      <c r="D5856">
        <v>100003461</v>
      </c>
      <c r="E5856" s="49">
        <v>44472</v>
      </c>
      <c r="F5856" t="s">
        <v>5001</v>
      </c>
      <c r="G5856" t="s">
        <v>1636</v>
      </c>
      <c r="H5856">
        <v>7</v>
      </c>
      <c r="I5856">
        <v>56.63</v>
      </c>
      <c r="J5856" s="50">
        <v>396.41</v>
      </c>
      <c r="K5856" t="s">
        <v>1632</v>
      </c>
      <c r="M5856" t="s">
        <v>1624</v>
      </c>
      <c r="N5856">
        <v>29.89</v>
      </c>
      <c r="O5856" s="49">
        <v>44473</v>
      </c>
      <c r="P5856" s="50">
        <v>178.3845</v>
      </c>
    </row>
    <row r="5857" spans="4:16" x14ac:dyDescent="0.2">
      <c r="D5857">
        <v>100003462</v>
      </c>
      <c r="E5857" s="49">
        <v>45198</v>
      </c>
      <c r="F5857" t="s">
        <v>5002</v>
      </c>
      <c r="G5857" t="s">
        <v>2151</v>
      </c>
      <c r="H5857">
        <v>2</v>
      </c>
      <c r="I5857">
        <v>110.7</v>
      </c>
      <c r="J5857" s="50">
        <v>221.4</v>
      </c>
      <c r="K5857" t="s">
        <v>1618</v>
      </c>
      <c r="M5857" t="s">
        <v>1619</v>
      </c>
      <c r="N5857">
        <v>58.42</v>
      </c>
      <c r="O5857" s="49">
        <v>45201</v>
      </c>
      <c r="P5857" s="50">
        <v>99.63000000000001</v>
      </c>
    </row>
    <row r="5858" spans="4:16" x14ac:dyDescent="0.2">
      <c r="D5858">
        <v>100003462</v>
      </c>
      <c r="E5858" s="49">
        <v>44907</v>
      </c>
      <c r="F5858" t="s">
        <v>5002</v>
      </c>
      <c r="G5858" t="s">
        <v>2420</v>
      </c>
      <c r="H5858">
        <v>9</v>
      </c>
      <c r="I5858">
        <v>109.43</v>
      </c>
      <c r="J5858" s="50">
        <v>984.87000000000012</v>
      </c>
      <c r="K5858" t="s">
        <v>1618</v>
      </c>
      <c r="M5858" t="s">
        <v>1619</v>
      </c>
      <c r="N5858">
        <v>57.75</v>
      </c>
      <c r="O5858" s="49">
        <v>44910</v>
      </c>
      <c r="P5858" s="50">
        <v>443.19150000000008</v>
      </c>
    </row>
    <row r="5859" spans="4:16" x14ac:dyDescent="0.2">
      <c r="D5859">
        <v>100003462</v>
      </c>
      <c r="E5859" s="49">
        <v>44302</v>
      </c>
      <c r="F5859" t="s">
        <v>5002</v>
      </c>
      <c r="G5859" t="s">
        <v>2041</v>
      </c>
      <c r="H5859">
        <v>1</v>
      </c>
      <c r="I5859">
        <v>50.56</v>
      </c>
      <c r="J5859" s="50">
        <v>50.56</v>
      </c>
      <c r="K5859" t="s">
        <v>1618</v>
      </c>
      <c r="M5859" t="s">
        <v>1629</v>
      </c>
      <c r="N5859">
        <v>26.68</v>
      </c>
      <c r="O5859" s="49">
        <v>44306</v>
      </c>
      <c r="P5859" s="50">
        <v>22.752000000000002</v>
      </c>
    </row>
    <row r="5860" spans="4:16" x14ac:dyDescent="0.2">
      <c r="D5860">
        <v>100003462</v>
      </c>
      <c r="E5860" s="49">
        <v>45466</v>
      </c>
      <c r="F5860" t="s">
        <v>5002</v>
      </c>
      <c r="G5860" t="s">
        <v>1880</v>
      </c>
      <c r="H5860">
        <v>7</v>
      </c>
      <c r="I5860">
        <v>103.29</v>
      </c>
      <c r="J5860" s="50">
        <v>723.03000000000009</v>
      </c>
      <c r="K5860" t="s">
        <v>1618</v>
      </c>
      <c r="M5860" t="s">
        <v>1629</v>
      </c>
      <c r="N5860">
        <v>54.51</v>
      </c>
      <c r="O5860" s="49">
        <v>45468</v>
      </c>
      <c r="P5860" s="50">
        <v>325.36350000000004</v>
      </c>
    </row>
    <row r="5861" spans="4:16" x14ac:dyDescent="0.2">
      <c r="D5861">
        <v>100003462</v>
      </c>
      <c r="E5861" s="49">
        <v>45194</v>
      </c>
      <c r="F5861" t="s">
        <v>5002</v>
      </c>
      <c r="G5861" t="s">
        <v>1921</v>
      </c>
      <c r="H5861">
        <v>1</v>
      </c>
      <c r="I5861">
        <v>65.14</v>
      </c>
      <c r="J5861" s="50">
        <v>65.14</v>
      </c>
      <c r="K5861" t="s">
        <v>1618</v>
      </c>
      <c r="M5861" t="s">
        <v>1624</v>
      </c>
      <c r="N5861">
        <v>34.380000000000003</v>
      </c>
      <c r="O5861" s="49">
        <v>45195</v>
      </c>
      <c r="P5861" s="50">
        <v>29.313000000000002</v>
      </c>
    </row>
    <row r="5862" spans="4:16" x14ac:dyDescent="0.2">
      <c r="D5862">
        <v>100003463</v>
      </c>
      <c r="E5862" s="49">
        <v>45392</v>
      </c>
      <c r="F5862" t="s">
        <v>5003</v>
      </c>
      <c r="G5862" t="s">
        <v>1652</v>
      </c>
      <c r="H5862">
        <v>4</v>
      </c>
      <c r="I5862">
        <v>107.22</v>
      </c>
      <c r="J5862" s="50">
        <v>428.88</v>
      </c>
      <c r="K5862" t="s">
        <v>1632</v>
      </c>
      <c r="L5862" t="s">
        <v>5004</v>
      </c>
      <c r="M5862" t="s">
        <v>1629</v>
      </c>
      <c r="N5862">
        <v>56.59</v>
      </c>
      <c r="O5862" s="49">
        <v>45397</v>
      </c>
      <c r="P5862" s="50">
        <v>192.99600000000001</v>
      </c>
    </row>
    <row r="5863" spans="4:16" x14ac:dyDescent="0.2">
      <c r="D5863">
        <v>100003465</v>
      </c>
      <c r="E5863" s="49">
        <v>44470</v>
      </c>
      <c r="F5863" t="s">
        <v>5005</v>
      </c>
      <c r="G5863" t="s">
        <v>1767</v>
      </c>
      <c r="H5863">
        <v>4</v>
      </c>
      <c r="I5863">
        <v>117.14</v>
      </c>
      <c r="J5863" s="50">
        <v>468.56</v>
      </c>
      <c r="K5863" t="s">
        <v>1618</v>
      </c>
      <c r="L5863" t="s">
        <v>2518</v>
      </c>
      <c r="M5863" t="s">
        <v>1621</v>
      </c>
      <c r="N5863">
        <v>61.82</v>
      </c>
      <c r="O5863" s="49">
        <v>44475</v>
      </c>
      <c r="P5863" s="50">
        <v>210.852</v>
      </c>
    </row>
    <row r="5864" spans="4:16" x14ac:dyDescent="0.2">
      <c r="D5864">
        <v>100003465</v>
      </c>
      <c r="E5864" s="49">
        <v>45633</v>
      </c>
      <c r="F5864" t="s">
        <v>5005</v>
      </c>
      <c r="G5864" t="s">
        <v>1639</v>
      </c>
      <c r="H5864">
        <v>6</v>
      </c>
      <c r="I5864">
        <v>46.84</v>
      </c>
      <c r="J5864" s="50">
        <v>281.04000000000002</v>
      </c>
      <c r="K5864" t="s">
        <v>1618</v>
      </c>
      <c r="L5864" t="s">
        <v>2518</v>
      </c>
      <c r="M5864" t="s">
        <v>1621</v>
      </c>
      <c r="N5864">
        <v>24.72</v>
      </c>
      <c r="O5864" s="49">
        <v>45635</v>
      </c>
      <c r="P5864" s="50">
        <v>126.46800000000002</v>
      </c>
    </row>
    <row r="5865" spans="4:16" x14ac:dyDescent="0.2">
      <c r="D5865">
        <v>100003465</v>
      </c>
      <c r="E5865" s="49">
        <v>45120</v>
      </c>
      <c r="F5865" t="s">
        <v>5005</v>
      </c>
      <c r="G5865" t="s">
        <v>2068</v>
      </c>
      <c r="H5865">
        <v>5</v>
      </c>
      <c r="I5865">
        <v>37.79</v>
      </c>
      <c r="J5865" s="50">
        <v>188.95</v>
      </c>
      <c r="K5865" t="s">
        <v>1618</v>
      </c>
      <c r="L5865" t="s">
        <v>2518</v>
      </c>
      <c r="M5865" t="s">
        <v>1624</v>
      </c>
      <c r="N5865">
        <v>19.940000000000001</v>
      </c>
      <c r="O5865" s="49">
        <v>45123</v>
      </c>
      <c r="P5865" s="50">
        <v>85.027500000000003</v>
      </c>
    </row>
    <row r="5866" spans="4:16" x14ac:dyDescent="0.2">
      <c r="D5866">
        <v>100003468</v>
      </c>
      <c r="E5866" s="49">
        <v>45636</v>
      </c>
      <c r="F5866" t="s">
        <v>5006</v>
      </c>
      <c r="G5866" t="s">
        <v>2028</v>
      </c>
      <c r="H5866">
        <v>10</v>
      </c>
      <c r="I5866">
        <v>102.41</v>
      </c>
      <c r="J5866" s="50">
        <v>1024.0999999999999</v>
      </c>
      <c r="K5866" t="s">
        <v>1618</v>
      </c>
      <c r="M5866" t="s">
        <v>1627</v>
      </c>
      <c r="N5866">
        <v>54.05</v>
      </c>
      <c r="O5866" s="49">
        <v>45638</v>
      </c>
      <c r="P5866" s="50">
        <v>460.84499999999997</v>
      </c>
    </row>
    <row r="5867" spans="4:16" x14ac:dyDescent="0.2">
      <c r="D5867">
        <v>100003468</v>
      </c>
      <c r="E5867" s="49">
        <v>44636</v>
      </c>
      <c r="F5867" t="s">
        <v>5006</v>
      </c>
      <c r="G5867" t="s">
        <v>1731</v>
      </c>
      <c r="H5867">
        <v>4</v>
      </c>
      <c r="I5867">
        <v>39.479999999999997</v>
      </c>
      <c r="J5867" s="50">
        <v>157.91999999999999</v>
      </c>
      <c r="K5867" t="s">
        <v>1618</v>
      </c>
      <c r="M5867" t="s">
        <v>1627</v>
      </c>
      <c r="N5867">
        <v>20.84</v>
      </c>
      <c r="O5867" s="49">
        <v>44639</v>
      </c>
      <c r="P5867" s="50">
        <v>71.063999999999993</v>
      </c>
    </row>
    <row r="5868" spans="4:16" x14ac:dyDescent="0.2">
      <c r="D5868">
        <v>100003468</v>
      </c>
      <c r="E5868" s="49">
        <v>44473</v>
      </c>
      <c r="F5868" t="s">
        <v>5006</v>
      </c>
      <c r="G5868" t="s">
        <v>2063</v>
      </c>
      <c r="H5868">
        <v>4</v>
      </c>
      <c r="I5868">
        <v>62.72</v>
      </c>
      <c r="J5868" s="50">
        <v>250.88</v>
      </c>
      <c r="K5868" t="s">
        <v>1618</v>
      </c>
      <c r="M5868" t="s">
        <v>1627</v>
      </c>
      <c r="N5868">
        <v>33.1</v>
      </c>
      <c r="O5868" s="49">
        <v>44475</v>
      </c>
      <c r="P5868" s="50">
        <v>112.896</v>
      </c>
    </row>
    <row r="5869" spans="4:16" x14ac:dyDescent="0.2">
      <c r="D5869">
        <v>100003468</v>
      </c>
      <c r="E5869" s="49">
        <v>45341</v>
      </c>
      <c r="F5869" t="s">
        <v>5006</v>
      </c>
      <c r="G5869" t="s">
        <v>2745</v>
      </c>
      <c r="H5869">
        <v>4</v>
      </c>
      <c r="I5869">
        <v>41.67</v>
      </c>
      <c r="J5869" s="50">
        <v>166.68</v>
      </c>
      <c r="K5869" t="s">
        <v>1618</v>
      </c>
      <c r="M5869" t="s">
        <v>1627</v>
      </c>
      <c r="N5869">
        <v>21.99</v>
      </c>
      <c r="O5869" s="49">
        <v>45344</v>
      </c>
      <c r="P5869" s="50">
        <v>75.006</v>
      </c>
    </row>
    <row r="5870" spans="4:16" x14ac:dyDescent="0.2">
      <c r="D5870">
        <v>100003469</v>
      </c>
      <c r="E5870" s="49">
        <v>44420</v>
      </c>
      <c r="F5870" t="s">
        <v>5007</v>
      </c>
      <c r="G5870" t="s">
        <v>2658</v>
      </c>
      <c r="H5870">
        <v>7</v>
      </c>
      <c r="I5870">
        <v>48.35</v>
      </c>
      <c r="J5870" s="50">
        <v>338.45</v>
      </c>
      <c r="K5870" t="s">
        <v>1632</v>
      </c>
      <c r="M5870" t="s">
        <v>1627</v>
      </c>
      <c r="N5870">
        <v>25.52</v>
      </c>
      <c r="O5870" s="49">
        <v>44421</v>
      </c>
      <c r="P5870" s="50">
        <v>152.30250000000001</v>
      </c>
    </row>
    <row r="5871" spans="4:16" x14ac:dyDescent="0.2">
      <c r="D5871">
        <v>100003470</v>
      </c>
      <c r="E5871" s="49">
        <v>44910</v>
      </c>
      <c r="F5871" t="s">
        <v>5008</v>
      </c>
      <c r="G5871" t="s">
        <v>2025</v>
      </c>
      <c r="H5871">
        <v>8</v>
      </c>
      <c r="I5871">
        <v>107.27</v>
      </c>
      <c r="J5871" s="50">
        <v>858.16</v>
      </c>
      <c r="K5871" t="s">
        <v>1618</v>
      </c>
      <c r="M5871" t="s">
        <v>1627</v>
      </c>
      <c r="N5871">
        <v>56.61</v>
      </c>
      <c r="O5871" s="49">
        <v>44914</v>
      </c>
      <c r="P5871" s="50">
        <v>386.17199999999997</v>
      </c>
    </row>
    <row r="5872" spans="4:16" x14ac:dyDescent="0.2">
      <c r="D5872">
        <v>100003470</v>
      </c>
      <c r="E5872" s="49">
        <v>44583</v>
      </c>
      <c r="F5872" t="s">
        <v>5008</v>
      </c>
      <c r="G5872" t="s">
        <v>1985</v>
      </c>
      <c r="H5872">
        <v>2</v>
      </c>
      <c r="I5872">
        <v>117.15</v>
      </c>
      <c r="J5872" s="50">
        <v>234.3</v>
      </c>
      <c r="K5872" t="s">
        <v>1618</v>
      </c>
      <c r="M5872" t="s">
        <v>1627</v>
      </c>
      <c r="N5872">
        <v>61.83</v>
      </c>
      <c r="O5872" s="49">
        <v>44587</v>
      </c>
      <c r="P5872" s="50">
        <v>105.435</v>
      </c>
    </row>
    <row r="5873" spans="4:16" x14ac:dyDescent="0.2">
      <c r="D5873">
        <v>100003470</v>
      </c>
      <c r="E5873" s="49">
        <v>44723</v>
      </c>
      <c r="F5873" t="s">
        <v>5008</v>
      </c>
      <c r="G5873" t="s">
        <v>2076</v>
      </c>
      <c r="H5873">
        <v>3</v>
      </c>
      <c r="I5873">
        <v>46.78</v>
      </c>
      <c r="J5873" s="50">
        <v>140.34</v>
      </c>
      <c r="K5873" t="s">
        <v>1618</v>
      </c>
      <c r="M5873" t="s">
        <v>1621</v>
      </c>
      <c r="N5873">
        <v>24.69</v>
      </c>
      <c r="O5873" s="49">
        <v>44724</v>
      </c>
      <c r="P5873" s="50">
        <v>63.153000000000006</v>
      </c>
    </row>
    <row r="5874" spans="4:16" x14ac:dyDescent="0.2">
      <c r="D5874">
        <v>100003473</v>
      </c>
      <c r="E5874" s="49">
        <v>44477</v>
      </c>
      <c r="F5874" t="s">
        <v>5009</v>
      </c>
      <c r="G5874" t="s">
        <v>1643</v>
      </c>
      <c r="H5874">
        <v>3</v>
      </c>
      <c r="I5874">
        <v>76.88</v>
      </c>
      <c r="J5874" s="50">
        <v>230.64</v>
      </c>
      <c r="K5874" t="s">
        <v>1632</v>
      </c>
      <c r="M5874" t="s">
        <v>1627</v>
      </c>
      <c r="N5874">
        <v>40.58</v>
      </c>
      <c r="O5874" s="49">
        <v>44482</v>
      </c>
      <c r="P5874" s="50">
        <v>103.788</v>
      </c>
    </row>
    <row r="5875" spans="4:16" x14ac:dyDescent="0.2">
      <c r="D5875">
        <v>100003473</v>
      </c>
      <c r="E5875" s="49">
        <v>45272</v>
      </c>
      <c r="F5875" t="s">
        <v>5009</v>
      </c>
      <c r="G5875" t="s">
        <v>2346</v>
      </c>
      <c r="H5875">
        <v>2</v>
      </c>
      <c r="I5875">
        <v>17.14</v>
      </c>
      <c r="J5875" s="50">
        <v>34.28</v>
      </c>
      <c r="K5875" t="s">
        <v>1632</v>
      </c>
      <c r="M5875" t="s">
        <v>1627</v>
      </c>
      <c r="N5875">
        <v>9.0500000000000007</v>
      </c>
      <c r="O5875" s="49">
        <v>45277</v>
      </c>
      <c r="P5875" s="50">
        <v>15.426</v>
      </c>
    </row>
    <row r="5876" spans="4:16" x14ac:dyDescent="0.2">
      <c r="D5876">
        <v>100003473</v>
      </c>
      <c r="E5876" s="49">
        <v>44707</v>
      </c>
      <c r="F5876" t="s">
        <v>5009</v>
      </c>
      <c r="G5876" t="s">
        <v>2210</v>
      </c>
      <c r="H5876">
        <v>5</v>
      </c>
      <c r="I5876">
        <v>16.54</v>
      </c>
      <c r="J5876" s="50">
        <v>82.699999999999989</v>
      </c>
      <c r="K5876" t="s">
        <v>1632</v>
      </c>
      <c r="M5876" t="s">
        <v>1624</v>
      </c>
      <c r="N5876">
        <v>8.73</v>
      </c>
      <c r="O5876" s="49">
        <v>44708</v>
      </c>
      <c r="P5876" s="50">
        <v>37.214999999999996</v>
      </c>
    </row>
    <row r="5877" spans="4:16" x14ac:dyDescent="0.2">
      <c r="D5877">
        <v>100003474</v>
      </c>
      <c r="E5877" s="49">
        <v>44608</v>
      </c>
      <c r="F5877" t="s">
        <v>5010</v>
      </c>
      <c r="G5877" t="s">
        <v>1661</v>
      </c>
      <c r="H5877">
        <v>4</v>
      </c>
      <c r="I5877">
        <v>70.31</v>
      </c>
      <c r="J5877" s="50">
        <v>281.24</v>
      </c>
      <c r="K5877" t="s">
        <v>1632</v>
      </c>
      <c r="M5877" t="s">
        <v>1621</v>
      </c>
      <c r="N5877">
        <v>37.11</v>
      </c>
      <c r="O5877" s="49">
        <v>44613</v>
      </c>
      <c r="P5877" s="50">
        <v>126.55800000000001</v>
      </c>
    </row>
    <row r="5878" spans="4:16" x14ac:dyDescent="0.2">
      <c r="D5878">
        <v>100003474</v>
      </c>
      <c r="E5878" s="49">
        <v>44904</v>
      </c>
      <c r="F5878" t="s">
        <v>5010</v>
      </c>
      <c r="G5878" t="s">
        <v>1690</v>
      </c>
      <c r="H5878">
        <v>3</v>
      </c>
      <c r="I5878">
        <v>37.590000000000003</v>
      </c>
      <c r="J5878" s="50">
        <v>112.77</v>
      </c>
      <c r="K5878" t="s">
        <v>1632</v>
      </c>
      <c r="M5878" t="s">
        <v>1627</v>
      </c>
      <c r="N5878">
        <v>19.84</v>
      </c>
      <c r="O5878" s="49">
        <v>44908</v>
      </c>
      <c r="P5878" s="50">
        <v>50.746499999999997</v>
      </c>
    </row>
    <row r="5879" spans="4:16" x14ac:dyDescent="0.2">
      <c r="D5879">
        <v>100003475</v>
      </c>
      <c r="E5879" s="49">
        <v>45018</v>
      </c>
      <c r="F5879" t="s">
        <v>5011</v>
      </c>
      <c r="G5879" t="s">
        <v>1704</v>
      </c>
      <c r="H5879">
        <v>3</v>
      </c>
      <c r="I5879">
        <v>62.91</v>
      </c>
      <c r="J5879" s="50">
        <v>188.73</v>
      </c>
      <c r="K5879" t="s">
        <v>1618</v>
      </c>
      <c r="M5879" t="s">
        <v>1621</v>
      </c>
      <c r="N5879">
        <v>33.200000000000003</v>
      </c>
      <c r="O5879" s="49">
        <v>45021</v>
      </c>
      <c r="P5879" s="50">
        <v>84.9285</v>
      </c>
    </row>
    <row r="5880" spans="4:16" x14ac:dyDescent="0.2">
      <c r="D5880">
        <v>100003477</v>
      </c>
      <c r="E5880" s="49">
        <v>45607</v>
      </c>
      <c r="F5880" t="s">
        <v>5012</v>
      </c>
      <c r="G5880" t="s">
        <v>1944</v>
      </c>
      <c r="H5880">
        <v>3</v>
      </c>
      <c r="I5880">
        <v>25.13</v>
      </c>
      <c r="J5880" s="50">
        <v>75.39</v>
      </c>
      <c r="K5880" t="s">
        <v>1632</v>
      </c>
      <c r="L5880" t="s">
        <v>5013</v>
      </c>
      <c r="M5880" t="s">
        <v>1621</v>
      </c>
      <c r="N5880">
        <v>13.26</v>
      </c>
      <c r="O5880" s="49">
        <v>45611</v>
      </c>
      <c r="P5880" s="50">
        <v>33.9255</v>
      </c>
    </row>
    <row r="5881" spans="4:16" x14ac:dyDescent="0.2">
      <c r="D5881">
        <v>100003478</v>
      </c>
      <c r="E5881" s="49">
        <v>44846</v>
      </c>
      <c r="F5881" t="s">
        <v>5014</v>
      </c>
      <c r="G5881" t="s">
        <v>1781</v>
      </c>
      <c r="H5881">
        <v>5</v>
      </c>
      <c r="I5881">
        <v>45.96</v>
      </c>
      <c r="J5881" s="50">
        <v>229.8</v>
      </c>
      <c r="K5881" t="s">
        <v>1618</v>
      </c>
      <c r="M5881" t="s">
        <v>1621</v>
      </c>
      <c r="N5881">
        <v>24.26</v>
      </c>
      <c r="O5881" s="49">
        <v>44850</v>
      </c>
      <c r="P5881" s="50">
        <v>103.41000000000001</v>
      </c>
    </row>
    <row r="5882" spans="4:16" x14ac:dyDescent="0.2">
      <c r="D5882">
        <v>100003478</v>
      </c>
      <c r="E5882" s="49">
        <v>44954</v>
      </c>
      <c r="F5882" t="s">
        <v>5014</v>
      </c>
      <c r="G5882" t="s">
        <v>1754</v>
      </c>
      <c r="H5882">
        <v>9</v>
      </c>
      <c r="I5882">
        <v>70.98</v>
      </c>
      <c r="J5882" s="50">
        <v>638.82000000000005</v>
      </c>
      <c r="K5882" t="s">
        <v>1618</v>
      </c>
      <c r="M5882" t="s">
        <v>1621</v>
      </c>
      <c r="N5882">
        <v>37.46</v>
      </c>
      <c r="O5882" s="49">
        <v>44957</v>
      </c>
      <c r="P5882" s="50">
        <v>287.46900000000005</v>
      </c>
    </row>
    <row r="5883" spans="4:16" x14ac:dyDescent="0.2">
      <c r="D5883">
        <v>100003478</v>
      </c>
      <c r="E5883" s="49">
        <v>44272</v>
      </c>
      <c r="F5883" t="s">
        <v>5014</v>
      </c>
      <c r="G5883" t="s">
        <v>1963</v>
      </c>
      <c r="H5883">
        <v>9</v>
      </c>
      <c r="I5883">
        <v>42.19</v>
      </c>
      <c r="J5883" s="50">
        <v>379.71</v>
      </c>
      <c r="K5883" t="s">
        <v>1618</v>
      </c>
      <c r="M5883" t="s">
        <v>1629</v>
      </c>
      <c r="N5883">
        <v>22.27</v>
      </c>
      <c r="O5883" s="49">
        <v>44274</v>
      </c>
      <c r="P5883" s="50">
        <v>170.86949999999999</v>
      </c>
    </row>
    <row r="5884" spans="4:16" x14ac:dyDescent="0.2">
      <c r="D5884">
        <v>100003478</v>
      </c>
      <c r="E5884" s="49">
        <v>45319</v>
      </c>
      <c r="F5884" t="s">
        <v>5014</v>
      </c>
      <c r="G5884" t="s">
        <v>2378</v>
      </c>
      <c r="H5884">
        <v>6</v>
      </c>
      <c r="I5884">
        <v>19.2</v>
      </c>
      <c r="J5884" s="50">
        <v>115.2</v>
      </c>
      <c r="K5884" t="s">
        <v>1618</v>
      </c>
      <c r="M5884" t="s">
        <v>1624</v>
      </c>
      <c r="N5884">
        <v>10.130000000000001</v>
      </c>
      <c r="O5884" s="49">
        <v>45321</v>
      </c>
      <c r="P5884" s="50">
        <v>51.84</v>
      </c>
    </row>
    <row r="5885" spans="4:16" x14ac:dyDescent="0.2">
      <c r="D5885">
        <v>100003479</v>
      </c>
      <c r="E5885" s="49">
        <v>45589</v>
      </c>
      <c r="F5885" t="s">
        <v>5015</v>
      </c>
      <c r="G5885" t="s">
        <v>2060</v>
      </c>
      <c r="H5885">
        <v>8</v>
      </c>
      <c r="I5885">
        <v>17.989999999999998</v>
      </c>
      <c r="J5885" s="50">
        <v>143.91999999999999</v>
      </c>
      <c r="K5885" t="s">
        <v>1632</v>
      </c>
      <c r="M5885" t="s">
        <v>1629</v>
      </c>
      <c r="N5885">
        <v>9.49</v>
      </c>
      <c r="O5885" s="49">
        <v>45593</v>
      </c>
      <c r="P5885" s="50">
        <v>64.763999999999996</v>
      </c>
    </row>
    <row r="5886" spans="4:16" x14ac:dyDescent="0.2">
      <c r="D5886">
        <v>100003479</v>
      </c>
      <c r="E5886" s="49">
        <v>44292</v>
      </c>
      <c r="F5886" t="s">
        <v>5015</v>
      </c>
      <c r="G5886" t="s">
        <v>1762</v>
      </c>
      <c r="H5886">
        <v>7</v>
      </c>
      <c r="I5886">
        <v>15.98</v>
      </c>
      <c r="J5886" s="50">
        <v>111.86</v>
      </c>
      <c r="K5886" t="s">
        <v>1632</v>
      </c>
      <c r="M5886" t="s">
        <v>1627</v>
      </c>
      <c r="N5886">
        <v>8.43</v>
      </c>
      <c r="O5886" s="49">
        <v>44294</v>
      </c>
      <c r="P5886" s="50">
        <v>50.337000000000003</v>
      </c>
    </row>
    <row r="5887" spans="4:16" x14ac:dyDescent="0.2">
      <c r="D5887">
        <v>100003479</v>
      </c>
      <c r="E5887" s="49">
        <v>45367</v>
      </c>
      <c r="F5887" t="s">
        <v>5015</v>
      </c>
      <c r="G5887" t="s">
        <v>2387</v>
      </c>
      <c r="H5887">
        <v>7</v>
      </c>
      <c r="I5887">
        <v>119.15</v>
      </c>
      <c r="J5887" s="50">
        <v>834.05000000000007</v>
      </c>
      <c r="K5887" t="s">
        <v>1632</v>
      </c>
      <c r="M5887" t="s">
        <v>1621</v>
      </c>
      <c r="N5887">
        <v>62.88</v>
      </c>
      <c r="O5887" s="49">
        <v>45371</v>
      </c>
      <c r="P5887" s="50">
        <v>375.32250000000005</v>
      </c>
    </row>
    <row r="5888" spans="4:16" x14ac:dyDescent="0.2">
      <c r="D5888">
        <v>100003480</v>
      </c>
      <c r="E5888" s="49">
        <v>44477</v>
      </c>
      <c r="F5888" t="s">
        <v>4890</v>
      </c>
      <c r="G5888" t="s">
        <v>1620</v>
      </c>
      <c r="H5888">
        <v>3</v>
      </c>
      <c r="I5888">
        <v>98.7</v>
      </c>
      <c r="J5888" s="50">
        <v>296.10000000000002</v>
      </c>
      <c r="K5888" t="s">
        <v>1632</v>
      </c>
      <c r="M5888" t="s">
        <v>1619</v>
      </c>
      <c r="N5888">
        <v>52.09</v>
      </c>
      <c r="O5888" s="49">
        <v>44478</v>
      </c>
      <c r="P5888" s="50">
        <v>133.245</v>
      </c>
    </row>
    <row r="5889" spans="4:16" x14ac:dyDescent="0.2">
      <c r="D5889">
        <v>100003481</v>
      </c>
      <c r="E5889" s="49">
        <v>45562</v>
      </c>
      <c r="F5889" t="s">
        <v>5016</v>
      </c>
      <c r="G5889" t="s">
        <v>1653</v>
      </c>
      <c r="H5889">
        <v>8</v>
      </c>
      <c r="I5889">
        <v>26.85</v>
      </c>
      <c r="J5889" s="50">
        <v>214.8</v>
      </c>
      <c r="K5889" t="s">
        <v>1632</v>
      </c>
      <c r="M5889" t="s">
        <v>1621</v>
      </c>
      <c r="N5889">
        <v>14.17</v>
      </c>
      <c r="O5889" s="49">
        <v>45566</v>
      </c>
      <c r="P5889" s="50">
        <v>96.660000000000011</v>
      </c>
    </row>
    <row r="5890" spans="4:16" x14ac:dyDescent="0.2">
      <c r="D5890">
        <v>100003482</v>
      </c>
      <c r="E5890" s="49">
        <v>45411</v>
      </c>
      <c r="F5890" t="s">
        <v>5017</v>
      </c>
      <c r="G5890" t="s">
        <v>1817</v>
      </c>
      <c r="H5890">
        <v>10</v>
      </c>
      <c r="I5890">
        <v>65.25</v>
      </c>
      <c r="J5890" s="50">
        <v>652.5</v>
      </c>
      <c r="K5890" t="s">
        <v>1632</v>
      </c>
      <c r="M5890" t="s">
        <v>1629</v>
      </c>
      <c r="N5890">
        <v>34.44</v>
      </c>
      <c r="O5890" s="49">
        <v>45412</v>
      </c>
      <c r="P5890" s="50">
        <v>293.625</v>
      </c>
    </row>
    <row r="5891" spans="4:16" x14ac:dyDescent="0.2">
      <c r="D5891">
        <v>100003485</v>
      </c>
      <c r="E5891" s="49">
        <v>44694</v>
      </c>
      <c r="F5891" t="s">
        <v>2040</v>
      </c>
      <c r="G5891" t="s">
        <v>1651</v>
      </c>
      <c r="H5891">
        <v>5</v>
      </c>
      <c r="I5891">
        <v>73.28</v>
      </c>
      <c r="J5891" s="50">
        <v>366.4</v>
      </c>
      <c r="K5891" t="s">
        <v>1618</v>
      </c>
      <c r="L5891" t="s">
        <v>5018</v>
      </c>
      <c r="M5891" t="s">
        <v>1627</v>
      </c>
      <c r="N5891">
        <v>38.68</v>
      </c>
      <c r="O5891" s="49">
        <v>44697</v>
      </c>
      <c r="P5891" s="50">
        <v>164.88</v>
      </c>
    </row>
    <row r="5892" spans="4:16" x14ac:dyDescent="0.2">
      <c r="D5892">
        <v>100003485</v>
      </c>
      <c r="E5892" s="49">
        <v>44302</v>
      </c>
      <c r="F5892" t="s">
        <v>2040</v>
      </c>
      <c r="G5892" t="s">
        <v>1789</v>
      </c>
      <c r="H5892">
        <v>4</v>
      </c>
      <c r="I5892">
        <v>96.16</v>
      </c>
      <c r="J5892" s="50">
        <v>384.64</v>
      </c>
      <c r="K5892" t="s">
        <v>1618</v>
      </c>
      <c r="L5892" t="s">
        <v>5018</v>
      </c>
      <c r="M5892" t="s">
        <v>1621</v>
      </c>
      <c r="N5892">
        <v>50.75</v>
      </c>
      <c r="O5892" s="49">
        <v>44305</v>
      </c>
      <c r="P5892" s="50">
        <v>173.08799999999999</v>
      </c>
    </row>
    <row r="5893" spans="4:16" x14ac:dyDescent="0.2">
      <c r="D5893">
        <v>100003485</v>
      </c>
      <c r="E5893" s="49">
        <v>44709</v>
      </c>
      <c r="F5893" t="s">
        <v>2040</v>
      </c>
      <c r="G5893" t="s">
        <v>1828</v>
      </c>
      <c r="H5893">
        <v>8</v>
      </c>
      <c r="I5893">
        <v>18.559999999999999</v>
      </c>
      <c r="J5893" s="50">
        <v>148.47999999999999</v>
      </c>
      <c r="K5893" t="s">
        <v>1618</v>
      </c>
      <c r="L5893" t="s">
        <v>5018</v>
      </c>
      <c r="M5893" t="s">
        <v>1619</v>
      </c>
      <c r="N5893">
        <v>9.8000000000000007</v>
      </c>
      <c r="O5893" s="49">
        <v>44712</v>
      </c>
      <c r="P5893" s="50">
        <v>66.816000000000003</v>
      </c>
    </row>
    <row r="5894" spans="4:16" x14ac:dyDescent="0.2">
      <c r="D5894">
        <v>100003485</v>
      </c>
      <c r="E5894" s="49">
        <v>45062</v>
      </c>
      <c r="F5894" t="s">
        <v>2040</v>
      </c>
      <c r="G5894" t="s">
        <v>2130</v>
      </c>
      <c r="H5894">
        <v>2</v>
      </c>
      <c r="I5894">
        <v>77.92</v>
      </c>
      <c r="J5894" s="50">
        <v>155.84</v>
      </c>
      <c r="K5894" t="s">
        <v>1618</v>
      </c>
      <c r="L5894" t="s">
        <v>5018</v>
      </c>
      <c r="M5894" t="s">
        <v>1629</v>
      </c>
      <c r="N5894">
        <v>41.12</v>
      </c>
      <c r="O5894" s="49">
        <v>45066</v>
      </c>
      <c r="P5894" s="50">
        <v>70.128</v>
      </c>
    </row>
    <row r="5895" spans="4:16" x14ac:dyDescent="0.2">
      <c r="D5895">
        <v>100003485</v>
      </c>
      <c r="E5895" s="49">
        <v>44995</v>
      </c>
      <c r="F5895" t="s">
        <v>2040</v>
      </c>
      <c r="G5895" t="s">
        <v>1707</v>
      </c>
      <c r="H5895">
        <v>3</v>
      </c>
      <c r="I5895">
        <v>18.21</v>
      </c>
      <c r="J5895" s="50">
        <v>54.63</v>
      </c>
      <c r="K5895" t="s">
        <v>1618</v>
      </c>
      <c r="L5895" t="s">
        <v>5018</v>
      </c>
      <c r="M5895" t="s">
        <v>1627</v>
      </c>
      <c r="N5895">
        <v>9.61</v>
      </c>
      <c r="O5895" s="49">
        <v>44998</v>
      </c>
      <c r="P5895" s="50">
        <v>24.583500000000001</v>
      </c>
    </row>
    <row r="5896" spans="4:16" x14ac:dyDescent="0.2">
      <c r="D5896">
        <v>100003486</v>
      </c>
      <c r="E5896" s="49">
        <v>45521</v>
      </c>
      <c r="F5896" t="s">
        <v>5019</v>
      </c>
      <c r="G5896" t="s">
        <v>2202</v>
      </c>
      <c r="H5896">
        <v>3</v>
      </c>
      <c r="I5896">
        <v>72.37</v>
      </c>
      <c r="J5896" s="50">
        <v>217.11</v>
      </c>
      <c r="K5896" t="s">
        <v>1632</v>
      </c>
      <c r="L5896" t="s">
        <v>4859</v>
      </c>
      <c r="M5896" t="s">
        <v>1619</v>
      </c>
      <c r="N5896">
        <v>38.200000000000003</v>
      </c>
      <c r="O5896" s="49">
        <v>45524</v>
      </c>
      <c r="P5896" s="50">
        <v>97.699500000000015</v>
      </c>
    </row>
    <row r="5897" spans="4:16" x14ac:dyDescent="0.2">
      <c r="D5897">
        <v>100003486</v>
      </c>
      <c r="E5897" s="49">
        <v>45324</v>
      </c>
      <c r="F5897" t="s">
        <v>5019</v>
      </c>
      <c r="G5897" t="s">
        <v>1681</v>
      </c>
      <c r="H5897">
        <v>8</v>
      </c>
      <c r="I5897">
        <v>82.52</v>
      </c>
      <c r="J5897" s="50">
        <v>660.16</v>
      </c>
      <c r="K5897" t="s">
        <v>1632</v>
      </c>
      <c r="L5897" t="s">
        <v>4859</v>
      </c>
      <c r="M5897" t="s">
        <v>1624</v>
      </c>
      <c r="N5897">
        <v>43.55</v>
      </c>
      <c r="O5897" s="49">
        <v>45327</v>
      </c>
      <c r="P5897" s="50">
        <v>297.072</v>
      </c>
    </row>
    <row r="5898" spans="4:16" x14ac:dyDescent="0.2">
      <c r="D5898">
        <v>100003486</v>
      </c>
      <c r="E5898" s="49">
        <v>44471</v>
      </c>
      <c r="F5898" t="s">
        <v>5019</v>
      </c>
      <c r="G5898" t="s">
        <v>1841</v>
      </c>
      <c r="H5898">
        <v>8</v>
      </c>
      <c r="I5898">
        <v>89.3</v>
      </c>
      <c r="J5898" s="50">
        <v>714.4</v>
      </c>
      <c r="K5898" t="s">
        <v>1632</v>
      </c>
      <c r="L5898" t="s">
        <v>4859</v>
      </c>
      <c r="M5898" t="s">
        <v>1629</v>
      </c>
      <c r="N5898">
        <v>47.13</v>
      </c>
      <c r="O5898" s="49">
        <v>44474</v>
      </c>
      <c r="P5898" s="50">
        <v>321.48</v>
      </c>
    </row>
    <row r="5899" spans="4:16" x14ac:dyDescent="0.2">
      <c r="D5899">
        <v>100003486</v>
      </c>
      <c r="E5899" s="49">
        <v>45150</v>
      </c>
      <c r="F5899" t="s">
        <v>5019</v>
      </c>
      <c r="G5899" t="s">
        <v>2420</v>
      </c>
      <c r="H5899">
        <v>6</v>
      </c>
      <c r="I5899">
        <v>59.63</v>
      </c>
      <c r="J5899" s="50">
        <v>357.78</v>
      </c>
      <c r="K5899" t="s">
        <v>1632</v>
      </c>
      <c r="L5899" t="s">
        <v>4859</v>
      </c>
      <c r="M5899" t="s">
        <v>1621</v>
      </c>
      <c r="N5899">
        <v>31.47</v>
      </c>
      <c r="O5899" s="49">
        <v>45151</v>
      </c>
      <c r="P5899" s="50">
        <v>161.001</v>
      </c>
    </row>
    <row r="5900" spans="4:16" x14ac:dyDescent="0.2">
      <c r="D5900">
        <v>100003487</v>
      </c>
      <c r="E5900" s="49">
        <v>45185</v>
      </c>
      <c r="F5900" t="s">
        <v>5020</v>
      </c>
      <c r="G5900" t="s">
        <v>2633</v>
      </c>
      <c r="H5900">
        <v>7</v>
      </c>
      <c r="I5900">
        <v>45.85</v>
      </c>
      <c r="J5900" s="50">
        <v>320.95</v>
      </c>
      <c r="K5900" t="s">
        <v>1632</v>
      </c>
      <c r="M5900" t="s">
        <v>1627</v>
      </c>
      <c r="N5900">
        <v>24.2</v>
      </c>
      <c r="O5900" s="49">
        <v>45187</v>
      </c>
      <c r="P5900" s="50">
        <v>144.42750000000001</v>
      </c>
    </row>
    <row r="5901" spans="4:16" x14ac:dyDescent="0.2">
      <c r="D5901">
        <v>100003489</v>
      </c>
      <c r="E5901" s="49">
        <v>44609</v>
      </c>
      <c r="F5901" t="s">
        <v>5021</v>
      </c>
      <c r="G5901" t="s">
        <v>1645</v>
      </c>
      <c r="H5901">
        <v>7</v>
      </c>
      <c r="I5901">
        <v>17.2</v>
      </c>
      <c r="J5901" s="50">
        <v>120.4</v>
      </c>
      <c r="K5901" t="s">
        <v>1618</v>
      </c>
      <c r="M5901" t="s">
        <v>1629</v>
      </c>
      <c r="N5901">
        <v>9.08</v>
      </c>
      <c r="O5901" s="49">
        <v>44613</v>
      </c>
      <c r="P5901" s="50">
        <v>54.180000000000007</v>
      </c>
    </row>
    <row r="5902" spans="4:16" x14ac:dyDescent="0.2">
      <c r="D5902">
        <v>100003489</v>
      </c>
      <c r="E5902" s="49">
        <v>44584</v>
      </c>
      <c r="F5902" t="s">
        <v>5021</v>
      </c>
      <c r="G5902" t="s">
        <v>1697</v>
      </c>
      <c r="H5902">
        <v>3</v>
      </c>
      <c r="I5902">
        <v>26.48</v>
      </c>
      <c r="J5902" s="50">
        <v>79.44</v>
      </c>
      <c r="K5902" t="s">
        <v>1618</v>
      </c>
      <c r="M5902" t="s">
        <v>1619</v>
      </c>
      <c r="N5902">
        <v>13.98</v>
      </c>
      <c r="O5902" s="49">
        <v>44589</v>
      </c>
      <c r="P5902" s="50">
        <v>35.747999999999998</v>
      </c>
    </row>
    <row r="5903" spans="4:16" x14ac:dyDescent="0.2">
      <c r="D5903">
        <v>100003489</v>
      </c>
      <c r="E5903" s="49">
        <v>44866</v>
      </c>
      <c r="F5903" t="s">
        <v>5021</v>
      </c>
      <c r="G5903" t="s">
        <v>1671</v>
      </c>
      <c r="H5903">
        <v>10</v>
      </c>
      <c r="I5903">
        <v>51.37</v>
      </c>
      <c r="J5903" s="50">
        <v>513.69999999999993</v>
      </c>
      <c r="K5903" t="s">
        <v>1618</v>
      </c>
      <c r="M5903" t="s">
        <v>1624</v>
      </c>
      <c r="N5903">
        <v>27.11</v>
      </c>
      <c r="O5903" s="49">
        <v>44871</v>
      </c>
      <c r="P5903" s="50">
        <v>231.16499999999996</v>
      </c>
    </row>
    <row r="5904" spans="4:16" x14ac:dyDescent="0.2">
      <c r="D5904">
        <v>100003491</v>
      </c>
      <c r="E5904" s="49">
        <v>45485</v>
      </c>
      <c r="F5904" t="s">
        <v>5022</v>
      </c>
      <c r="G5904" t="s">
        <v>1670</v>
      </c>
      <c r="H5904">
        <v>8</v>
      </c>
      <c r="I5904">
        <v>36.47</v>
      </c>
      <c r="J5904" s="50">
        <v>291.76</v>
      </c>
      <c r="K5904" t="s">
        <v>1632</v>
      </c>
      <c r="M5904" t="s">
        <v>1627</v>
      </c>
      <c r="N5904">
        <v>19.25</v>
      </c>
      <c r="O5904" s="49">
        <v>45486</v>
      </c>
      <c r="P5904" s="50">
        <v>131.292</v>
      </c>
    </row>
    <row r="5905" spans="4:16" x14ac:dyDescent="0.2">
      <c r="D5905">
        <v>100003491</v>
      </c>
      <c r="E5905" s="49">
        <v>45063</v>
      </c>
      <c r="F5905" t="s">
        <v>5022</v>
      </c>
      <c r="G5905" t="s">
        <v>2038</v>
      </c>
      <c r="H5905">
        <v>8</v>
      </c>
      <c r="I5905">
        <v>94.86</v>
      </c>
      <c r="J5905" s="50">
        <v>758.88</v>
      </c>
      <c r="K5905" t="s">
        <v>1632</v>
      </c>
      <c r="M5905" t="s">
        <v>1621</v>
      </c>
      <c r="N5905">
        <v>50.06</v>
      </c>
      <c r="O5905" s="49">
        <v>45065</v>
      </c>
      <c r="P5905" s="50">
        <v>341.49599999999998</v>
      </c>
    </row>
    <row r="5906" spans="4:16" x14ac:dyDescent="0.2">
      <c r="D5906">
        <v>100003492</v>
      </c>
      <c r="E5906" s="49">
        <v>45390</v>
      </c>
      <c r="F5906" t="s">
        <v>5023</v>
      </c>
      <c r="G5906" t="s">
        <v>1674</v>
      </c>
      <c r="H5906">
        <v>3</v>
      </c>
      <c r="I5906">
        <v>46.16</v>
      </c>
      <c r="J5906" s="50">
        <v>138.47999999999999</v>
      </c>
      <c r="K5906" t="s">
        <v>1618</v>
      </c>
      <c r="M5906" t="s">
        <v>1619</v>
      </c>
      <c r="N5906">
        <v>24.36</v>
      </c>
      <c r="O5906" s="49">
        <v>45391</v>
      </c>
      <c r="P5906" s="50">
        <v>62.315999999999995</v>
      </c>
    </row>
    <row r="5907" spans="4:16" x14ac:dyDescent="0.2">
      <c r="D5907">
        <v>100003493</v>
      </c>
      <c r="E5907" s="49">
        <v>45236</v>
      </c>
      <c r="F5907" t="s">
        <v>5024</v>
      </c>
      <c r="G5907" t="s">
        <v>1900</v>
      </c>
      <c r="H5907">
        <v>3</v>
      </c>
      <c r="I5907">
        <v>58.87</v>
      </c>
      <c r="J5907" s="50">
        <v>176.61</v>
      </c>
      <c r="K5907" t="s">
        <v>1618</v>
      </c>
      <c r="M5907" t="s">
        <v>1619</v>
      </c>
      <c r="N5907">
        <v>31.07</v>
      </c>
      <c r="O5907" s="49">
        <v>45241</v>
      </c>
      <c r="P5907" s="50">
        <v>79.474500000000006</v>
      </c>
    </row>
    <row r="5908" spans="4:16" x14ac:dyDescent="0.2">
      <c r="D5908">
        <v>100003495</v>
      </c>
      <c r="E5908" s="49">
        <v>44696</v>
      </c>
      <c r="F5908" t="s">
        <v>5025</v>
      </c>
      <c r="G5908" t="s">
        <v>1687</v>
      </c>
      <c r="H5908">
        <v>3</v>
      </c>
      <c r="I5908">
        <v>30.36</v>
      </c>
      <c r="J5908" s="50">
        <v>91.08</v>
      </c>
      <c r="K5908" t="s">
        <v>1632</v>
      </c>
      <c r="L5908" t="s">
        <v>5026</v>
      </c>
      <c r="M5908" t="s">
        <v>1624</v>
      </c>
      <c r="N5908">
        <v>16.02</v>
      </c>
      <c r="O5908" s="49">
        <v>44699</v>
      </c>
      <c r="P5908" s="50">
        <v>40.985999999999997</v>
      </c>
    </row>
    <row r="5909" spans="4:16" x14ac:dyDescent="0.2">
      <c r="D5909">
        <v>100003495</v>
      </c>
      <c r="E5909" s="49">
        <v>45277</v>
      </c>
      <c r="F5909" t="s">
        <v>5025</v>
      </c>
      <c r="G5909" t="s">
        <v>2090</v>
      </c>
      <c r="H5909">
        <v>4</v>
      </c>
      <c r="I5909">
        <v>13.92</v>
      </c>
      <c r="J5909" s="50">
        <v>55.68</v>
      </c>
      <c r="K5909" t="s">
        <v>1632</v>
      </c>
      <c r="L5909" t="s">
        <v>5026</v>
      </c>
      <c r="M5909" t="s">
        <v>1627</v>
      </c>
      <c r="N5909">
        <v>7.35</v>
      </c>
      <c r="O5909" s="49">
        <v>45278</v>
      </c>
      <c r="P5909" s="50">
        <v>25.056000000000001</v>
      </c>
    </row>
    <row r="5910" spans="4:16" x14ac:dyDescent="0.2">
      <c r="D5910">
        <v>100003496</v>
      </c>
      <c r="E5910" s="49">
        <v>44785</v>
      </c>
      <c r="F5910" t="s">
        <v>5027</v>
      </c>
      <c r="G5910" t="s">
        <v>1664</v>
      </c>
      <c r="H5910">
        <v>5</v>
      </c>
      <c r="I5910">
        <v>94.68</v>
      </c>
      <c r="J5910" s="50">
        <v>473.4</v>
      </c>
      <c r="K5910" t="s">
        <v>1632</v>
      </c>
      <c r="L5910" t="s">
        <v>5028</v>
      </c>
      <c r="M5910" t="s">
        <v>1629</v>
      </c>
      <c r="N5910">
        <v>49.97</v>
      </c>
      <c r="O5910" s="49">
        <v>44786</v>
      </c>
      <c r="P5910" s="50">
        <v>213.03</v>
      </c>
    </row>
    <row r="5911" spans="4:16" x14ac:dyDescent="0.2">
      <c r="D5911">
        <v>100003497</v>
      </c>
      <c r="E5911" s="49">
        <v>44680</v>
      </c>
      <c r="F5911" t="s">
        <v>5029</v>
      </c>
      <c r="G5911" t="s">
        <v>2420</v>
      </c>
      <c r="H5911">
        <v>1</v>
      </c>
      <c r="I5911">
        <v>83.57</v>
      </c>
      <c r="J5911" s="50">
        <v>83.57</v>
      </c>
      <c r="K5911" t="s">
        <v>1632</v>
      </c>
      <c r="M5911" t="s">
        <v>1629</v>
      </c>
      <c r="N5911">
        <v>44.11</v>
      </c>
      <c r="O5911" s="49">
        <v>44684</v>
      </c>
      <c r="P5911" s="50">
        <v>37.606499999999997</v>
      </c>
    </row>
    <row r="5912" spans="4:16" x14ac:dyDescent="0.2">
      <c r="D5912">
        <v>100003497</v>
      </c>
      <c r="E5912" s="49">
        <v>45196</v>
      </c>
      <c r="F5912" t="s">
        <v>5029</v>
      </c>
      <c r="G5912" t="s">
        <v>1710</v>
      </c>
      <c r="H5912">
        <v>1</v>
      </c>
      <c r="I5912">
        <v>20.18</v>
      </c>
      <c r="J5912" s="50">
        <v>20.18</v>
      </c>
      <c r="K5912" t="s">
        <v>1632</v>
      </c>
      <c r="M5912" t="s">
        <v>1624</v>
      </c>
      <c r="N5912">
        <v>10.65</v>
      </c>
      <c r="O5912" s="49">
        <v>45198</v>
      </c>
      <c r="P5912" s="50">
        <v>9.0809999999999995</v>
      </c>
    </row>
    <row r="5913" spans="4:16" x14ac:dyDescent="0.2">
      <c r="D5913">
        <v>100003497</v>
      </c>
      <c r="E5913" s="49">
        <v>45094</v>
      </c>
      <c r="F5913" t="s">
        <v>5029</v>
      </c>
      <c r="G5913" t="s">
        <v>2016</v>
      </c>
      <c r="H5913">
        <v>9</v>
      </c>
      <c r="I5913">
        <v>36.68</v>
      </c>
      <c r="J5913" s="50">
        <v>330.12</v>
      </c>
      <c r="K5913" t="s">
        <v>1632</v>
      </c>
      <c r="M5913" t="s">
        <v>1621</v>
      </c>
      <c r="N5913">
        <v>19.36</v>
      </c>
      <c r="O5913" s="49">
        <v>45098</v>
      </c>
      <c r="P5913" s="50">
        <v>148.554</v>
      </c>
    </row>
    <row r="5914" spans="4:16" x14ac:dyDescent="0.2">
      <c r="D5914">
        <v>100003497</v>
      </c>
      <c r="E5914" s="49">
        <v>44545</v>
      </c>
      <c r="F5914" t="s">
        <v>5029</v>
      </c>
      <c r="G5914" t="s">
        <v>1885</v>
      </c>
      <c r="H5914">
        <v>6</v>
      </c>
      <c r="I5914">
        <v>55.28</v>
      </c>
      <c r="J5914" s="50">
        <v>331.68</v>
      </c>
      <c r="K5914" t="s">
        <v>1632</v>
      </c>
      <c r="M5914" t="s">
        <v>1629</v>
      </c>
      <c r="N5914">
        <v>29.18</v>
      </c>
      <c r="O5914" s="49">
        <v>44549</v>
      </c>
      <c r="P5914" s="50">
        <v>149.256</v>
      </c>
    </row>
    <row r="5915" spans="4:16" x14ac:dyDescent="0.2">
      <c r="D5915">
        <v>100003498</v>
      </c>
      <c r="E5915" s="49">
        <v>45297</v>
      </c>
      <c r="F5915" t="s">
        <v>5030</v>
      </c>
      <c r="G5915" t="s">
        <v>2003</v>
      </c>
      <c r="H5915">
        <v>6</v>
      </c>
      <c r="I5915">
        <v>62.18</v>
      </c>
      <c r="J5915" s="50">
        <v>373.08</v>
      </c>
      <c r="K5915" t="s">
        <v>1632</v>
      </c>
      <c r="M5915" t="s">
        <v>1619</v>
      </c>
      <c r="N5915">
        <v>32.82</v>
      </c>
      <c r="O5915" s="49">
        <v>45298</v>
      </c>
      <c r="P5915" s="50">
        <v>167.886</v>
      </c>
    </row>
    <row r="5916" spans="4:16" x14ac:dyDescent="0.2">
      <c r="D5916">
        <v>100003499</v>
      </c>
      <c r="E5916" s="49">
        <v>44811</v>
      </c>
      <c r="F5916" t="s">
        <v>5031</v>
      </c>
      <c r="G5916" t="s">
        <v>1641</v>
      </c>
      <c r="H5916">
        <v>6</v>
      </c>
      <c r="I5916">
        <v>87.63</v>
      </c>
      <c r="J5916" s="50">
        <v>525.78</v>
      </c>
      <c r="K5916" t="s">
        <v>1618</v>
      </c>
      <c r="M5916" t="s">
        <v>1629</v>
      </c>
      <c r="N5916">
        <v>46.25</v>
      </c>
      <c r="O5916" s="49">
        <v>44816</v>
      </c>
      <c r="P5916" s="50">
        <v>236.601</v>
      </c>
    </row>
    <row r="5917" spans="4:16" x14ac:dyDescent="0.2">
      <c r="D5917">
        <v>100003499</v>
      </c>
      <c r="E5917" s="49">
        <v>45040</v>
      </c>
      <c r="F5917" t="s">
        <v>5031</v>
      </c>
      <c r="G5917" t="s">
        <v>1718</v>
      </c>
      <c r="H5917">
        <v>9</v>
      </c>
      <c r="I5917">
        <v>100.86</v>
      </c>
      <c r="J5917" s="50">
        <v>907.74</v>
      </c>
      <c r="K5917" t="s">
        <v>1618</v>
      </c>
      <c r="M5917" t="s">
        <v>1629</v>
      </c>
      <c r="N5917">
        <v>53.23</v>
      </c>
      <c r="O5917" s="49">
        <v>45045</v>
      </c>
      <c r="P5917" s="50">
        <v>408.483</v>
      </c>
    </row>
    <row r="5918" spans="4:16" x14ac:dyDescent="0.2">
      <c r="D5918">
        <v>100003500</v>
      </c>
      <c r="E5918" s="49">
        <v>44758</v>
      </c>
      <c r="F5918" t="s">
        <v>5032</v>
      </c>
      <c r="G5918" t="s">
        <v>1709</v>
      </c>
      <c r="H5918">
        <v>4</v>
      </c>
      <c r="I5918">
        <v>107.38</v>
      </c>
      <c r="J5918" s="50">
        <v>429.52</v>
      </c>
      <c r="K5918" t="s">
        <v>1632</v>
      </c>
      <c r="M5918" t="s">
        <v>1629</v>
      </c>
      <c r="N5918">
        <v>56.67</v>
      </c>
      <c r="O5918" s="49">
        <v>44763</v>
      </c>
      <c r="P5918" s="50">
        <v>193.28399999999999</v>
      </c>
    </row>
    <row r="5919" spans="4:16" x14ac:dyDescent="0.2">
      <c r="D5919">
        <v>100003501</v>
      </c>
      <c r="E5919" s="49">
        <v>44524</v>
      </c>
      <c r="F5919" t="s">
        <v>5033</v>
      </c>
      <c r="G5919" t="s">
        <v>1851</v>
      </c>
      <c r="H5919">
        <v>1</v>
      </c>
      <c r="I5919">
        <v>83.83</v>
      </c>
      <c r="J5919" s="50">
        <v>83.83</v>
      </c>
      <c r="K5919" t="s">
        <v>1632</v>
      </c>
      <c r="M5919" t="s">
        <v>1624</v>
      </c>
      <c r="N5919">
        <v>44.24</v>
      </c>
      <c r="O5919" s="49">
        <v>44529</v>
      </c>
      <c r="P5919" s="50">
        <v>37.723500000000001</v>
      </c>
    </row>
    <row r="5920" spans="4:16" x14ac:dyDescent="0.2">
      <c r="D5920">
        <v>100003501</v>
      </c>
      <c r="E5920" s="49">
        <v>44324</v>
      </c>
      <c r="F5920" t="s">
        <v>5033</v>
      </c>
      <c r="G5920" t="s">
        <v>2145</v>
      </c>
      <c r="H5920">
        <v>9</v>
      </c>
      <c r="I5920">
        <v>45.53</v>
      </c>
      <c r="J5920" s="50">
        <v>409.77</v>
      </c>
      <c r="K5920" t="s">
        <v>1632</v>
      </c>
      <c r="M5920" t="s">
        <v>1629</v>
      </c>
      <c r="N5920">
        <v>24.03</v>
      </c>
      <c r="O5920" s="49">
        <v>44329</v>
      </c>
      <c r="P5920" s="50">
        <v>184.3965</v>
      </c>
    </row>
    <row r="5921" spans="4:16" x14ac:dyDescent="0.2">
      <c r="D5921">
        <v>100003501</v>
      </c>
      <c r="E5921" s="49">
        <v>45648</v>
      </c>
      <c r="F5921" t="s">
        <v>5033</v>
      </c>
      <c r="G5921" t="s">
        <v>2060</v>
      </c>
      <c r="H5921">
        <v>7</v>
      </c>
      <c r="I5921">
        <v>55.41</v>
      </c>
      <c r="J5921" s="50">
        <v>387.87</v>
      </c>
      <c r="K5921" t="s">
        <v>1632</v>
      </c>
      <c r="M5921" t="s">
        <v>1629</v>
      </c>
      <c r="N5921">
        <v>29.24</v>
      </c>
      <c r="O5921" s="49">
        <v>45651</v>
      </c>
      <c r="P5921" s="50">
        <v>174.54150000000001</v>
      </c>
    </row>
    <row r="5922" spans="4:16" x14ac:dyDescent="0.2">
      <c r="D5922">
        <v>100003502</v>
      </c>
      <c r="E5922" s="49">
        <v>45512</v>
      </c>
      <c r="F5922" t="s">
        <v>5034</v>
      </c>
      <c r="G5922" t="s">
        <v>2291</v>
      </c>
      <c r="H5922">
        <v>4</v>
      </c>
      <c r="I5922">
        <v>96.6</v>
      </c>
      <c r="J5922" s="50">
        <v>386.4</v>
      </c>
      <c r="K5922" t="s">
        <v>1618</v>
      </c>
      <c r="M5922" t="s">
        <v>1629</v>
      </c>
      <c r="N5922">
        <v>50.98</v>
      </c>
      <c r="O5922" s="49">
        <v>45516</v>
      </c>
      <c r="P5922" s="50">
        <v>173.88</v>
      </c>
    </row>
    <row r="5923" spans="4:16" x14ac:dyDescent="0.2">
      <c r="D5923">
        <v>100003503</v>
      </c>
      <c r="E5923" s="49">
        <v>45377</v>
      </c>
      <c r="F5923" t="s">
        <v>5035</v>
      </c>
      <c r="G5923" t="s">
        <v>1950</v>
      </c>
      <c r="H5923">
        <v>3</v>
      </c>
      <c r="I5923">
        <v>35.99</v>
      </c>
      <c r="J5923" s="50">
        <v>107.97</v>
      </c>
      <c r="K5923" t="s">
        <v>1632</v>
      </c>
      <c r="M5923" t="s">
        <v>1629</v>
      </c>
      <c r="N5923">
        <v>18.989999999999998</v>
      </c>
      <c r="O5923" s="49">
        <v>45378</v>
      </c>
      <c r="P5923" s="50">
        <v>48.586500000000001</v>
      </c>
    </row>
    <row r="5924" spans="4:16" x14ac:dyDescent="0.2">
      <c r="D5924">
        <v>100003503</v>
      </c>
      <c r="E5924" s="49">
        <v>44969</v>
      </c>
      <c r="F5924" t="s">
        <v>5035</v>
      </c>
      <c r="G5924" t="s">
        <v>1628</v>
      </c>
      <c r="H5924">
        <v>6</v>
      </c>
      <c r="I5924">
        <v>106.92</v>
      </c>
      <c r="J5924" s="50">
        <v>641.52</v>
      </c>
      <c r="K5924" t="s">
        <v>1632</v>
      </c>
      <c r="M5924" t="s">
        <v>1629</v>
      </c>
      <c r="N5924">
        <v>56.43</v>
      </c>
      <c r="O5924" s="49">
        <v>44973</v>
      </c>
      <c r="P5924" s="50">
        <v>288.68400000000003</v>
      </c>
    </row>
    <row r="5925" spans="4:16" x14ac:dyDescent="0.2">
      <c r="D5925">
        <v>100003505</v>
      </c>
      <c r="E5925" s="49">
        <v>44886</v>
      </c>
      <c r="F5925" t="s">
        <v>5036</v>
      </c>
      <c r="G5925" t="s">
        <v>2571</v>
      </c>
      <c r="H5925">
        <v>5</v>
      </c>
      <c r="I5925">
        <v>64.709999999999994</v>
      </c>
      <c r="J5925" s="50">
        <v>323.55</v>
      </c>
      <c r="K5925" t="s">
        <v>1618</v>
      </c>
      <c r="M5925" t="s">
        <v>1621</v>
      </c>
      <c r="N5925">
        <v>34.15</v>
      </c>
      <c r="O5925" s="49">
        <v>44887</v>
      </c>
      <c r="P5925" s="50">
        <v>145.5975</v>
      </c>
    </row>
    <row r="5926" spans="4:16" x14ac:dyDescent="0.2">
      <c r="D5926">
        <v>100003505</v>
      </c>
      <c r="E5926" s="49">
        <v>45530</v>
      </c>
      <c r="F5926" t="s">
        <v>5036</v>
      </c>
      <c r="G5926" t="s">
        <v>1650</v>
      </c>
      <c r="H5926">
        <v>8</v>
      </c>
      <c r="I5926">
        <v>31.45</v>
      </c>
      <c r="J5926" s="50">
        <v>251.6</v>
      </c>
      <c r="K5926" t="s">
        <v>1618</v>
      </c>
      <c r="M5926" t="s">
        <v>1621</v>
      </c>
      <c r="N5926">
        <v>16.600000000000001</v>
      </c>
      <c r="O5926" s="49">
        <v>45533</v>
      </c>
      <c r="P5926" s="50">
        <v>113.22</v>
      </c>
    </row>
    <row r="5927" spans="4:16" x14ac:dyDescent="0.2">
      <c r="D5927">
        <v>100003505</v>
      </c>
      <c r="E5927" s="49">
        <v>44332</v>
      </c>
      <c r="F5927" t="s">
        <v>5036</v>
      </c>
      <c r="G5927" t="s">
        <v>2484</v>
      </c>
      <c r="H5927">
        <v>1</v>
      </c>
      <c r="I5927">
        <v>66.400000000000006</v>
      </c>
      <c r="J5927" s="50">
        <v>66.400000000000006</v>
      </c>
      <c r="K5927" t="s">
        <v>1618</v>
      </c>
      <c r="M5927" t="s">
        <v>1624</v>
      </c>
      <c r="N5927">
        <v>35.04</v>
      </c>
      <c r="O5927" s="49">
        <v>44333</v>
      </c>
      <c r="P5927" s="50">
        <v>29.880000000000003</v>
      </c>
    </row>
    <row r="5928" spans="4:16" x14ac:dyDescent="0.2">
      <c r="D5928">
        <v>100003505</v>
      </c>
      <c r="E5928" s="49">
        <v>44792</v>
      </c>
      <c r="F5928" t="s">
        <v>5036</v>
      </c>
      <c r="G5928" t="s">
        <v>2658</v>
      </c>
      <c r="H5928">
        <v>7</v>
      </c>
      <c r="I5928">
        <v>62.08</v>
      </c>
      <c r="J5928" s="50">
        <v>434.56</v>
      </c>
      <c r="K5928" t="s">
        <v>1618</v>
      </c>
      <c r="M5928" t="s">
        <v>1619</v>
      </c>
      <c r="N5928">
        <v>32.76</v>
      </c>
      <c r="O5928" s="49">
        <v>44795</v>
      </c>
      <c r="P5928" s="50">
        <v>195.55199999999999</v>
      </c>
    </row>
    <row r="5929" spans="4:16" x14ac:dyDescent="0.2">
      <c r="D5929">
        <v>100003505</v>
      </c>
      <c r="E5929" s="49">
        <v>45215</v>
      </c>
      <c r="F5929" t="s">
        <v>5036</v>
      </c>
      <c r="G5929" t="s">
        <v>1720</v>
      </c>
      <c r="H5929">
        <v>8</v>
      </c>
      <c r="I5929">
        <v>12.8</v>
      </c>
      <c r="J5929" s="50">
        <v>102.4</v>
      </c>
      <c r="K5929" t="s">
        <v>1618</v>
      </c>
      <c r="M5929" t="s">
        <v>1621</v>
      </c>
      <c r="N5929">
        <v>6.76</v>
      </c>
      <c r="O5929" s="49">
        <v>45219</v>
      </c>
      <c r="P5929" s="50">
        <v>46.080000000000005</v>
      </c>
    </row>
    <row r="5930" spans="4:16" x14ac:dyDescent="0.2">
      <c r="D5930">
        <v>100003505</v>
      </c>
      <c r="E5930" s="49">
        <v>45455</v>
      </c>
      <c r="F5930" t="s">
        <v>5036</v>
      </c>
      <c r="G5930" t="s">
        <v>1709</v>
      </c>
      <c r="H5930">
        <v>2</v>
      </c>
      <c r="I5930">
        <v>54.24</v>
      </c>
      <c r="J5930" s="50">
        <v>108.48</v>
      </c>
      <c r="K5930" t="s">
        <v>1618</v>
      </c>
      <c r="M5930" t="s">
        <v>1624</v>
      </c>
      <c r="N5930">
        <v>28.63</v>
      </c>
      <c r="O5930" s="49">
        <v>45459</v>
      </c>
      <c r="P5930" s="50">
        <v>48.816000000000003</v>
      </c>
    </row>
    <row r="5931" spans="4:16" x14ac:dyDescent="0.2">
      <c r="D5931">
        <v>100003506</v>
      </c>
      <c r="E5931" s="49">
        <v>45448</v>
      </c>
      <c r="F5931" t="s">
        <v>5037</v>
      </c>
      <c r="G5931" t="s">
        <v>1985</v>
      </c>
      <c r="H5931">
        <v>1</v>
      </c>
      <c r="I5931">
        <v>89.88</v>
      </c>
      <c r="J5931" s="50">
        <v>89.88</v>
      </c>
      <c r="K5931" t="s">
        <v>1632</v>
      </c>
      <c r="M5931" t="s">
        <v>1627</v>
      </c>
      <c r="N5931">
        <v>47.44</v>
      </c>
      <c r="O5931" s="49">
        <v>45449</v>
      </c>
      <c r="P5931" s="50">
        <v>40.445999999999998</v>
      </c>
    </row>
    <row r="5932" spans="4:16" x14ac:dyDescent="0.2">
      <c r="D5932">
        <v>100003507</v>
      </c>
      <c r="E5932" s="49">
        <v>44431</v>
      </c>
      <c r="F5932" t="s">
        <v>4452</v>
      </c>
      <c r="G5932" t="s">
        <v>1719</v>
      </c>
      <c r="H5932">
        <v>7</v>
      </c>
      <c r="I5932">
        <v>119.29</v>
      </c>
      <c r="J5932" s="50">
        <v>835.03000000000009</v>
      </c>
      <c r="K5932" t="s">
        <v>1618</v>
      </c>
      <c r="M5932" t="s">
        <v>1627</v>
      </c>
      <c r="N5932">
        <v>62.96</v>
      </c>
      <c r="O5932" s="49">
        <v>44436</v>
      </c>
      <c r="P5932" s="50">
        <v>375.76350000000002</v>
      </c>
    </row>
    <row r="5933" spans="4:16" x14ac:dyDescent="0.2">
      <c r="D5933">
        <v>100003509</v>
      </c>
      <c r="E5933" s="49">
        <v>45471</v>
      </c>
      <c r="F5933" t="s">
        <v>5038</v>
      </c>
      <c r="G5933" t="s">
        <v>1691</v>
      </c>
      <c r="H5933">
        <v>10</v>
      </c>
      <c r="I5933">
        <v>78.12</v>
      </c>
      <c r="J5933" s="50">
        <v>781.2</v>
      </c>
      <c r="K5933" t="s">
        <v>1618</v>
      </c>
      <c r="L5933" t="s">
        <v>5039</v>
      </c>
      <c r="M5933" t="s">
        <v>1619</v>
      </c>
      <c r="N5933">
        <v>41.23</v>
      </c>
      <c r="O5933" s="49">
        <v>45475</v>
      </c>
      <c r="P5933" s="50">
        <v>351.54</v>
      </c>
    </row>
    <row r="5934" spans="4:16" x14ac:dyDescent="0.2">
      <c r="D5934">
        <v>100003511</v>
      </c>
      <c r="E5934" s="49">
        <v>45444</v>
      </c>
      <c r="F5934" t="s">
        <v>5040</v>
      </c>
      <c r="G5934" t="s">
        <v>2155</v>
      </c>
      <c r="H5934">
        <v>5</v>
      </c>
      <c r="I5934">
        <v>51.6</v>
      </c>
      <c r="J5934" s="50">
        <v>258</v>
      </c>
      <c r="K5934" t="s">
        <v>1632</v>
      </c>
      <c r="L5934" t="s">
        <v>5041</v>
      </c>
      <c r="M5934" t="s">
        <v>1621</v>
      </c>
      <c r="N5934">
        <v>27.23</v>
      </c>
      <c r="O5934" s="49">
        <v>45447</v>
      </c>
      <c r="P5934" s="50">
        <v>116.10000000000001</v>
      </c>
    </row>
    <row r="5935" spans="4:16" x14ac:dyDescent="0.2">
      <c r="D5935">
        <v>100003511</v>
      </c>
      <c r="E5935" s="49">
        <v>45446</v>
      </c>
      <c r="F5935" t="s">
        <v>5040</v>
      </c>
      <c r="G5935" t="s">
        <v>1666</v>
      </c>
      <c r="H5935">
        <v>6</v>
      </c>
      <c r="I5935">
        <v>78.989999999999995</v>
      </c>
      <c r="J5935" s="50">
        <v>473.93999999999988</v>
      </c>
      <c r="K5935" t="s">
        <v>1632</v>
      </c>
      <c r="L5935" t="s">
        <v>5041</v>
      </c>
      <c r="M5935" t="s">
        <v>1624</v>
      </c>
      <c r="N5935">
        <v>41.69</v>
      </c>
      <c r="O5935" s="49">
        <v>45451</v>
      </c>
      <c r="P5935" s="50">
        <v>213.27299999999994</v>
      </c>
    </row>
    <row r="5936" spans="4:16" x14ac:dyDescent="0.2">
      <c r="D5936">
        <v>100003511</v>
      </c>
      <c r="E5936" s="49">
        <v>44680</v>
      </c>
      <c r="F5936" t="s">
        <v>5040</v>
      </c>
      <c r="G5936" t="s">
        <v>1756</v>
      </c>
      <c r="H5936">
        <v>10</v>
      </c>
      <c r="I5936">
        <v>15.08</v>
      </c>
      <c r="J5936" s="50">
        <v>150.80000000000001</v>
      </c>
      <c r="K5936" t="s">
        <v>1632</v>
      </c>
      <c r="L5936" t="s">
        <v>5041</v>
      </c>
      <c r="M5936" t="s">
        <v>1624</v>
      </c>
      <c r="N5936">
        <v>7.96</v>
      </c>
      <c r="O5936" s="49">
        <v>44685</v>
      </c>
      <c r="P5936" s="50">
        <v>67.860000000000014</v>
      </c>
    </row>
    <row r="5937" spans="4:16" x14ac:dyDescent="0.2">
      <c r="D5937">
        <v>100003511</v>
      </c>
      <c r="E5937" s="49">
        <v>44364</v>
      </c>
      <c r="F5937" t="s">
        <v>5040</v>
      </c>
      <c r="G5937" t="s">
        <v>2692</v>
      </c>
      <c r="H5937">
        <v>2</v>
      </c>
      <c r="I5937">
        <v>113.72</v>
      </c>
      <c r="J5937" s="50">
        <v>227.44</v>
      </c>
      <c r="K5937" t="s">
        <v>1632</v>
      </c>
      <c r="L5937" t="s">
        <v>5041</v>
      </c>
      <c r="M5937" t="s">
        <v>1621</v>
      </c>
      <c r="N5937">
        <v>60.02</v>
      </c>
      <c r="O5937" s="49">
        <v>44366</v>
      </c>
      <c r="P5937" s="50">
        <v>102.348</v>
      </c>
    </row>
    <row r="5938" spans="4:16" x14ac:dyDescent="0.2">
      <c r="D5938">
        <v>100003512</v>
      </c>
      <c r="E5938" s="49">
        <v>44613</v>
      </c>
      <c r="F5938" t="s">
        <v>5042</v>
      </c>
      <c r="G5938" t="s">
        <v>2707</v>
      </c>
      <c r="H5938">
        <v>2</v>
      </c>
      <c r="I5938">
        <v>99.62</v>
      </c>
      <c r="J5938" s="50">
        <v>199.24</v>
      </c>
      <c r="K5938" t="s">
        <v>1632</v>
      </c>
      <c r="L5938" t="s">
        <v>5043</v>
      </c>
      <c r="M5938" t="s">
        <v>1621</v>
      </c>
      <c r="N5938">
        <v>52.58</v>
      </c>
      <c r="O5938" s="49">
        <v>44616</v>
      </c>
      <c r="P5938" s="50">
        <v>89.658000000000001</v>
      </c>
    </row>
    <row r="5939" spans="4:16" x14ac:dyDescent="0.2">
      <c r="D5939">
        <v>100003512</v>
      </c>
      <c r="E5939" s="49">
        <v>44727</v>
      </c>
      <c r="F5939" t="s">
        <v>5042</v>
      </c>
      <c r="G5939" t="s">
        <v>1695</v>
      </c>
      <c r="H5939">
        <v>4</v>
      </c>
      <c r="I5939">
        <v>36.14</v>
      </c>
      <c r="J5939" s="50">
        <v>144.56</v>
      </c>
      <c r="K5939" t="s">
        <v>1632</v>
      </c>
      <c r="L5939" t="s">
        <v>5043</v>
      </c>
      <c r="M5939" t="s">
        <v>1627</v>
      </c>
      <c r="N5939">
        <v>19.07</v>
      </c>
      <c r="O5939" s="49">
        <v>44730</v>
      </c>
      <c r="P5939" s="50">
        <v>65.052000000000007</v>
      </c>
    </row>
    <row r="5940" spans="4:16" x14ac:dyDescent="0.2">
      <c r="D5940">
        <v>100003513</v>
      </c>
      <c r="E5940" s="49">
        <v>45335</v>
      </c>
      <c r="F5940" t="s">
        <v>5044</v>
      </c>
      <c r="G5940" t="s">
        <v>2613</v>
      </c>
      <c r="H5940">
        <v>9</v>
      </c>
      <c r="I5940">
        <v>13.74</v>
      </c>
      <c r="J5940" s="50">
        <v>123.66</v>
      </c>
      <c r="K5940" t="s">
        <v>1632</v>
      </c>
      <c r="L5940" t="s">
        <v>3681</v>
      </c>
      <c r="M5940" t="s">
        <v>1621</v>
      </c>
      <c r="N5940">
        <v>7.25</v>
      </c>
      <c r="O5940" s="49">
        <v>45340</v>
      </c>
      <c r="P5940" s="50">
        <v>55.646999999999998</v>
      </c>
    </row>
    <row r="5941" spans="4:16" x14ac:dyDescent="0.2">
      <c r="D5941">
        <v>100003514</v>
      </c>
      <c r="E5941" s="49">
        <v>44931</v>
      </c>
      <c r="F5941" t="s">
        <v>5045</v>
      </c>
      <c r="G5941" t="s">
        <v>1928</v>
      </c>
      <c r="H5941">
        <v>9</v>
      </c>
      <c r="I5941">
        <v>108.04</v>
      </c>
      <c r="J5941" s="50">
        <v>972.36</v>
      </c>
      <c r="K5941" t="s">
        <v>1632</v>
      </c>
      <c r="M5941" t="s">
        <v>1629</v>
      </c>
      <c r="N5941">
        <v>57.02</v>
      </c>
      <c r="O5941" s="49">
        <v>44932</v>
      </c>
      <c r="P5941" s="50">
        <v>437.56200000000001</v>
      </c>
    </row>
    <row r="5942" spans="4:16" x14ac:dyDescent="0.2">
      <c r="D5942">
        <v>100003514</v>
      </c>
      <c r="E5942" s="49">
        <v>44729</v>
      </c>
      <c r="F5942" t="s">
        <v>5045</v>
      </c>
      <c r="G5942" t="s">
        <v>2485</v>
      </c>
      <c r="H5942">
        <v>9</v>
      </c>
      <c r="I5942">
        <v>24.02</v>
      </c>
      <c r="J5942" s="50">
        <v>216.18</v>
      </c>
      <c r="K5942" t="s">
        <v>1632</v>
      </c>
      <c r="M5942" t="s">
        <v>1627</v>
      </c>
      <c r="N5942">
        <v>12.68</v>
      </c>
      <c r="O5942" s="49">
        <v>44733</v>
      </c>
      <c r="P5942" s="50">
        <v>97.281000000000006</v>
      </c>
    </row>
    <row r="5943" spans="4:16" x14ac:dyDescent="0.2">
      <c r="D5943">
        <v>100003514</v>
      </c>
      <c r="E5943" s="49">
        <v>44384</v>
      </c>
      <c r="F5943" t="s">
        <v>5045</v>
      </c>
      <c r="G5943" t="s">
        <v>2217</v>
      </c>
      <c r="H5943">
        <v>9</v>
      </c>
      <c r="I5943">
        <v>56.99</v>
      </c>
      <c r="J5943" s="50">
        <v>512.91</v>
      </c>
      <c r="K5943" t="s">
        <v>1632</v>
      </c>
      <c r="M5943" t="s">
        <v>1629</v>
      </c>
      <c r="N5943">
        <v>30.08</v>
      </c>
      <c r="O5943" s="49">
        <v>44386</v>
      </c>
      <c r="P5943" s="50">
        <v>230.80949999999999</v>
      </c>
    </row>
    <row r="5944" spans="4:16" x14ac:dyDescent="0.2">
      <c r="D5944">
        <v>100003514</v>
      </c>
      <c r="E5944" s="49">
        <v>44218</v>
      </c>
      <c r="F5944" t="s">
        <v>5045</v>
      </c>
      <c r="G5944" t="s">
        <v>2416</v>
      </c>
      <c r="H5944">
        <v>4</v>
      </c>
      <c r="I5944">
        <v>110.29</v>
      </c>
      <c r="J5944" s="50">
        <v>441.16</v>
      </c>
      <c r="K5944" t="s">
        <v>1632</v>
      </c>
      <c r="M5944" t="s">
        <v>1624</v>
      </c>
      <c r="N5944">
        <v>58.21</v>
      </c>
      <c r="O5944" s="49">
        <v>44220</v>
      </c>
      <c r="P5944" s="50">
        <v>198.52200000000002</v>
      </c>
    </row>
    <row r="5945" spans="4:16" x14ac:dyDescent="0.2">
      <c r="D5945">
        <v>100003515</v>
      </c>
      <c r="E5945" s="49">
        <v>44325</v>
      </c>
      <c r="F5945" t="s">
        <v>5046</v>
      </c>
      <c r="G5945" t="s">
        <v>1710</v>
      </c>
      <c r="H5945">
        <v>3</v>
      </c>
      <c r="I5945">
        <v>24.13</v>
      </c>
      <c r="J5945" s="50">
        <v>72.39</v>
      </c>
      <c r="K5945" t="s">
        <v>1632</v>
      </c>
      <c r="M5945" t="s">
        <v>1627</v>
      </c>
      <c r="N5945">
        <v>12.74</v>
      </c>
      <c r="O5945" s="49">
        <v>44329</v>
      </c>
      <c r="P5945" s="50">
        <v>32.575499999999998</v>
      </c>
    </row>
    <row r="5946" spans="4:16" x14ac:dyDescent="0.2">
      <c r="D5946">
        <v>100003515</v>
      </c>
      <c r="E5946" s="49">
        <v>44913</v>
      </c>
      <c r="F5946" t="s">
        <v>5046</v>
      </c>
      <c r="G5946" t="s">
        <v>1752</v>
      </c>
      <c r="H5946">
        <v>4</v>
      </c>
      <c r="I5946">
        <v>61.6</v>
      </c>
      <c r="J5946" s="50">
        <v>246.4</v>
      </c>
      <c r="K5946" t="s">
        <v>1632</v>
      </c>
      <c r="M5946" t="s">
        <v>1627</v>
      </c>
      <c r="N5946">
        <v>32.51</v>
      </c>
      <c r="O5946" s="49">
        <v>44914</v>
      </c>
      <c r="P5946" s="50">
        <v>110.88000000000001</v>
      </c>
    </row>
    <row r="5947" spans="4:16" x14ac:dyDescent="0.2">
      <c r="D5947">
        <v>100003515</v>
      </c>
      <c r="E5947" s="49">
        <v>45493</v>
      </c>
      <c r="F5947" t="s">
        <v>5046</v>
      </c>
      <c r="G5947" t="s">
        <v>2330</v>
      </c>
      <c r="H5947">
        <v>6</v>
      </c>
      <c r="I5947">
        <v>62.26</v>
      </c>
      <c r="J5947" s="50">
        <v>373.56</v>
      </c>
      <c r="K5947" t="s">
        <v>1632</v>
      </c>
      <c r="M5947" t="s">
        <v>1621</v>
      </c>
      <c r="N5947">
        <v>32.86</v>
      </c>
      <c r="O5947" s="49">
        <v>45494</v>
      </c>
      <c r="P5947" s="50">
        <v>168.102</v>
      </c>
    </row>
    <row r="5948" spans="4:16" x14ac:dyDescent="0.2">
      <c r="D5948">
        <v>100003516</v>
      </c>
      <c r="E5948" s="49">
        <v>44282</v>
      </c>
      <c r="F5948" t="s">
        <v>5047</v>
      </c>
      <c r="G5948" t="s">
        <v>2278</v>
      </c>
      <c r="H5948">
        <v>2</v>
      </c>
      <c r="I5948">
        <v>115.57</v>
      </c>
      <c r="J5948" s="50">
        <v>231.14</v>
      </c>
      <c r="K5948" t="s">
        <v>1618</v>
      </c>
      <c r="M5948" t="s">
        <v>1629</v>
      </c>
      <c r="N5948">
        <v>60.99</v>
      </c>
      <c r="O5948" s="49">
        <v>44283</v>
      </c>
      <c r="P5948" s="50">
        <v>104.01299999999999</v>
      </c>
    </row>
    <row r="5949" spans="4:16" x14ac:dyDescent="0.2">
      <c r="D5949">
        <v>100003516</v>
      </c>
      <c r="E5949" s="49">
        <v>44347</v>
      </c>
      <c r="F5949" t="s">
        <v>5047</v>
      </c>
      <c r="G5949" t="s">
        <v>2733</v>
      </c>
      <c r="H5949">
        <v>6</v>
      </c>
      <c r="I5949">
        <v>62.89</v>
      </c>
      <c r="J5949" s="50">
        <v>377.34</v>
      </c>
      <c r="K5949" t="s">
        <v>1618</v>
      </c>
      <c r="M5949" t="s">
        <v>1629</v>
      </c>
      <c r="N5949">
        <v>33.19</v>
      </c>
      <c r="O5949" s="49">
        <v>44350</v>
      </c>
      <c r="P5949" s="50">
        <v>169.803</v>
      </c>
    </row>
    <row r="5950" spans="4:16" x14ac:dyDescent="0.2">
      <c r="D5950">
        <v>100003516</v>
      </c>
      <c r="E5950" s="49">
        <v>44662</v>
      </c>
      <c r="F5950" t="s">
        <v>5047</v>
      </c>
      <c r="G5950" t="s">
        <v>1897</v>
      </c>
      <c r="H5950">
        <v>9</v>
      </c>
      <c r="I5950">
        <v>79.11</v>
      </c>
      <c r="J5950" s="50">
        <v>711.99</v>
      </c>
      <c r="K5950" t="s">
        <v>1618</v>
      </c>
      <c r="M5950" t="s">
        <v>1619</v>
      </c>
      <c r="N5950">
        <v>41.75</v>
      </c>
      <c r="O5950" s="49">
        <v>44663</v>
      </c>
      <c r="P5950" s="50">
        <v>320.39550000000003</v>
      </c>
    </row>
    <row r="5951" spans="4:16" x14ac:dyDescent="0.2">
      <c r="D5951">
        <v>100003516</v>
      </c>
      <c r="E5951" s="49">
        <v>44733</v>
      </c>
      <c r="F5951" t="s">
        <v>5047</v>
      </c>
      <c r="G5951" t="s">
        <v>1823</v>
      </c>
      <c r="H5951">
        <v>4</v>
      </c>
      <c r="I5951">
        <v>96.46</v>
      </c>
      <c r="J5951" s="50">
        <v>385.84</v>
      </c>
      <c r="K5951" t="s">
        <v>1618</v>
      </c>
      <c r="M5951" t="s">
        <v>1619</v>
      </c>
      <c r="N5951">
        <v>50.91</v>
      </c>
      <c r="O5951" s="49">
        <v>44737</v>
      </c>
      <c r="P5951" s="50">
        <v>173.62799999999999</v>
      </c>
    </row>
    <row r="5952" spans="4:16" x14ac:dyDescent="0.2">
      <c r="D5952">
        <v>100003517</v>
      </c>
      <c r="E5952" s="49">
        <v>44253</v>
      </c>
      <c r="F5952" t="s">
        <v>5048</v>
      </c>
      <c r="G5952" t="s">
        <v>1902</v>
      </c>
      <c r="H5952">
        <v>6</v>
      </c>
      <c r="I5952">
        <v>109.03</v>
      </c>
      <c r="J5952" s="50">
        <v>654.18000000000006</v>
      </c>
      <c r="K5952" t="s">
        <v>1632</v>
      </c>
      <c r="L5952" t="s">
        <v>5049</v>
      </c>
      <c r="M5952" t="s">
        <v>1621</v>
      </c>
      <c r="N5952">
        <v>57.54</v>
      </c>
      <c r="O5952" s="49">
        <v>44258</v>
      </c>
      <c r="P5952" s="50">
        <v>294.38100000000003</v>
      </c>
    </row>
    <row r="5953" spans="4:16" x14ac:dyDescent="0.2">
      <c r="D5953">
        <v>100003517</v>
      </c>
      <c r="E5953" s="49">
        <v>44456</v>
      </c>
      <c r="F5953" t="s">
        <v>5048</v>
      </c>
      <c r="G5953" t="s">
        <v>2180</v>
      </c>
      <c r="H5953">
        <v>1</v>
      </c>
      <c r="I5953">
        <v>105.01</v>
      </c>
      <c r="J5953" s="50">
        <v>105.01</v>
      </c>
      <c r="K5953" t="s">
        <v>1632</v>
      </c>
      <c r="L5953" t="s">
        <v>5049</v>
      </c>
      <c r="M5953" t="s">
        <v>1624</v>
      </c>
      <c r="N5953">
        <v>55.42</v>
      </c>
      <c r="O5953" s="49">
        <v>44457</v>
      </c>
      <c r="P5953" s="50">
        <v>47.2545</v>
      </c>
    </row>
    <row r="5954" spans="4:16" x14ac:dyDescent="0.2">
      <c r="D5954">
        <v>100003517</v>
      </c>
      <c r="E5954" s="49">
        <v>45579</v>
      </c>
      <c r="F5954" t="s">
        <v>5048</v>
      </c>
      <c r="G5954" t="s">
        <v>1897</v>
      </c>
      <c r="H5954">
        <v>3</v>
      </c>
      <c r="I5954">
        <v>43.75</v>
      </c>
      <c r="J5954" s="50">
        <v>131.25</v>
      </c>
      <c r="K5954" t="s">
        <v>1632</v>
      </c>
      <c r="L5954" t="s">
        <v>5049</v>
      </c>
      <c r="M5954" t="s">
        <v>1624</v>
      </c>
      <c r="N5954">
        <v>23.09</v>
      </c>
      <c r="O5954" s="49">
        <v>45580</v>
      </c>
      <c r="P5954" s="50">
        <v>59.0625</v>
      </c>
    </row>
    <row r="5955" spans="4:16" x14ac:dyDescent="0.2">
      <c r="D5955">
        <v>100003520</v>
      </c>
      <c r="E5955" s="49">
        <v>45235</v>
      </c>
      <c r="F5955" t="s">
        <v>5050</v>
      </c>
      <c r="G5955" t="s">
        <v>1751</v>
      </c>
      <c r="H5955">
        <v>3</v>
      </c>
      <c r="I5955">
        <v>27.03</v>
      </c>
      <c r="J5955" s="50">
        <v>81.09</v>
      </c>
      <c r="K5955" t="s">
        <v>1618</v>
      </c>
      <c r="M5955" t="s">
        <v>1624</v>
      </c>
      <c r="N5955">
        <v>14.27</v>
      </c>
      <c r="O5955" s="49">
        <v>45236</v>
      </c>
      <c r="P5955" s="50">
        <v>36.490500000000004</v>
      </c>
    </row>
    <row r="5956" spans="4:16" x14ac:dyDescent="0.2">
      <c r="D5956">
        <v>100003520</v>
      </c>
      <c r="E5956" s="49">
        <v>44264</v>
      </c>
      <c r="F5956" t="s">
        <v>5050</v>
      </c>
      <c r="G5956" t="s">
        <v>1805</v>
      </c>
      <c r="H5956">
        <v>1</v>
      </c>
      <c r="I5956">
        <v>84.52</v>
      </c>
      <c r="J5956" s="50">
        <v>84.52</v>
      </c>
      <c r="K5956" t="s">
        <v>1618</v>
      </c>
      <c r="M5956" t="s">
        <v>1629</v>
      </c>
      <c r="N5956">
        <v>44.61</v>
      </c>
      <c r="O5956" s="49">
        <v>44267</v>
      </c>
      <c r="P5956" s="50">
        <v>38.033999999999999</v>
      </c>
    </row>
    <row r="5957" spans="4:16" x14ac:dyDescent="0.2">
      <c r="D5957">
        <v>100003520</v>
      </c>
      <c r="E5957" s="49">
        <v>44422</v>
      </c>
      <c r="F5957" t="s">
        <v>5050</v>
      </c>
      <c r="G5957" t="s">
        <v>2337</v>
      </c>
      <c r="H5957">
        <v>2</v>
      </c>
      <c r="I5957">
        <v>26.15</v>
      </c>
      <c r="J5957" s="50">
        <v>52.3</v>
      </c>
      <c r="K5957" t="s">
        <v>1618</v>
      </c>
      <c r="M5957" t="s">
        <v>1627</v>
      </c>
      <c r="N5957">
        <v>13.8</v>
      </c>
      <c r="O5957" s="49">
        <v>44423</v>
      </c>
      <c r="P5957" s="50">
        <v>23.535</v>
      </c>
    </row>
    <row r="5958" spans="4:16" x14ac:dyDescent="0.2">
      <c r="D5958">
        <v>100003520</v>
      </c>
      <c r="E5958" s="49">
        <v>44632</v>
      </c>
      <c r="F5958" t="s">
        <v>5050</v>
      </c>
      <c r="G5958" t="s">
        <v>2076</v>
      </c>
      <c r="H5958">
        <v>2</v>
      </c>
      <c r="I5958">
        <v>56.87</v>
      </c>
      <c r="J5958" s="50">
        <v>113.74</v>
      </c>
      <c r="K5958" t="s">
        <v>1618</v>
      </c>
      <c r="M5958" t="s">
        <v>1621</v>
      </c>
      <c r="N5958">
        <v>30.01</v>
      </c>
      <c r="O5958" s="49">
        <v>44636</v>
      </c>
      <c r="P5958" s="50">
        <v>51.183</v>
      </c>
    </row>
    <row r="5959" spans="4:16" x14ac:dyDescent="0.2">
      <c r="D5959">
        <v>100003520</v>
      </c>
      <c r="E5959" s="49">
        <v>45312</v>
      </c>
      <c r="F5959" t="s">
        <v>5050</v>
      </c>
      <c r="G5959" t="s">
        <v>2005</v>
      </c>
      <c r="H5959">
        <v>8</v>
      </c>
      <c r="I5959">
        <v>26.04</v>
      </c>
      <c r="J5959" s="50">
        <v>208.32</v>
      </c>
      <c r="K5959" t="s">
        <v>1618</v>
      </c>
      <c r="M5959" t="s">
        <v>1629</v>
      </c>
      <c r="N5959">
        <v>13.74</v>
      </c>
      <c r="O5959" s="49">
        <v>45313</v>
      </c>
      <c r="P5959" s="50">
        <v>93.744</v>
      </c>
    </row>
    <row r="5960" spans="4:16" x14ac:dyDescent="0.2">
      <c r="D5960">
        <v>100003520</v>
      </c>
      <c r="E5960" s="49">
        <v>44317</v>
      </c>
      <c r="F5960" t="s">
        <v>5050</v>
      </c>
      <c r="G5960" t="s">
        <v>1785</v>
      </c>
      <c r="H5960">
        <v>7</v>
      </c>
      <c r="I5960">
        <v>16.34</v>
      </c>
      <c r="J5960" s="50">
        <v>114.38</v>
      </c>
      <c r="K5960" t="s">
        <v>1618</v>
      </c>
      <c r="M5960" t="s">
        <v>1624</v>
      </c>
      <c r="N5960">
        <v>8.6199999999999992</v>
      </c>
      <c r="O5960" s="49">
        <v>44318</v>
      </c>
      <c r="P5960" s="50">
        <v>51.470999999999997</v>
      </c>
    </row>
    <row r="5961" spans="4:16" x14ac:dyDescent="0.2">
      <c r="D5961">
        <v>100003520</v>
      </c>
      <c r="E5961" s="49">
        <v>45611</v>
      </c>
      <c r="F5961" t="s">
        <v>5050</v>
      </c>
      <c r="G5961" t="s">
        <v>2581</v>
      </c>
      <c r="H5961">
        <v>6</v>
      </c>
      <c r="I5961">
        <v>114.7</v>
      </c>
      <c r="J5961" s="50">
        <v>688.2</v>
      </c>
      <c r="K5961" t="s">
        <v>1618</v>
      </c>
      <c r="M5961" t="s">
        <v>1624</v>
      </c>
      <c r="N5961">
        <v>60.54</v>
      </c>
      <c r="O5961" s="49">
        <v>45614</v>
      </c>
      <c r="P5961" s="50">
        <v>309.69000000000005</v>
      </c>
    </row>
    <row r="5962" spans="4:16" x14ac:dyDescent="0.2">
      <c r="D5962">
        <v>100003521</v>
      </c>
      <c r="E5962" s="49">
        <v>45105</v>
      </c>
      <c r="F5962" t="s">
        <v>5051</v>
      </c>
      <c r="G5962" t="s">
        <v>2393</v>
      </c>
      <c r="H5962">
        <v>2</v>
      </c>
      <c r="I5962">
        <v>22.57</v>
      </c>
      <c r="J5962" s="50">
        <v>45.14</v>
      </c>
      <c r="K5962" t="s">
        <v>1632</v>
      </c>
      <c r="M5962" t="s">
        <v>1627</v>
      </c>
      <c r="N5962">
        <v>11.91</v>
      </c>
      <c r="O5962" s="49">
        <v>45110</v>
      </c>
      <c r="P5962" s="50">
        <v>20.313000000000002</v>
      </c>
    </row>
    <row r="5963" spans="4:16" x14ac:dyDescent="0.2">
      <c r="D5963">
        <v>100003522</v>
      </c>
      <c r="E5963" s="49">
        <v>45450</v>
      </c>
      <c r="F5963" t="s">
        <v>5052</v>
      </c>
      <c r="G5963" t="s">
        <v>1924</v>
      </c>
      <c r="H5963">
        <v>3</v>
      </c>
      <c r="I5963">
        <v>103.67</v>
      </c>
      <c r="J5963" s="50">
        <v>311.01</v>
      </c>
      <c r="K5963" t="s">
        <v>1618</v>
      </c>
      <c r="M5963" t="s">
        <v>1619</v>
      </c>
      <c r="N5963">
        <v>54.71</v>
      </c>
      <c r="O5963" s="49">
        <v>45453</v>
      </c>
      <c r="P5963" s="50">
        <v>139.9545</v>
      </c>
    </row>
    <row r="5964" spans="4:16" x14ac:dyDescent="0.2">
      <c r="D5964">
        <v>100003522</v>
      </c>
      <c r="E5964" s="49">
        <v>44532</v>
      </c>
      <c r="F5964" t="s">
        <v>5052</v>
      </c>
      <c r="G5964" t="s">
        <v>1663</v>
      </c>
      <c r="H5964">
        <v>9</v>
      </c>
      <c r="I5964">
        <v>75.41</v>
      </c>
      <c r="J5964" s="50">
        <v>678.68999999999994</v>
      </c>
      <c r="K5964" t="s">
        <v>1618</v>
      </c>
      <c r="M5964" t="s">
        <v>1621</v>
      </c>
      <c r="N5964">
        <v>39.799999999999997</v>
      </c>
      <c r="O5964" s="49">
        <v>44537</v>
      </c>
      <c r="P5964" s="50">
        <v>305.41049999999996</v>
      </c>
    </row>
    <row r="5965" spans="4:16" x14ac:dyDescent="0.2">
      <c r="D5965">
        <v>100003522</v>
      </c>
      <c r="E5965" s="49">
        <v>45529</v>
      </c>
      <c r="F5965" t="s">
        <v>5052</v>
      </c>
      <c r="G5965" t="s">
        <v>2060</v>
      </c>
      <c r="H5965">
        <v>7</v>
      </c>
      <c r="I5965">
        <v>48.87</v>
      </c>
      <c r="J5965" s="50">
        <v>342.09</v>
      </c>
      <c r="K5965" t="s">
        <v>1618</v>
      </c>
      <c r="M5965" t="s">
        <v>1621</v>
      </c>
      <c r="N5965">
        <v>25.79</v>
      </c>
      <c r="O5965" s="49">
        <v>45534</v>
      </c>
      <c r="P5965" s="50">
        <v>153.94049999999999</v>
      </c>
    </row>
    <row r="5966" spans="4:16" x14ac:dyDescent="0.2">
      <c r="D5966">
        <v>100003524</v>
      </c>
      <c r="E5966" s="49">
        <v>44876</v>
      </c>
      <c r="F5966" t="s">
        <v>5053</v>
      </c>
      <c r="G5966" t="s">
        <v>2064</v>
      </c>
      <c r="H5966">
        <v>2</v>
      </c>
      <c r="I5966">
        <v>99.77</v>
      </c>
      <c r="J5966" s="50">
        <v>199.54</v>
      </c>
      <c r="K5966" t="s">
        <v>1618</v>
      </c>
      <c r="L5966" t="s">
        <v>3067</v>
      </c>
      <c r="M5966" t="s">
        <v>1629</v>
      </c>
      <c r="N5966">
        <v>52.66</v>
      </c>
      <c r="O5966" s="49">
        <v>44878</v>
      </c>
      <c r="P5966" s="50">
        <v>89.792999999999992</v>
      </c>
    </row>
    <row r="5967" spans="4:16" x14ac:dyDescent="0.2">
      <c r="D5967">
        <v>100003525</v>
      </c>
      <c r="E5967" s="49">
        <v>45258</v>
      </c>
      <c r="F5967" t="s">
        <v>5054</v>
      </c>
      <c r="G5967" t="s">
        <v>1695</v>
      </c>
      <c r="H5967">
        <v>9</v>
      </c>
      <c r="I5967">
        <v>38.93</v>
      </c>
      <c r="J5967" s="50">
        <v>350.37</v>
      </c>
      <c r="K5967" t="s">
        <v>1632</v>
      </c>
      <c r="M5967" t="s">
        <v>1619</v>
      </c>
      <c r="N5967">
        <v>20.55</v>
      </c>
      <c r="O5967" s="49">
        <v>45263</v>
      </c>
      <c r="P5967" s="50">
        <v>157.66650000000001</v>
      </c>
    </row>
    <row r="5968" spans="4:16" x14ac:dyDescent="0.2">
      <c r="D5968">
        <v>100003526</v>
      </c>
      <c r="E5968" s="49">
        <v>44369</v>
      </c>
      <c r="F5968" t="s">
        <v>5055</v>
      </c>
      <c r="G5968" t="s">
        <v>1714</v>
      </c>
      <c r="H5968">
        <v>5</v>
      </c>
      <c r="I5968">
        <v>69.489999999999995</v>
      </c>
      <c r="J5968" s="50">
        <v>347.45</v>
      </c>
      <c r="K5968" t="s">
        <v>1618</v>
      </c>
      <c r="M5968" t="s">
        <v>1624</v>
      </c>
      <c r="N5968">
        <v>36.68</v>
      </c>
      <c r="O5968" s="49">
        <v>44374</v>
      </c>
      <c r="P5968" s="50">
        <v>156.35249999999999</v>
      </c>
    </row>
    <row r="5969" spans="4:16" x14ac:dyDescent="0.2">
      <c r="D5969">
        <v>100003526</v>
      </c>
      <c r="E5969" s="49">
        <v>45122</v>
      </c>
      <c r="F5969" t="s">
        <v>5055</v>
      </c>
      <c r="G5969" t="s">
        <v>2090</v>
      </c>
      <c r="H5969">
        <v>3</v>
      </c>
      <c r="I5969">
        <v>19.5</v>
      </c>
      <c r="J5969" s="50">
        <v>58.5</v>
      </c>
      <c r="K5969" t="s">
        <v>1618</v>
      </c>
      <c r="M5969" t="s">
        <v>1627</v>
      </c>
      <c r="N5969">
        <v>10.29</v>
      </c>
      <c r="O5969" s="49">
        <v>45124</v>
      </c>
      <c r="P5969" s="50">
        <v>26.324999999999999</v>
      </c>
    </row>
    <row r="5970" spans="4:16" x14ac:dyDescent="0.2">
      <c r="D5970">
        <v>100003526</v>
      </c>
      <c r="E5970" s="49">
        <v>45081</v>
      </c>
      <c r="F5970" t="s">
        <v>5055</v>
      </c>
      <c r="G5970" t="s">
        <v>2418</v>
      </c>
      <c r="H5970">
        <v>10</v>
      </c>
      <c r="I5970">
        <v>38.22</v>
      </c>
      <c r="J5970" s="50">
        <v>382.2</v>
      </c>
      <c r="K5970" t="s">
        <v>1618</v>
      </c>
      <c r="M5970" t="s">
        <v>1619</v>
      </c>
      <c r="N5970">
        <v>20.170000000000002</v>
      </c>
      <c r="O5970" s="49">
        <v>45083</v>
      </c>
      <c r="P5970" s="50">
        <v>171.99</v>
      </c>
    </row>
    <row r="5971" spans="4:16" x14ac:dyDescent="0.2">
      <c r="D5971">
        <v>100003527</v>
      </c>
      <c r="E5971" s="49">
        <v>44420</v>
      </c>
      <c r="F5971" t="s">
        <v>5056</v>
      </c>
      <c r="G5971" t="s">
        <v>2099</v>
      </c>
      <c r="H5971">
        <v>9</v>
      </c>
      <c r="I5971">
        <v>42.73</v>
      </c>
      <c r="J5971" s="50">
        <v>384.57</v>
      </c>
      <c r="K5971" t="s">
        <v>1632</v>
      </c>
      <c r="M5971" t="s">
        <v>1621</v>
      </c>
      <c r="N5971">
        <v>22.55</v>
      </c>
      <c r="O5971" s="49">
        <v>44421</v>
      </c>
      <c r="P5971" s="50">
        <v>173.0565</v>
      </c>
    </row>
    <row r="5972" spans="4:16" x14ac:dyDescent="0.2">
      <c r="D5972">
        <v>100003528</v>
      </c>
      <c r="E5972" s="49">
        <v>44564</v>
      </c>
      <c r="F5972" t="s">
        <v>5057</v>
      </c>
      <c r="G5972" t="s">
        <v>1651</v>
      </c>
      <c r="H5972">
        <v>7</v>
      </c>
      <c r="I5972">
        <v>27.67</v>
      </c>
      <c r="J5972" s="50">
        <v>193.69</v>
      </c>
      <c r="K5972" t="s">
        <v>1618</v>
      </c>
      <c r="M5972" t="s">
        <v>1629</v>
      </c>
      <c r="N5972">
        <v>14.6</v>
      </c>
      <c r="O5972" s="49">
        <v>44568</v>
      </c>
      <c r="P5972" s="50">
        <v>87.160499999999999</v>
      </c>
    </row>
    <row r="5973" spans="4:16" x14ac:dyDescent="0.2">
      <c r="D5973">
        <v>100003529</v>
      </c>
      <c r="E5973" s="49">
        <v>44429</v>
      </c>
      <c r="F5973" t="s">
        <v>5058</v>
      </c>
      <c r="G5973" t="s">
        <v>1948</v>
      </c>
      <c r="H5973">
        <v>7</v>
      </c>
      <c r="I5973">
        <v>47.79</v>
      </c>
      <c r="J5973" s="50">
        <v>334.53</v>
      </c>
      <c r="K5973" t="s">
        <v>1632</v>
      </c>
      <c r="M5973" t="s">
        <v>1624</v>
      </c>
      <c r="N5973">
        <v>25.22</v>
      </c>
      <c r="O5973" s="49">
        <v>44431</v>
      </c>
      <c r="P5973" s="50">
        <v>150.5385</v>
      </c>
    </row>
    <row r="5974" spans="4:16" x14ac:dyDescent="0.2">
      <c r="D5974">
        <v>100003529</v>
      </c>
      <c r="E5974" s="49">
        <v>45555</v>
      </c>
      <c r="F5974" t="s">
        <v>5058</v>
      </c>
      <c r="G5974" t="s">
        <v>2098</v>
      </c>
      <c r="H5974">
        <v>8</v>
      </c>
      <c r="I5974">
        <v>88.21</v>
      </c>
      <c r="J5974" s="50">
        <v>705.68</v>
      </c>
      <c r="K5974" t="s">
        <v>1632</v>
      </c>
      <c r="M5974" t="s">
        <v>1619</v>
      </c>
      <c r="N5974">
        <v>46.55</v>
      </c>
      <c r="O5974" s="49">
        <v>45559</v>
      </c>
      <c r="P5974" s="50">
        <v>317.55599999999998</v>
      </c>
    </row>
    <row r="5975" spans="4:16" x14ac:dyDescent="0.2">
      <c r="D5975">
        <v>100003529</v>
      </c>
      <c r="E5975" s="49">
        <v>44282</v>
      </c>
      <c r="F5975" t="s">
        <v>5058</v>
      </c>
      <c r="G5975" t="s">
        <v>2431</v>
      </c>
      <c r="H5975">
        <v>9</v>
      </c>
      <c r="I5975">
        <v>51.39</v>
      </c>
      <c r="J5975" s="50">
        <v>462.51</v>
      </c>
      <c r="K5975" t="s">
        <v>1632</v>
      </c>
      <c r="M5975" t="s">
        <v>1627</v>
      </c>
      <c r="N5975">
        <v>27.12</v>
      </c>
      <c r="O5975" s="49">
        <v>44283</v>
      </c>
      <c r="P5975" s="50">
        <v>208.12950000000001</v>
      </c>
    </row>
    <row r="5976" spans="4:16" x14ac:dyDescent="0.2">
      <c r="D5976">
        <v>100003529</v>
      </c>
      <c r="E5976" s="49">
        <v>44591</v>
      </c>
      <c r="F5976" t="s">
        <v>5058</v>
      </c>
      <c r="G5976" t="s">
        <v>2460</v>
      </c>
      <c r="H5976">
        <v>3</v>
      </c>
      <c r="I5976">
        <v>97.17</v>
      </c>
      <c r="J5976" s="50">
        <v>291.51</v>
      </c>
      <c r="K5976" t="s">
        <v>1632</v>
      </c>
      <c r="M5976" t="s">
        <v>1621</v>
      </c>
      <c r="N5976">
        <v>51.28</v>
      </c>
      <c r="O5976" s="49">
        <v>44595</v>
      </c>
      <c r="P5976" s="50">
        <v>131.17949999999999</v>
      </c>
    </row>
    <row r="5977" spans="4:16" x14ac:dyDescent="0.2">
      <c r="D5977">
        <v>100003532</v>
      </c>
      <c r="E5977" s="49">
        <v>44904</v>
      </c>
      <c r="F5977" t="s">
        <v>5059</v>
      </c>
      <c r="G5977" t="s">
        <v>2192</v>
      </c>
      <c r="H5977">
        <v>1</v>
      </c>
      <c r="I5977">
        <v>14.87</v>
      </c>
      <c r="J5977" s="50">
        <v>14.87</v>
      </c>
      <c r="K5977" t="s">
        <v>1632</v>
      </c>
      <c r="M5977" t="s">
        <v>1619</v>
      </c>
      <c r="N5977">
        <v>7.85</v>
      </c>
      <c r="O5977" s="49">
        <v>44905</v>
      </c>
      <c r="P5977" s="50">
        <v>6.6914999999999996</v>
      </c>
    </row>
    <row r="5978" spans="4:16" x14ac:dyDescent="0.2">
      <c r="D5978">
        <v>100003533</v>
      </c>
      <c r="E5978" s="49">
        <v>45334</v>
      </c>
      <c r="F5978" t="s">
        <v>5060</v>
      </c>
      <c r="G5978" t="s">
        <v>2348</v>
      </c>
      <c r="H5978">
        <v>2</v>
      </c>
      <c r="I5978">
        <v>58.57</v>
      </c>
      <c r="J5978" s="50">
        <v>117.14</v>
      </c>
      <c r="K5978" t="s">
        <v>1618</v>
      </c>
      <c r="L5978" t="s">
        <v>5061</v>
      </c>
      <c r="M5978" t="s">
        <v>1619</v>
      </c>
      <c r="N5978">
        <v>30.91</v>
      </c>
      <c r="O5978" s="49">
        <v>45335</v>
      </c>
      <c r="P5978" s="50">
        <v>52.713000000000001</v>
      </c>
    </row>
    <row r="5979" spans="4:16" x14ac:dyDescent="0.2">
      <c r="D5979">
        <v>100003533</v>
      </c>
      <c r="E5979" s="49">
        <v>44537</v>
      </c>
      <c r="F5979" t="s">
        <v>5060</v>
      </c>
      <c r="G5979" t="s">
        <v>1929</v>
      </c>
      <c r="H5979">
        <v>10</v>
      </c>
      <c r="I5979">
        <v>110.11</v>
      </c>
      <c r="J5979" s="50">
        <v>1101.0999999999999</v>
      </c>
      <c r="K5979" t="s">
        <v>1618</v>
      </c>
      <c r="L5979" t="s">
        <v>5061</v>
      </c>
      <c r="M5979" t="s">
        <v>1624</v>
      </c>
      <c r="N5979">
        <v>58.11</v>
      </c>
      <c r="O5979" s="49">
        <v>44538</v>
      </c>
      <c r="P5979" s="50">
        <v>495.49499999999995</v>
      </c>
    </row>
    <row r="5980" spans="4:16" x14ac:dyDescent="0.2">
      <c r="D5980">
        <v>100003533</v>
      </c>
      <c r="E5980" s="49">
        <v>44310</v>
      </c>
      <c r="F5980" t="s">
        <v>5060</v>
      </c>
      <c r="G5980" t="s">
        <v>1674</v>
      </c>
      <c r="H5980">
        <v>1</v>
      </c>
      <c r="I5980">
        <v>88.22</v>
      </c>
      <c r="J5980" s="50">
        <v>88.22</v>
      </c>
      <c r="K5980" t="s">
        <v>1618</v>
      </c>
      <c r="L5980" t="s">
        <v>5061</v>
      </c>
      <c r="M5980" t="s">
        <v>1624</v>
      </c>
      <c r="N5980">
        <v>46.56</v>
      </c>
      <c r="O5980" s="49">
        <v>44311</v>
      </c>
      <c r="P5980" s="50">
        <v>39.698999999999998</v>
      </c>
    </row>
    <row r="5981" spans="4:16" x14ac:dyDescent="0.2">
      <c r="D5981">
        <v>100003534</v>
      </c>
      <c r="E5981" s="49">
        <v>45225</v>
      </c>
      <c r="F5981" t="s">
        <v>5062</v>
      </c>
      <c r="G5981" t="s">
        <v>2041</v>
      </c>
      <c r="H5981">
        <v>2</v>
      </c>
      <c r="I5981">
        <v>62.45</v>
      </c>
      <c r="J5981" s="50">
        <v>124.9</v>
      </c>
      <c r="K5981" t="s">
        <v>1618</v>
      </c>
      <c r="M5981" t="s">
        <v>1621</v>
      </c>
      <c r="N5981">
        <v>32.96</v>
      </c>
      <c r="O5981" s="49">
        <v>45230</v>
      </c>
      <c r="P5981" s="50">
        <v>56.205000000000005</v>
      </c>
    </row>
    <row r="5982" spans="4:16" x14ac:dyDescent="0.2">
      <c r="D5982">
        <v>100003535</v>
      </c>
      <c r="E5982" s="49">
        <v>45601</v>
      </c>
      <c r="F5982" t="s">
        <v>5063</v>
      </c>
      <c r="G5982" t="s">
        <v>2269</v>
      </c>
      <c r="H5982">
        <v>7</v>
      </c>
      <c r="I5982">
        <v>11.24</v>
      </c>
      <c r="J5982" s="50">
        <v>78.680000000000007</v>
      </c>
      <c r="K5982" t="s">
        <v>1632</v>
      </c>
      <c r="M5982" t="s">
        <v>1627</v>
      </c>
      <c r="N5982">
        <v>5.93</v>
      </c>
      <c r="O5982" s="49">
        <v>45606</v>
      </c>
      <c r="P5982" s="50">
        <v>35.406000000000006</v>
      </c>
    </row>
    <row r="5983" spans="4:16" x14ac:dyDescent="0.2">
      <c r="D5983">
        <v>100003535</v>
      </c>
      <c r="E5983" s="49">
        <v>44199</v>
      </c>
      <c r="F5983" t="s">
        <v>5063</v>
      </c>
      <c r="G5983" t="s">
        <v>1691</v>
      </c>
      <c r="H5983">
        <v>1</v>
      </c>
      <c r="I5983">
        <v>77.19</v>
      </c>
      <c r="J5983" s="50">
        <v>77.19</v>
      </c>
      <c r="K5983" t="s">
        <v>1632</v>
      </c>
      <c r="M5983" t="s">
        <v>1627</v>
      </c>
      <c r="N5983">
        <v>40.74</v>
      </c>
      <c r="O5983" s="49">
        <v>44200</v>
      </c>
      <c r="P5983" s="50">
        <v>34.735500000000002</v>
      </c>
    </row>
    <row r="5984" spans="4:16" x14ac:dyDescent="0.2">
      <c r="D5984">
        <v>100003538</v>
      </c>
      <c r="E5984" s="49">
        <v>44626</v>
      </c>
      <c r="F5984" t="s">
        <v>5064</v>
      </c>
      <c r="G5984" t="s">
        <v>2301</v>
      </c>
      <c r="H5984">
        <v>2</v>
      </c>
      <c r="I5984">
        <v>95.27</v>
      </c>
      <c r="J5984" s="50">
        <v>190.54</v>
      </c>
      <c r="K5984" t="s">
        <v>1632</v>
      </c>
      <c r="M5984" t="s">
        <v>1619</v>
      </c>
      <c r="N5984">
        <v>50.28</v>
      </c>
      <c r="O5984" s="49">
        <v>44630</v>
      </c>
      <c r="P5984" s="50">
        <v>85.742999999999995</v>
      </c>
    </row>
    <row r="5985" spans="4:16" x14ac:dyDescent="0.2">
      <c r="D5985">
        <v>100003538</v>
      </c>
      <c r="E5985" s="49">
        <v>45341</v>
      </c>
      <c r="F5985" t="s">
        <v>5064</v>
      </c>
      <c r="G5985" t="s">
        <v>1751</v>
      </c>
      <c r="H5985">
        <v>6</v>
      </c>
      <c r="I5985">
        <v>25.95</v>
      </c>
      <c r="J5985" s="50">
        <v>155.69999999999999</v>
      </c>
      <c r="K5985" t="s">
        <v>1632</v>
      </c>
      <c r="M5985" t="s">
        <v>1619</v>
      </c>
      <c r="N5985">
        <v>13.7</v>
      </c>
      <c r="O5985" s="49">
        <v>45345</v>
      </c>
      <c r="P5985" s="50">
        <v>70.064999999999998</v>
      </c>
    </row>
    <row r="5986" spans="4:16" x14ac:dyDescent="0.2">
      <c r="D5986">
        <v>100003540</v>
      </c>
      <c r="E5986" s="49">
        <v>44561</v>
      </c>
      <c r="F5986" t="s">
        <v>5065</v>
      </c>
      <c r="G5986" t="s">
        <v>1738</v>
      </c>
      <c r="H5986">
        <v>10</v>
      </c>
      <c r="I5986">
        <v>69.790000000000006</v>
      </c>
      <c r="J5986" s="50">
        <v>697.90000000000009</v>
      </c>
      <c r="K5986" t="s">
        <v>1618</v>
      </c>
      <c r="M5986" t="s">
        <v>1619</v>
      </c>
      <c r="N5986">
        <v>36.83</v>
      </c>
      <c r="O5986" s="49">
        <v>44564</v>
      </c>
      <c r="P5986" s="50">
        <v>314.05500000000006</v>
      </c>
    </row>
    <row r="5987" spans="4:16" x14ac:dyDescent="0.2">
      <c r="D5987">
        <v>100003540</v>
      </c>
      <c r="E5987" s="49">
        <v>44720</v>
      </c>
      <c r="F5987" t="s">
        <v>5065</v>
      </c>
      <c r="G5987" t="s">
        <v>2003</v>
      </c>
      <c r="H5987">
        <v>1</v>
      </c>
      <c r="I5987">
        <v>11.76</v>
      </c>
      <c r="J5987" s="50">
        <v>11.76</v>
      </c>
      <c r="K5987" t="s">
        <v>1618</v>
      </c>
      <c r="M5987" t="s">
        <v>1619</v>
      </c>
      <c r="N5987">
        <v>6.21</v>
      </c>
      <c r="O5987" s="49">
        <v>44722</v>
      </c>
      <c r="P5987" s="50">
        <v>5.2919999999999998</v>
      </c>
    </row>
    <row r="5988" spans="4:16" x14ac:dyDescent="0.2">
      <c r="D5988">
        <v>100003541</v>
      </c>
      <c r="E5988" s="49">
        <v>44964</v>
      </c>
      <c r="F5988" t="s">
        <v>4741</v>
      </c>
      <c r="G5988" t="s">
        <v>2025</v>
      </c>
      <c r="H5988">
        <v>5</v>
      </c>
      <c r="I5988">
        <v>54.59</v>
      </c>
      <c r="J5988" s="50">
        <v>272.95</v>
      </c>
      <c r="K5988" t="s">
        <v>1618</v>
      </c>
      <c r="M5988" t="s">
        <v>1619</v>
      </c>
      <c r="N5988">
        <v>28.81</v>
      </c>
      <c r="O5988" s="49">
        <v>44965</v>
      </c>
      <c r="P5988" s="50">
        <v>122.8275</v>
      </c>
    </row>
    <row r="5989" spans="4:16" x14ac:dyDescent="0.2">
      <c r="D5989">
        <v>100003543</v>
      </c>
      <c r="E5989" s="49">
        <v>45116</v>
      </c>
      <c r="F5989" t="s">
        <v>5066</v>
      </c>
      <c r="G5989" t="s">
        <v>2047</v>
      </c>
      <c r="H5989">
        <v>10</v>
      </c>
      <c r="I5989">
        <v>41.42</v>
      </c>
      <c r="J5989" s="50">
        <v>414.2</v>
      </c>
      <c r="K5989" t="s">
        <v>1618</v>
      </c>
      <c r="L5989" t="s">
        <v>5067</v>
      </c>
      <c r="M5989" t="s">
        <v>1627</v>
      </c>
      <c r="N5989">
        <v>21.86</v>
      </c>
      <c r="O5989" s="49">
        <v>45121</v>
      </c>
      <c r="P5989" s="50">
        <v>186.39</v>
      </c>
    </row>
    <row r="5990" spans="4:16" x14ac:dyDescent="0.2">
      <c r="D5990">
        <v>100003544</v>
      </c>
      <c r="E5990" s="49">
        <v>44362</v>
      </c>
      <c r="F5990" t="s">
        <v>5068</v>
      </c>
      <c r="G5990" t="s">
        <v>1671</v>
      </c>
      <c r="H5990">
        <v>2</v>
      </c>
      <c r="I5990">
        <v>102.62</v>
      </c>
      <c r="J5990" s="50">
        <v>205.24</v>
      </c>
      <c r="K5990" t="s">
        <v>1632</v>
      </c>
      <c r="M5990" t="s">
        <v>1624</v>
      </c>
      <c r="N5990">
        <v>54.16</v>
      </c>
      <c r="O5990" s="49">
        <v>44364</v>
      </c>
      <c r="P5990" s="50">
        <v>92.358000000000004</v>
      </c>
    </row>
    <row r="5991" spans="4:16" x14ac:dyDescent="0.2">
      <c r="D5991">
        <v>100003545</v>
      </c>
      <c r="E5991" s="49">
        <v>44219</v>
      </c>
      <c r="F5991" t="s">
        <v>5069</v>
      </c>
      <c r="G5991" t="s">
        <v>2057</v>
      </c>
      <c r="H5991">
        <v>8</v>
      </c>
      <c r="I5991">
        <v>42.85</v>
      </c>
      <c r="J5991" s="50">
        <v>342.8</v>
      </c>
      <c r="K5991" t="s">
        <v>1618</v>
      </c>
      <c r="M5991" t="s">
        <v>1627</v>
      </c>
      <c r="N5991">
        <v>22.62</v>
      </c>
      <c r="O5991" s="49">
        <v>44221</v>
      </c>
      <c r="P5991" s="50">
        <v>154.26000000000002</v>
      </c>
    </row>
    <row r="5992" spans="4:16" x14ac:dyDescent="0.2">
      <c r="D5992">
        <v>100003545</v>
      </c>
      <c r="E5992" s="49">
        <v>45415</v>
      </c>
      <c r="F5992" t="s">
        <v>5069</v>
      </c>
      <c r="G5992" t="s">
        <v>2198</v>
      </c>
      <c r="H5992">
        <v>8</v>
      </c>
      <c r="I5992">
        <v>95.94</v>
      </c>
      <c r="J5992" s="50">
        <v>767.52</v>
      </c>
      <c r="K5992" t="s">
        <v>1618</v>
      </c>
      <c r="M5992" t="s">
        <v>1619</v>
      </c>
      <c r="N5992">
        <v>50.63</v>
      </c>
      <c r="O5992" s="49">
        <v>45416</v>
      </c>
      <c r="P5992" s="50">
        <v>345.38400000000001</v>
      </c>
    </row>
    <row r="5993" spans="4:16" x14ac:dyDescent="0.2">
      <c r="D5993">
        <v>100003546</v>
      </c>
      <c r="E5993" s="49">
        <v>44275</v>
      </c>
      <c r="F5993" t="s">
        <v>5070</v>
      </c>
      <c r="G5993" t="s">
        <v>2025</v>
      </c>
      <c r="H5993">
        <v>8</v>
      </c>
      <c r="I5993">
        <v>96.81</v>
      </c>
      <c r="J5993" s="50">
        <v>774.48</v>
      </c>
      <c r="K5993" t="s">
        <v>1618</v>
      </c>
      <c r="M5993" t="s">
        <v>1621</v>
      </c>
      <c r="N5993">
        <v>51.09</v>
      </c>
      <c r="O5993" s="49">
        <v>44279</v>
      </c>
      <c r="P5993" s="50">
        <v>348.51600000000002</v>
      </c>
    </row>
    <row r="5994" spans="4:16" x14ac:dyDescent="0.2">
      <c r="D5994">
        <v>100003547</v>
      </c>
      <c r="E5994" s="49">
        <v>45359</v>
      </c>
      <c r="F5994" t="s">
        <v>5071</v>
      </c>
      <c r="G5994" t="s">
        <v>1785</v>
      </c>
      <c r="H5994">
        <v>8</v>
      </c>
      <c r="I5994">
        <v>10.98</v>
      </c>
      <c r="J5994" s="50">
        <v>87.84</v>
      </c>
      <c r="K5994" t="s">
        <v>1618</v>
      </c>
      <c r="M5994" t="s">
        <v>1624</v>
      </c>
      <c r="N5994">
        <v>5.79</v>
      </c>
      <c r="O5994" s="49">
        <v>45361</v>
      </c>
      <c r="P5994" s="50">
        <v>39.528000000000006</v>
      </c>
    </row>
    <row r="5995" spans="4:16" x14ac:dyDescent="0.2">
      <c r="D5995">
        <v>100003547</v>
      </c>
      <c r="E5995" s="49">
        <v>45432</v>
      </c>
      <c r="F5995" t="s">
        <v>5071</v>
      </c>
      <c r="G5995" t="s">
        <v>1719</v>
      </c>
      <c r="H5995">
        <v>5</v>
      </c>
      <c r="I5995">
        <v>109.48</v>
      </c>
      <c r="J5995" s="50">
        <v>547.4</v>
      </c>
      <c r="K5995" t="s">
        <v>1618</v>
      </c>
      <c r="M5995" t="s">
        <v>1627</v>
      </c>
      <c r="N5995">
        <v>57.78</v>
      </c>
      <c r="O5995" s="49">
        <v>45437</v>
      </c>
      <c r="P5995" s="50">
        <v>246.32999999999998</v>
      </c>
    </row>
    <row r="5996" spans="4:16" x14ac:dyDescent="0.2">
      <c r="D5996">
        <v>100003548</v>
      </c>
      <c r="E5996" s="49">
        <v>44488</v>
      </c>
      <c r="F5996" t="s">
        <v>5072</v>
      </c>
      <c r="G5996" t="s">
        <v>2159</v>
      </c>
      <c r="H5996">
        <v>6</v>
      </c>
      <c r="I5996">
        <v>91.24</v>
      </c>
      <c r="J5996" s="50">
        <v>547.43999999999994</v>
      </c>
      <c r="K5996" t="s">
        <v>1618</v>
      </c>
      <c r="M5996" t="s">
        <v>1621</v>
      </c>
      <c r="N5996">
        <v>48.15</v>
      </c>
      <c r="O5996" s="49">
        <v>44491</v>
      </c>
      <c r="P5996" s="50">
        <v>246.34799999999998</v>
      </c>
    </row>
    <row r="5997" spans="4:16" x14ac:dyDescent="0.2">
      <c r="D5997">
        <v>100003550</v>
      </c>
      <c r="E5997" s="49">
        <v>44597</v>
      </c>
      <c r="F5997" t="s">
        <v>5073</v>
      </c>
      <c r="G5997" t="s">
        <v>1999</v>
      </c>
      <c r="H5997">
        <v>2</v>
      </c>
      <c r="I5997">
        <v>68.62</v>
      </c>
      <c r="J5997" s="50">
        <v>137.24</v>
      </c>
      <c r="K5997" t="s">
        <v>1632</v>
      </c>
      <c r="M5997" t="s">
        <v>1619</v>
      </c>
      <c r="N5997">
        <v>36.22</v>
      </c>
      <c r="O5997" s="49">
        <v>44601</v>
      </c>
      <c r="P5997" s="50">
        <v>61.758000000000003</v>
      </c>
    </row>
    <row r="5998" spans="4:16" x14ac:dyDescent="0.2">
      <c r="D5998">
        <v>100003551</v>
      </c>
      <c r="E5998" s="49">
        <v>44845</v>
      </c>
      <c r="F5998" t="s">
        <v>5074</v>
      </c>
      <c r="G5998" t="s">
        <v>2766</v>
      </c>
      <c r="H5998">
        <v>5</v>
      </c>
      <c r="I5998">
        <v>92.99</v>
      </c>
      <c r="J5998" s="50">
        <v>464.95</v>
      </c>
      <c r="K5998" t="s">
        <v>1632</v>
      </c>
      <c r="L5998" t="s">
        <v>5075</v>
      </c>
      <c r="M5998" t="s">
        <v>1621</v>
      </c>
      <c r="N5998">
        <v>49.08</v>
      </c>
      <c r="O5998" s="49">
        <v>44849</v>
      </c>
      <c r="P5998" s="50">
        <v>209.22749999999999</v>
      </c>
    </row>
    <row r="5999" spans="4:16" x14ac:dyDescent="0.2">
      <c r="D5999">
        <v>100003551</v>
      </c>
      <c r="E5999" s="49">
        <v>45383</v>
      </c>
      <c r="F5999" t="s">
        <v>5074</v>
      </c>
      <c r="G5999" t="s">
        <v>2191</v>
      </c>
      <c r="H5999">
        <v>3</v>
      </c>
      <c r="I5999">
        <v>101.14</v>
      </c>
      <c r="J5999" s="50">
        <v>303.42</v>
      </c>
      <c r="K5999" t="s">
        <v>1632</v>
      </c>
      <c r="L5999" t="s">
        <v>5075</v>
      </c>
      <c r="M5999" t="s">
        <v>1627</v>
      </c>
      <c r="N5999">
        <v>53.38</v>
      </c>
      <c r="O5999" s="49">
        <v>45386</v>
      </c>
      <c r="P5999" s="50">
        <v>136.53900000000002</v>
      </c>
    </row>
    <row r="6000" spans="4:16" x14ac:dyDescent="0.2">
      <c r="D6000">
        <v>100003551</v>
      </c>
      <c r="E6000" s="49">
        <v>45402</v>
      </c>
      <c r="F6000" t="s">
        <v>5074</v>
      </c>
      <c r="G6000" t="s">
        <v>1799</v>
      </c>
      <c r="H6000">
        <v>5</v>
      </c>
      <c r="I6000">
        <v>73.38</v>
      </c>
      <c r="J6000" s="50">
        <v>366.9</v>
      </c>
      <c r="K6000" t="s">
        <v>1632</v>
      </c>
      <c r="L6000" t="s">
        <v>5075</v>
      </c>
      <c r="M6000" t="s">
        <v>1619</v>
      </c>
      <c r="N6000">
        <v>38.729999999999997</v>
      </c>
      <c r="O6000" s="49">
        <v>45403</v>
      </c>
      <c r="P6000" s="50">
        <v>165.10499999999999</v>
      </c>
    </row>
    <row r="6001" spans="4:16" x14ac:dyDescent="0.2">
      <c r="D6001">
        <v>100003552</v>
      </c>
      <c r="E6001" s="49">
        <v>45330</v>
      </c>
      <c r="F6001" t="s">
        <v>5076</v>
      </c>
      <c r="G6001" t="s">
        <v>2074</v>
      </c>
      <c r="H6001">
        <v>2</v>
      </c>
      <c r="I6001">
        <v>99.06</v>
      </c>
      <c r="J6001" s="50">
        <v>198.12</v>
      </c>
      <c r="K6001" t="s">
        <v>1632</v>
      </c>
      <c r="M6001" t="s">
        <v>1629</v>
      </c>
      <c r="N6001">
        <v>52.28</v>
      </c>
      <c r="O6001" s="49">
        <v>45334</v>
      </c>
      <c r="P6001" s="50">
        <v>89.154000000000011</v>
      </c>
    </row>
    <row r="6002" spans="4:16" x14ac:dyDescent="0.2">
      <c r="D6002">
        <v>100003552</v>
      </c>
      <c r="E6002" s="49">
        <v>44927</v>
      </c>
      <c r="F6002" t="s">
        <v>5076</v>
      </c>
      <c r="G6002" t="s">
        <v>2062</v>
      </c>
      <c r="H6002">
        <v>5</v>
      </c>
      <c r="I6002">
        <v>113.32</v>
      </c>
      <c r="J6002" s="50">
        <v>566.59999999999991</v>
      </c>
      <c r="K6002" t="s">
        <v>1632</v>
      </c>
      <c r="M6002" t="s">
        <v>1627</v>
      </c>
      <c r="N6002">
        <v>59.81</v>
      </c>
      <c r="O6002" s="49">
        <v>44928</v>
      </c>
      <c r="P6002" s="50">
        <v>254.96999999999997</v>
      </c>
    </row>
    <row r="6003" spans="4:16" x14ac:dyDescent="0.2">
      <c r="D6003">
        <v>100003553</v>
      </c>
      <c r="E6003" s="49">
        <v>45066</v>
      </c>
      <c r="F6003" t="s">
        <v>5077</v>
      </c>
      <c r="G6003" t="s">
        <v>1969</v>
      </c>
      <c r="H6003">
        <v>7</v>
      </c>
      <c r="I6003">
        <v>79.650000000000006</v>
      </c>
      <c r="J6003" s="50">
        <v>557.55000000000007</v>
      </c>
      <c r="K6003" t="s">
        <v>1632</v>
      </c>
      <c r="M6003" t="s">
        <v>1619</v>
      </c>
      <c r="N6003">
        <v>42.04</v>
      </c>
      <c r="O6003" s="49">
        <v>45071</v>
      </c>
      <c r="P6003" s="50">
        <v>250.89750000000004</v>
      </c>
    </row>
    <row r="6004" spans="4:16" x14ac:dyDescent="0.2">
      <c r="D6004">
        <v>100003553</v>
      </c>
      <c r="E6004" s="49">
        <v>44695</v>
      </c>
      <c r="F6004" t="s">
        <v>5077</v>
      </c>
      <c r="G6004" t="s">
        <v>1918</v>
      </c>
      <c r="H6004">
        <v>2</v>
      </c>
      <c r="I6004">
        <v>94.89</v>
      </c>
      <c r="J6004" s="50">
        <v>189.78</v>
      </c>
      <c r="K6004" t="s">
        <v>1632</v>
      </c>
      <c r="M6004" t="s">
        <v>1624</v>
      </c>
      <c r="N6004">
        <v>50.08</v>
      </c>
      <c r="O6004" s="49">
        <v>44700</v>
      </c>
      <c r="P6004" s="50">
        <v>85.400999999999996</v>
      </c>
    </row>
    <row r="6005" spans="4:16" x14ac:dyDescent="0.2">
      <c r="D6005">
        <v>100003553</v>
      </c>
      <c r="E6005" s="49">
        <v>45128</v>
      </c>
      <c r="F6005" t="s">
        <v>5077</v>
      </c>
      <c r="G6005" t="s">
        <v>1723</v>
      </c>
      <c r="H6005">
        <v>3</v>
      </c>
      <c r="I6005">
        <v>61.46</v>
      </c>
      <c r="J6005" s="50">
        <v>184.38</v>
      </c>
      <c r="K6005" t="s">
        <v>1632</v>
      </c>
      <c r="M6005" t="s">
        <v>1629</v>
      </c>
      <c r="N6005">
        <v>32.44</v>
      </c>
      <c r="O6005" s="49">
        <v>45133</v>
      </c>
      <c r="P6005" s="50">
        <v>82.971000000000004</v>
      </c>
    </row>
    <row r="6006" spans="4:16" x14ac:dyDescent="0.2">
      <c r="D6006">
        <v>100003553</v>
      </c>
      <c r="E6006" s="49">
        <v>44756</v>
      </c>
      <c r="F6006" t="s">
        <v>5077</v>
      </c>
      <c r="G6006" t="s">
        <v>2306</v>
      </c>
      <c r="H6006">
        <v>1</v>
      </c>
      <c r="I6006">
        <v>60.85</v>
      </c>
      <c r="J6006" s="50">
        <v>60.85</v>
      </c>
      <c r="K6006" t="s">
        <v>1632</v>
      </c>
      <c r="M6006" t="s">
        <v>1629</v>
      </c>
      <c r="N6006">
        <v>32.119999999999997</v>
      </c>
      <c r="O6006" s="49">
        <v>44761</v>
      </c>
      <c r="P6006" s="50">
        <v>27.3825</v>
      </c>
    </row>
    <row r="6007" spans="4:16" x14ac:dyDescent="0.2">
      <c r="D6007">
        <v>100003553</v>
      </c>
      <c r="E6007" s="49">
        <v>45608</v>
      </c>
      <c r="F6007" t="s">
        <v>5077</v>
      </c>
      <c r="G6007" t="s">
        <v>2019</v>
      </c>
      <c r="H6007">
        <v>4</v>
      </c>
      <c r="I6007">
        <v>56.78</v>
      </c>
      <c r="J6007" s="50">
        <v>227.12</v>
      </c>
      <c r="K6007" t="s">
        <v>1632</v>
      </c>
      <c r="M6007" t="s">
        <v>1627</v>
      </c>
      <c r="N6007">
        <v>29.97</v>
      </c>
      <c r="O6007" s="49">
        <v>45610</v>
      </c>
      <c r="P6007" s="50">
        <v>102.20400000000001</v>
      </c>
    </row>
    <row r="6008" spans="4:16" x14ac:dyDescent="0.2">
      <c r="D6008">
        <v>100003553</v>
      </c>
      <c r="E6008" s="49">
        <v>44880</v>
      </c>
      <c r="F6008" t="s">
        <v>5077</v>
      </c>
      <c r="G6008" t="s">
        <v>2112</v>
      </c>
      <c r="H6008">
        <v>1</v>
      </c>
      <c r="I6008">
        <v>78.37</v>
      </c>
      <c r="J6008" s="50">
        <v>78.37</v>
      </c>
      <c r="K6008" t="s">
        <v>1632</v>
      </c>
      <c r="M6008" t="s">
        <v>1629</v>
      </c>
      <c r="N6008">
        <v>41.36</v>
      </c>
      <c r="O6008" s="49">
        <v>44881</v>
      </c>
      <c r="P6008" s="50">
        <v>35.266500000000001</v>
      </c>
    </row>
    <row r="6009" spans="4:16" x14ac:dyDescent="0.2">
      <c r="D6009">
        <v>100003553</v>
      </c>
      <c r="E6009" s="49">
        <v>44545</v>
      </c>
      <c r="F6009" t="s">
        <v>5077</v>
      </c>
      <c r="G6009" t="s">
        <v>2138</v>
      </c>
      <c r="H6009">
        <v>3</v>
      </c>
      <c r="I6009">
        <v>68.25</v>
      </c>
      <c r="J6009" s="50">
        <v>204.75</v>
      </c>
      <c r="K6009" t="s">
        <v>1632</v>
      </c>
      <c r="M6009" t="s">
        <v>1624</v>
      </c>
      <c r="N6009">
        <v>36.020000000000003</v>
      </c>
      <c r="O6009" s="49">
        <v>44550</v>
      </c>
      <c r="P6009" s="50">
        <v>92.137500000000003</v>
      </c>
    </row>
    <row r="6010" spans="4:16" x14ac:dyDescent="0.2">
      <c r="D6010">
        <v>100003553</v>
      </c>
      <c r="E6010" s="49">
        <v>44605</v>
      </c>
      <c r="F6010" t="s">
        <v>5077</v>
      </c>
      <c r="G6010" t="s">
        <v>1667</v>
      </c>
      <c r="H6010">
        <v>10</v>
      </c>
      <c r="I6010">
        <v>40.93</v>
      </c>
      <c r="J6010" s="50">
        <v>409.3</v>
      </c>
      <c r="K6010" t="s">
        <v>1632</v>
      </c>
      <c r="M6010" t="s">
        <v>1627</v>
      </c>
      <c r="N6010">
        <v>21.6</v>
      </c>
      <c r="O6010" s="49">
        <v>44609</v>
      </c>
      <c r="P6010" s="50">
        <v>184.185</v>
      </c>
    </row>
    <row r="6011" spans="4:16" x14ac:dyDescent="0.2">
      <c r="D6011">
        <v>100003553</v>
      </c>
      <c r="E6011" s="49">
        <v>44978</v>
      </c>
      <c r="F6011" t="s">
        <v>5077</v>
      </c>
      <c r="G6011" t="s">
        <v>1727</v>
      </c>
      <c r="H6011">
        <v>5</v>
      </c>
      <c r="I6011">
        <v>12.93</v>
      </c>
      <c r="J6011" s="50">
        <v>64.650000000000006</v>
      </c>
      <c r="K6011" t="s">
        <v>1632</v>
      </c>
      <c r="M6011" t="s">
        <v>1627</v>
      </c>
      <c r="N6011">
        <v>6.82</v>
      </c>
      <c r="O6011" s="49">
        <v>44983</v>
      </c>
      <c r="P6011" s="50">
        <v>29.092500000000005</v>
      </c>
    </row>
    <row r="6012" spans="4:16" x14ac:dyDescent="0.2">
      <c r="D6012">
        <v>100003554</v>
      </c>
      <c r="E6012" s="49">
        <v>44836</v>
      </c>
      <c r="F6012" t="s">
        <v>5078</v>
      </c>
      <c r="G6012" t="s">
        <v>2766</v>
      </c>
      <c r="H6012">
        <v>8</v>
      </c>
      <c r="I6012">
        <v>33.200000000000003</v>
      </c>
      <c r="J6012" s="50">
        <v>265.60000000000002</v>
      </c>
      <c r="K6012" t="s">
        <v>1618</v>
      </c>
      <c r="M6012" t="s">
        <v>1629</v>
      </c>
      <c r="N6012">
        <v>17.52</v>
      </c>
      <c r="O6012" s="49">
        <v>44837</v>
      </c>
      <c r="P6012" s="50">
        <v>119.52000000000001</v>
      </c>
    </row>
    <row r="6013" spans="4:16" x14ac:dyDescent="0.2">
      <c r="D6013">
        <v>100003555</v>
      </c>
      <c r="E6013" s="49">
        <v>44866</v>
      </c>
      <c r="F6013" t="s">
        <v>5079</v>
      </c>
      <c r="G6013" t="s">
        <v>2038</v>
      </c>
      <c r="H6013">
        <v>6</v>
      </c>
      <c r="I6013">
        <v>92.79</v>
      </c>
      <c r="J6013" s="50">
        <v>556.74</v>
      </c>
      <c r="K6013" t="s">
        <v>1618</v>
      </c>
      <c r="L6013" t="s">
        <v>5080</v>
      </c>
      <c r="M6013" t="s">
        <v>1621</v>
      </c>
      <c r="N6013">
        <v>48.97</v>
      </c>
      <c r="O6013" s="49">
        <v>44870</v>
      </c>
      <c r="P6013" s="50">
        <v>250.53300000000002</v>
      </c>
    </row>
    <row r="6014" spans="4:16" x14ac:dyDescent="0.2">
      <c r="D6014">
        <v>100003558</v>
      </c>
      <c r="E6014" s="49">
        <v>45278</v>
      </c>
      <c r="F6014" t="s">
        <v>5081</v>
      </c>
      <c r="G6014" t="s">
        <v>2269</v>
      </c>
      <c r="H6014">
        <v>3</v>
      </c>
      <c r="I6014">
        <v>69.34</v>
      </c>
      <c r="J6014" s="50">
        <v>208.02</v>
      </c>
      <c r="K6014" t="s">
        <v>1618</v>
      </c>
      <c r="M6014" t="s">
        <v>1624</v>
      </c>
      <c r="N6014">
        <v>36.6</v>
      </c>
      <c r="O6014" s="49">
        <v>45279</v>
      </c>
      <c r="P6014" s="50">
        <v>93.609000000000009</v>
      </c>
    </row>
    <row r="6015" spans="4:16" x14ac:dyDescent="0.2">
      <c r="D6015">
        <v>100003558</v>
      </c>
      <c r="E6015" s="49">
        <v>45167</v>
      </c>
      <c r="F6015" t="s">
        <v>5081</v>
      </c>
      <c r="G6015" t="s">
        <v>1762</v>
      </c>
      <c r="H6015">
        <v>7</v>
      </c>
      <c r="I6015">
        <v>46.7</v>
      </c>
      <c r="J6015" s="50">
        <v>326.89999999999998</v>
      </c>
      <c r="K6015" t="s">
        <v>1618</v>
      </c>
      <c r="M6015" t="s">
        <v>1621</v>
      </c>
      <c r="N6015">
        <v>24.65</v>
      </c>
      <c r="O6015" s="49">
        <v>45170</v>
      </c>
      <c r="P6015" s="50">
        <v>147.10499999999999</v>
      </c>
    </row>
    <row r="6016" spans="4:16" x14ac:dyDescent="0.2">
      <c r="D6016">
        <v>100003559</v>
      </c>
      <c r="E6016" s="49">
        <v>44690</v>
      </c>
      <c r="F6016" t="s">
        <v>5082</v>
      </c>
      <c r="G6016" t="s">
        <v>1714</v>
      </c>
      <c r="H6016">
        <v>10</v>
      </c>
      <c r="I6016">
        <v>33.6</v>
      </c>
      <c r="J6016" s="50">
        <v>336</v>
      </c>
      <c r="K6016" t="s">
        <v>1618</v>
      </c>
      <c r="M6016" t="s">
        <v>1629</v>
      </c>
      <c r="N6016">
        <v>17.73</v>
      </c>
      <c r="O6016" s="49">
        <v>44695</v>
      </c>
      <c r="P6016" s="50">
        <v>151.20000000000002</v>
      </c>
    </row>
    <row r="6017" spans="4:16" x14ac:dyDescent="0.2">
      <c r="D6017">
        <v>100003559</v>
      </c>
      <c r="E6017" s="49">
        <v>45326</v>
      </c>
      <c r="F6017" t="s">
        <v>5082</v>
      </c>
      <c r="G6017" t="s">
        <v>2086</v>
      </c>
      <c r="H6017">
        <v>2</v>
      </c>
      <c r="I6017">
        <v>39.92</v>
      </c>
      <c r="J6017" s="50">
        <v>79.84</v>
      </c>
      <c r="K6017" t="s">
        <v>1618</v>
      </c>
      <c r="M6017" t="s">
        <v>1627</v>
      </c>
      <c r="N6017">
        <v>21.07</v>
      </c>
      <c r="O6017" s="49">
        <v>45328</v>
      </c>
      <c r="P6017" s="50">
        <v>35.928000000000004</v>
      </c>
    </row>
    <row r="6018" spans="4:16" x14ac:dyDescent="0.2">
      <c r="D6018">
        <v>100003559</v>
      </c>
      <c r="E6018" s="49">
        <v>44677</v>
      </c>
      <c r="F6018" t="s">
        <v>5082</v>
      </c>
      <c r="G6018" t="s">
        <v>1900</v>
      </c>
      <c r="H6018">
        <v>3</v>
      </c>
      <c r="I6018">
        <v>52.28</v>
      </c>
      <c r="J6018" s="50">
        <v>156.84</v>
      </c>
      <c r="K6018" t="s">
        <v>1618</v>
      </c>
      <c r="M6018" t="s">
        <v>1627</v>
      </c>
      <c r="N6018">
        <v>27.59</v>
      </c>
      <c r="O6018" s="49">
        <v>44681</v>
      </c>
      <c r="P6018" s="50">
        <v>70.578000000000003</v>
      </c>
    </row>
    <row r="6019" spans="4:16" x14ac:dyDescent="0.2">
      <c r="D6019">
        <v>100003559</v>
      </c>
      <c r="E6019" s="49">
        <v>44785</v>
      </c>
      <c r="F6019" t="s">
        <v>5082</v>
      </c>
      <c r="G6019" t="s">
        <v>1948</v>
      </c>
      <c r="H6019">
        <v>6</v>
      </c>
      <c r="I6019">
        <v>84.69</v>
      </c>
      <c r="J6019" s="50">
        <v>508.14</v>
      </c>
      <c r="K6019" t="s">
        <v>1618</v>
      </c>
      <c r="M6019" t="s">
        <v>1619</v>
      </c>
      <c r="N6019">
        <v>44.7</v>
      </c>
      <c r="O6019" s="49">
        <v>44789</v>
      </c>
      <c r="P6019" s="50">
        <v>228.66300000000001</v>
      </c>
    </row>
    <row r="6020" spans="4:16" x14ac:dyDescent="0.2">
      <c r="D6020">
        <v>100003560</v>
      </c>
      <c r="E6020" s="49">
        <v>44433</v>
      </c>
      <c r="F6020" t="s">
        <v>4808</v>
      </c>
      <c r="G6020" t="s">
        <v>2344</v>
      </c>
      <c r="H6020">
        <v>8</v>
      </c>
      <c r="I6020">
        <v>50.25</v>
      </c>
      <c r="J6020" s="50">
        <v>402</v>
      </c>
      <c r="K6020" t="s">
        <v>1618</v>
      </c>
      <c r="L6020" t="s">
        <v>5083</v>
      </c>
      <c r="M6020" t="s">
        <v>1629</v>
      </c>
      <c r="N6020">
        <v>26.52</v>
      </c>
      <c r="O6020" s="49">
        <v>44437</v>
      </c>
      <c r="P6020" s="50">
        <v>180.9</v>
      </c>
    </row>
    <row r="6021" spans="4:16" x14ac:dyDescent="0.2">
      <c r="D6021">
        <v>100003560</v>
      </c>
      <c r="E6021" s="49">
        <v>44904</v>
      </c>
      <c r="F6021" t="s">
        <v>4808</v>
      </c>
      <c r="G6021" t="s">
        <v>1958</v>
      </c>
      <c r="H6021">
        <v>2</v>
      </c>
      <c r="I6021">
        <v>39.369999999999997</v>
      </c>
      <c r="J6021" s="50">
        <v>78.739999999999995</v>
      </c>
      <c r="K6021" t="s">
        <v>1618</v>
      </c>
      <c r="L6021" t="s">
        <v>5083</v>
      </c>
      <c r="M6021" t="s">
        <v>1629</v>
      </c>
      <c r="N6021">
        <v>20.78</v>
      </c>
      <c r="O6021" s="49">
        <v>44907</v>
      </c>
      <c r="P6021" s="50">
        <v>35.433</v>
      </c>
    </row>
    <row r="6022" spans="4:16" x14ac:dyDescent="0.2">
      <c r="D6022">
        <v>100003560</v>
      </c>
      <c r="E6022" s="49">
        <v>45636</v>
      </c>
      <c r="F6022" t="s">
        <v>4808</v>
      </c>
      <c r="G6022" t="s">
        <v>2447</v>
      </c>
      <c r="H6022">
        <v>2</v>
      </c>
      <c r="I6022">
        <v>10.86</v>
      </c>
      <c r="J6022" s="50">
        <v>21.72</v>
      </c>
      <c r="K6022" t="s">
        <v>1618</v>
      </c>
      <c r="L6022" t="s">
        <v>5083</v>
      </c>
      <c r="M6022" t="s">
        <v>1627</v>
      </c>
      <c r="N6022">
        <v>5.73</v>
      </c>
      <c r="O6022" s="49">
        <v>45639</v>
      </c>
      <c r="P6022" s="50">
        <v>9.7739999999999991</v>
      </c>
    </row>
    <row r="6023" spans="4:16" x14ac:dyDescent="0.2">
      <c r="D6023">
        <v>100003561</v>
      </c>
      <c r="E6023" s="49">
        <v>44568</v>
      </c>
      <c r="F6023" t="s">
        <v>5084</v>
      </c>
      <c r="G6023" t="s">
        <v>1937</v>
      </c>
      <c r="H6023">
        <v>2</v>
      </c>
      <c r="I6023">
        <v>109.45</v>
      </c>
      <c r="J6023" s="50">
        <v>218.9</v>
      </c>
      <c r="K6023" t="s">
        <v>1632</v>
      </c>
      <c r="M6023" t="s">
        <v>1624</v>
      </c>
      <c r="N6023">
        <v>57.76</v>
      </c>
      <c r="O6023" s="49">
        <v>44573</v>
      </c>
      <c r="P6023" s="50">
        <v>98.50500000000001</v>
      </c>
    </row>
    <row r="6024" spans="4:16" x14ac:dyDescent="0.2">
      <c r="D6024">
        <v>100003561</v>
      </c>
      <c r="E6024" s="49">
        <v>44358</v>
      </c>
      <c r="F6024" t="s">
        <v>5084</v>
      </c>
      <c r="G6024" t="s">
        <v>1644</v>
      </c>
      <c r="H6024">
        <v>4</v>
      </c>
      <c r="I6024">
        <v>39.409999999999997</v>
      </c>
      <c r="J6024" s="50">
        <v>157.63999999999999</v>
      </c>
      <c r="K6024" t="s">
        <v>1632</v>
      </c>
      <c r="M6024" t="s">
        <v>1629</v>
      </c>
      <c r="N6024">
        <v>20.8</v>
      </c>
      <c r="O6024" s="49">
        <v>44363</v>
      </c>
      <c r="P6024" s="50">
        <v>70.938000000000002</v>
      </c>
    </row>
    <row r="6025" spans="4:16" x14ac:dyDescent="0.2">
      <c r="D6025">
        <v>100003561</v>
      </c>
      <c r="E6025" s="49">
        <v>45087</v>
      </c>
      <c r="F6025" t="s">
        <v>5084</v>
      </c>
      <c r="G6025" t="s">
        <v>1842</v>
      </c>
      <c r="H6025">
        <v>2</v>
      </c>
      <c r="I6025">
        <v>83.64</v>
      </c>
      <c r="J6025" s="50">
        <v>167.28</v>
      </c>
      <c r="K6025" t="s">
        <v>1632</v>
      </c>
      <c r="M6025" t="s">
        <v>1619</v>
      </c>
      <c r="N6025">
        <v>44.14</v>
      </c>
      <c r="O6025" s="49">
        <v>45090</v>
      </c>
      <c r="P6025" s="50">
        <v>75.275999999999996</v>
      </c>
    </row>
    <row r="6026" spans="4:16" x14ac:dyDescent="0.2">
      <c r="D6026">
        <v>100003561</v>
      </c>
      <c r="E6026" s="49">
        <v>44667</v>
      </c>
      <c r="F6026" t="s">
        <v>5084</v>
      </c>
      <c r="G6026" t="s">
        <v>1846</v>
      </c>
      <c r="H6026">
        <v>10</v>
      </c>
      <c r="I6026">
        <v>10.07</v>
      </c>
      <c r="J6026" s="50">
        <v>100.7</v>
      </c>
      <c r="K6026" t="s">
        <v>1632</v>
      </c>
      <c r="M6026" t="s">
        <v>1621</v>
      </c>
      <c r="N6026">
        <v>5.31</v>
      </c>
      <c r="O6026" s="49">
        <v>44670</v>
      </c>
      <c r="P6026" s="50">
        <v>45.315000000000005</v>
      </c>
    </row>
    <row r="6027" spans="4:16" x14ac:dyDescent="0.2">
      <c r="D6027">
        <v>100003561</v>
      </c>
      <c r="E6027" s="49">
        <v>45562</v>
      </c>
      <c r="F6027" t="s">
        <v>5084</v>
      </c>
      <c r="G6027" t="s">
        <v>1736</v>
      </c>
      <c r="H6027">
        <v>9</v>
      </c>
      <c r="I6027">
        <v>59.47</v>
      </c>
      <c r="J6027" s="50">
        <v>535.23</v>
      </c>
      <c r="K6027" t="s">
        <v>1632</v>
      </c>
      <c r="M6027" t="s">
        <v>1621</v>
      </c>
      <c r="N6027">
        <v>31.39</v>
      </c>
      <c r="O6027" s="49">
        <v>45565</v>
      </c>
      <c r="P6027" s="50">
        <v>240.85350000000003</v>
      </c>
    </row>
    <row r="6028" spans="4:16" x14ac:dyDescent="0.2">
      <c r="D6028">
        <v>100003562</v>
      </c>
      <c r="E6028" s="49">
        <v>44216</v>
      </c>
      <c r="F6028" t="s">
        <v>5085</v>
      </c>
      <c r="G6028" t="s">
        <v>2093</v>
      </c>
      <c r="H6028">
        <v>10</v>
      </c>
      <c r="I6028">
        <v>51.18</v>
      </c>
      <c r="J6028" s="50">
        <v>511.8</v>
      </c>
      <c r="K6028" t="s">
        <v>1632</v>
      </c>
      <c r="L6028" t="s">
        <v>5086</v>
      </c>
      <c r="M6028" t="s">
        <v>1624</v>
      </c>
      <c r="N6028">
        <v>27.01</v>
      </c>
      <c r="O6028" s="49">
        <v>44219</v>
      </c>
      <c r="P6028" s="50">
        <v>230.31</v>
      </c>
    </row>
    <row r="6029" spans="4:16" x14ac:dyDescent="0.2">
      <c r="D6029">
        <v>100003563</v>
      </c>
      <c r="E6029" s="49">
        <v>44334</v>
      </c>
      <c r="F6029" t="s">
        <v>5087</v>
      </c>
      <c r="G6029" t="s">
        <v>2328</v>
      </c>
      <c r="H6029">
        <v>5</v>
      </c>
      <c r="I6029">
        <v>60.53</v>
      </c>
      <c r="J6029" s="50">
        <v>302.64999999999998</v>
      </c>
      <c r="K6029" t="s">
        <v>1618</v>
      </c>
      <c r="L6029" t="s">
        <v>5088</v>
      </c>
      <c r="M6029" t="s">
        <v>1619</v>
      </c>
      <c r="N6029">
        <v>31.95</v>
      </c>
      <c r="O6029" s="49">
        <v>44337</v>
      </c>
      <c r="P6029" s="50">
        <v>136.1925</v>
      </c>
    </row>
    <row r="6030" spans="4:16" x14ac:dyDescent="0.2">
      <c r="D6030">
        <v>100003565</v>
      </c>
      <c r="E6030" s="49">
        <v>45048</v>
      </c>
      <c r="F6030" t="s">
        <v>5089</v>
      </c>
      <c r="G6030" t="s">
        <v>2269</v>
      </c>
      <c r="H6030">
        <v>4</v>
      </c>
      <c r="I6030">
        <v>94.65</v>
      </c>
      <c r="J6030" s="50">
        <v>378.6</v>
      </c>
      <c r="K6030" t="s">
        <v>1632</v>
      </c>
      <c r="M6030" t="s">
        <v>1624</v>
      </c>
      <c r="N6030">
        <v>49.95</v>
      </c>
      <c r="O6030" s="49">
        <v>45052</v>
      </c>
      <c r="P6030" s="50">
        <v>170.37</v>
      </c>
    </row>
    <row r="6031" spans="4:16" x14ac:dyDescent="0.2">
      <c r="D6031">
        <v>100003566</v>
      </c>
      <c r="E6031" s="49">
        <v>45036</v>
      </c>
      <c r="F6031" t="s">
        <v>5090</v>
      </c>
      <c r="G6031" t="s">
        <v>1823</v>
      </c>
      <c r="H6031">
        <v>8</v>
      </c>
      <c r="I6031">
        <v>98.83</v>
      </c>
      <c r="J6031" s="50">
        <v>790.64</v>
      </c>
      <c r="K6031" t="s">
        <v>1632</v>
      </c>
      <c r="M6031" t="s">
        <v>1629</v>
      </c>
      <c r="N6031">
        <v>52.16</v>
      </c>
      <c r="O6031" s="49">
        <v>45038</v>
      </c>
      <c r="P6031" s="50">
        <v>355.78800000000001</v>
      </c>
    </row>
    <row r="6032" spans="4:16" x14ac:dyDescent="0.2">
      <c r="D6032">
        <v>100003569</v>
      </c>
      <c r="E6032" s="49">
        <v>44331</v>
      </c>
      <c r="F6032" t="s">
        <v>3056</v>
      </c>
      <c r="G6032" t="s">
        <v>2305</v>
      </c>
      <c r="H6032">
        <v>6</v>
      </c>
      <c r="I6032">
        <v>55.1</v>
      </c>
      <c r="J6032" s="50">
        <v>330.6</v>
      </c>
      <c r="K6032" t="s">
        <v>1618</v>
      </c>
      <c r="M6032" t="s">
        <v>1621</v>
      </c>
      <c r="N6032">
        <v>29.08</v>
      </c>
      <c r="O6032" s="49">
        <v>44334</v>
      </c>
      <c r="P6032" s="50">
        <v>148.77000000000001</v>
      </c>
    </row>
    <row r="6033" spans="4:16" x14ac:dyDescent="0.2">
      <c r="D6033">
        <v>100003569</v>
      </c>
      <c r="E6033" s="49">
        <v>44891</v>
      </c>
      <c r="F6033" t="s">
        <v>3056</v>
      </c>
      <c r="G6033" t="s">
        <v>2041</v>
      </c>
      <c r="H6033">
        <v>1</v>
      </c>
      <c r="I6033">
        <v>100.97</v>
      </c>
      <c r="J6033" s="50">
        <v>100.97</v>
      </c>
      <c r="K6033" t="s">
        <v>1618</v>
      </c>
      <c r="M6033" t="s">
        <v>1619</v>
      </c>
      <c r="N6033">
        <v>53.29</v>
      </c>
      <c r="O6033" s="49">
        <v>44896</v>
      </c>
      <c r="P6033" s="50">
        <v>45.436500000000002</v>
      </c>
    </row>
    <row r="6034" spans="4:16" x14ac:dyDescent="0.2">
      <c r="D6034">
        <v>100003570</v>
      </c>
      <c r="E6034" s="49">
        <v>44288</v>
      </c>
      <c r="F6034" t="s">
        <v>5091</v>
      </c>
      <c r="G6034" t="s">
        <v>1634</v>
      </c>
      <c r="H6034">
        <v>5</v>
      </c>
      <c r="I6034">
        <v>57.98</v>
      </c>
      <c r="J6034" s="50">
        <v>289.89999999999998</v>
      </c>
      <c r="K6034" t="s">
        <v>1632</v>
      </c>
      <c r="L6034" t="s">
        <v>2593</v>
      </c>
      <c r="M6034" t="s">
        <v>1629</v>
      </c>
      <c r="N6034">
        <v>30.6</v>
      </c>
      <c r="O6034" s="49">
        <v>44291</v>
      </c>
      <c r="P6034" s="50">
        <v>130.45499999999998</v>
      </c>
    </row>
    <row r="6035" spans="4:16" x14ac:dyDescent="0.2">
      <c r="D6035">
        <v>100003572</v>
      </c>
      <c r="E6035" s="49">
        <v>44696</v>
      </c>
      <c r="F6035" t="s">
        <v>5092</v>
      </c>
      <c r="G6035" t="s">
        <v>2202</v>
      </c>
      <c r="H6035">
        <v>7</v>
      </c>
      <c r="I6035">
        <v>16.96</v>
      </c>
      <c r="J6035" s="50">
        <v>118.72</v>
      </c>
      <c r="K6035" t="s">
        <v>1632</v>
      </c>
      <c r="L6035" t="s">
        <v>2117</v>
      </c>
      <c r="M6035" t="s">
        <v>1621</v>
      </c>
      <c r="N6035">
        <v>8.9499999999999993</v>
      </c>
      <c r="O6035" s="49">
        <v>44701</v>
      </c>
      <c r="P6035" s="50">
        <v>53.423999999999999</v>
      </c>
    </row>
    <row r="6036" spans="4:16" x14ac:dyDescent="0.2">
      <c r="D6036">
        <v>100003572</v>
      </c>
      <c r="E6036" s="49">
        <v>44642</v>
      </c>
      <c r="F6036" t="s">
        <v>5092</v>
      </c>
      <c r="G6036" t="s">
        <v>1999</v>
      </c>
      <c r="H6036">
        <v>5</v>
      </c>
      <c r="I6036">
        <v>113.81</v>
      </c>
      <c r="J6036" s="50">
        <v>569.04999999999995</v>
      </c>
      <c r="K6036" t="s">
        <v>1632</v>
      </c>
      <c r="L6036" t="s">
        <v>2117</v>
      </c>
      <c r="M6036" t="s">
        <v>1627</v>
      </c>
      <c r="N6036">
        <v>60.07</v>
      </c>
      <c r="O6036" s="49">
        <v>44643</v>
      </c>
      <c r="P6036" s="50">
        <v>256.07249999999999</v>
      </c>
    </row>
    <row r="6037" spans="4:16" x14ac:dyDescent="0.2">
      <c r="D6037">
        <v>100003573</v>
      </c>
      <c r="E6037" s="49">
        <v>45425</v>
      </c>
      <c r="F6037" t="s">
        <v>5093</v>
      </c>
      <c r="G6037" t="s">
        <v>1890</v>
      </c>
      <c r="H6037">
        <v>10</v>
      </c>
      <c r="I6037">
        <v>94.33</v>
      </c>
      <c r="J6037" s="50">
        <v>943.3</v>
      </c>
      <c r="K6037" t="s">
        <v>1618</v>
      </c>
      <c r="L6037" t="s">
        <v>3665</v>
      </c>
      <c r="M6037" t="s">
        <v>1627</v>
      </c>
      <c r="N6037">
        <v>49.78</v>
      </c>
      <c r="O6037" s="49">
        <v>45430</v>
      </c>
      <c r="P6037" s="50">
        <v>424.48500000000001</v>
      </c>
    </row>
    <row r="6038" spans="4:16" x14ac:dyDescent="0.2">
      <c r="D6038">
        <v>100003573</v>
      </c>
      <c r="E6038" s="49">
        <v>44351</v>
      </c>
      <c r="F6038" t="s">
        <v>5093</v>
      </c>
      <c r="G6038" t="s">
        <v>2180</v>
      </c>
      <c r="H6038">
        <v>5</v>
      </c>
      <c r="I6038">
        <v>48.98</v>
      </c>
      <c r="J6038" s="50">
        <v>244.9</v>
      </c>
      <c r="K6038" t="s">
        <v>1618</v>
      </c>
      <c r="L6038" t="s">
        <v>3665</v>
      </c>
      <c r="M6038" t="s">
        <v>1621</v>
      </c>
      <c r="N6038">
        <v>25.85</v>
      </c>
      <c r="O6038" s="49">
        <v>44356</v>
      </c>
      <c r="P6038" s="50">
        <v>110.205</v>
      </c>
    </row>
    <row r="6039" spans="4:16" x14ac:dyDescent="0.2">
      <c r="D6039">
        <v>100003574</v>
      </c>
      <c r="E6039" s="49">
        <v>45425</v>
      </c>
      <c r="F6039" t="s">
        <v>5059</v>
      </c>
      <c r="G6039" t="s">
        <v>1928</v>
      </c>
      <c r="H6039">
        <v>9</v>
      </c>
      <c r="I6039">
        <v>11.24</v>
      </c>
      <c r="J6039" s="50">
        <v>101.16</v>
      </c>
      <c r="K6039" t="s">
        <v>1632</v>
      </c>
      <c r="M6039" t="s">
        <v>1627</v>
      </c>
      <c r="N6039">
        <v>5.93</v>
      </c>
      <c r="O6039" s="49">
        <v>45428</v>
      </c>
      <c r="P6039" s="50">
        <v>45.521999999999998</v>
      </c>
    </row>
    <row r="6040" spans="4:16" x14ac:dyDescent="0.2">
      <c r="D6040">
        <v>100003574</v>
      </c>
      <c r="E6040" s="49">
        <v>44833</v>
      </c>
      <c r="F6040" t="s">
        <v>5059</v>
      </c>
      <c r="G6040" t="s">
        <v>2331</v>
      </c>
      <c r="H6040">
        <v>5</v>
      </c>
      <c r="I6040">
        <v>58.32</v>
      </c>
      <c r="J6040" s="50">
        <v>291.60000000000002</v>
      </c>
      <c r="K6040" t="s">
        <v>1632</v>
      </c>
      <c r="M6040" t="s">
        <v>1624</v>
      </c>
      <c r="N6040">
        <v>30.78</v>
      </c>
      <c r="O6040" s="49">
        <v>44836</v>
      </c>
      <c r="P6040" s="50">
        <v>131.22000000000003</v>
      </c>
    </row>
    <row r="6041" spans="4:16" x14ac:dyDescent="0.2">
      <c r="D6041">
        <v>100003574</v>
      </c>
      <c r="E6041" s="49">
        <v>44691</v>
      </c>
      <c r="F6041" t="s">
        <v>5059</v>
      </c>
      <c r="G6041" t="s">
        <v>1827</v>
      </c>
      <c r="H6041">
        <v>9</v>
      </c>
      <c r="I6041">
        <v>24.71</v>
      </c>
      <c r="J6041" s="50">
        <v>222.39</v>
      </c>
      <c r="K6041" t="s">
        <v>1632</v>
      </c>
      <c r="M6041" t="s">
        <v>1621</v>
      </c>
      <c r="N6041">
        <v>13.04</v>
      </c>
      <c r="O6041" s="49">
        <v>44696</v>
      </c>
      <c r="P6041" s="50">
        <v>100.07549999999999</v>
      </c>
    </row>
    <row r="6042" spans="4:16" x14ac:dyDescent="0.2">
      <c r="D6042">
        <v>100003574</v>
      </c>
      <c r="E6042" s="49">
        <v>45353</v>
      </c>
      <c r="F6042" t="s">
        <v>5059</v>
      </c>
      <c r="G6042" t="s">
        <v>1865</v>
      </c>
      <c r="H6042">
        <v>3</v>
      </c>
      <c r="I6042">
        <v>91.66</v>
      </c>
      <c r="J6042" s="50">
        <v>274.98</v>
      </c>
      <c r="K6042" t="s">
        <v>1632</v>
      </c>
      <c r="M6042" t="s">
        <v>1624</v>
      </c>
      <c r="N6042">
        <v>48.38</v>
      </c>
      <c r="O6042" s="49">
        <v>45358</v>
      </c>
      <c r="P6042" s="50">
        <v>123.74100000000001</v>
      </c>
    </row>
    <row r="6043" spans="4:16" x14ac:dyDescent="0.2">
      <c r="D6043">
        <v>100003575</v>
      </c>
      <c r="E6043" s="49">
        <v>44804</v>
      </c>
      <c r="F6043" t="s">
        <v>5094</v>
      </c>
      <c r="G6043" t="s">
        <v>2232</v>
      </c>
      <c r="H6043">
        <v>10</v>
      </c>
      <c r="I6043">
        <v>47.25</v>
      </c>
      <c r="J6043" s="50">
        <v>472.5</v>
      </c>
      <c r="K6043" t="s">
        <v>1618</v>
      </c>
      <c r="M6043" t="s">
        <v>1619</v>
      </c>
      <c r="N6043">
        <v>24.94</v>
      </c>
      <c r="O6043" s="49">
        <v>44806</v>
      </c>
      <c r="P6043" s="50">
        <v>212.625</v>
      </c>
    </row>
    <row r="6044" spans="4:16" x14ac:dyDescent="0.2">
      <c r="D6044">
        <v>100003575</v>
      </c>
      <c r="E6044" s="49">
        <v>44347</v>
      </c>
      <c r="F6044" t="s">
        <v>5094</v>
      </c>
      <c r="G6044" t="s">
        <v>1626</v>
      </c>
      <c r="H6044">
        <v>10</v>
      </c>
      <c r="I6044">
        <v>26.52</v>
      </c>
      <c r="J6044" s="50">
        <v>265.2</v>
      </c>
      <c r="K6044" t="s">
        <v>1618</v>
      </c>
      <c r="M6044" t="s">
        <v>1627</v>
      </c>
      <c r="N6044">
        <v>14</v>
      </c>
      <c r="O6044" s="49">
        <v>44352</v>
      </c>
      <c r="P6044" s="50">
        <v>119.34</v>
      </c>
    </row>
    <row r="6045" spans="4:16" x14ac:dyDescent="0.2">
      <c r="D6045">
        <v>100003575</v>
      </c>
      <c r="E6045" s="49">
        <v>44857</v>
      </c>
      <c r="F6045" t="s">
        <v>5094</v>
      </c>
      <c r="G6045" t="s">
        <v>1661</v>
      </c>
      <c r="H6045">
        <v>1</v>
      </c>
      <c r="I6045">
        <v>98.62</v>
      </c>
      <c r="J6045" s="50">
        <v>98.62</v>
      </c>
      <c r="K6045" t="s">
        <v>1618</v>
      </c>
      <c r="M6045" t="s">
        <v>1619</v>
      </c>
      <c r="N6045">
        <v>52.05</v>
      </c>
      <c r="O6045" s="49">
        <v>44858</v>
      </c>
      <c r="P6045" s="50">
        <v>44.379000000000005</v>
      </c>
    </row>
    <row r="6046" spans="4:16" x14ac:dyDescent="0.2">
      <c r="D6046">
        <v>100003575</v>
      </c>
      <c r="E6046" s="49">
        <v>44832</v>
      </c>
      <c r="F6046" t="s">
        <v>5094</v>
      </c>
      <c r="G6046" t="s">
        <v>2420</v>
      </c>
      <c r="H6046">
        <v>3</v>
      </c>
      <c r="I6046">
        <v>40.31</v>
      </c>
      <c r="J6046" s="50">
        <v>120.93</v>
      </c>
      <c r="K6046" t="s">
        <v>1618</v>
      </c>
      <c r="M6046" t="s">
        <v>1621</v>
      </c>
      <c r="N6046">
        <v>21.27</v>
      </c>
      <c r="O6046" s="49">
        <v>44837</v>
      </c>
      <c r="P6046" s="50">
        <v>54.418500000000002</v>
      </c>
    </row>
    <row r="6047" spans="4:16" x14ac:dyDescent="0.2">
      <c r="D6047">
        <v>100003576</v>
      </c>
      <c r="E6047" s="49">
        <v>45364</v>
      </c>
      <c r="F6047" t="s">
        <v>5095</v>
      </c>
      <c r="G6047" t="s">
        <v>1987</v>
      </c>
      <c r="H6047">
        <v>5</v>
      </c>
      <c r="I6047">
        <v>59.45</v>
      </c>
      <c r="J6047" s="50">
        <v>297.25</v>
      </c>
      <c r="K6047" t="s">
        <v>1618</v>
      </c>
      <c r="M6047" t="s">
        <v>1627</v>
      </c>
      <c r="N6047">
        <v>31.38</v>
      </c>
      <c r="O6047" s="49">
        <v>45365</v>
      </c>
      <c r="P6047" s="50">
        <v>133.76250000000002</v>
      </c>
    </row>
    <row r="6048" spans="4:16" x14ac:dyDescent="0.2">
      <c r="D6048">
        <v>100003577</v>
      </c>
      <c r="E6048" s="49">
        <v>45050</v>
      </c>
      <c r="F6048" t="s">
        <v>5096</v>
      </c>
      <c r="G6048" t="s">
        <v>1808</v>
      </c>
      <c r="H6048">
        <v>1</v>
      </c>
      <c r="I6048">
        <v>61.88</v>
      </c>
      <c r="J6048" s="50">
        <v>61.88</v>
      </c>
      <c r="K6048" t="s">
        <v>1618</v>
      </c>
      <c r="L6048" t="s">
        <v>5097</v>
      </c>
      <c r="M6048" t="s">
        <v>1627</v>
      </c>
      <c r="N6048">
        <v>32.659999999999997</v>
      </c>
      <c r="O6048" s="49">
        <v>45053</v>
      </c>
      <c r="P6048" s="50">
        <v>27.846</v>
      </c>
    </row>
    <row r="6049" spans="4:16" x14ac:dyDescent="0.2">
      <c r="D6049">
        <v>100003578</v>
      </c>
      <c r="E6049" s="49">
        <v>44494</v>
      </c>
      <c r="F6049" t="s">
        <v>5098</v>
      </c>
      <c r="G6049" t="s">
        <v>1642</v>
      </c>
      <c r="H6049">
        <v>8</v>
      </c>
      <c r="I6049">
        <v>43.67</v>
      </c>
      <c r="J6049" s="50">
        <v>349.36</v>
      </c>
      <c r="K6049" t="s">
        <v>1632</v>
      </c>
      <c r="M6049" t="s">
        <v>1619</v>
      </c>
      <c r="N6049">
        <v>23.05</v>
      </c>
      <c r="O6049" s="49">
        <v>44498</v>
      </c>
      <c r="P6049" s="50">
        <v>157.21200000000002</v>
      </c>
    </row>
    <row r="6050" spans="4:16" x14ac:dyDescent="0.2">
      <c r="D6050">
        <v>100003578</v>
      </c>
      <c r="E6050" s="49">
        <v>44347</v>
      </c>
      <c r="F6050" t="s">
        <v>5098</v>
      </c>
      <c r="G6050" t="s">
        <v>1715</v>
      </c>
      <c r="H6050">
        <v>1</v>
      </c>
      <c r="I6050">
        <v>86.93</v>
      </c>
      <c r="J6050" s="50">
        <v>86.93</v>
      </c>
      <c r="K6050" t="s">
        <v>1632</v>
      </c>
      <c r="M6050" t="s">
        <v>1629</v>
      </c>
      <c r="N6050">
        <v>45.88</v>
      </c>
      <c r="O6050" s="49">
        <v>44352</v>
      </c>
      <c r="P6050" s="50">
        <v>39.118500000000004</v>
      </c>
    </row>
    <row r="6051" spans="4:16" x14ac:dyDescent="0.2">
      <c r="D6051">
        <v>100003579</v>
      </c>
      <c r="E6051" s="49">
        <v>44903</v>
      </c>
      <c r="F6051" t="s">
        <v>5099</v>
      </c>
      <c r="G6051" t="s">
        <v>1687</v>
      </c>
      <c r="H6051">
        <v>8</v>
      </c>
      <c r="I6051">
        <v>119.67</v>
      </c>
      <c r="J6051" s="50">
        <v>957.36</v>
      </c>
      <c r="K6051" t="s">
        <v>1618</v>
      </c>
      <c r="M6051" t="s">
        <v>1629</v>
      </c>
      <c r="N6051">
        <v>63.16</v>
      </c>
      <c r="O6051" s="49">
        <v>44906</v>
      </c>
      <c r="P6051" s="50">
        <v>430.81200000000001</v>
      </c>
    </row>
    <row r="6052" spans="4:16" x14ac:dyDescent="0.2">
      <c r="D6052">
        <v>100003581</v>
      </c>
      <c r="E6052" s="49">
        <v>44564</v>
      </c>
      <c r="F6052" t="s">
        <v>5100</v>
      </c>
      <c r="G6052" t="s">
        <v>1731</v>
      </c>
      <c r="H6052">
        <v>6</v>
      </c>
      <c r="I6052">
        <v>37.04</v>
      </c>
      <c r="J6052" s="50">
        <v>222.24</v>
      </c>
      <c r="K6052" t="s">
        <v>1618</v>
      </c>
      <c r="M6052" t="s">
        <v>1621</v>
      </c>
      <c r="N6052">
        <v>19.55</v>
      </c>
      <c r="O6052" s="49">
        <v>44565</v>
      </c>
      <c r="P6052" s="50">
        <v>100.00800000000001</v>
      </c>
    </row>
    <row r="6053" spans="4:16" x14ac:dyDescent="0.2">
      <c r="D6053">
        <v>100003581</v>
      </c>
      <c r="E6053" s="49">
        <v>44399</v>
      </c>
      <c r="F6053" t="s">
        <v>5100</v>
      </c>
      <c r="G6053" t="s">
        <v>2202</v>
      </c>
      <c r="H6053">
        <v>1</v>
      </c>
      <c r="I6053">
        <v>99.8</v>
      </c>
      <c r="J6053" s="50">
        <v>99.8</v>
      </c>
      <c r="K6053" t="s">
        <v>1618</v>
      </c>
      <c r="M6053" t="s">
        <v>1624</v>
      </c>
      <c r="N6053">
        <v>52.67</v>
      </c>
      <c r="O6053" s="49">
        <v>44400</v>
      </c>
      <c r="P6053" s="50">
        <v>44.91</v>
      </c>
    </row>
    <row r="6054" spans="4:16" x14ac:dyDescent="0.2">
      <c r="D6054">
        <v>100003583</v>
      </c>
      <c r="E6054" s="49">
        <v>44286</v>
      </c>
      <c r="F6054" t="s">
        <v>5101</v>
      </c>
      <c r="G6054" t="s">
        <v>2098</v>
      </c>
      <c r="H6054">
        <v>4</v>
      </c>
      <c r="I6054">
        <v>20.98</v>
      </c>
      <c r="J6054" s="50">
        <v>83.92</v>
      </c>
      <c r="K6054" t="s">
        <v>1632</v>
      </c>
      <c r="M6054" t="s">
        <v>1624</v>
      </c>
      <c r="N6054">
        <v>11.07</v>
      </c>
      <c r="O6054" s="49">
        <v>44287</v>
      </c>
      <c r="P6054" s="50">
        <v>37.764000000000003</v>
      </c>
    </row>
    <row r="6055" spans="4:16" x14ac:dyDescent="0.2">
      <c r="D6055">
        <v>100003583</v>
      </c>
      <c r="E6055" s="49">
        <v>45315</v>
      </c>
      <c r="F6055" t="s">
        <v>5101</v>
      </c>
      <c r="G6055" t="s">
        <v>1877</v>
      </c>
      <c r="H6055">
        <v>1</v>
      </c>
      <c r="I6055">
        <v>47.08</v>
      </c>
      <c r="J6055" s="50">
        <v>47.08</v>
      </c>
      <c r="K6055" t="s">
        <v>1632</v>
      </c>
      <c r="M6055" t="s">
        <v>1629</v>
      </c>
      <c r="N6055">
        <v>24.85</v>
      </c>
      <c r="O6055" s="49">
        <v>45317</v>
      </c>
      <c r="P6055" s="50">
        <v>21.186</v>
      </c>
    </row>
    <row r="6056" spans="4:16" x14ac:dyDescent="0.2">
      <c r="D6056">
        <v>100003583</v>
      </c>
      <c r="E6056" s="49">
        <v>45499</v>
      </c>
      <c r="F6056" t="s">
        <v>5101</v>
      </c>
      <c r="G6056" t="s">
        <v>1825</v>
      </c>
      <c r="H6056">
        <v>3</v>
      </c>
      <c r="I6056">
        <v>100.15</v>
      </c>
      <c r="J6056" s="50">
        <v>300.45</v>
      </c>
      <c r="K6056" t="s">
        <v>1632</v>
      </c>
      <c r="M6056" t="s">
        <v>1619</v>
      </c>
      <c r="N6056">
        <v>52.86</v>
      </c>
      <c r="O6056" s="49">
        <v>45503</v>
      </c>
      <c r="P6056" s="50">
        <v>135.20249999999999</v>
      </c>
    </row>
    <row r="6057" spans="4:16" x14ac:dyDescent="0.2">
      <c r="D6057">
        <v>100003586</v>
      </c>
      <c r="E6057" s="49">
        <v>44700</v>
      </c>
      <c r="F6057" t="s">
        <v>5102</v>
      </c>
      <c r="G6057" t="s">
        <v>1672</v>
      </c>
      <c r="H6057">
        <v>4</v>
      </c>
      <c r="I6057">
        <v>50.31</v>
      </c>
      <c r="J6057" s="50">
        <v>201.24</v>
      </c>
      <c r="K6057" t="s">
        <v>1632</v>
      </c>
      <c r="M6057" t="s">
        <v>1621</v>
      </c>
      <c r="N6057">
        <v>26.55</v>
      </c>
      <c r="O6057" s="49">
        <v>44705</v>
      </c>
      <c r="P6057" s="50">
        <v>90.558000000000007</v>
      </c>
    </row>
    <row r="6058" spans="4:16" x14ac:dyDescent="0.2">
      <c r="D6058">
        <v>100003586</v>
      </c>
      <c r="E6058" s="49">
        <v>45301</v>
      </c>
      <c r="F6058" t="s">
        <v>5102</v>
      </c>
      <c r="G6058" t="s">
        <v>1982</v>
      </c>
      <c r="H6058">
        <v>7</v>
      </c>
      <c r="I6058">
        <v>111.91</v>
      </c>
      <c r="J6058" s="50">
        <v>783.37</v>
      </c>
      <c r="K6058" t="s">
        <v>1632</v>
      </c>
      <c r="M6058" t="s">
        <v>1624</v>
      </c>
      <c r="N6058">
        <v>59.06</v>
      </c>
      <c r="O6058" s="49">
        <v>45304</v>
      </c>
      <c r="P6058" s="50">
        <v>352.51650000000001</v>
      </c>
    </row>
    <row r="6059" spans="4:16" x14ac:dyDescent="0.2">
      <c r="D6059">
        <v>100003587</v>
      </c>
      <c r="E6059" s="49">
        <v>44850</v>
      </c>
      <c r="F6059" t="s">
        <v>5103</v>
      </c>
      <c r="G6059" t="s">
        <v>1686</v>
      </c>
      <c r="H6059">
        <v>7</v>
      </c>
      <c r="I6059">
        <v>19.420000000000002</v>
      </c>
      <c r="J6059" s="50">
        <v>135.94</v>
      </c>
      <c r="K6059" t="s">
        <v>1618</v>
      </c>
      <c r="M6059" t="s">
        <v>1629</v>
      </c>
      <c r="N6059">
        <v>10.25</v>
      </c>
      <c r="O6059" s="49">
        <v>44853</v>
      </c>
      <c r="P6059" s="50">
        <v>61.173000000000002</v>
      </c>
    </row>
    <row r="6060" spans="4:16" x14ac:dyDescent="0.2">
      <c r="D6060">
        <v>100003588</v>
      </c>
      <c r="E6060" s="49">
        <v>45413</v>
      </c>
      <c r="F6060" t="s">
        <v>5104</v>
      </c>
      <c r="G6060" t="s">
        <v>1820</v>
      </c>
      <c r="H6060">
        <v>7</v>
      </c>
      <c r="I6060">
        <v>106.76</v>
      </c>
      <c r="J6060" s="50">
        <v>747.32</v>
      </c>
      <c r="K6060" t="s">
        <v>1632</v>
      </c>
      <c r="M6060" t="s">
        <v>1629</v>
      </c>
      <c r="N6060">
        <v>56.35</v>
      </c>
      <c r="O6060" s="49">
        <v>45415</v>
      </c>
      <c r="P6060" s="50">
        <v>336.29400000000004</v>
      </c>
    </row>
    <row r="6061" spans="4:16" x14ac:dyDescent="0.2">
      <c r="D6061">
        <v>100003588</v>
      </c>
      <c r="E6061" s="49">
        <v>44274</v>
      </c>
      <c r="F6061" t="s">
        <v>5104</v>
      </c>
      <c r="G6061" t="s">
        <v>1978</v>
      </c>
      <c r="H6061">
        <v>1</v>
      </c>
      <c r="I6061">
        <v>73.38</v>
      </c>
      <c r="J6061" s="50">
        <v>73.38</v>
      </c>
      <c r="K6061" t="s">
        <v>1632</v>
      </c>
      <c r="M6061" t="s">
        <v>1624</v>
      </c>
      <c r="N6061">
        <v>38.729999999999997</v>
      </c>
      <c r="O6061" s="49">
        <v>44275</v>
      </c>
      <c r="P6061" s="50">
        <v>33.021000000000001</v>
      </c>
    </row>
    <row r="6062" spans="4:16" x14ac:dyDescent="0.2">
      <c r="D6062">
        <v>100003590</v>
      </c>
      <c r="E6062" s="49">
        <v>44353</v>
      </c>
      <c r="F6062" t="s">
        <v>5105</v>
      </c>
      <c r="G6062" t="s">
        <v>2745</v>
      </c>
      <c r="H6062">
        <v>5</v>
      </c>
      <c r="I6062">
        <v>70.010000000000005</v>
      </c>
      <c r="J6062" s="50">
        <v>350.05</v>
      </c>
      <c r="K6062" t="s">
        <v>1618</v>
      </c>
      <c r="M6062" t="s">
        <v>1627</v>
      </c>
      <c r="N6062">
        <v>36.950000000000003</v>
      </c>
      <c r="O6062" s="49">
        <v>44355</v>
      </c>
      <c r="P6062" s="50">
        <v>157.52250000000001</v>
      </c>
    </row>
    <row r="6063" spans="4:16" x14ac:dyDescent="0.2">
      <c r="D6063">
        <v>100003590</v>
      </c>
      <c r="E6063" s="49">
        <v>45595</v>
      </c>
      <c r="F6063" t="s">
        <v>5105</v>
      </c>
      <c r="G6063" t="s">
        <v>2147</v>
      </c>
      <c r="H6063">
        <v>3</v>
      </c>
      <c r="I6063">
        <v>86.11</v>
      </c>
      <c r="J6063" s="50">
        <v>258.33</v>
      </c>
      <c r="K6063" t="s">
        <v>1618</v>
      </c>
      <c r="M6063" t="s">
        <v>1627</v>
      </c>
      <c r="N6063">
        <v>45.45</v>
      </c>
      <c r="O6063" s="49">
        <v>45598</v>
      </c>
      <c r="P6063" s="50">
        <v>116.24849999999999</v>
      </c>
    </row>
    <row r="6064" spans="4:16" x14ac:dyDescent="0.2">
      <c r="D6064">
        <v>100003591</v>
      </c>
      <c r="E6064" s="49">
        <v>45609</v>
      </c>
      <c r="F6064" t="s">
        <v>5106</v>
      </c>
      <c r="G6064" t="s">
        <v>1842</v>
      </c>
      <c r="H6064">
        <v>5</v>
      </c>
      <c r="I6064">
        <v>35.200000000000003</v>
      </c>
      <c r="J6064" s="50">
        <v>176</v>
      </c>
      <c r="K6064" t="s">
        <v>1618</v>
      </c>
      <c r="L6064" t="s">
        <v>5107</v>
      </c>
      <c r="M6064" t="s">
        <v>1627</v>
      </c>
      <c r="N6064">
        <v>18.579999999999998</v>
      </c>
      <c r="O6064" s="49">
        <v>45613</v>
      </c>
      <c r="P6064" s="50">
        <v>79.2</v>
      </c>
    </row>
    <row r="6065" spans="4:16" x14ac:dyDescent="0.2">
      <c r="D6065">
        <v>100003591</v>
      </c>
      <c r="E6065" s="49">
        <v>45156</v>
      </c>
      <c r="F6065" t="s">
        <v>5106</v>
      </c>
      <c r="G6065" t="s">
        <v>1756</v>
      </c>
      <c r="H6065">
        <v>9</v>
      </c>
      <c r="I6065">
        <v>105.52</v>
      </c>
      <c r="J6065" s="50">
        <v>949.68</v>
      </c>
      <c r="K6065" t="s">
        <v>1618</v>
      </c>
      <c r="L6065" t="s">
        <v>5107</v>
      </c>
      <c r="M6065" t="s">
        <v>1621</v>
      </c>
      <c r="N6065">
        <v>55.69</v>
      </c>
      <c r="O6065" s="49">
        <v>45159</v>
      </c>
      <c r="P6065" s="50">
        <v>427.35599999999999</v>
      </c>
    </row>
    <row r="6066" spans="4:16" x14ac:dyDescent="0.2">
      <c r="D6066">
        <v>100003591</v>
      </c>
      <c r="E6066" s="49">
        <v>44356</v>
      </c>
      <c r="F6066" t="s">
        <v>5106</v>
      </c>
      <c r="G6066" t="s">
        <v>2305</v>
      </c>
      <c r="H6066">
        <v>4</v>
      </c>
      <c r="I6066">
        <v>105.1</v>
      </c>
      <c r="J6066" s="50">
        <v>420.4</v>
      </c>
      <c r="K6066" t="s">
        <v>1618</v>
      </c>
      <c r="L6066" t="s">
        <v>5107</v>
      </c>
      <c r="M6066" t="s">
        <v>1627</v>
      </c>
      <c r="N6066">
        <v>55.47</v>
      </c>
      <c r="O6066" s="49">
        <v>44357</v>
      </c>
      <c r="P6066" s="50">
        <v>189.18</v>
      </c>
    </row>
    <row r="6067" spans="4:16" x14ac:dyDescent="0.2">
      <c r="D6067">
        <v>100003593</v>
      </c>
      <c r="E6067" s="49">
        <v>45069</v>
      </c>
      <c r="F6067" t="s">
        <v>5108</v>
      </c>
      <c r="G6067" t="s">
        <v>1637</v>
      </c>
      <c r="H6067">
        <v>5</v>
      </c>
      <c r="I6067">
        <v>109.68</v>
      </c>
      <c r="J6067" s="50">
        <v>548.40000000000009</v>
      </c>
      <c r="K6067" t="s">
        <v>1618</v>
      </c>
      <c r="L6067" t="s">
        <v>5109</v>
      </c>
      <c r="M6067" t="s">
        <v>1621</v>
      </c>
      <c r="N6067">
        <v>57.89</v>
      </c>
      <c r="O6067" s="49">
        <v>45073</v>
      </c>
      <c r="P6067" s="50">
        <v>246.78000000000006</v>
      </c>
    </row>
    <row r="6068" spans="4:16" x14ac:dyDescent="0.2">
      <c r="D6068">
        <v>100003593</v>
      </c>
      <c r="E6068" s="49">
        <v>45651</v>
      </c>
      <c r="F6068" t="s">
        <v>5108</v>
      </c>
      <c r="G6068" t="s">
        <v>1971</v>
      </c>
      <c r="H6068">
        <v>3</v>
      </c>
      <c r="I6068">
        <v>103.57</v>
      </c>
      <c r="J6068" s="50">
        <v>310.70999999999998</v>
      </c>
      <c r="K6068" t="s">
        <v>1618</v>
      </c>
      <c r="L6068" t="s">
        <v>5109</v>
      </c>
      <c r="M6068" t="s">
        <v>1619</v>
      </c>
      <c r="N6068">
        <v>54.66</v>
      </c>
      <c r="O6068" s="49">
        <v>45653</v>
      </c>
      <c r="P6068" s="50">
        <v>139.81950000000001</v>
      </c>
    </row>
    <row r="6069" spans="4:16" x14ac:dyDescent="0.2">
      <c r="D6069">
        <v>100003593</v>
      </c>
      <c r="E6069" s="49">
        <v>44416</v>
      </c>
      <c r="F6069" t="s">
        <v>5108</v>
      </c>
      <c r="G6069" t="s">
        <v>1901</v>
      </c>
      <c r="H6069">
        <v>4</v>
      </c>
      <c r="I6069">
        <v>59.09</v>
      </c>
      <c r="J6069" s="50">
        <v>236.36</v>
      </c>
      <c r="K6069" t="s">
        <v>1618</v>
      </c>
      <c r="L6069" t="s">
        <v>5109</v>
      </c>
      <c r="M6069" t="s">
        <v>1621</v>
      </c>
      <c r="N6069">
        <v>31.19</v>
      </c>
      <c r="O6069" s="49">
        <v>44419</v>
      </c>
      <c r="P6069" s="50">
        <v>106.36200000000001</v>
      </c>
    </row>
    <row r="6070" spans="4:16" x14ac:dyDescent="0.2">
      <c r="D6070">
        <v>100003594</v>
      </c>
      <c r="E6070" s="49">
        <v>44448</v>
      </c>
      <c r="F6070" t="s">
        <v>5110</v>
      </c>
      <c r="G6070" t="s">
        <v>3075</v>
      </c>
      <c r="H6070">
        <v>5</v>
      </c>
      <c r="I6070">
        <v>14.38</v>
      </c>
      <c r="J6070" s="50">
        <v>71.900000000000006</v>
      </c>
      <c r="K6070" t="s">
        <v>1632</v>
      </c>
      <c r="L6070" t="s">
        <v>2989</v>
      </c>
      <c r="M6070" t="s">
        <v>1624</v>
      </c>
      <c r="N6070">
        <v>7.59</v>
      </c>
      <c r="O6070" s="49">
        <v>44451</v>
      </c>
      <c r="P6070" s="50">
        <v>32.355000000000004</v>
      </c>
    </row>
    <row r="6071" spans="4:16" x14ac:dyDescent="0.2">
      <c r="D6071">
        <v>100003595</v>
      </c>
      <c r="E6071" s="49">
        <v>45375</v>
      </c>
      <c r="F6071" t="s">
        <v>5111</v>
      </c>
      <c r="G6071" t="s">
        <v>1655</v>
      </c>
      <c r="H6071">
        <v>8</v>
      </c>
      <c r="I6071">
        <v>102.3</v>
      </c>
      <c r="J6071" s="50">
        <v>818.4</v>
      </c>
      <c r="K6071" t="s">
        <v>1618</v>
      </c>
      <c r="M6071" t="s">
        <v>1621</v>
      </c>
      <c r="N6071">
        <v>53.99</v>
      </c>
      <c r="O6071" s="49">
        <v>45376</v>
      </c>
      <c r="P6071" s="50">
        <v>368.28</v>
      </c>
    </row>
    <row r="6072" spans="4:16" x14ac:dyDescent="0.2">
      <c r="D6072">
        <v>100003595</v>
      </c>
      <c r="E6072" s="49">
        <v>45585</v>
      </c>
      <c r="F6072" t="s">
        <v>5111</v>
      </c>
      <c r="G6072" t="s">
        <v>2412</v>
      </c>
      <c r="H6072">
        <v>7</v>
      </c>
      <c r="I6072">
        <v>44.96</v>
      </c>
      <c r="J6072" s="50">
        <v>314.72000000000003</v>
      </c>
      <c r="K6072" t="s">
        <v>1618</v>
      </c>
      <c r="M6072" t="s">
        <v>1624</v>
      </c>
      <c r="N6072">
        <v>23.73</v>
      </c>
      <c r="O6072" s="49">
        <v>45587</v>
      </c>
      <c r="P6072" s="50">
        <v>141.62400000000002</v>
      </c>
    </row>
    <row r="6073" spans="4:16" x14ac:dyDescent="0.2">
      <c r="D6073">
        <v>100003595</v>
      </c>
      <c r="E6073" s="49">
        <v>45560</v>
      </c>
      <c r="F6073" t="s">
        <v>5111</v>
      </c>
      <c r="G6073" t="s">
        <v>1802</v>
      </c>
      <c r="H6073">
        <v>8</v>
      </c>
      <c r="I6073">
        <v>109.57</v>
      </c>
      <c r="J6073" s="50">
        <v>876.56</v>
      </c>
      <c r="K6073" t="s">
        <v>1618</v>
      </c>
      <c r="M6073" t="s">
        <v>1629</v>
      </c>
      <c r="N6073">
        <v>57.83</v>
      </c>
      <c r="O6073" s="49">
        <v>45561</v>
      </c>
      <c r="P6073" s="50">
        <v>394.452</v>
      </c>
    </row>
    <row r="6074" spans="4:16" x14ac:dyDescent="0.2">
      <c r="D6074">
        <v>100003595</v>
      </c>
      <c r="E6074" s="49">
        <v>44799</v>
      </c>
      <c r="F6074" t="s">
        <v>5111</v>
      </c>
      <c r="G6074" t="s">
        <v>2134</v>
      </c>
      <c r="H6074">
        <v>6</v>
      </c>
      <c r="I6074">
        <v>31.36</v>
      </c>
      <c r="J6074" s="50">
        <v>188.16</v>
      </c>
      <c r="K6074" t="s">
        <v>1618</v>
      </c>
      <c r="M6074" t="s">
        <v>1621</v>
      </c>
      <c r="N6074">
        <v>16.55</v>
      </c>
      <c r="O6074" s="49">
        <v>44803</v>
      </c>
      <c r="P6074" s="50">
        <v>84.671999999999997</v>
      </c>
    </row>
    <row r="6075" spans="4:16" x14ac:dyDescent="0.2">
      <c r="D6075">
        <v>100003595</v>
      </c>
      <c r="E6075" s="49">
        <v>44244</v>
      </c>
      <c r="F6075" t="s">
        <v>5111</v>
      </c>
      <c r="G6075" t="s">
        <v>1807</v>
      </c>
      <c r="H6075">
        <v>7</v>
      </c>
      <c r="I6075">
        <v>36.880000000000003</v>
      </c>
      <c r="J6075" s="50">
        <v>258.16000000000003</v>
      </c>
      <c r="K6075" t="s">
        <v>1618</v>
      </c>
      <c r="M6075" t="s">
        <v>1624</v>
      </c>
      <c r="N6075">
        <v>19.46</v>
      </c>
      <c r="O6075" s="49">
        <v>44249</v>
      </c>
      <c r="P6075" s="50">
        <v>116.17200000000001</v>
      </c>
    </row>
    <row r="6076" spans="4:16" x14ac:dyDescent="0.2">
      <c r="D6076">
        <v>100003595</v>
      </c>
      <c r="E6076" s="49">
        <v>44938</v>
      </c>
      <c r="F6076" t="s">
        <v>5111</v>
      </c>
      <c r="G6076" t="s">
        <v>1637</v>
      </c>
      <c r="H6076">
        <v>2</v>
      </c>
      <c r="I6076">
        <v>55.46</v>
      </c>
      <c r="J6076" s="50">
        <v>110.92</v>
      </c>
      <c r="K6076" t="s">
        <v>1618</v>
      </c>
      <c r="M6076" t="s">
        <v>1619</v>
      </c>
      <c r="N6076">
        <v>29.27</v>
      </c>
      <c r="O6076" s="49">
        <v>44939</v>
      </c>
      <c r="P6076" s="50">
        <v>49.914000000000001</v>
      </c>
    </row>
    <row r="6077" spans="4:16" x14ac:dyDescent="0.2">
      <c r="D6077">
        <v>100003595</v>
      </c>
      <c r="E6077" s="49">
        <v>45056</v>
      </c>
      <c r="F6077" t="s">
        <v>5111</v>
      </c>
      <c r="G6077" t="s">
        <v>1765</v>
      </c>
      <c r="H6077">
        <v>8</v>
      </c>
      <c r="I6077">
        <v>41.97</v>
      </c>
      <c r="J6077" s="50">
        <v>335.76</v>
      </c>
      <c r="K6077" t="s">
        <v>1618</v>
      </c>
      <c r="M6077" t="s">
        <v>1619</v>
      </c>
      <c r="N6077">
        <v>22.15</v>
      </c>
      <c r="O6077" s="49">
        <v>45061</v>
      </c>
      <c r="P6077" s="50">
        <v>151.09200000000001</v>
      </c>
    </row>
    <row r="6078" spans="4:16" x14ac:dyDescent="0.2">
      <c r="D6078">
        <v>100003598</v>
      </c>
      <c r="E6078" s="49">
        <v>44327</v>
      </c>
      <c r="F6078" t="s">
        <v>5112</v>
      </c>
      <c r="G6078" t="s">
        <v>1973</v>
      </c>
      <c r="H6078">
        <v>3</v>
      </c>
      <c r="I6078">
        <v>38.85</v>
      </c>
      <c r="J6078" s="50">
        <v>116.55</v>
      </c>
      <c r="K6078" t="s">
        <v>1632</v>
      </c>
      <c r="M6078" t="s">
        <v>1629</v>
      </c>
      <c r="N6078">
        <v>20.5</v>
      </c>
      <c r="O6078" s="49">
        <v>44330</v>
      </c>
      <c r="P6078" s="50">
        <v>52.447499999999998</v>
      </c>
    </row>
    <row r="6079" spans="4:16" x14ac:dyDescent="0.2">
      <c r="D6079">
        <v>100003602</v>
      </c>
      <c r="E6079" s="49">
        <v>44983</v>
      </c>
      <c r="F6079" t="s">
        <v>5113</v>
      </c>
      <c r="G6079" t="s">
        <v>1902</v>
      </c>
      <c r="H6079">
        <v>1</v>
      </c>
      <c r="I6079">
        <v>106.79</v>
      </c>
      <c r="J6079" s="50">
        <v>106.79</v>
      </c>
      <c r="K6079" t="s">
        <v>1618</v>
      </c>
      <c r="M6079" t="s">
        <v>1621</v>
      </c>
      <c r="N6079">
        <v>56.36</v>
      </c>
      <c r="O6079" s="49">
        <v>44985</v>
      </c>
      <c r="P6079" s="50">
        <v>48.055500000000002</v>
      </c>
    </row>
    <row r="6080" spans="4:16" x14ac:dyDescent="0.2">
      <c r="D6080">
        <v>100003604</v>
      </c>
      <c r="E6080" s="49">
        <v>45144</v>
      </c>
      <c r="F6080" t="s">
        <v>5114</v>
      </c>
      <c r="G6080" t="s">
        <v>1620</v>
      </c>
      <c r="H6080">
        <v>7</v>
      </c>
      <c r="I6080">
        <v>45.35</v>
      </c>
      <c r="J6080" s="50">
        <v>317.45</v>
      </c>
      <c r="K6080" t="s">
        <v>1618</v>
      </c>
      <c r="M6080" t="s">
        <v>1619</v>
      </c>
      <c r="N6080">
        <v>23.93</v>
      </c>
      <c r="O6080" s="49">
        <v>45149</v>
      </c>
      <c r="P6080" s="50">
        <v>142.85249999999999</v>
      </c>
    </row>
    <row r="6081" spans="4:16" x14ac:dyDescent="0.2">
      <c r="D6081">
        <v>100003605</v>
      </c>
      <c r="E6081" s="49">
        <v>44680</v>
      </c>
      <c r="F6081" t="s">
        <v>5115</v>
      </c>
      <c r="G6081" t="s">
        <v>1902</v>
      </c>
      <c r="H6081">
        <v>9</v>
      </c>
      <c r="I6081">
        <v>95.85</v>
      </c>
      <c r="J6081" s="50">
        <v>862.65</v>
      </c>
      <c r="K6081" t="s">
        <v>1618</v>
      </c>
      <c r="M6081" t="s">
        <v>1629</v>
      </c>
      <c r="N6081">
        <v>50.59</v>
      </c>
      <c r="O6081" s="49">
        <v>44685</v>
      </c>
      <c r="P6081" s="50">
        <v>388.1925</v>
      </c>
    </row>
    <row r="6082" spans="4:16" x14ac:dyDescent="0.2">
      <c r="D6082">
        <v>100003606</v>
      </c>
      <c r="E6082" s="49">
        <v>45527</v>
      </c>
      <c r="F6082" t="s">
        <v>5116</v>
      </c>
      <c r="G6082" t="s">
        <v>1728</v>
      </c>
      <c r="H6082">
        <v>10</v>
      </c>
      <c r="I6082">
        <v>116.85</v>
      </c>
      <c r="J6082" s="50">
        <v>1168.5</v>
      </c>
      <c r="K6082" t="s">
        <v>1618</v>
      </c>
      <c r="M6082" t="s">
        <v>1621</v>
      </c>
      <c r="N6082">
        <v>61.67</v>
      </c>
      <c r="O6082" s="49">
        <v>45529</v>
      </c>
      <c r="P6082" s="50">
        <v>525.82500000000005</v>
      </c>
    </row>
    <row r="6083" spans="4:16" x14ac:dyDescent="0.2">
      <c r="D6083">
        <v>100003606</v>
      </c>
      <c r="E6083" s="49">
        <v>44198</v>
      </c>
      <c r="F6083" t="s">
        <v>5116</v>
      </c>
      <c r="G6083" t="s">
        <v>1742</v>
      </c>
      <c r="H6083">
        <v>2</v>
      </c>
      <c r="I6083">
        <v>21.58</v>
      </c>
      <c r="J6083" s="50">
        <v>43.16</v>
      </c>
      <c r="K6083" t="s">
        <v>1618</v>
      </c>
      <c r="M6083" t="s">
        <v>1619</v>
      </c>
      <c r="N6083">
        <v>11.39</v>
      </c>
      <c r="O6083" s="49">
        <v>44201</v>
      </c>
      <c r="P6083" s="50">
        <v>19.422000000000001</v>
      </c>
    </row>
    <row r="6084" spans="4:16" x14ac:dyDescent="0.2">
      <c r="D6084">
        <v>100003606</v>
      </c>
      <c r="E6084" s="49">
        <v>44853</v>
      </c>
      <c r="F6084" t="s">
        <v>5116</v>
      </c>
      <c r="G6084" t="s">
        <v>1748</v>
      </c>
      <c r="H6084">
        <v>7</v>
      </c>
      <c r="I6084">
        <v>40.869999999999997</v>
      </c>
      <c r="J6084" s="50">
        <v>286.08999999999997</v>
      </c>
      <c r="K6084" t="s">
        <v>1618</v>
      </c>
      <c r="M6084" t="s">
        <v>1619</v>
      </c>
      <c r="N6084">
        <v>21.57</v>
      </c>
      <c r="O6084" s="49">
        <v>44858</v>
      </c>
      <c r="P6084" s="50">
        <v>128.7405</v>
      </c>
    </row>
    <row r="6085" spans="4:16" x14ac:dyDescent="0.2">
      <c r="D6085">
        <v>100003606</v>
      </c>
      <c r="E6085" s="49">
        <v>44621</v>
      </c>
      <c r="F6085" t="s">
        <v>5116</v>
      </c>
      <c r="G6085" t="s">
        <v>2628</v>
      </c>
      <c r="H6085">
        <v>10</v>
      </c>
      <c r="I6085">
        <v>44.19</v>
      </c>
      <c r="J6085" s="50">
        <v>441.9</v>
      </c>
      <c r="K6085" t="s">
        <v>1618</v>
      </c>
      <c r="M6085" t="s">
        <v>1619</v>
      </c>
      <c r="N6085">
        <v>23.32</v>
      </c>
      <c r="O6085" s="49">
        <v>44624</v>
      </c>
      <c r="P6085" s="50">
        <v>198.85499999999999</v>
      </c>
    </row>
    <row r="6086" spans="4:16" x14ac:dyDescent="0.2">
      <c r="D6086">
        <v>100003606</v>
      </c>
      <c r="E6086" s="49">
        <v>44926</v>
      </c>
      <c r="F6086" t="s">
        <v>5116</v>
      </c>
      <c r="G6086" t="s">
        <v>2134</v>
      </c>
      <c r="H6086">
        <v>2</v>
      </c>
      <c r="I6086">
        <v>89.08</v>
      </c>
      <c r="J6086" s="50">
        <v>178.16</v>
      </c>
      <c r="K6086" t="s">
        <v>1618</v>
      </c>
      <c r="M6086" t="s">
        <v>1619</v>
      </c>
      <c r="N6086">
        <v>47.01</v>
      </c>
      <c r="O6086" s="49">
        <v>44929</v>
      </c>
      <c r="P6086" s="50">
        <v>80.171999999999997</v>
      </c>
    </row>
    <row r="6087" spans="4:16" x14ac:dyDescent="0.2">
      <c r="D6087">
        <v>100003606</v>
      </c>
      <c r="E6087" s="49">
        <v>45633</v>
      </c>
      <c r="F6087" t="s">
        <v>5116</v>
      </c>
      <c r="G6087" t="s">
        <v>1766</v>
      </c>
      <c r="H6087">
        <v>3</v>
      </c>
      <c r="I6087">
        <v>40.630000000000003</v>
      </c>
      <c r="J6087" s="50">
        <v>121.89</v>
      </c>
      <c r="K6087" t="s">
        <v>1618</v>
      </c>
      <c r="M6087" t="s">
        <v>1627</v>
      </c>
      <c r="N6087">
        <v>21.44</v>
      </c>
      <c r="O6087" s="49">
        <v>45635</v>
      </c>
      <c r="P6087" s="50">
        <v>54.850500000000004</v>
      </c>
    </row>
    <row r="6088" spans="4:16" x14ac:dyDescent="0.2">
      <c r="D6088">
        <v>100003607</v>
      </c>
      <c r="E6088" s="49">
        <v>45194</v>
      </c>
      <c r="F6088" t="s">
        <v>5117</v>
      </c>
      <c r="G6088" t="s">
        <v>2138</v>
      </c>
      <c r="H6088">
        <v>6</v>
      </c>
      <c r="I6088">
        <v>36.65</v>
      </c>
      <c r="J6088" s="50">
        <v>219.9</v>
      </c>
      <c r="K6088" t="s">
        <v>1618</v>
      </c>
      <c r="M6088" t="s">
        <v>1621</v>
      </c>
      <c r="N6088">
        <v>19.34</v>
      </c>
      <c r="O6088" s="49">
        <v>45197</v>
      </c>
      <c r="P6088" s="50">
        <v>98.954999999999998</v>
      </c>
    </row>
    <row r="6089" spans="4:16" x14ac:dyDescent="0.2">
      <c r="D6089">
        <v>100003608</v>
      </c>
      <c r="E6089" s="49">
        <v>45148</v>
      </c>
      <c r="F6089" t="s">
        <v>5118</v>
      </c>
      <c r="G6089" t="s">
        <v>2071</v>
      </c>
      <c r="H6089">
        <v>3</v>
      </c>
      <c r="I6089">
        <v>71.09</v>
      </c>
      <c r="J6089" s="50">
        <v>213.27</v>
      </c>
      <c r="K6089" t="s">
        <v>1632</v>
      </c>
      <c r="M6089" t="s">
        <v>1619</v>
      </c>
      <c r="N6089">
        <v>37.520000000000003</v>
      </c>
      <c r="O6089" s="49">
        <v>45153</v>
      </c>
      <c r="P6089" s="50">
        <v>95.971500000000006</v>
      </c>
    </row>
    <row r="6090" spans="4:16" x14ac:dyDescent="0.2">
      <c r="D6090">
        <v>100003609</v>
      </c>
      <c r="E6090" s="49">
        <v>45565</v>
      </c>
      <c r="F6090" t="s">
        <v>5119</v>
      </c>
      <c r="G6090" t="s">
        <v>1787</v>
      </c>
      <c r="H6090">
        <v>5</v>
      </c>
      <c r="I6090">
        <v>47.96</v>
      </c>
      <c r="J6090" s="50">
        <v>239.8</v>
      </c>
      <c r="K6090" t="s">
        <v>1618</v>
      </c>
      <c r="L6090" t="s">
        <v>5120</v>
      </c>
      <c r="M6090" t="s">
        <v>1629</v>
      </c>
      <c r="N6090">
        <v>25.31</v>
      </c>
      <c r="O6090" s="49">
        <v>45570</v>
      </c>
      <c r="P6090" s="50">
        <v>107.91000000000001</v>
      </c>
    </row>
    <row r="6091" spans="4:16" x14ac:dyDescent="0.2">
      <c r="D6091">
        <v>100003609</v>
      </c>
      <c r="E6091" s="49">
        <v>44875</v>
      </c>
      <c r="F6091" t="s">
        <v>5119</v>
      </c>
      <c r="G6091" t="s">
        <v>1985</v>
      </c>
      <c r="H6091">
        <v>10</v>
      </c>
      <c r="I6091">
        <v>26.87</v>
      </c>
      <c r="J6091" s="50">
        <v>268.7</v>
      </c>
      <c r="K6091" t="s">
        <v>1618</v>
      </c>
      <c r="L6091" t="s">
        <v>5120</v>
      </c>
      <c r="M6091" t="s">
        <v>1619</v>
      </c>
      <c r="N6091">
        <v>14.18</v>
      </c>
      <c r="O6091" s="49">
        <v>44880</v>
      </c>
      <c r="P6091" s="50">
        <v>120.91499999999999</v>
      </c>
    </row>
    <row r="6092" spans="4:16" x14ac:dyDescent="0.2">
      <c r="D6092">
        <v>100003611</v>
      </c>
      <c r="E6092" s="49">
        <v>45570</v>
      </c>
      <c r="F6092" t="s">
        <v>5121</v>
      </c>
      <c r="G6092" t="s">
        <v>2278</v>
      </c>
      <c r="H6092">
        <v>9</v>
      </c>
      <c r="I6092">
        <v>117.42</v>
      </c>
      <c r="J6092" s="50">
        <v>1056.78</v>
      </c>
      <c r="K6092" t="s">
        <v>1618</v>
      </c>
      <c r="L6092" t="s">
        <v>5122</v>
      </c>
      <c r="M6092" t="s">
        <v>1629</v>
      </c>
      <c r="N6092">
        <v>61.97</v>
      </c>
      <c r="O6092" s="49">
        <v>45574</v>
      </c>
      <c r="P6092" s="50">
        <v>475.55099999999999</v>
      </c>
    </row>
    <row r="6093" spans="4:16" x14ac:dyDescent="0.2">
      <c r="D6093">
        <v>100003612</v>
      </c>
      <c r="E6093" s="49">
        <v>44446</v>
      </c>
      <c r="F6093" t="s">
        <v>5123</v>
      </c>
      <c r="G6093" t="s">
        <v>2269</v>
      </c>
      <c r="H6093">
        <v>1</v>
      </c>
      <c r="I6093">
        <v>79.55</v>
      </c>
      <c r="J6093" s="50">
        <v>79.55</v>
      </c>
      <c r="K6093" t="s">
        <v>1632</v>
      </c>
      <c r="L6093" t="s">
        <v>3817</v>
      </c>
      <c r="M6093" t="s">
        <v>1629</v>
      </c>
      <c r="N6093">
        <v>41.98</v>
      </c>
      <c r="O6093" s="49">
        <v>44447</v>
      </c>
      <c r="P6093" s="50">
        <v>35.797499999999999</v>
      </c>
    </row>
    <row r="6094" spans="4:16" x14ac:dyDescent="0.2">
      <c r="D6094">
        <v>100003613</v>
      </c>
      <c r="E6094" s="49">
        <v>45262</v>
      </c>
      <c r="F6094" t="s">
        <v>5124</v>
      </c>
      <c r="G6094" t="s">
        <v>2063</v>
      </c>
      <c r="H6094">
        <v>9</v>
      </c>
      <c r="I6094">
        <v>93.28</v>
      </c>
      <c r="J6094" s="50">
        <v>839.52</v>
      </c>
      <c r="K6094" t="s">
        <v>1618</v>
      </c>
      <c r="M6094" t="s">
        <v>1624</v>
      </c>
      <c r="N6094">
        <v>49.23</v>
      </c>
      <c r="O6094" s="49">
        <v>45265</v>
      </c>
      <c r="P6094" s="50">
        <v>377.78399999999999</v>
      </c>
    </row>
    <row r="6095" spans="4:16" x14ac:dyDescent="0.2">
      <c r="D6095">
        <v>100003614</v>
      </c>
      <c r="E6095" s="49">
        <v>45011</v>
      </c>
      <c r="F6095" t="s">
        <v>5125</v>
      </c>
      <c r="G6095" t="s">
        <v>1760</v>
      </c>
      <c r="H6095">
        <v>1</v>
      </c>
      <c r="I6095">
        <v>27.09</v>
      </c>
      <c r="J6095" s="50">
        <v>27.09</v>
      </c>
      <c r="K6095" t="s">
        <v>1618</v>
      </c>
      <c r="M6095" t="s">
        <v>1624</v>
      </c>
      <c r="N6095">
        <v>14.3</v>
      </c>
      <c r="O6095" s="49">
        <v>45014</v>
      </c>
      <c r="P6095" s="50">
        <v>12.1905</v>
      </c>
    </row>
    <row r="6096" spans="4:16" x14ac:dyDescent="0.2">
      <c r="D6096">
        <v>100003616</v>
      </c>
      <c r="E6096" s="49">
        <v>44869</v>
      </c>
      <c r="F6096" t="s">
        <v>5126</v>
      </c>
      <c r="G6096" t="s">
        <v>1704</v>
      </c>
      <c r="H6096">
        <v>2</v>
      </c>
      <c r="I6096">
        <v>39.450000000000003</v>
      </c>
      <c r="J6096" s="50">
        <v>78.900000000000006</v>
      </c>
      <c r="K6096" t="s">
        <v>1618</v>
      </c>
      <c r="L6096" t="s">
        <v>5127</v>
      </c>
      <c r="M6096" t="s">
        <v>1624</v>
      </c>
      <c r="N6096">
        <v>20.82</v>
      </c>
      <c r="O6096" s="49">
        <v>44872</v>
      </c>
      <c r="P6096" s="50">
        <v>35.505000000000003</v>
      </c>
    </row>
    <row r="6097" spans="4:16" x14ac:dyDescent="0.2">
      <c r="D6097">
        <v>100003617</v>
      </c>
      <c r="E6097" s="49">
        <v>45342</v>
      </c>
      <c r="F6097" t="s">
        <v>5128</v>
      </c>
      <c r="G6097" t="s">
        <v>1637</v>
      </c>
      <c r="H6097">
        <v>10</v>
      </c>
      <c r="I6097">
        <v>104.22</v>
      </c>
      <c r="J6097" s="50">
        <v>1042.2</v>
      </c>
      <c r="K6097" t="s">
        <v>1618</v>
      </c>
      <c r="M6097" t="s">
        <v>1619</v>
      </c>
      <c r="N6097">
        <v>55</v>
      </c>
      <c r="O6097" s="49">
        <v>45343</v>
      </c>
      <c r="P6097" s="50">
        <v>468.99</v>
      </c>
    </row>
    <row r="6098" spans="4:16" x14ac:dyDescent="0.2">
      <c r="D6098">
        <v>100003617</v>
      </c>
      <c r="E6098" s="49">
        <v>45505</v>
      </c>
      <c r="F6098" t="s">
        <v>5128</v>
      </c>
      <c r="G6098" t="s">
        <v>1842</v>
      </c>
      <c r="H6098">
        <v>10</v>
      </c>
      <c r="I6098">
        <v>75</v>
      </c>
      <c r="J6098" s="50">
        <v>750</v>
      </c>
      <c r="K6098" t="s">
        <v>1618</v>
      </c>
      <c r="M6098" t="s">
        <v>1629</v>
      </c>
      <c r="N6098">
        <v>39.58</v>
      </c>
      <c r="O6098" s="49">
        <v>45510</v>
      </c>
      <c r="P6098" s="50">
        <v>337.5</v>
      </c>
    </row>
    <row r="6099" spans="4:16" x14ac:dyDescent="0.2">
      <c r="D6099">
        <v>100003618</v>
      </c>
      <c r="E6099" s="49">
        <v>44658</v>
      </c>
      <c r="F6099" t="s">
        <v>5129</v>
      </c>
      <c r="G6099" t="s">
        <v>1722</v>
      </c>
      <c r="H6099">
        <v>5</v>
      </c>
      <c r="I6099">
        <v>93.04</v>
      </c>
      <c r="J6099" s="50">
        <v>465.2</v>
      </c>
      <c r="K6099" t="s">
        <v>1632</v>
      </c>
      <c r="M6099" t="s">
        <v>1621</v>
      </c>
      <c r="N6099">
        <v>49.1</v>
      </c>
      <c r="O6099" s="49">
        <v>44663</v>
      </c>
      <c r="P6099" s="50">
        <v>209.34</v>
      </c>
    </row>
    <row r="6100" spans="4:16" x14ac:dyDescent="0.2">
      <c r="D6100">
        <v>100003618</v>
      </c>
      <c r="E6100" s="49">
        <v>45101</v>
      </c>
      <c r="F6100" t="s">
        <v>5129</v>
      </c>
      <c r="G6100" t="s">
        <v>2707</v>
      </c>
      <c r="H6100">
        <v>4</v>
      </c>
      <c r="I6100">
        <v>55.16</v>
      </c>
      <c r="J6100" s="50">
        <v>220.64</v>
      </c>
      <c r="K6100" t="s">
        <v>1632</v>
      </c>
      <c r="M6100" t="s">
        <v>1624</v>
      </c>
      <c r="N6100">
        <v>29.11</v>
      </c>
      <c r="O6100" s="49">
        <v>45102</v>
      </c>
      <c r="P6100" s="50">
        <v>99.287999999999997</v>
      </c>
    </row>
    <row r="6101" spans="4:16" x14ac:dyDescent="0.2">
      <c r="D6101">
        <v>100003618</v>
      </c>
      <c r="E6101" s="49">
        <v>44685</v>
      </c>
      <c r="F6101" t="s">
        <v>5129</v>
      </c>
      <c r="G6101" t="s">
        <v>1701</v>
      </c>
      <c r="H6101">
        <v>8</v>
      </c>
      <c r="I6101">
        <v>51.28</v>
      </c>
      <c r="J6101" s="50">
        <v>410.24</v>
      </c>
      <c r="K6101" t="s">
        <v>1632</v>
      </c>
      <c r="M6101" t="s">
        <v>1629</v>
      </c>
      <c r="N6101">
        <v>27.06</v>
      </c>
      <c r="O6101" s="49">
        <v>44687</v>
      </c>
      <c r="P6101" s="50">
        <v>184.608</v>
      </c>
    </row>
    <row r="6102" spans="4:16" x14ac:dyDescent="0.2">
      <c r="D6102">
        <v>100003618</v>
      </c>
      <c r="E6102" s="49">
        <v>45541</v>
      </c>
      <c r="F6102" t="s">
        <v>5129</v>
      </c>
      <c r="G6102" t="s">
        <v>1676</v>
      </c>
      <c r="H6102">
        <v>7</v>
      </c>
      <c r="I6102">
        <v>89.28</v>
      </c>
      <c r="J6102" s="50">
        <v>624.96</v>
      </c>
      <c r="K6102" t="s">
        <v>1632</v>
      </c>
      <c r="M6102" t="s">
        <v>1619</v>
      </c>
      <c r="N6102">
        <v>47.12</v>
      </c>
      <c r="O6102" s="49">
        <v>45543</v>
      </c>
      <c r="P6102" s="50">
        <v>281.23200000000003</v>
      </c>
    </row>
    <row r="6103" spans="4:16" x14ac:dyDescent="0.2">
      <c r="D6103">
        <v>100003619</v>
      </c>
      <c r="E6103" s="49">
        <v>44294</v>
      </c>
      <c r="F6103" t="s">
        <v>5130</v>
      </c>
      <c r="G6103" t="s">
        <v>1787</v>
      </c>
      <c r="H6103">
        <v>3</v>
      </c>
      <c r="I6103">
        <v>56.81</v>
      </c>
      <c r="J6103" s="50">
        <v>170.43</v>
      </c>
      <c r="K6103" t="s">
        <v>1618</v>
      </c>
      <c r="M6103" t="s">
        <v>1629</v>
      </c>
      <c r="N6103">
        <v>29.98</v>
      </c>
      <c r="O6103" s="49">
        <v>44298</v>
      </c>
      <c r="P6103" s="50">
        <v>76.6935</v>
      </c>
    </row>
    <row r="6104" spans="4:16" x14ac:dyDescent="0.2">
      <c r="D6104">
        <v>100003621</v>
      </c>
      <c r="E6104" s="49">
        <v>44737</v>
      </c>
      <c r="F6104" t="s">
        <v>5131</v>
      </c>
      <c r="G6104" t="s">
        <v>3075</v>
      </c>
      <c r="H6104">
        <v>3</v>
      </c>
      <c r="I6104">
        <v>26.28</v>
      </c>
      <c r="J6104" s="50">
        <v>78.84</v>
      </c>
      <c r="K6104" t="s">
        <v>1632</v>
      </c>
      <c r="M6104" t="s">
        <v>1619</v>
      </c>
      <c r="N6104">
        <v>13.87</v>
      </c>
      <c r="O6104" s="49">
        <v>44742</v>
      </c>
      <c r="P6104" s="50">
        <v>35.478000000000002</v>
      </c>
    </row>
    <row r="6105" spans="4:16" x14ac:dyDescent="0.2">
      <c r="D6105">
        <v>100003621</v>
      </c>
      <c r="E6105" s="49">
        <v>45308</v>
      </c>
      <c r="F6105" t="s">
        <v>5131</v>
      </c>
      <c r="G6105" t="s">
        <v>1644</v>
      </c>
      <c r="H6105">
        <v>7</v>
      </c>
      <c r="I6105">
        <v>70.680000000000007</v>
      </c>
      <c r="J6105" s="50">
        <v>494.76</v>
      </c>
      <c r="K6105" t="s">
        <v>1632</v>
      </c>
      <c r="M6105" t="s">
        <v>1624</v>
      </c>
      <c r="N6105">
        <v>37.299999999999997</v>
      </c>
      <c r="O6105" s="49">
        <v>45309</v>
      </c>
      <c r="P6105" s="50">
        <v>222.642</v>
      </c>
    </row>
    <row r="6106" spans="4:16" x14ac:dyDescent="0.2">
      <c r="D6106">
        <v>100003622</v>
      </c>
      <c r="E6106" s="49">
        <v>44992</v>
      </c>
      <c r="F6106" t="s">
        <v>5132</v>
      </c>
      <c r="G6106" t="s">
        <v>2484</v>
      </c>
      <c r="H6106">
        <v>2</v>
      </c>
      <c r="I6106">
        <v>81.349999999999994</v>
      </c>
      <c r="J6106" s="50">
        <v>162.69999999999999</v>
      </c>
      <c r="K6106" t="s">
        <v>1632</v>
      </c>
      <c r="M6106" t="s">
        <v>1624</v>
      </c>
      <c r="N6106">
        <v>42.93</v>
      </c>
      <c r="O6106" s="49">
        <v>44993</v>
      </c>
      <c r="P6106" s="50">
        <v>73.215000000000003</v>
      </c>
    </row>
    <row r="6107" spans="4:16" x14ac:dyDescent="0.2">
      <c r="D6107">
        <v>100003623</v>
      </c>
      <c r="E6107" s="49">
        <v>44457</v>
      </c>
      <c r="F6107" t="s">
        <v>5133</v>
      </c>
      <c r="G6107" t="s">
        <v>2158</v>
      </c>
      <c r="H6107">
        <v>8</v>
      </c>
      <c r="I6107">
        <v>102.03</v>
      </c>
      <c r="J6107" s="50">
        <v>816.24</v>
      </c>
      <c r="K6107" t="s">
        <v>1618</v>
      </c>
      <c r="M6107" t="s">
        <v>1619</v>
      </c>
      <c r="N6107">
        <v>53.85</v>
      </c>
      <c r="O6107" s="49">
        <v>44460</v>
      </c>
      <c r="P6107" s="50">
        <v>367.30799999999999</v>
      </c>
    </row>
    <row r="6108" spans="4:16" x14ac:dyDescent="0.2">
      <c r="D6108">
        <v>100003624</v>
      </c>
      <c r="E6108" s="49">
        <v>44529</v>
      </c>
      <c r="F6108" t="s">
        <v>5134</v>
      </c>
      <c r="G6108" t="s">
        <v>2255</v>
      </c>
      <c r="H6108">
        <v>5</v>
      </c>
      <c r="I6108">
        <v>58.4</v>
      </c>
      <c r="J6108" s="50">
        <v>292</v>
      </c>
      <c r="K6108" t="s">
        <v>1632</v>
      </c>
      <c r="L6108" t="s">
        <v>5135</v>
      </c>
      <c r="M6108" t="s">
        <v>1619</v>
      </c>
      <c r="N6108">
        <v>30.82</v>
      </c>
      <c r="O6108" s="49">
        <v>44532</v>
      </c>
      <c r="P6108" s="50">
        <v>131.4</v>
      </c>
    </row>
    <row r="6109" spans="4:16" x14ac:dyDescent="0.2">
      <c r="D6109">
        <v>100003624</v>
      </c>
      <c r="E6109" s="49">
        <v>45602</v>
      </c>
      <c r="F6109" t="s">
        <v>5134</v>
      </c>
      <c r="G6109" t="s">
        <v>2057</v>
      </c>
      <c r="H6109">
        <v>7</v>
      </c>
      <c r="I6109">
        <v>88.08</v>
      </c>
      <c r="J6109" s="50">
        <v>616.55999999999995</v>
      </c>
      <c r="K6109" t="s">
        <v>1632</v>
      </c>
      <c r="L6109" t="s">
        <v>5135</v>
      </c>
      <c r="M6109" t="s">
        <v>1629</v>
      </c>
      <c r="N6109">
        <v>46.49</v>
      </c>
      <c r="O6109" s="49">
        <v>45606</v>
      </c>
      <c r="P6109" s="50">
        <v>277.452</v>
      </c>
    </row>
    <row r="6110" spans="4:16" x14ac:dyDescent="0.2">
      <c r="D6110">
        <v>100003624</v>
      </c>
      <c r="E6110" s="49">
        <v>44842</v>
      </c>
      <c r="F6110" t="s">
        <v>5134</v>
      </c>
      <c r="G6110" t="s">
        <v>1626</v>
      </c>
      <c r="H6110">
        <v>5</v>
      </c>
      <c r="I6110">
        <v>11.35</v>
      </c>
      <c r="J6110" s="50">
        <v>56.75</v>
      </c>
      <c r="K6110" t="s">
        <v>1632</v>
      </c>
      <c r="L6110" t="s">
        <v>5135</v>
      </c>
      <c r="M6110" t="s">
        <v>1627</v>
      </c>
      <c r="N6110">
        <v>5.99</v>
      </c>
      <c r="O6110" s="49">
        <v>44843</v>
      </c>
      <c r="P6110" s="50">
        <v>25.537500000000001</v>
      </c>
    </row>
    <row r="6111" spans="4:16" x14ac:dyDescent="0.2">
      <c r="D6111">
        <v>100003625</v>
      </c>
      <c r="E6111" s="49">
        <v>44579</v>
      </c>
      <c r="F6111" t="s">
        <v>5136</v>
      </c>
      <c r="G6111" t="s">
        <v>1652</v>
      </c>
      <c r="H6111">
        <v>3</v>
      </c>
      <c r="I6111">
        <v>114.44</v>
      </c>
      <c r="J6111" s="50">
        <v>343.32</v>
      </c>
      <c r="K6111" t="s">
        <v>1632</v>
      </c>
      <c r="M6111" t="s">
        <v>1621</v>
      </c>
      <c r="N6111">
        <v>60.4</v>
      </c>
      <c r="O6111" s="49">
        <v>44582</v>
      </c>
      <c r="P6111" s="50">
        <v>154.494</v>
      </c>
    </row>
    <row r="6112" spans="4:16" x14ac:dyDescent="0.2">
      <c r="D6112">
        <v>100003628</v>
      </c>
      <c r="E6112" s="49">
        <v>44353</v>
      </c>
      <c r="F6112" t="s">
        <v>5137</v>
      </c>
      <c r="G6112" t="s">
        <v>2023</v>
      </c>
      <c r="H6112">
        <v>1</v>
      </c>
      <c r="I6112">
        <v>12.72</v>
      </c>
      <c r="J6112" s="50">
        <v>12.72</v>
      </c>
      <c r="K6112" t="s">
        <v>1632</v>
      </c>
      <c r="L6112" t="s">
        <v>5138</v>
      </c>
      <c r="M6112" t="s">
        <v>1629</v>
      </c>
      <c r="N6112">
        <v>6.71</v>
      </c>
      <c r="O6112" s="49">
        <v>44357</v>
      </c>
      <c r="P6112" s="50">
        <v>5.7240000000000002</v>
      </c>
    </row>
    <row r="6113" spans="4:16" x14ac:dyDescent="0.2">
      <c r="D6113">
        <v>100003631</v>
      </c>
      <c r="E6113" s="49">
        <v>45331</v>
      </c>
      <c r="F6113" t="s">
        <v>5139</v>
      </c>
      <c r="G6113" t="s">
        <v>2180</v>
      </c>
      <c r="H6113">
        <v>1</v>
      </c>
      <c r="I6113">
        <v>56.7</v>
      </c>
      <c r="J6113" s="50">
        <v>56.7</v>
      </c>
      <c r="K6113" t="s">
        <v>1632</v>
      </c>
      <c r="M6113" t="s">
        <v>1627</v>
      </c>
      <c r="N6113">
        <v>29.92</v>
      </c>
      <c r="O6113" s="49">
        <v>45336</v>
      </c>
      <c r="P6113" s="50">
        <v>25.515000000000001</v>
      </c>
    </row>
    <row r="6114" spans="4:16" x14ac:dyDescent="0.2">
      <c r="D6114">
        <v>100003631</v>
      </c>
      <c r="E6114" s="49">
        <v>45178</v>
      </c>
      <c r="F6114" t="s">
        <v>5139</v>
      </c>
      <c r="G6114" t="s">
        <v>1944</v>
      </c>
      <c r="H6114">
        <v>1</v>
      </c>
      <c r="I6114">
        <v>36.619999999999997</v>
      </c>
      <c r="J6114" s="50">
        <v>36.619999999999997</v>
      </c>
      <c r="K6114" t="s">
        <v>1632</v>
      </c>
      <c r="M6114" t="s">
        <v>1629</v>
      </c>
      <c r="N6114">
        <v>19.329999999999998</v>
      </c>
      <c r="O6114" s="49">
        <v>45181</v>
      </c>
      <c r="P6114" s="50">
        <v>16.478999999999999</v>
      </c>
    </row>
    <row r="6115" spans="4:16" x14ac:dyDescent="0.2">
      <c r="D6115">
        <v>100003632</v>
      </c>
      <c r="E6115" s="49">
        <v>44614</v>
      </c>
      <c r="F6115" t="s">
        <v>2563</v>
      </c>
      <c r="G6115" t="s">
        <v>2291</v>
      </c>
      <c r="H6115">
        <v>9</v>
      </c>
      <c r="I6115">
        <v>117.51</v>
      </c>
      <c r="J6115" s="50">
        <v>1057.5899999999999</v>
      </c>
      <c r="K6115" t="s">
        <v>1632</v>
      </c>
      <c r="L6115" t="s">
        <v>5140</v>
      </c>
      <c r="M6115" t="s">
        <v>1621</v>
      </c>
      <c r="N6115">
        <v>62.02</v>
      </c>
      <c r="O6115" s="49">
        <v>44617</v>
      </c>
      <c r="P6115" s="50">
        <v>475.91549999999995</v>
      </c>
    </row>
    <row r="6116" spans="4:16" x14ac:dyDescent="0.2">
      <c r="D6116">
        <v>100003632</v>
      </c>
      <c r="E6116" s="49">
        <v>45410</v>
      </c>
      <c r="F6116" t="s">
        <v>2563</v>
      </c>
      <c r="G6116" t="s">
        <v>1707</v>
      </c>
      <c r="H6116">
        <v>6</v>
      </c>
      <c r="I6116">
        <v>50.85</v>
      </c>
      <c r="J6116" s="50">
        <v>305.10000000000002</v>
      </c>
      <c r="K6116" t="s">
        <v>1632</v>
      </c>
      <c r="L6116" t="s">
        <v>5140</v>
      </c>
      <c r="M6116" t="s">
        <v>1619</v>
      </c>
      <c r="N6116">
        <v>26.84</v>
      </c>
      <c r="O6116" s="49">
        <v>45412</v>
      </c>
      <c r="P6116" s="50">
        <v>137.29500000000002</v>
      </c>
    </row>
    <row r="6117" spans="4:16" x14ac:dyDescent="0.2">
      <c r="D6117">
        <v>100003632</v>
      </c>
      <c r="E6117" s="49">
        <v>44416</v>
      </c>
      <c r="F6117" t="s">
        <v>2563</v>
      </c>
      <c r="G6117" t="s">
        <v>2331</v>
      </c>
      <c r="H6117">
        <v>7</v>
      </c>
      <c r="I6117">
        <v>106.16</v>
      </c>
      <c r="J6117" s="50">
        <v>743.12</v>
      </c>
      <c r="K6117" t="s">
        <v>1632</v>
      </c>
      <c r="L6117" t="s">
        <v>5140</v>
      </c>
      <c r="M6117" t="s">
        <v>1629</v>
      </c>
      <c r="N6117">
        <v>56.03</v>
      </c>
      <c r="O6117" s="49">
        <v>44421</v>
      </c>
      <c r="P6117" s="50">
        <v>334.404</v>
      </c>
    </row>
    <row r="6118" spans="4:16" x14ac:dyDescent="0.2">
      <c r="D6118">
        <v>100003633</v>
      </c>
      <c r="E6118" s="49">
        <v>44776</v>
      </c>
      <c r="F6118" t="s">
        <v>5141</v>
      </c>
      <c r="G6118" t="s">
        <v>1690</v>
      </c>
      <c r="H6118">
        <v>7</v>
      </c>
      <c r="I6118">
        <v>38.450000000000003</v>
      </c>
      <c r="J6118" s="50">
        <v>269.14999999999998</v>
      </c>
      <c r="K6118" t="s">
        <v>1618</v>
      </c>
      <c r="M6118" t="s">
        <v>1627</v>
      </c>
      <c r="N6118">
        <v>20.29</v>
      </c>
      <c r="O6118" s="49">
        <v>44777</v>
      </c>
      <c r="P6118" s="50">
        <v>121.11749999999999</v>
      </c>
    </row>
    <row r="6119" spans="4:16" x14ac:dyDescent="0.2">
      <c r="D6119">
        <v>100003633</v>
      </c>
      <c r="E6119" s="49">
        <v>44234</v>
      </c>
      <c r="F6119" t="s">
        <v>5141</v>
      </c>
      <c r="G6119" t="s">
        <v>2142</v>
      </c>
      <c r="H6119">
        <v>2</v>
      </c>
      <c r="I6119">
        <v>48.19</v>
      </c>
      <c r="J6119" s="50">
        <v>96.38</v>
      </c>
      <c r="K6119" t="s">
        <v>1618</v>
      </c>
      <c r="M6119" t="s">
        <v>1621</v>
      </c>
      <c r="N6119">
        <v>25.43</v>
      </c>
      <c r="O6119" s="49">
        <v>44239</v>
      </c>
      <c r="P6119" s="50">
        <v>43.371000000000002</v>
      </c>
    </row>
    <row r="6120" spans="4:16" x14ac:dyDescent="0.2">
      <c r="D6120">
        <v>100003634</v>
      </c>
      <c r="E6120" s="49">
        <v>45634</v>
      </c>
      <c r="F6120" t="s">
        <v>5142</v>
      </c>
      <c r="G6120" t="s">
        <v>2134</v>
      </c>
      <c r="H6120">
        <v>2</v>
      </c>
      <c r="I6120">
        <v>26.2</v>
      </c>
      <c r="J6120" s="50">
        <v>52.4</v>
      </c>
      <c r="K6120" t="s">
        <v>1632</v>
      </c>
      <c r="M6120" t="s">
        <v>1621</v>
      </c>
      <c r="N6120">
        <v>13.83</v>
      </c>
      <c r="O6120" s="49">
        <v>45637</v>
      </c>
      <c r="P6120" s="50">
        <v>23.58</v>
      </c>
    </row>
    <row r="6121" spans="4:16" x14ac:dyDescent="0.2">
      <c r="D6121">
        <v>100003634</v>
      </c>
      <c r="E6121" s="49">
        <v>45232</v>
      </c>
      <c r="F6121" t="s">
        <v>5142</v>
      </c>
      <c r="G6121" t="s">
        <v>1727</v>
      </c>
      <c r="H6121">
        <v>4</v>
      </c>
      <c r="I6121">
        <v>58.14</v>
      </c>
      <c r="J6121" s="50">
        <v>232.56</v>
      </c>
      <c r="K6121" t="s">
        <v>1632</v>
      </c>
      <c r="M6121" t="s">
        <v>1619</v>
      </c>
      <c r="N6121">
        <v>30.68</v>
      </c>
      <c r="O6121" s="49">
        <v>45233</v>
      </c>
      <c r="P6121" s="50">
        <v>104.652</v>
      </c>
    </row>
    <row r="6122" spans="4:16" x14ac:dyDescent="0.2">
      <c r="D6122">
        <v>100003634</v>
      </c>
      <c r="E6122" s="49">
        <v>45350</v>
      </c>
      <c r="F6122" t="s">
        <v>5142</v>
      </c>
      <c r="G6122" t="s">
        <v>2242</v>
      </c>
      <c r="H6122">
        <v>8</v>
      </c>
      <c r="I6122">
        <v>26.42</v>
      </c>
      <c r="J6122" s="50">
        <v>211.36</v>
      </c>
      <c r="K6122" t="s">
        <v>1632</v>
      </c>
      <c r="M6122" t="s">
        <v>1619</v>
      </c>
      <c r="N6122">
        <v>13.94</v>
      </c>
      <c r="O6122" s="49">
        <v>45355</v>
      </c>
      <c r="P6122" s="50">
        <v>95.112000000000009</v>
      </c>
    </row>
    <row r="6123" spans="4:16" x14ac:dyDescent="0.2">
      <c r="D6123">
        <v>100003635</v>
      </c>
      <c r="E6123" s="49">
        <v>44744</v>
      </c>
      <c r="F6123" t="s">
        <v>5143</v>
      </c>
      <c r="G6123" t="s">
        <v>2180</v>
      </c>
      <c r="H6123">
        <v>2</v>
      </c>
      <c r="I6123">
        <v>58.55</v>
      </c>
      <c r="J6123" s="50">
        <v>117.1</v>
      </c>
      <c r="K6123" t="s">
        <v>1618</v>
      </c>
      <c r="M6123" t="s">
        <v>1629</v>
      </c>
      <c r="N6123">
        <v>30.9</v>
      </c>
      <c r="O6123" s="49">
        <v>44745</v>
      </c>
      <c r="P6123" s="50">
        <v>52.695</v>
      </c>
    </row>
    <row r="6124" spans="4:16" x14ac:dyDescent="0.2">
      <c r="D6124">
        <v>100003635</v>
      </c>
      <c r="E6124" s="49">
        <v>45577</v>
      </c>
      <c r="F6124" t="s">
        <v>5143</v>
      </c>
      <c r="G6124" t="s">
        <v>2412</v>
      </c>
      <c r="H6124">
        <v>5</v>
      </c>
      <c r="I6124">
        <v>99.57</v>
      </c>
      <c r="J6124" s="50">
        <v>497.85</v>
      </c>
      <c r="K6124" t="s">
        <v>1618</v>
      </c>
      <c r="M6124" t="s">
        <v>1629</v>
      </c>
      <c r="N6124">
        <v>52.55</v>
      </c>
      <c r="O6124" s="49">
        <v>45578</v>
      </c>
      <c r="P6124" s="50">
        <v>224.03250000000003</v>
      </c>
    </row>
    <row r="6125" spans="4:16" x14ac:dyDescent="0.2">
      <c r="D6125">
        <v>100003636</v>
      </c>
      <c r="E6125" s="49">
        <v>44782</v>
      </c>
      <c r="F6125" t="s">
        <v>5144</v>
      </c>
      <c r="G6125" t="s">
        <v>1649</v>
      </c>
      <c r="H6125">
        <v>8</v>
      </c>
      <c r="I6125">
        <v>59.09</v>
      </c>
      <c r="J6125" s="50">
        <v>472.72</v>
      </c>
      <c r="K6125" t="s">
        <v>1618</v>
      </c>
      <c r="L6125" t="s">
        <v>2882</v>
      </c>
      <c r="M6125" t="s">
        <v>1619</v>
      </c>
      <c r="N6125">
        <v>31.19</v>
      </c>
      <c r="O6125" s="49">
        <v>44784</v>
      </c>
      <c r="P6125" s="50">
        <v>212.72400000000002</v>
      </c>
    </row>
    <row r="6126" spans="4:16" x14ac:dyDescent="0.2">
      <c r="D6126">
        <v>100003636</v>
      </c>
      <c r="E6126" s="49">
        <v>44549</v>
      </c>
      <c r="F6126" t="s">
        <v>5144</v>
      </c>
      <c r="G6126" t="s">
        <v>2168</v>
      </c>
      <c r="H6126">
        <v>5</v>
      </c>
      <c r="I6126">
        <v>25.57</v>
      </c>
      <c r="J6126" s="50">
        <v>127.85</v>
      </c>
      <c r="K6126" t="s">
        <v>1618</v>
      </c>
      <c r="L6126" t="s">
        <v>2882</v>
      </c>
      <c r="M6126" t="s">
        <v>1621</v>
      </c>
      <c r="N6126">
        <v>13.5</v>
      </c>
      <c r="O6126" s="49">
        <v>44550</v>
      </c>
      <c r="P6126" s="50">
        <v>57.532499999999999</v>
      </c>
    </row>
    <row r="6127" spans="4:16" x14ac:dyDescent="0.2">
      <c r="D6127">
        <v>100003636</v>
      </c>
      <c r="E6127" s="49">
        <v>44402</v>
      </c>
      <c r="F6127" t="s">
        <v>5144</v>
      </c>
      <c r="G6127" t="s">
        <v>1687</v>
      </c>
      <c r="H6127">
        <v>9</v>
      </c>
      <c r="I6127">
        <v>11.98</v>
      </c>
      <c r="J6127" s="50">
        <v>107.82</v>
      </c>
      <c r="K6127" t="s">
        <v>1618</v>
      </c>
      <c r="L6127" t="s">
        <v>2882</v>
      </c>
      <c r="M6127" t="s">
        <v>1627</v>
      </c>
      <c r="N6127">
        <v>6.32</v>
      </c>
      <c r="O6127" s="49">
        <v>44406</v>
      </c>
      <c r="P6127" s="50">
        <v>48.518999999999998</v>
      </c>
    </row>
    <row r="6128" spans="4:16" x14ac:dyDescent="0.2">
      <c r="D6128">
        <v>100003636</v>
      </c>
      <c r="E6128" s="49">
        <v>45327</v>
      </c>
      <c r="F6128" t="s">
        <v>5144</v>
      </c>
      <c r="G6128" t="s">
        <v>1921</v>
      </c>
      <c r="H6128">
        <v>8</v>
      </c>
      <c r="I6128">
        <v>15.55</v>
      </c>
      <c r="J6128" s="50">
        <v>124.4</v>
      </c>
      <c r="K6128" t="s">
        <v>1618</v>
      </c>
      <c r="L6128" t="s">
        <v>2882</v>
      </c>
      <c r="M6128" t="s">
        <v>1621</v>
      </c>
      <c r="N6128">
        <v>8.2100000000000009</v>
      </c>
      <c r="O6128" s="49">
        <v>45332</v>
      </c>
      <c r="P6128" s="50">
        <v>55.980000000000004</v>
      </c>
    </row>
    <row r="6129" spans="4:16" x14ac:dyDescent="0.2">
      <c r="D6129">
        <v>100003636</v>
      </c>
      <c r="E6129" s="49">
        <v>44394</v>
      </c>
      <c r="F6129" t="s">
        <v>5144</v>
      </c>
      <c r="G6129" t="s">
        <v>2050</v>
      </c>
      <c r="H6129">
        <v>1</v>
      </c>
      <c r="I6129">
        <v>44.09</v>
      </c>
      <c r="J6129" s="50">
        <v>44.09</v>
      </c>
      <c r="K6129" t="s">
        <v>1618</v>
      </c>
      <c r="L6129" t="s">
        <v>2882</v>
      </c>
      <c r="M6129" t="s">
        <v>1629</v>
      </c>
      <c r="N6129">
        <v>23.27</v>
      </c>
      <c r="O6129" s="49">
        <v>44398</v>
      </c>
      <c r="P6129" s="50">
        <v>19.840500000000002</v>
      </c>
    </row>
    <row r="6130" spans="4:16" x14ac:dyDescent="0.2">
      <c r="D6130">
        <v>100003636</v>
      </c>
      <c r="E6130" s="49">
        <v>44545</v>
      </c>
      <c r="F6130" t="s">
        <v>5144</v>
      </c>
      <c r="G6130" t="s">
        <v>2698</v>
      </c>
      <c r="H6130">
        <v>2</v>
      </c>
      <c r="I6130">
        <v>113</v>
      </c>
      <c r="J6130" s="50">
        <v>226</v>
      </c>
      <c r="K6130" t="s">
        <v>1618</v>
      </c>
      <c r="L6130" t="s">
        <v>2882</v>
      </c>
      <c r="M6130" t="s">
        <v>1629</v>
      </c>
      <c r="N6130">
        <v>59.64</v>
      </c>
      <c r="O6130" s="49">
        <v>44549</v>
      </c>
      <c r="P6130" s="50">
        <v>101.7</v>
      </c>
    </row>
    <row r="6131" spans="4:16" x14ac:dyDescent="0.2">
      <c r="D6131">
        <v>100003637</v>
      </c>
      <c r="E6131" s="49">
        <v>44361</v>
      </c>
      <c r="F6131" t="s">
        <v>5145</v>
      </c>
      <c r="G6131" t="s">
        <v>2306</v>
      </c>
      <c r="H6131">
        <v>4</v>
      </c>
      <c r="I6131">
        <v>102.84</v>
      </c>
      <c r="J6131" s="50">
        <v>411.36</v>
      </c>
      <c r="K6131" t="s">
        <v>1632</v>
      </c>
      <c r="M6131" t="s">
        <v>1629</v>
      </c>
      <c r="N6131">
        <v>54.28</v>
      </c>
      <c r="O6131" s="49">
        <v>44365</v>
      </c>
      <c r="P6131" s="50">
        <v>185.11200000000002</v>
      </c>
    </row>
    <row r="6132" spans="4:16" x14ac:dyDescent="0.2">
      <c r="D6132">
        <v>100003637</v>
      </c>
      <c r="E6132" s="49">
        <v>45008</v>
      </c>
      <c r="F6132" t="s">
        <v>5145</v>
      </c>
      <c r="G6132" t="s">
        <v>1777</v>
      </c>
      <c r="H6132">
        <v>5</v>
      </c>
      <c r="I6132">
        <v>72.010000000000005</v>
      </c>
      <c r="J6132" s="50">
        <v>360.05</v>
      </c>
      <c r="K6132" t="s">
        <v>1632</v>
      </c>
      <c r="M6132" t="s">
        <v>1627</v>
      </c>
      <c r="N6132">
        <v>38.01</v>
      </c>
      <c r="O6132" s="49">
        <v>45009</v>
      </c>
      <c r="P6132" s="50">
        <v>162.02250000000001</v>
      </c>
    </row>
    <row r="6133" spans="4:16" x14ac:dyDescent="0.2">
      <c r="D6133">
        <v>100003638</v>
      </c>
      <c r="E6133" s="49">
        <v>45606</v>
      </c>
      <c r="F6133" t="s">
        <v>5146</v>
      </c>
      <c r="G6133" t="s">
        <v>2202</v>
      </c>
      <c r="H6133">
        <v>6</v>
      </c>
      <c r="I6133">
        <v>40.32</v>
      </c>
      <c r="J6133" s="50">
        <v>241.92</v>
      </c>
      <c r="K6133" t="s">
        <v>1618</v>
      </c>
      <c r="M6133" t="s">
        <v>1629</v>
      </c>
      <c r="N6133">
        <v>21.28</v>
      </c>
      <c r="O6133" s="49">
        <v>45608</v>
      </c>
      <c r="P6133" s="50">
        <v>108.86399999999999</v>
      </c>
    </row>
    <row r="6134" spans="4:16" x14ac:dyDescent="0.2">
      <c r="D6134">
        <v>100003638</v>
      </c>
      <c r="E6134" s="49">
        <v>45139</v>
      </c>
      <c r="F6134" t="s">
        <v>5146</v>
      </c>
      <c r="G6134" t="s">
        <v>2390</v>
      </c>
      <c r="H6134">
        <v>6</v>
      </c>
      <c r="I6134">
        <v>61.19</v>
      </c>
      <c r="J6134" s="50">
        <v>367.14</v>
      </c>
      <c r="K6134" t="s">
        <v>1618</v>
      </c>
      <c r="M6134" t="s">
        <v>1629</v>
      </c>
      <c r="N6134">
        <v>32.29</v>
      </c>
      <c r="O6134" s="49">
        <v>45142</v>
      </c>
      <c r="P6134" s="50">
        <v>165.21299999999999</v>
      </c>
    </row>
    <row r="6135" spans="4:16" x14ac:dyDescent="0.2">
      <c r="D6135">
        <v>100003640</v>
      </c>
      <c r="E6135" s="49">
        <v>44735</v>
      </c>
      <c r="F6135" t="s">
        <v>5147</v>
      </c>
      <c r="G6135" t="s">
        <v>1980</v>
      </c>
      <c r="H6135">
        <v>9</v>
      </c>
      <c r="I6135">
        <v>46.67</v>
      </c>
      <c r="J6135" s="50">
        <v>420.03</v>
      </c>
      <c r="K6135" t="s">
        <v>1618</v>
      </c>
      <c r="M6135" t="s">
        <v>1619</v>
      </c>
      <c r="N6135">
        <v>24.63</v>
      </c>
      <c r="O6135" s="49">
        <v>44736</v>
      </c>
      <c r="P6135" s="50">
        <v>189.01349999999999</v>
      </c>
    </row>
    <row r="6136" spans="4:16" x14ac:dyDescent="0.2">
      <c r="D6136">
        <v>100003640</v>
      </c>
      <c r="E6136" s="49">
        <v>45384</v>
      </c>
      <c r="F6136" t="s">
        <v>5147</v>
      </c>
      <c r="G6136" t="s">
        <v>1721</v>
      </c>
      <c r="H6136">
        <v>5</v>
      </c>
      <c r="I6136">
        <v>32.21</v>
      </c>
      <c r="J6136" s="50">
        <v>161.05000000000001</v>
      </c>
      <c r="K6136" t="s">
        <v>1618</v>
      </c>
      <c r="M6136" t="s">
        <v>1624</v>
      </c>
      <c r="N6136">
        <v>17</v>
      </c>
      <c r="O6136" s="49">
        <v>45386</v>
      </c>
      <c r="P6136" s="50">
        <v>72.472500000000011</v>
      </c>
    </row>
    <row r="6137" spans="4:16" x14ac:dyDescent="0.2">
      <c r="D6137">
        <v>100003642</v>
      </c>
      <c r="E6137" s="49">
        <v>44331</v>
      </c>
      <c r="F6137" t="s">
        <v>5148</v>
      </c>
      <c r="G6137" t="s">
        <v>1913</v>
      </c>
      <c r="H6137">
        <v>9</v>
      </c>
      <c r="I6137">
        <v>26.07</v>
      </c>
      <c r="J6137" s="50">
        <v>234.63</v>
      </c>
      <c r="K6137" t="s">
        <v>1618</v>
      </c>
      <c r="M6137" t="s">
        <v>1629</v>
      </c>
      <c r="N6137">
        <v>13.76</v>
      </c>
      <c r="O6137" s="49">
        <v>44333</v>
      </c>
      <c r="P6137" s="50">
        <v>105.5835</v>
      </c>
    </row>
    <row r="6138" spans="4:16" x14ac:dyDescent="0.2">
      <c r="D6138">
        <v>100003644</v>
      </c>
      <c r="E6138" s="49">
        <v>44269</v>
      </c>
      <c r="F6138" t="s">
        <v>5149</v>
      </c>
      <c r="G6138" t="s">
        <v>1645</v>
      </c>
      <c r="H6138">
        <v>8</v>
      </c>
      <c r="I6138">
        <v>30.57</v>
      </c>
      <c r="J6138" s="50">
        <v>244.56</v>
      </c>
      <c r="K6138" t="s">
        <v>1618</v>
      </c>
      <c r="M6138" t="s">
        <v>1624</v>
      </c>
      <c r="N6138">
        <v>16.13</v>
      </c>
      <c r="O6138" s="49">
        <v>44272</v>
      </c>
      <c r="P6138" s="50">
        <v>110.05200000000001</v>
      </c>
    </row>
    <row r="6139" spans="4:16" x14ac:dyDescent="0.2">
      <c r="D6139">
        <v>100003644</v>
      </c>
      <c r="E6139" s="49">
        <v>44825</v>
      </c>
      <c r="F6139" t="s">
        <v>5149</v>
      </c>
      <c r="G6139" t="s">
        <v>2090</v>
      </c>
      <c r="H6139">
        <v>6</v>
      </c>
      <c r="I6139">
        <v>57.99</v>
      </c>
      <c r="J6139" s="50">
        <v>347.94</v>
      </c>
      <c r="K6139" t="s">
        <v>1618</v>
      </c>
      <c r="M6139" t="s">
        <v>1629</v>
      </c>
      <c r="N6139">
        <v>30.61</v>
      </c>
      <c r="O6139" s="49">
        <v>44830</v>
      </c>
      <c r="P6139" s="50">
        <v>156.57300000000001</v>
      </c>
    </row>
    <row r="6140" spans="4:16" x14ac:dyDescent="0.2">
      <c r="D6140">
        <v>100003644</v>
      </c>
      <c r="E6140" s="49">
        <v>44809</v>
      </c>
      <c r="F6140" t="s">
        <v>5149</v>
      </c>
      <c r="G6140" t="s">
        <v>1877</v>
      </c>
      <c r="H6140">
        <v>1</v>
      </c>
      <c r="I6140">
        <v>38.61</v>
      </c>
      <c r="J6140" s="50">
        <v>38.61</v>
      </c>
      <c r="K6140" t="s">
        <v>1618</v>
      </c>
      <c r="M6140" t="s">
        <v>1624</v>
      </c>
      <c r="N6140">
        <v>20.38</v>
      </c>
      <c r="O6140" s="49">
        <v>44812</v>
      </c>
      <c r="P6140" s="50">
        <v>17.374500000000001</v>
      </c>
    </row>
    <row r="6141" spans="4:16" x14ac:dyDescent="0.2">
      <c r="D6141">
        <v>100003644</v>
      </c>
      <c r="E6141" s="49">
        <v>45143</v>
      </c>
      <c r="F6141" t="s">
        <v>5149</v>
      </c>
      <c r="G6141" t="s">
        <v>1782</v>
      </c>
      <c r="H6141">
        <v>1</v>
      </c>
      <c r="I6141">
        <v>44.88</v>
      </c>
      <c r="J6141" s="50">
        <v>44.88</v>
      </c>
      <c r="K6141" t="s">
        <v>1618</v>
      </c>
      <c r="M6141" t="s">
        <v>1619</v>
      </c>
      <c r="N6141">
        <v>23.69</v>
      </c>
      <c r="O6141" s="49">
        <v>45147</v>
      </c>
      <c r="P6141" s="50">
        <v>20.196000000000002</v>
      </c>
    </row>
    <row r="6142" spans="4:16" x14ac:dyDescent="0.2">
      <c r="D6142">
        <v>100003647</v>
      </c>
      <c r="E6142" s="49">
        <v>44381</v>
      </c>
      <c r="F6142" t="s">
        <v>5150</v>
      </c>
      <c r="G6142" t="s">
        <v>2706</v>
      </c>
      <c r="H6142">
        <v>7</v>
      </c>
      <c r="I6142">
        <v>15.16</v>
      </c>
      <c r="J6142" s="50">
        <v>106.12</v>
      </c>
      <c r="K6142" t="s">
        <v>1632</v>
      </c>
      <c r="M6142" t="s">
        <v>1629</v>
      </c>
      <c r="N6142">
        <v>8</v>
      </c>
      <c r="O6142" s="49">
        <v>44382</v>
      </c>
      <c r="P6142" s="50">
        <v>47.754000000000005</v>
      </c>
    </row>
    <row r="6143" spans="4:16" x14ac:dyDescent="0.2">
      <c r="D6143">
        <v>100003648</v>
      </c>
      <c r="E6143" s="49">
        <v>45552</v>
      </c>
      <c r="F6143" t="s">
        <v>5151</v>
      </c>
      <c r="G6143" t="s">
        <v>1679</v>
      </c>
      <c r="H6143">
        <v>1</v>
      </c>
      <c r="I6143">
        <v>39.79</v>
      </c>
      <c r="J6143" s="50">
        <v>39.79</v>
      </c>
      <c r="K6143" t="s">
        <v>1632</v>
      </c>
      <c r="M6143" t="s">
        <v>1621</v>
      </c>
      <c r="N6143">
        <v>21</v>
      </c>
      <c r="O6143" s="49">
        <v>45555</v>
      </c>
      <c r="P6143" s="50">
        <v>17.9055</v>
      </c>
    </row>
    <row r="6144" spans="4:16" x14ac:dyDescent="0.2">
      <c r="D6144">
        <v>100003648</v>
      </c>
      <c r="E6144" s="49">
        <v>44655</v>
      </c>
      <c r="F6144" t="s">
        <v>5151</v>
      </c>
      <c r="G6144" t="s">
        <v>2076</v>
      </c>
      <c r="H6144">
        <v>9</v>
      </c>
      <c r="I6144">
        <v>87.65</v>
      </c>
      <c r="J6144" s="50">
        <v>788.85</v>
      </c>
      <c r="K6144" t="s">
        <v>1632</v>
      </c>
      <c r="M6144" t="s">
        <v>1624</v>
      </c>
      <c r="N6144">
        <v>46.26</v>
      </c>
      <c r="O6144" s="49">
        <v>44656</v>
      </c>
      <c r="P6144" s="50">
        <v>354.98250000000002</v>
      </c>
    </row>
    <row r="6145" spans="4:16" x14ac:dyDescent="0.2">
      <c r="D6145">
        <v>100003649</v>
      </c>
      <c r="E6145" s="49">
        <v>44417</v>
      </c>
      <c r="F6145" t="s">
        <v>5152</v>
      </c>
      <c r="G6145" t="s">
        <v>1844</v>
      </c>
      <c r="H6145">
        <v>10</v>
      </c>
      <c r="I6145">
        <v>10.64</v>
      </c>
      <c r="J6145" s="50">
        <v>106.4</v>
      </c>
      <c r="K6145" t="s">
        <v>1632</v>
      </c>
      <c r="M6145" t="s">
        <v>1621</v>
      </c>
      <c r="N6145">
        <v>5.62</v>
      </c>
      <c r="O6145" s="49">
        <v>44419</v>
      </c>
      <c r="P6145" s="50">
        <v>47.88</v>
      </c>
    </row>
    <row r="6146" spans="4:16" x14ac:dyDescent="0.2">
      <c r="D6146">
        <v>100003649</v>
      </c>
      <c r="E6146" s="49">
        <v>45376</v>
      </c>
      <c r="F6146" t="s">
        <v>5152</v>
      </c>
      <c r="G6146" t="s">
        <v>2420</v>
      </c>
      <c r="H6146">
        <v>6</v>
      </c>
      <c r="I6146">
        <v>11.02</v>
      </c>
      <c r="J6146" s="50">
        <v>66.12</v>
      </c>
      <c r="K6146" t="s">
        <v>1632</v>
      </c>
      <c r="M6146" t="s">
        <v>1624</v>
      </c>
      <c r="N6146">
        <v>5.82</v>
      </c>
      <c r="O6146" s="49">
        <v>45380</v>
      </c>
      <c r="P6146" s="50">
        <v>29.754000000000001</v>
      </c>
    </row>
    <row r="6147" spans="4:16" x14ac:dyDescent="0.2">
      <c r="D6147">
        <v>100003649</v>
      </c>
      <c r="E6147" s="49">
        <v>45049</v>
      </c>
      <c r="F6147" t="s">
        <v>5152</v>
      </c>
      <c r="G6147" t="s">
        <v>1752</v>
      </c>
      <c r="H6147">
        <v>9</v>
      </c>
      <c r="I6147">
        <v>77.06</v>
      </c>
      <c r="J6147" s="50">
        <v>693.54</v>
      </c>
      <c r="K6147" t="s">
        <v>1632</v>
      </c>
      <c r="M6147" t="s">
        <v>1624</v>
      </c>
      <c r="N6147">
        <v>40.67</v>
      </c>
      <c r="O6147" s="49">
        <v>45052</v>
      </c>
      <c r="P6147" s="50">
        <v>312.09300000000002</v>
      </c>
    </row>
    <row r="6148" spans="4:16" x14ac:dyDescent="0.2">
      <c r="D6148">
        <v>100003649</v>
      </c>
      <c r="E6148" s="49">
        <v>44858</v>
      </c>
      <c r="F6148" t="s">
        <v>5152</v>
      </c>
      <c r="G6148" t="s">
        <v>1846</v>
      </c>
      <c r="H6148">
        <v>5</v>
      </c>
      <c r="I6148">
        <v>51.77</v>
      </c>
      <c r="J6148" s="50">
        <v>258.85000000000002</v>
      </c>
      <c r="K6148" t="s">
        <v>1632</v>
      </c>
      <c r="M6148" t="s">
        <v>1621</v>
      </c>
      <c r="N6148">
        <v>27.32</v>
      </c>
      <c r="O6148" s="49">
        <v>44861</v>
      </c>
      <c r="P6148" s="50">
        <v>116.48250000000002</v>
      </c>
    </row>
    <row r="6149" spans="4:16" x14ac:dyDescent="0.2">
      <c r="D6149">
        <v>100003650</v>
      </c>
      <c r="E6149" s="49">
        <v>44806</v>
      </c>
      <c r="F6149" t="s">
        <v>1867</v>
      </c>
      <c r="G6149" t="s">
        <v>1647</v>
      </c>
      <c r="H6149">
        <v>4</v>
      </c>
      <c r="I6149">
        <v>110.93</v>
      </c>
      <c r="J6149" s="50">
        <v>443.72</v>
      </c>
      <c r="K6149" t="s">
        <v>1618</v>
      </c>
      <c r="M6149" t="s">
        <v>1627</v>
      </c>
      <c r="N6149">
        <v>58.55</v>
      </c>
      <c r="O6149" s="49">
        <v>44809</v>
      </c>
      <c r="P6149" s="50">
        <v>199.67400000000001</v>
      </c>
    </row>
    <row r="6150" spans="4:16" x14ac:dyDescent="0.2">
      <c r="D6150">
        <v>100003651</v>
      </c>
      <c r="E6150" s="49">
        <v>45132</v>
      </c>
      <c r="F6150" t="s">
        <v>5153</v>
      </c>
      <c r="G6150" t="s">
        <v>2024</v>
      </c>
      <c r="H6150">
        <v>10</v>
      </c>
      <c r="I6150">
        <v>24.16</v>
      </c>
      <c r="J6150" s="50">
        <v>241.6</v>
      </c>
      <c r="K6150" t="s">
        <v>1632</v>
      </c>
      <c r="M6150" t="s">
        <v>1629</v>
      </c>
      <c r="N6150">
        <v>12.75</v>
      </c>
      <c r="O6150" s="49">
        <v>45134</v>
      </c>
      <c r="P6150" s="50">
        <v>108.72</v>
      </c>
    </row>
    <row r="6151" spans="4:16" x14ac:dyDescent="0.2">
      <c r="D6151">
        <v>100003652</v>
      </c>
      <c r="E6151" s="49">
        <v>45421</v>
      </c>
      <c r="F6151" t="s">
        <v>5154</v>
      </c>
      <c r="G6151" t="s">
        <v>2093</v>
      </c>
      <c r="H6151">
        <v>5</v>
      </c>
      <c r="I6151">
        <v>115.39</v>
      </c>
      <c r="J6151" s="50">
        <v>576.95000000000005</v>
      </c>
      <c r="K6151" t="s">
        <v>1632</v>
      </c>
      <c r="L6151" t="s">
        <v>5155</v>
      </c>
      <c r="M6151" t="s">
        <v>1627</v>
      </c>
      <c r="N6151">
        <v>60.9</v>
      </c>
      <c r="O6151" s="49">
        <v>45424</v>
      </c>
      <c r="P6151" s="50">
        <v>259.62750000000005</v>
      </c>
    </row>
    <row r="6152" spans="4:16" x14ac:dyDescent="0.2">
      <c r="D6152">
        <v>100003653</v>
      </c>
      <c r="E6152" s="49">
        <v>44974</v>
      </c>
      <c r="F6152" t="s">
        <v>5156</v>
      </c>
      <c r="G6152" t="s">
        <v>1833</v>
      </c>
      <c r="H6152">
        <v>1</v>
      </c>
      <c r="I6152">
        <v>81.540000000000006</v>
      </c>
      <c r="J6152" s="50">
        <v>81.540000000000006</v>
      </c>
      <c r="K6152" t="s">
        <v>1618</v>
      </c>
      <c r="M6152" t="s">
        <v>1619</v>
      </c>
      <c r="N6152">
        <v>43.03</v>
      </c>
      <c r="O6152" s="49">
        <v>44977</v>
      </c>
      <c r="P6152" s="50">
        <v>36.693000000000005</v>
      </c>
    </row>
    <row r="6153" spans="4:16" x14ac:dyDescent="0.2">
      <c r="D6153">
        <v>100003654</v>
      </c>
      <c r="E6153" s="49">
        <v>44325</v>
      </c>
      <c r="F6153" t="s">
        <v>5157</v>
      </c>
      <c r="G6153" t="s">
        <v>1728</v>
      </c>
      <c r="H6153">
        <v>2</v>
      </c>
      <c r="I6153">
        <v>81.91</v>
      </c>
      <c r="J6153" s="50">
        <v>163.82</v>
      </c>
      <c r="K6153" t="s">
        <v>1618</v>
      </c>
      <c r="M6153" t="s">
        <v>1619</v>
      </c>
      <c r="N6153">
        <v>43.23</v>
      </c>
      <c r="O6153" s="49">
        <v>44327</v>
      </c>
      <c r="P6153" s="50">
        <v>73.718999999999994</v>
      </c>
    </row>
    <row r="6154" spans="4:16" x14ac:dyDescent="0.2">
      <c r="D6154">
        <v>100003654</v>
      </c>
      <c r="E6154" s="49">
        <v>44708</v>
      </c>
      <c r="F6154" t="s">
        <v>5157</v>
      </c>
      <c r="G6154" t="s">
        <v>1749</v>
      </c>
      <c r="H6154">
        <v>7</v>
      </c>
      <c r="I6154">
        <v>85.56</v>
      </c>
      <c r="J6154" s="50">
        <v>598.92000000000007</v>
      </c>
      <c r="K6154" t="s">
        <v>1618</v>
      </c>
      <c r="M6154" t="s">
        <v>1624</v>
      </c>
      <c r="N6154">
        <v>45.16</v>
      </c>
      <c r="O6154" s="49">
        <v>44710</v>
      </c>
      <c r="P6154" s="50">
        <v>269.51400000000007</v>
      </c>
    </row>
    <row r="6155" spans="4:16" x14ac:dyDescent="0.2">
      <c r="D6155">
        <v>100003654</v>
      </c>
      <c r="E6155" s="49">
        <v>45530</v>
      </c>
      <c r="F6155" t="s">
        <v>5157</v>
      </c>
      <c r="G6155" t="s">
        <v>2330</v>
      </c>
      <c r="H6155">
        <v>10</v>
      </c>
      <c r="I6155">
        <v>60.86</v>
      </c>
      <c r="J6155" s="50">
        <v>608.6</v>
      </c>
      <c r="K6155" t="s">
        <v>1618</v>
      </c>
      <c r="M6155" t="s">
        <v>1621</v>
      </c>
      <c r="N6155">
        <v>32.119999999999997</v>
      </c>
      <c r="O6155" s="49">
        <v>45531</v>
      </c>
      <c r="P6155" s="50">
        <v>273.87</v>
      </c>
    </row>
    <row r="6156" spans="4:16" x14ac:dyDescent="0.2">
      <c r="D6156">
        <v>100003654</v>
      </c>
      <c r="E6156" s="49">
        <v>44673</v>
      </c>
      <c r="F6156" t="s">
        <v>5157</v>
      </c>
      <c r="G6156" t="s">
        <v>2613</v>
      </c>
      <c r="H6156">
        <v>10</v>
      </c>
      <c r="I6156">
        <v>100.33</v>
      </c>
      <c r="J6156" s="50">
        <v>1003.3</v>
      </c>
      <c r="K6156" t="s">
        <v>1618</v>
      </c>
      <c r="M6156" t="s">
        <v>1627</v>
      </c>
      <c r="N6156">
        <v>52.95</v>
      </c>
      <c r="O6156" s="49">
        <v>44674</v>
      </c>
      <c r="P6156" s="50">
        <v>451.48500000000001</v>
      </c>
    </row>
    <row r="6157" spans="4:16" x14ac:dyDescent="0.2">
      <c r="D6157">
        <v>100003655</v>
      </c>
      <c r="E6157" s="49">
        <v>44749</v>
      </c>
      <c r="F6157" t="s">
        <v>5158</v>
      </c>
      <c r="G6157" t="s">
        <v>2047</v>
      </c>
      <c r="H6157">
        <v>6</v>
      </c>
      <c r="I6157">
        <v>107.97</v>
      </c>
      <c r="J6157" s="50">
        <v>647.81999999999994</v>
      </c>
      <c r="K6157" t="s">
        <v>1632</v>
      </c>
      <c r="M6157" t="s">
        <v>1627</v>
      </c>
      <c r="N6157">
        <v>56.98</v>
      </c>
      <c r="O6157" s="49">
        <v>44754</v>
      </c>
      <c r="P6157" s="50">
        <v>291.51900000000001</v>
      </c>
    </row>
    <row r="6158" spans="4:16" x14ac:dyDescent="0.2">
      <c r="D6158">
        <v>100003655</v>
      </c>
      <c r="E6158" s="49">
        <v>44971</v>
      </c>
      <c r="F6158" t="s">
        <v>5158</v>
      </c>
      <c r="G6158" t="s">
        <v>2182</v>
      </c>
      <c r="H6158">
        <v>9</v>
      </c>
      <c r="I6158">
        <v>112.9</v>
      </c>
      <c r="J6158" s="50">
        <v>1016.1</v>
      </c>
      <c r="K6158" t="s">
        <v>1632</v>
      </c>
      <c r="M6158" t="s">
        <v>1624</v>
      </c>
      <c r="N6158">
        <v>59.59</v>
      </c>
      <c r="O6158" s="49">
        <v>44973</v>
      </c>
      <c r="P6158" s="50">
        <v>457.245</v>
      </c>
    </row>
    <row r="6159" spans="4:16" x14ac:dyDescent="0.2">
      <c r="D6159">
        <v>100003655</v>
      </c>
      <c r="E6159" s="49">
        <v>45272</v>
      </c>
      <c r="F6159" t="s">
        <v>5158</v>
      </c>
      <c r="G6159" t="s">
        <v>1705</v>
      </c>
      <c r="H6159">
        <v>10</v>
      </c>
      <c r="I6159">
        <v>24.99</v>
      </c>
      <c r="J6159" s="50">
        <v>249.9</v>
      </c>
      <c r="K6159" t="s">
        <v>1632</v>
      </c>
      <c r="M6159" t="s">
        <v>1621</v>
      </c>
      <c r="N6159">
        <v>13.19</v>
      </c>
      <c r="O6159" s="49">
        <v>45277</v>
      </c>
      <c r="P6159" s="50">
        <v>112.455</v>
      </c>
    </row>
    <row r="6160" spans="4:16" x14ac:dyDescent="0.2">
      <c r="D6160">
        <v>100003655</v>
      </c>
      <c r="E6160" s="49">
        <v>45015</v>
      </c>
      <c r="F6160" t="s">
        <v>5158</v>
      </c>
      <c r="G6160" t="s">
        <v>2042</v>
      </c>
      <c r="H6160">
        <v>4</v>
      </c>
      <c r="I6160">
        <v>116.62</v>
      </c>
      <c r="J6160" s="50">
        <v>466.48</v>
      </c>
      <c r="K6160" t="s">
        <v>1632</v>
      </c>
      <c r="M6160" t="s">
        <v>1627</v>
      </c>
      <c r="N6160">
        <v>61.55</v>
      </c>
      <c r="O6160" s="49">
        <v>45018</v>
      </c>
      <c r="P6160" s="50">
        <v>209.91600000000003</v>
      </c>
    </row>
    <row r="6161" spans="4:16" x14ac:dyDescent="0.2">
      <c r="D6161">
        <v>100003658</v>
      </c>
      <c r="E6161" s="49">
        <v>44865</v>
      </c>
      <c r="F6161" t="s">
        <v>5159</v>
      </c>
      <c r="G6161" t="s">
        <v>1921</v>
      </c>
      <c r="H6161">
        <v>6</v>
      </c>
      <c r="I6161">
        <v>21.56</v>
      </c>
      <c r="J6161" s="50">
        <v>129.36000000000001</v>
      </c>
      <c r="K6161" t="s">
        <v>1618</v>
      </c>
      <c r="L6161" t="s">
        <v>5160</v>
      </c>
      <c r="M6161" t="s">
        <v>1619</v>
      </c>
      <c r="N6161">
        <v>11.38</v>
      </c>
      <c r="O6161" s="49">
        <v>44869</v>
      </c>
      <c r="P6161" s="50">
        <v>58.21200000000001</v>
      </c>
    </row>
    <row r="6162" spans="4:16" x14ac:dyDescent="0.2">
      <c r="D6162">
        <v>100003660</v>
      </c>
      <c r="E6162" s="49">
        <v>44453</v>
      </c>
      <c r="F6162" t="s">
        <v>5161</v>
      </c>
      <c r="G6162" t="s">
        <v>1626</v>
      </c>
      <c r="H6162">
        <v>3</v>
      </c>
      <c r="I6162">
        <v>105.79</v>
      </c>
      <c r="J6162" s="50">
        <v>317.37</v>
      </c>
      <c r="K6162" t="s">
        <v>1618</v>
      </c>
      <c r="M6162" t="s">
        <v>1619</v>
      </c>
      <c r="N6162">
        <v>55.83</v>
      </c>
      <c r="O6162" s="49">
        <v>44455</v>
      </c>
      <c r="P6162" s="50">
        <v>142.81650000000002</v>
      </c>
    </row>
    <row r="6163" spans="4:16" x14ac:dyDescent="0.2">
      <c r="D6163">
        <v>100003661</v>
      </c>
      <c r="E6163" s="49">
        <v>45105</v>
      </c>
      <c r="F6163" t="s">
        <v>5162</v>
      </c>
      <c r="G6163" t="s">
        <v>2062</v>
      </c>
      <c r="H6163">
        <v>1</v>
      </c>
      <c r="I6163">
        <v>108.18</v>
      </c>
      <c r="J6163" s="50">
        <v>108.18</v>
      </c>
      <c r="K6163" t="s">
        <v>1618</v>
      </c>
      <c r="L6163" t="s">
        <v>5163</v>
      </c>
      <c r="M6163" t="s">
        <v>1619</v>
      </c>
      <c r="N6163">
        <v>57.09</v>
      </c>
      <c r="O6163" s="49">
        <v>45108</v>
      </c>
      <c r="P6163" s="50">
        <v>48.681000000000004</v>
      </c>
    </row>
    <row r="6164" spans="4:16" x14ac:dyDescent="0.2">
      <c r="D6164">
        <v>100003662</v>
      </c>
      <c r="E6164" s="49">
        <v>45475</v>
      </c>
      <c r="F6164" t="s">
        <v>5164</v>
      </c>
      <c r="G6164" t="s">
        <v>2093</v>
      </c>
      <c r="H6164">
        <v>8</v>
      </c>
      <c r="I6164">
        <v>92.53</v>
      </c>
      <c r="J6164" s="50">
        <v>740.24</v>
      </c>
      <c r="K6164" t="s">
        <v>1632</v>
      </c>
      <c r="M6164" t="s">
        <v>1624</v>
      </c>
      <c r="N6164">
        <v>48.83</v>
      </c>
      <c r="O6164" s="49">
        <v>45479</v>
      </c>
      <c r="P6164" s="50">
        <v>333.108</v>
      </c>
    </row>
    <row r="6165" spans="4:16" x14ac:dyDescent="0.2">
      <c r="D6165">
        <v>100003662</v>
      </c>
      <c r="E6165" s="49">
        <v>44831</v>
      </c>
      <c r="F6165" t="s">
        <v>5164</v>
      </c>
      <c r="G6165" t="s">
        <v>1707</v>
      </c>
      <c r="H6165">
        <v>10</v>
      </c>
      <c r="I6165">
        <v>10.26</v>
      </c>
      <c r="J6165" s="50">
        <v>102.6</v>
      </c>
      <c r="K6165" t="s">
        <v>1632</v>
      </c>
      <c r="M6165" t="s">
        <v>1619</v>
      </c>
      <c r="N6165">
        <v>5.41</v>
      </c>
      <c r="O6165" s="49">
        <v>44833</v>
      </c>
      <c r="P6165" s="50">
        <v>46.17</v>
      </c>
    </row>
    <row r="6166" spans="4:16" x14ac:dyDescent="0.2">
      <c r="D6166">
        <v>100003664</v>
      </c>
      <c r="E6166" s="49">
        <v>44599</v>
      </c>
      <c r="F6166" t="s">
        <v>5165</v>
      </c>
      <c r="G6166" t="s">
        <v>1834</v>
      </c>
      <c r="H6166">
        <v>10</v>
      </c>
      <c r="I6166">
        <v>116.36</v>
      </c>
      <c r="J6166" s="50">
        <v>1163.5999999999999</v>
      </c>
      <c r="K6166" t="s">
        <v>1632</v>
      </c>
      <c r="M6166" t="s">
        <v>1619</v>
      </c>
      <c r="N6166">
        <v>61.41</v>
      </c>
      <c r="O6166" s="49">
        <v>44604</v>
      </c>
      <c r="P6166" s="50">
        <v>523.62</v>
      </c>
    </row>
    <row r="6167" spans="4:16" x14ac:dyDescent="0.2">
      <c r="D6167">
        <v>100003664</v>
      </c>
      <c r="E6167" s="49">
        <v>45274</v>
      </c>
      <c r="F6167" t="s">
        <v>5165</v>
      </c>
      <c r="G6167" t="s">
        <v>2733</v>
      </c>
      <c r="H6167">
        <v>10</v>
      </c>
      <c r="I6167">
        <v>11.34</v>
      </c>
      <c r="J6167" s="50">
        <v>113.4</v>
      </c>
      <c r="K6167" t="s">
        <v>1632</v>
      </c>
      <c r="M6167" t="s">
        <v>1621</v>
      </c>
      <c r="N6167">
        <v>5.98</v>
      </c>
      <c r="O6167" s="49">
        <v>45278</v>
      </c>
      <c r="P6167" s="50">
        <v>51.03</v>
      </c>
    </row>
    <row r="6168" spans="4:16" x14ac:dyDescent="0.2">
      <c r="D6168">
        <v>100003664</v>
      </c>
      <c r="E6168" s="49">
        <v>44694</v>
      </c>
      <c r="F6168" t="s">
        <v>5165</v>
      </c>
      <c r="G6168" t="s">
        <v>1770</v>
      </c>
      <c r="H6168">
        <v>9</v>
      </c>
      <c r="I6168">
        <v>102.23</v>
      </c>
      <c r="J6168" s="50">
        <v>920.07</v>
      </c>
      <c r="K6168" t="s">
        <v>1632</v>
      </c>
      <c r="M6168" t="s">
        <v>1629</v>
      </c>
      <c r="N6168">
        <v>53.95</v>
      </c>
      <c r="O6168" s="49">
        <v>44696</v>
      </c>
      <c r="P6168" s="50">
        <v>414.03150000000005</v>
      </c>
    </row>
    <row r="6169" spans="4:16" x14ac:dyDescent="0.2">
      <c r="D6169">
        <v>100003664</v>
      </c>
      <c r="E6169" s="49">
        <v>44770</v>
      </c>
      <c r="F6169" t="s">
        <v>5165</v>
      </c>
      <c r="G6169" t="s">
        <v>1833</v>
      </c>
      <c r="H6169">
        <v>5</v>
      </c>
      <c r="I6169">
        <v>106.46</v>
      </c>
      <c r="J6169" s="50">
        <v>532.29999999999995</v>
      </c>
      <c r="K6169" t="s">
        <v>1632</v>
      </c>
      <c r="M6169" t="s">
        <v>1627</v>
      </c>
      <c r="N6169">
        <v>56.19</v>
      </c>
      <c r="O6169" s="49">
        <v>44773</v>
      </c>
      <c r="P6169" s="50">
        <v>239.535</v>
      </c>
    </row>
    <row r="6170" spans="4:16" x14ac:dyDescent="0.2">
      <c r="D6170">
        <v>100003664</v>
      </c>
      <c r="E6170" s="49">
        <v>45605</v>
      </c>
      <c r="F6170" t="s">
        <v>5165</v>
      </c>
      <c r="G6170" t="s">
        <v>2142</v>
      </c>
      <c r="H6170">
        <v>10</v>
      </c>
      <c r="I6170">
        <v>25.19</v>
      </c>
      <c r="J6170" s="50">
        <v>251.9</v>
      </c>
      <c r="K6170" t="s">
        <v>1632</v>
      </c>
      <c r="M6170" t="s">
        <v>1621</v>
      </c>
      <c r="N6170">
        <v>13.29</v>
      </c>
      <c r="O6170" s="49">
        <v>45606</v>
      </c>
      <c r="P6170" s="50">
        <v>113.355</v>
      </c>
    </row>
    <row r="6171" spans="4:16" x14ac:dyDescent="0.2">
      <c r="D6171">
        <v>100003666</v>
      </c>
      <c r="E6171" s="49">
        <v>44625</v>
      </c>
      <c r="F6171" t="s">
        <v>5166</v>
      </c>
      <c r="G6171" t="s">
        <v>2007</v>
      </c>
      <c r="H6171">
        <v>5</v>
      </c>
      <c r="I6171">
        <v>85.8</v>
      </c>
      <c r="J6171" s="50">
        <v>429</v>
      </c>
      <c r="K6171" t="s">
        <v>1618</v>
      </c>
      <c r="M6171" t="s">
        <v>1627</v>
      </c>
      <c r="N6171">
        <v>45.28</v>
      </c>
      <c r="O6171" s="49">
        <v>44626</v>
      </c>
      <c r="P6171" s="50">
        <v>193.05</v>
      </c>
    </row>
    <row r="6172" spans="4:16" x14ac:dyDescent="0.2">
      <c r="D6172">
        <v>100003666</v>
      </c>
      <c r="E6172" s="49">
        <v>45482</v>
      </c>
      <c r="F6172" t="s">
        <v>5166</v>
      </c>
      <c r="G6172" t="s">
        <v>1955</v>
      </c>
      <c r="H6172">
        <v>3</v>
      </c>
      <c r="I6172">
        <v>23.19</v>
      </c>
      <c r="J6172" s="50">
        <v>69.570000000000007</v>
      </c>
      <c r="K6172" t="s">
        <v>1618</v>
      </c>
      <c r="M6172" t="s">
        <v>1621</v>
      </c>
      <c r="N6172">
        <v>12.24</v>
      </c>
      <c r="O6172" s="49">
        <v>45486</v>
      </c>
      <c r="P6172" s="50">
        <v>31.306500000000003</v>
      </c>
    </row>
    <row r="6173" spans="4:16" x14ac:dyDescent="0.2">
      <c r="D6173">
        <v>100003668</v>
      </c>
      <c r="E6173" s="49">
        <v>45346</v>
      </c>
      <c r="F6173" t="s">
        <v>5167</v>
      </c>
      <c r="G6173" t="s">
        <v>2090</v>
      </c>
      <c r="H6173">
        <v>2</v>
      </c>
      <c r="I6173">
        <v>82.68</v>
      </c>
      <c r="J6173" s="50">
        <v>165.36</v>
      </c>
      <c r="K6173" t="s">
        <v>1618</v>
      </c>
      <c r="L6173" t="s">
        <v>5168</v>
      </c>
      <c r="M6173" t="s">
        <v>1629</v>
      </c>
      <c r="N6173">
        <v>43.64</v>
      </c>
      <c r="O6173" s="49">
        <v>45347</v>
      </c>
      <c r="P6173" s="50">
        <v>74.412000000000006</v>
      </c>
    </row>
    <row r="6174" spans="4:16" x14ac:dyDescent="0.2">
      <c r="D6174">
        <v>100003668</v>
      </c>
      <c r="E6174" s="49">
        <v>44220</v>
      </c>
      <c r="F6174" t="s">
        <v>5167</v>
      </c>
      <c r="G6174" t="s">
        <v>1783</v>
      </c>
      <c r="H6174">
        <v>7</v>
      </c>
      <c r="I6174">
        <v>95.69</v>
      </c>
      <c r="J6174" s="50">
        <v>669.82999999999993</v>
      </c>
      <c r="K6174" t="s">
        <v>1618</v>
      </c>
      <c r="L6174" t="s">
        <v>5168</v>
      </c>
      <c r="M6174" t="s">
        <v>1621</v>
      </c>
      <c r="N6174">
        <v>50.5</v>
      </c>
      <c r="O6174" s="49">
        <v>44221</v>
      </c>
      <c r="P6174" s="50">
        <v>301.42349999999999</v>
      </c>
    </row>
    <row r="6175" spans="4:16" x14ac:dyDescent="0.2">
      <c r="D6175">
        <v>100003669</v>
      </c>
      <c r="E6175" s="49">
        <v>44838</v>
      </c>
      <c r="F6175" t="s">
        <v>5169</v>
      </c>
      <c r="G6175" t="s">
        <v>1777</v>
      </c>
      <c r="H6175">
        <v>10</v>
      </c>
      <c r="I6175">
        <v>81.31</v>
      </c>
      <c r="J6175" s="50">
        <v>813.1</v>
      </c>
      <c r="K6175" t="s">
        <v>1632</v>
      </c>
      <c r="M6175" t="s">
        <v>1624</v>
      </c>
      <c r="N6175">
        <v>42.91</v>
      </c>
      <c r="O6175" s="49">
        <v>44839</v>
      </c>
      <c r="P6175" s="50">
        <v>365.89500000000004</v>
      </c>
    </row>
    <row r="6176" spans="4:16" x14ac:dyDescent="0.2">
      <c r="D6176">
        <v>100003669</v>
      </c>
      <c r="E6176" s="49">
        <v>44450</v>
      </c>
      <c r="F6176" t="s">
        <v>5169</v>
      </c>
      <c r="G6176" t="s">
        <v>1724</v>
      </c>
      <c r="H6176">
        <v>4</v>
      </c>
      <c r="I6176">
        <v>34.01</v>
      </c>
      <c r="J6176" s="50">
        <v>136.04</v>
      </c>
      <c r="K6176" t="s">
        <v>1632</v>
      </c>
      <c r="M6176" t="s">
        <v>1629</v>
      </c>
      <c r="N6176">
        <v>17.95</v>
      </c>
      <c r="O6176" s="49">
        <v>44452</v>
      </c>
      <c r="P6176" s="50">
        <v>61.217999999999996</v>
      </c>
    </row>
    <row r="6177" spans="4:16" x14ac:dyDescent="0.2">
      <c r="D6177">
        <v>100003670</v>
      </c>
      <c r="E6177" s="49">
        <v>44621</v>
      </c>
      <c r="F6177" t="s">
        <v>3282</v>
      </c>
      <c r="G6177" t="s">
        <v>1783</v>
      </c>
      <c r="H6177">
        <v>9</v>
      </c>
      <c r="I6177">
        <v>35.92</v>
      </c>
      <c r="J6177" s="50">
        <v>323.27999999999997</v>
      </c>
      <c r="K6177" t="s">
        <v>1618</v>
      </c>
      <c r="L6177" t="s">
        <v>2989</v>
      </c>
      <c r="M6177" t="s">
        <v>1629</v>
      </c>
      <c r="N6177">
        <v>18.96</v>
      </c>
      <c r="O6177" s="49">
        <v>44622</v>
      </c>
      <c r="P6177" s="50">
        <v>145.476</v>
      </c>
    </row>
    <row r="6178" spans="4:16" x14ac:dyDescent="0.2">
      <c r="D6178">
        <v>100003671</v>
      </c>
      <c r="E6178" s="49">
        <v>44524</v>
      </c>
      <c r="F6178" t="s">
        <v>5170</v>
      </c>
      <c r="G6178" t="s">
        <v>2004</v>
      </c>
      <c r="H6178">
        <v>4</v>
      </c>
      <c r="I6178">
        <v>118.28</v>
      </c>
      <c r="J6178" s="50">
        <v>473.12</v>
      </c>
      <c r="K6178" t="s">
        <v>1632</v>
      </c>
      <c r="M6178" t="s">
        <v>1627</v>
      </c>
      <c r="N6178">
        <v>62.43</v>
      </c>
      <c r="O6178" s="49">
        <v>44526</v>
      </c>
      <c r="P6178" s="50">
        <v>212.904</v>
      </c>
    </row>
    <row r="6179" spans="4:16" x14ac:dyDescent="0.2">
      <c r="D6179">
        <v>100003671</v>
      </c>
      <c r="E6179" s="49">
        <v>44448</v>
      </c>
      <c r="F6179" t="s">
        <v>5170</v>
      </c>
      <c r="G6179" t="s">
        <v>2076</v>
      </c>
      <c r="H6179">
        <v>6</v>
      </c>
      <c r="I6179">
        <v>66.16</v>
      </c>
      <c r="J6179" s="50">
        <v>396.96</v>
      </c>
      <c r="K6179" t="s">
        <v>1632</v>
      </c>
      <c r="M6179" t="s">
        <v>1627</v>
      </c>
      <c r="N6179">
        <v>34.92</v>
      </c>
      <c r="O6179" s="49">
        <v>44452</v>
      </c>
      <c r="P6179" s="50">
        <v>178.63200000000001</v>
      </c>
    </row>
    <row r="6180" spans="4:16" x14ac:dyDescent="0.2">
      <c r="D6180">
        <v>100003672</v>
      </c>
      <c r="E6180" s="49">
        <v>45512</v>
      </c>
      <c r="F6180" t="s">
        <v>5171</v>
      </c>
      <c r="G6180" t="s">
        <v>1781</v>
      </c>
      <c r="H6180">
        <v>9</v>
      </c>
      <c r="I6180">
        <v>36.39</v>
      </c>
      <c r="J6180" s="50">
        <v>327.51</v>
      </c>
      <c r="K6180" t="s">
        <v>1632</v>
      </c>
      <c r="M6180" t="s">
        <v>1621</v>
      </c>
      <c r="N6180">
        <v>19.21</v>
      </c>
      <c r="O6180" s="49">
        <v>45515</v>
      </c>
      <c r="P6180" s="50">
        <v>147.37950000000001</v>
      </c>
    </row>
    <row r="6181" spans="4:16" x14ac:dyDescent="0.2">
      <c r="D6181">
        <v>100003673</v>
      </c>
      <c r="E6181" s="49">
        <v>44661</v>
      </c>
      <c r="F6181" t="s">
        <v>5172</v>
      </c>
      <c r="G6181" t="s">
        <v>1853</v>
      </c>
      <c r="H6181">
        <v>2</v>
      </c>
      <c r="I6181">
        <v>19.059999999999999</v>
      </c>
      <c r="J6181" s="50">
        <v>38.119999999999997</v>
      </c>
      <c r="K6181" t="s">
        <v>1632</v>
      </c>
      <c r="M6181" t="s">
        <v>1619</v>
      </c>
      <c r="N6181">
        <v>10.06</v>
      </c>
      <c r="O6181" s="49">
        <v>44663</v>
      </c>
      <c r="P6181" s="50">
        <v>17.154</v>
      </c>
    </row>
    <row r="6182" spans="4:16" x14ac:dyDescent="0.2">
      <c r="D6182">
        <v>100003674</v>
      </c>
      <c r="E6182" s="49">
        <v>44582</v>
      </c>
      <c r="F6182" t="s">
        <v>3494</v>
      </c>
      <c r="G6182" t="s">
        <v>1812</v>
      </c>
      <c r="H6182">
        <v>3</v>
      </c>
      <c r="I6182">
        <v>109.38</v>
      </c>
      <c r="J6182" s="50">
        <v>328.14</v>
      </c>
      <c r="K6182" t="s">
        <v>1618</v>
      </c>
      <c r="M6182" t="s">
        <v>1619</v>
      </c>
      <c r="N6182">
        <v>57.73</v>
      </c>
      <c r="O6182" s="49">
        <v>44585</v>
      </c>
      <c r="P6182" s="50">
        <v>147.66300000000001</v>
      </c>
    </row>
    <row r="6183" spans="4:16" x14ac:dyDescent="0.2">
      <c r="D6183">
        <v>100003674</v>
      </c>
      <c r="E6183" s="49">
        <v>44378</v>
      </c>
      <c r="F6183" t="s">
        <v>3494</v>
      </c>
      <c r="G6183" t="s">
        <v>2084</v>
      </c>
      <c r="H6183">
        <v>10</v>
      </c>
      <c r="I6183">
        <v>36.49</v>
      </c>
      <c r="J6183" s="50">
        <v>364.9</v>
      </c>
      <c r="K6183" t="s">
        <v>1618</v>
      </c>
      <c r="M6183" t="s">
        <v>1621</v>
      </c>
      <c r="N6183">
        <v>19.260000000000002</v>
      </c>
      <c r="O6183" s="49">
        <v>44383</v>
      </c>
      <c r="P6183" s="50">
        <v>164.20499999999998</v>
      </c>
    </row>
    <row r="6184" spans="4:16" x14ac:dyDescent="0.2">
      <c r="D6184">
        <v>100003674</v>
      </c>
      <c r="E6184" s="49">
        <v>44771</v>
      </c>
      <c r="F6184" t="s">
        <v>3494</v>
      </c>
      <c r="G6184" t="s">
        <v>2217</v>
      </c>
      <c r="H6184">
        <v>2</v>
      </c>
      <c r="I6184">
        <v>80.97</v>
      </c>
      <c r="J6184" s="50">
        <v>161.94</v>
      </c>
      <c r="K6184" t="s">
        <v>1618</v>
      </c>
      <c r="M6184" t="s">
        <v>1629</v>
      </c>
      <c r="N6184">
        <v>42.73</v>
      </c>
      <c r="O6184" s="49">
        <v>44773</v>
      </c>
      <c r="P6184" s="50">
        <v>72.873000000000005</v>
      </c>
    </row>
    <row r="6185" spans="4:16" x14ac:dyDescent="0.2">
      <c r="D6185">
        <v>100003675</v>
      </c>
      <c r="E6185" s="49">
        <v>44431</v>
      </c>
      <c r="F6185" t="s">
        <v>5173</v>
      </c>
      <c r="G6185" t="s">
        <v>2057</v>
      </c>
      <c r="H6185">
        <v>8</v>
      </c>
      <c r="I6185">
        <v>36.03</v>
      </c>
      <c r="J6185" s="50">
        <v>288.24</v>
      </c>
      <c r="K6185" t="s">
        <v>1632</v>
      </c>
      <c r="M6185" t="s">
        <v>1619</v>
      </c>
      <c r="N6185">
        <v>19.02</v>
      </c>
      <c r="O6185" s="49">
        <v>44434</v>
      </c>
      <c r="P6185" s="50">
        <v>129.708</v>
      </c>
    </row>
    <row r="6186" spans="4:16" x14ac:dyDescent="0.2">
      <c r="D6186">
        <v>100003676</v>
      </c>
      <c r="E6186" s="49">
        <v>44550</v>
      </c>
      <c r="F6186" t="s">
        <v>5174</v>
      </c>
      <c r="G6186" t="s">
        <v>2581</v>
      </c>
      <c r="H6186">
        <v>5</v>
      </c>
      <c r="I6186">
        <v>33.56</v>
      </c>
      <c r="J6186" s="50">
        <v>167.8</v>
      </c>
      <c r="K6186" t="s">
        <v>1618</v>
      </c>
      <c r="M6186" t="s">
        <v>1619</v>
      </c>
      <c r="N6186">
        <v>17.71</v>
      </c>
      <c r="O6186" s="49">
        <v>44551</v>
      </c>
      <c r="P6186" s="50">
        <v>75.510000000000005</v>
      </c>
    </row>
    <row r="6187" spans="4:16" x14ac:dyDescent="0.2">
      <c r="D6187">
        <v>100003676</v>
      </c>
      <c r="E6187" s="49">
        <v>45536</v>
      </c>
      <c r="F6187" t="s">
        <v>5174</v>
      </c>
      <c r="G6187" t="s">
        <v>2076</v>
      </c>
      <c r="H6187">
        <v>2</v>
      </c>
      <c r="I6187">
        <v>85.63</v>
      </c>
      <c r="J6187" s="50">
        <v>171.26</v>
      </c>
      <c r="K6187" t="s">
        <v>1618</v>
      </c>
      <c r="M6187" t="s">
        <v>1621</v>
      </c>
      <c r="N6187">
        <v>45.19</v>
      </c>
      <c r="O6187" s="49">
        <v>45539</v>
      </c>
      <c r="P6187" s="50">
        <v>77.066999999999993</v>
      </c>
    </row>
    <row r="6188" spans="4:16" x14ac:dyDescent="0.2">
      <c r="D6188">
        <v>100003676</v>
      </c>
      <c r="E6188" s="49">
        <v>45038</v>
      </c>
      <c r="F6188" t="s">
        <v>5174</v>
      </c>
      <c r="G6188" t="s">
        <v>1797</v>
      </c>
      <c r="H6188">
        <v>1</v>
      </c>
      <c r="I6188">
        <v>68.03</v>
      </c>
      <c r="J6188" s="50">
        <v>68.03</v>
      </c>
      <c r="K6188" t="s">
        <v>1618</v>
      </c>
      <c r="M6188" t="s">
        <v>1629</v>
      </c>
      <c r="N6188">
        <v>35.9</v>
      </c>
      <c r="O6188" s="49">
        <v>45039</v>
      </c>
      <c r="P6188" s="50">
        <v>30.613500000000002</v>
      </c>
    </row>
    <row r="6189" spans="4:16" x14ac:dyDescent="0.2">
      <c r="D6189">
        <v>100003677</v>
      </c>
      <c r="E6189" s="49">
        <v>44250</v>
      </c>
      <c r="F6189" t="s">
        <v>5175</v>
      </c>
      <c r="G6189" t="s">
        <v>2210</v>
      </c>
      <c r="H6189">
        <v>6</v>
      </c>
      <c r="I6189">
        <v>102</v>
      </c>
      <c r="J6189" s="50">
        <v>612</v>
      </c>
      <c r="K6189" t="s">
        <v>1618</v>
      </c>
      <c r="M6189" t="s">
        <v>1624</v>
      </c>
      <c r="N6189">
        <v>53.83</v>
      </c>
      <c r="O6189" s="49">
        <v>44252</v>
      </c>
      <c r="P6189" s="50">
        <v>275.40000000000003</v>
      </c>
    </row>
    <row r="6190" spans="4:16" x14ac:dyDescent="0.2">
      <c r="D6190">
        <v>100003677</v>
      </c>
      <c r="E6190" s="49">
        <v>44838</v>
      </c>
      <c r="F6190" t="s">
        <v>5175</v>
      </c>
      <c r="G6190" t="s">
        <v>1918</v>
      </c>
      <c r="H6190">
        <v>9</v>
      </c>
      <c r="I6190">
        <v>69.86</v>
      </c>
      <c r="J6190" s="50">
        <v>628.74</v>
      </c>
      <c r="K6190" t="s">
        <v>1618</v>
      </c>
      <c r="M6190" t="s">
        <v>1629</v>
      </c>
      <c r="N6190">
        <v>36.869999999999997</v>
      </c>
      <c r="O6190" s="49">
        <v>44842</v>
      </c>
      <c r="P6190" s="50">
        <v>282.93299999999999</v>
      </c>
    </row>
    <row r="6191" spans="4:16" x14ac:dyDescent="0.2">
      <c r="D6191">
        <v>100003678</v>
      </c>
      <c r="E6191" s="49">
        <v>45508</v>
      </c>
      <c r="F6191" t="s">
        <v>5176</v>
      </c>
      <c r="G6191" t="s">
        <v>2069</v>
      </c>
      <c r="H6191">
        <v>6</v>
      </c>
      <c r="I6191">
        <v>59.95</v>
      </c>
      <c r="J6191" s="50">
        <v>359.7</v>
      </c>
      <c r="K6191" t="s">
        <v>1618</v>
      </c>
      <c r="L6191" t="s">
        <v>5177</v>
      </c>
      <c r="M6191" t="s">
        <v>1619</v>
      </c>
      <c r="N6191">
        <v>31.64</v>
      </c>
      <c r="O6191" s="49">
        <v>45510</v>
      </c>
      <c r="P6191" s="50">
        <v>161.86500000000001</v>
      </c>
    </row>
    <row r="6192" spans="4:16" x14ac:dyDescent="0.2">
      <c r="D6192">
        <v>100003678</v>
      </c>
      <c r="E6192" s="49">
        <v>44538</v>
      </c>
      <c r="F6192" t="s">
        <v>5176</v>
      </c>
      <c r="G6192" t="s">
        <v>1762</v>
      </c>
      <c r="H6192">
        <v>5</v>
      </c>
      <c r="I6192">
        <v>10.89</v>
      </c>
      <c r="J6192" s="50">
        <v>54.45</v>
      </c>
      <c r="K6192" t="s">
        <v>1618</v>
      </c>
      <c r="L6192" t="s">
        <v>5177</v>
      </c>
      <c r="M6192" t="s">
        <v>1629</v>
      </c>
      <c r="N6192">
        <v>5.75</v>
      </c>
      <c r="O6192" s="49">
        <v>44542</v>
      </c>
      <c r="P6192" s="50">
        <v>24.502500000000001</v>
      </c>
    </row>
    <row r="6193" spans="4:16" x14ac:dyDescent="0.2">
      <c r="D6193">
        <v>100003678</v>
      </c>
      <c r="E6193" s="49">
        <v>44379</v>
      </c>
      <c r="F6193" t="s">
        <v>5176</v>
      </c>
      <c r="G6193" t="s">
        <v>2762</v>
      </c>
      <c r="H6193">
        <v>8</v>
      </c>
      <c r="I6193">
        <v>82.53</v>
      </c>
      <c r="J6193" s="50">
        <v>660.24</v>
      </c>
      <c r="K6193" t="s">
        <v>1618</v>
      </c>
      <c r="L6193" t="s">
        <v>5177</v>
      </c>
      <c r="M6193" t="s">
        <v>1619</v>
      </c>
      <c r="N6193">
        <v>43.56</v>
      </c>
      <c r="O6193" s="49">
        <v>44380</v>
      </c>
      <c r="P6193" s="50">
        <v>297.108</v>
      </c>
    </row>
    <row r="6194" spans="4:16" x14ac:dyDescent="0.2">
      <c r="D6194">
        <v>100003679</v>
      </c>
      <c r="E6194" s="49">
        <v>45630</v>
      </c>
      <c r="F6194" t="s">
        <v>5178</v>
      </c>
      <c r="G6194" t="s">
        <v>2088</v>
      </c>
      <c r="H6194">
        <v>9</v>
      </c>
      <c r="I6194">
        <v>38.25</v>
      </c>
      <c r="J6194" s="50">
        <v>344.25</v>
      </c>
      <c r="K6194" t="s">
        <v>1618</v>
      </c>
      <c r="M6194" t="s">
        <v>1629</v>
      </c>
      <c r="N6194">
        <v>20.190000000000001</v>
      </c>
      <c r="O6194" s="49">
        <v>45633</v>
      </c>
      <c r="P6194" s="50">
        <v>154.91249999999999</v>
      </c>
    </row>
    <row r="6195" spans="4:16" x14ac:dyDescent="0.2">
      <c r="D6195">
        <v>100003679</v>
      </c>
      <c r="E6195" s="49">
        <v>44305</v>
      </c>
      <c r="F6195" t="s">
        <v>5178</v>
      </c>
      <c r="G6195" t="s">
        <v>1695</v>
      </c>
      <c r="H6195">
        <v>4</v>
      </c>
      <c r="I6195">
        <v>67.17</v>
      </c>
      <c r="J6195" s="50">
        <v>268.68</v>
      </c>
      <c r="K6195" t="s">
        <v>1618</v>
      </c>
      <c r="M6195" t="s">
        <v>1621</v>
      </c>
      <c r="N6195">
        <v>35.450000000000003</v>
      </c>
      <c r="O6195" s="49">
        <v>44310</v>
      </c>
      <c r="P6195" s="50">
        <v>120.90600000000001</v>
      </c>
    </row>
    <row r="6196" spans="4:16" x14ac:dyDescent="0.2">
      <c r="D6196">
        <v>100003679</v>
      </c>
      <c r="E6196" s="49">
        <v>44335</v>
      </c>
      <c r="F6196" t="s">
        <v>5178</v>
      </c>
      <c r="G6196" t="s">
        <v>1664</v>
      </c>
      <c r="H6196">
        <v>7</v>
      </c>
      <c r="I6196">
        <v>50.79</v>
      </c>
      <c r="J6196" s="50">
        <v>355.53</v>
      </c>
      <c r="K6196" t="s">
        <v>1618</v>
      </c>
      <c r="M6196" t="s">
        <v>1629</v>
      </c>
      <c r="N6196">
        <v>26.81</v>
      </c>
      <c r="O6196" s="49">
        <v>44337</v>
      </c>
      <c r="P6196" s="50">
        <v>159.98849999999999</v>
      </c>
    </row>
    <row r="6197" spans="4:16" x14ac:dyDescent="0.2">
      <c r="D6197">
        <v>100003681</v>
      </c>
      <c r="E6197" s="49">
        <v>44436</v>
      </c>
      <c r="F6197" t="s">
        <v>5179</v>
      </c>
      <c r="G6197" t="s">
        <v>2093</v>
      </c>
      <c r="H6197">
        <v>3</v>
      </c>
      <c r="I6197">
        <v>100.78</v>
      </c>
      <c r="J6197" s="50">
        <v>302.33999999999997</v>
      </c>
      <c r="K6197" t="s">
        <v>1618</v>
      </c>
      <c r="L6197" t="s">
        <v>5180</v>
      </c>
      <c r="M6197" t="s">
        <v>1629</v>
      </c>
      <c r="N6197">
        <v>53.19</v>
      </c>
      <c r="O6197" s="49">
        <v>44439</v>
      </c>
      <c r="P6197" s="50">
        <v>136.053</v>
      </c>
    </row>
    <row r="6198" spans="4:16" x14ac:dyDescent="0.2">
      <c r="D6198">
        <v>100003681</v>
      </c>
      <c r="E6198" s="49">
        <v>44315</v>
      </c>
      <c r="F6198" t="s">
        <v>5179</v>
      </c>
      <c r="G6198" t="s">
        <v>1695</v>
      </c>
      <c r="H6198">
        <v>1</v>
      </c>
      <c r="I6198">
        <v>29.64</v>
      </c>
      <c r="J6198" s="50">
        <v>29.64</v>
      </c>
      <c r="K6198" t="s">
        <v>1618</v>
      </c>
      <c r="L6198" t="s">
        <v>5180</v>
      </c>
      <c r="M6198" t="s">
        <v>1627</v>
      </c>
      <c r="N6198">
        <v>15.64</v>
      </c>
      <c r="O6198" s="49">
        <v>44318</v>
      </c>
      <c r="P6198" s="50">
        <v>13.338000000000001</v>
      </c>
    </row>
    <row r="6199" spans="4:16" x14ac:dyDescent="0.2">
      <c r="D6199">
        <v>100003682</v>
      </c>
      <c r="E6199" s="49">
        <v>45517</v>
      </c>
      <c r="F6199" t="s">
        <v>5181</v>
      </c>
      <c r="G6199" t="s">
        <v>2217</v>
      </c>
      <c r="H6199">
        <v>1</v>
      </c>
      <c r="I6199">
        <v>76.069999999999993</v>
      </c>
      <c r="J6199" s="50">
        <v>76.069999999999993</v>
      </c>
      <c r="K6199" t="s">
        <v>1632</v>
      </c>
      <c r="L6199" t="s">
        <v>5182</v>
      </c>
      <c r="M6199" t="s">
        <v>1624</v>
      </c>
      <c r="N6199">
        <v>40.15</v>
      </c>
      <c r="O6199" s="49">
        <v>45520</v>
      </c>
      <c r="P6199" s="50">
        <v>34.231499999999997</v>
      </c>
    </row>
    <row r="6200" spans="4:16" x14ac:dyDescent="0.2">
      <c r="D6200">
        <v>100003682</v>
      </c>
      <c r="E6200" s="49">
        <v>44843</v>
      </c>
      <c r="F6200" t="s">
        <v>5181</v>
      </c>
      <c r="G6200" t="s">
        <v>1634</v>
      </c>
      <c r="H6200">
        <v>3</v>
      </c>
      <c r="I6200">
        <v>32.92</v>
      </c>
      <c r="J6200" s="50">
        <v>98.76</v>
      </c>
      <c r="K6200" t="s">
        <v>1632</v>
      </c>
      <c r="L6200" t="s">
        <v>5182</v>
      </c>
      <c r="M6200" t="s">
        <v>1627</v>
      </c>
      <c r="N6200">
        <v>17.37</v>
      </c>
      <c r="O6200" s="49">
        <v>44845</v>
      </c>
      <c r="P6200" s="50">
        <v>44.442</v>
      </c>
    </row>
    <row r="6201" spans="4:16" x14ac:dyDescent="0.2">
      <c r="D6201">
        <v>100003682</v>
      </c>
      <c r="E6201" s="49">
        <v>45272</v>
      </c>
      <c r="F6201" t="s">
        <v>5181</v>
      </c>
      <c r="G6201" t="s">
        <v>1749</v>
      </c>
      <c r="H6201">
        <v>2</v>
      </c>
      <c r="I6201">
        <v>56.63</v>
      </c>
      <c r="J6201" s="50">
        <v>113.26</v>
      </c>
      <c r="K6201" t="s">
        <v>1632</v>
      </c>
      <c r="L6201" t="s">
        <v>5182</v>
      </c>
      <c r="M6201" t="s">
        <v>1621</v>
      </c>
      <c r="N6201">
        <v>29.89</v>
      </c>
      <c r="O6201" s="49">
        <v>45275</v>
      </c>
      <c r="P6201" s="50">
        <v>50.967000000000006</v>
      </c>
    </row>
    <row r="6202" spans="4:16" x14ac:dyDescent="0.2">
      <c r="D6202">
        <v>100003683</v>
      </c>
      <c r="E6202" s="49">
        <v>45176</v>
      </c>
      <c r="F6202" t="s">
        <v>5183</v>
      </c>
      <c r="G6202" t="s">
        <v>1724</v>
      </c>
      <c r="H6202">
        <v>1</v>
      </c>
      <c r="I6202">
        <v>105.4</v>
      </c>
      <c r="J6202" s="50">
        <v>105.4</v>
      </c>
      <c r="K6202" t="s">
        <v>1618</v>
      </c>
      <c r="M6202" t="s">
        <v>1627</v>
      </c>
      <c r="N6202">
        <v>55.63</v>
      </c>
      <c r="O6202" s="49">
        <v>45177</v>
      </c>
      <c r="P6202" s="50">
        <v>47.430000000000007</v>
      </c>
    </row>
    <row r="6203" spans="4:16" x14ac:dyDescent="0.2">
      <c r="D6203">
        <v>100003684</v>
      </c>
      <c r="E6203" s="49">
        <v>45588</v>
      </c>
      <c r="F6203" t="s">
        <v>5184</v>
      </c>
      <c r="G6203" t="s">
        <v>1833</v>
      </c>
      <c r="H6203">
        <v>8</v>
      </c>
      <c r="I6203">
        <v>34.49</v>
      </c>
      <c r="J6203" s="50">
        <v>275.92</v>
      </c>
      <c r="K6203" t="s">
        <v>1618</v>
      </c>
      <c r="M6203" t="s">
        <v>1629</v>
      </c>
      <c r="N6203">
        <v>18.2</v>
      </c>
      <c r="O6203" s="49">
        <v>45591</v>
      </c>
      <c r="P6203" s="50">
        <v>124.16400000000002</v>
      </c>
    </row>
    <row r="6204" spans="4:16" x14ac:dyDescent="0.2">
      <c r="D6204">
        <v>100003684</v>
      </c>
      <c r="E6204" s="49">
        <v>44408</v>
      </c>
      <c r="F6204" t="s">
        <v>5184</v>
      </c>
      <c r="G6204" t="s">
        <v>2581</v>
      </c>
      <c r="H6204">
        <v>3</v>
      </c>
      <c r="I6204">
        <v>11.58</v>
      </c>
      <c r="J6204" s="50">
        <v>34.74</v>
      </c>
      <c r="K6204" t="s">
        <v>1618</v>
      </c>
      <c r="M6204" t="s">
        <v>1621</v>
      </c>
      <c r="N6204">
        <v>6.11</v>
      </c>
      <c r="O6204" s="49">
        <v>44410</v>
      </c>
      <c r="P6204" s="50">
        <v>15.633000000000001</v>
      </c>
    </row>
    <row r="6205" spans="4:16" x14ac:dyDescent="0.2">
      <c r="D6205">
        <v>100003686</v>
      </c>
      <c r="E6205" s="49">
        <v>44815</v>
      </c>
      <c r="F6205" t="s">
        <v>5185</v>
      </c>
      <c r="G6205" t="s">
        <v>1828</v>
      </c>
      <c r="H6205">
        <v>5</v>
      </c>
      <c r="I6205">
        <v>111.91</v>
      </c>
      <c r="J6205" s="50">
        <v>559.54999999999995</v>
      </c>
      <c r="K6205" t="s">
        <v>1632</v>
      </c>
      <c r="M6205" t="s">
        <v>1619</v>
      </c>
      <c r="N6205">
        <v>59.06</v>
      </c>
      <c r="O6205" s="49">
        <v>44818</v>
      </c>
      <c r="P6205" s="50">
        <v>251.79749999999999</v>
      </c>
    </row>
    <row r="6206" spans="4:16" x14ac:dyDescent="0.2">
      <c r="D6206">
        <v>100003686</v>
      </c>
      <c r="E6206" s="49">
        <v>44555</v>
      </c>
      <c r="F6206" t="s">
        <v>5185</v>
      </c>
      <c r="G6206" t="s">
        <v>1696</v>
      </c>
      <c r="H6206">
        <v>7</v>
      </c>
      <c r="I6206">
        <v>36.54</v>
      </c>
      <c r="J6206" s="50">
        <v>255.78</v>
      </c>
      <c r="K6206" t="s">
        <v>1632</v>
      </c>
      <c r="M6206" t="s">
        <v>1624</v>
      </c>
      <c r="N6206">
        <v>19.28</v>
      </c>
      <c r="O6206" s="49">
        <v>44556</v>
      </c>
      <c r="P6206" s="50">
        <v>115.101</v>
      </c>
    </row>
    <row r="6207" spans="4:16" x14ac:dyDescent="0.2">
      <c r="D6207">
        <v>100003687</v>
      </c>
      <c r="E6207" s="49">
        <v>44562</v>
      </c>
      <c r="F6207" t="s">
        <v>5186</v>
      </c>
      <c r="G6207" t="s">
        <v>2047</v>
      </c>
      <c r="H6207">
        <v>8</v>
      </c>
      <c r="I6207">
        <v>34.43</v>
      </c>
      <c r="J6207" s="50">
        <v>275.44</v>
      </c>
      <c r="K6207" t="s">
        <v>1632</v>
      </c>
      <c r="L6207" t="s">
        <v>3079</v>
      </c>
      <c r="M6207" t="s">
        <v>1624</v>
      </c>
      <c r="N6207">
        <v>18.170000000000002</v>
      </c>
      <c r="O6207" s="49">
        <v>44564</v>
      </c>
      <c r="P6207" s="50">
        <v>123.94800000000001</v>
      </c>
    </row>
    <row r="6208" spans="4:16" x14ac:dyDescent="0.2">
      <c r="D6208">
        <v>100003687</v>
      </c>
      <c r="E6208" s="49">
        <v>45596</v>
      </c>
      <c r="F6208" t="s">
        <v>5186</v>
      </c>
      <c r="G6208" t="s">
        <v>1937</v>
      </c>
      <c r="H6208">
        <v>8</v>
      </c>
      <c r="I6208">
        <v>114.27</v>
      </c>
      <c r="J6208" s="50">
        <v>914.16</v>
      </c>
      <c r="K6208" t="s">
        <v>1632</v>
      </c>
      <c r="L6208" t="s">
        <v>3079</v>
      </c>
      <c r="M6208" t="s">
        <v>1629</v>
      </c>
      <c r="N6208">
        <v>60.31</v>
      </c>
      <c r="O6208" s="49">
        <v>45599</v>
      </c>
      <c r="P6208" s="50">
        <v>411.37200000000001</v>
      </c>
    </row>
    <row r="6209" spans="4:16" x14ac:dyDescent="0.2">
      <c r="D6209">
        <v>100003687</v>
      </c>
      <c r="E6209" s="49">
        <v>45494</v>
      </c>
      <c r="F6209" t="s">
        <v>5186</v>
      </c>
      <c r="G6209" t="s">
        <v>1929</v>
      </c>
      <c r="H6209">
        <v>2</v>
      </c>
      <c r="I6209">
        <v>43.95</v>
      </c>
      <c r="J6209" s="50">
        <v>87.9</v>
      </c>
      <c r="K6209" t="s">
        <v>1632</v>
      </c>
      <c r="L6209" t="s">
        <v>3079</v>
      </c>
      <c r="M6209" t="s">
        <v>1619</v>
      </c>
      <c r="N6209">
        <v>23.2</v>
      </c>
      <c r="O6209" s="49">
        <v>45498</v>
      </c>
      <c r="P6209" s="50">
        <v>39.555000000000007</v>
      </c>
    </row>
    <row r="6210" spans="4:16" x14ac:dyDescent="0.2">
      <c r="D6210">
        <v>100003687</v>
      </c>
      <c r="E6210" s="49">
        <v>44931</v>
      </c>
      <c r="F6210" t="s">
        <v>5186</v>
      </c>
      <c r="G6210" t="s">
        <v>1623</v>
      </c>
      <c r="H6210">
        <v>5</v>
      </c>
      <c r="I6210">
        <v>18.36</v>
      </c>
      <c r="J6210" s="50">
        <v>91.8</v>
      </c>
      <c r="K6210" t="s">
        <v>1632</v>
      </c>
      <c r="L6210" t="s">
        <v>3079</v>
      </c>
      <c r="M6210" t="s">
        <v>1624</v>
      </c>
      <c r="N6210">
        <v>9.69</v>
      </c>
      <c r="O6210" s="49">
        <v>44936</v>
      </c>
      <c r="P6210" s="50">
        <v>41.31</v>
      </c>
    </row>
    <row r="6211" spans="4:16" x14ac:dyDescent="0.2">
      <c r="D6211">
        <v>100003687</v>
      </c>
      <c r="E6211" s="49">
        <v>45574</v>
      </c>
      <c r="F6211" t="s">
        <v>5186</v>
      </c>
      <c r="G6211" t="s">
        <v>2745</v>
      </c>
      <c r="H6211">
        <v>7</v>
      </c>
      <c r="I6211">
        <v>95.41</v>
      </c>
      <c r="J6211" s="50">
        <v>667.87</v>
      </c>
      <c r="K6211" t="s">
        <v>1632</v>
      </c>
      <c r="L6211" t="s">
        <v>3079</v>
      </c>
      <c r="M6211" t="s">
        <v>1621</v>
      </c>
      <c r="N6211">
        <v>50.35</v>
      </c>
      <c r="O6211" s="49">
        <v>45575</v>
      </c>
      <c r="P6211" s="50">
        <v>300.54149999999998</v>
      </c>
    </row>
    <row r="6212" spans="4:16" x14ac:dyDescent="0.2">
      <c r="D6212">
        <v>100003687</v>
      </c>
      <c r="E6212" s="49">
        <v>45611</v>
      </c>
      <c r="F6212" t="s">
        <v>5186</v>
      </c>
      <c r="G6212" t="s">
        <v>1955</v>
      </c>
      <c r="H6212">
        <v>3</v>
      </c>
      <c r="I6212">
        <v>107.04</v>
      </c>
      <c r="J6212" s="50">
        <v>321.12</v>
      </c>
      <c r="K6212" t="s">
        <v>1632</v>
      </c>
      <c r="L6212" t="s">
        <v>3079</v>
      </c>
      <c r="M6212" t="s">
        <v>1619</v>
      </c>
      <c r="N6212">
        <v>56.49</v>
      </c>
      <c r="O6212" s="49">
        <v>45613</v>
      </c>
      <c r="P6212" s="50">
        <v>144.50400000000002</v>
      </c>
    </row>
    <row r="6213" spans="4:16" x14ac:dyDescent="0.2">
      <c r="D6213">
        <v>100003687</v>
      </c>
      <c r="E6213" s="49">
        <v>44437</v>
      </c>
      <c r="F6213" t="s">
        <v>5186</v>
      </c>
      <c r="G6213" t="s">
        <v>1667</v>
      </c>
      <c r="H6213">
        <v>5</v>
      </c>
      <c r="I6213">
        <v>70.98</v>
      </c>
      <c r="J6213" s="50">
        <v>354.9</v>
      </c>
      <c r="K6213" t="s">
        <v>1632</v>
      </c>
      <c r="L6213" t="s">
        <v>3079</v>
      </c>
      <c r="M6213" t="s">
        <v>1619</v>
      </c>
      <c r="N6213">
        <v>37.46</v>
      </c>
      <c r="O6213" s="49">
        <v>44441</v>
      </c>
      <c r="P6213" s="50">
        <v>159.70499999999998</v>
      </c>
    </row>
    <row r="6214" spans="4:16" x14ac:dyDescent="0.2">
      <c r="D6214">
        <v>100003688</v>
      </c>
      <c r="E6214" s="49">
        <v>44378</v>
      </c>
      <c r="F6214" t="s">
        <v>5187</v>
      </c>
      <c r="G6214" t="s">
        <v>1929</v>
      </c>
      <c r="H6214">
        <v>9</v>
      </c>
      <c r="I6214">
        <v>18.09</v>
      </c>
      <c r="J6214" s="50">
        <v>162.81</v>
      </c>
      <c r="K6214" t="s">
        <v>1632</v>
      </c>
      <c r="M6214" t="s">
        <v>1621</v>
      </c>
      <c r="N6214">
        <v>9.5500000000000007</v>
      </c>
      <c r="O6214" s="49">
        <v>44381</v>
      </c>
      <c r="P6214" s="50">
        <v>73.264499999999998</v>
      </c>
    </row>
    <row r="6215" spans="4:16" x14ac:dyDescent="0.2">
      <c r="D6215">
        <v>100003688</v>
      </c>
      <c r="E6215" s="49">
        <v>44862</v>
      </c>
      <c r="F6215" t="s">
        <v>5187</v>
      </c>
      <c r="G6215" t="s">
        <v>1752</v>
      </c>
      <c r="H6215">
        <v>2</v>
      </c>
      <c r="I6215">
        <v>28.52</v>
      </c>
      <c r="J6215" s="50">
        <v>57.04</v>
      </c>
      <c r="K6215" t="s">
        <v>1632</v>
      </c>
      <c r="M6215" t="s">
        <v>1621</v>
      </c>
      <c r="N6215">
        <v>15.05</v>
      </c>
      <c r="O6215" s="49">
        <v>44864</v>
      </c>
      <c r="P6215" s="50">
        <v>25.667999999999999</v>
      </c>
    </row>
    <row r="6216" spans="4:16" x14ac:dyDescent="0.2">
      <c r="D6216">
        <v>100003689</v>
      </c>
      <c r="E6216" s="49">
        <v>44721</v>
      </c>
      <c r="F6216" t="s">
        <v>5188</v>
      </c>
      <c r="G6216" t="s">
        <v>2116</v>
      </c>
      <c r="H6216">
        <v>3</v>
      </c>
      <c r="I6216">
        <v>94.75</v>
      </c>
      <c r="J6216" s="50">
        <v>284.25</v>
      </c>
      <c r="K6216" t="s">
        <v>1632</v>
      </c>
      <c r="M6216" t="s">
        <v>1619</v>
      </c>
      <c r="N6216">
        <v>50.01</v>
      </c>
      <c r="O6216" s="49">
        <v>44722</v>
      </c>
      <c r="P6216" s="50">
        <v>127.91250000000001</v>
      </c>
    </row>
    <row r="6217" spans="4:16" x14ac:dyDescent="0.2">
      <c r="D6217">
        <v>100003689</v>
      </c>
      <c r="E6217" s="49">
        <v>45101</v>
      </c>
      <c r="F6217" t="s">
        <v>5188</v>
      </c>
      <c r="G6217" t="s">
        <v>1702</v>
      </c>
      <c r="H6217">
        <v>2</v>
      </c>
      <c r="I6217">
        <v>73.28</v>
      </c>
      <c r="J6217" s="50">
        <v>146.56</v>
      </c>
      <c r="K6217" t="s">
        <v>1632</v>
      </c>
      <c r="M6217" t="s">
        <v>1619</v>
      </c>
      <c r="N6217">
        <v>38.68</v>
      </c>
      <c r="O6217" s="49">
        <v>45103</v>
      </c>
      <c r="P6217" s="50">
        <v>65.951999999999998</v>
      </c>
    </row>
    <row r="6218" spans="4:16" x14ac:dyDescent="0.2">
      <c r="D6218">
        <v>100003689</v>
      </c>
      <c r="E6218" s="49">
        <v>45501</v>
      </c>
      <c r="F6218" t="s">
        <v>5188</v>
      </c>
      <c r="G6218" t="s">
        <v>2217</v>
      </c>
      <c r="H6218">
        <v>1</v>
      </c>
      <c r="I6218">
        <v>78.010000000000005</v>
      </c>
      <c r="J6218" s="50">
        <v>78.010000000000005</v>
      </c>
      <c r="K6218" t="s">
        <v>1632</v>
      </c>
      <c r="M6218" t="s">
        <v>1624</v>
      </c>
      <c r="N6218">
        <v>41.17</v>
      </c>
      <c r="O6218" s="49">
        <v>45502</v>
      </c>
      <c r="P6218" s="50">
        <v>35.104500000000002</v>
      </c>
    </row>
    <row r="6219" spans="4:16" x14ac:dyDescent="0.2">
      <c r="D6219">
        <v>100003693</v>
      </c>
      <c r="E6219" s="49">
        <v>44257</v>
      </c>
      <c r="F6219" t="s">
        <v>5189</v>
      </c>
      <c r="G6219" t="s">
        <v>2150</v>
      </c>
      <c r="H6219">
        <v>7</v>
      </c>
      <c r="I6219">
        <v>110.14</v>
      </c>
      <c r="J6219" s="50">
        <v>770.98</v>
      </c>
      <c r="K6219" t="s">
        <v>1618</v>
      </c>
      <c r="M6219" t="s">
        <v>1619</v>
      </c>
      <c r="N6219">
        <v>58.13</v>
      </c>
      <c r="O6219" s="49">
        <v>44258</v>
      </c>
      <c r="P6219" s="50">
        <v>346.94100000000003</v>
      </c>
    </row>
    <row r="6220" spans="4:16" x14ac:dyDescent="0.2">
      <c r="D6220">
        <v>100003696</v>
      </c>
      <c r="E6220" s="49">
        <v>45337</v>
      </c>
      <c r="F6220" t="s">
        <v>5190</v>
      </c>
      <c r="G6220" t="s">
        <v>1644</v>
      </c>
      <c r="H6220">
        <v>2</v>
      </c>
      <c r="I6220">
        <v>55.66</v>
      </c>
      <c r="J6220" s="50">
        <v>111.32</v>
      </c>
      <c r="K6220" t="s">
        <v>1632</v>
      </c>
      <c r="L6220" t="s">
        <v>5191</v>
      </c>
      <c r="M6220" t="s">
        <v>1619</v>
      </c>
      <c r="N6220">
        <v>29.38</v>
      </c>
      <c r="O6220" s="49">
        <v>45342</v>
      </c>
      <c r="P6220" s="50">
        <v>50.094000000000001</v>
      </c>
    </row>
    <row r="6221" spans="4:16" x14ac:dyDescent="0.2">
      <c r="D6221">
        <v>100003696</v>
      </c>
      <c r="E6221" s="49">
        <v>45076</v>
      </c>
      <c r="F6221" t="s">
        <v>5190</v>
      </c>
      <c r="G6221" t="s">
        <v>1723</v>
      </c>
      <c r="H6221">
        <v>4</v>
      </c>
      <c r="I6221">
        <v>22.73</v>
      </c>
      <c r="J6221" s="50">
        <v>90.92</v>
      </c>
      <c r="K6221" t="s">
        <v>1632</v>
      </c>
      <c r="L6221" t="s">
        <v>5191</v>
      </c>
      <c r="M6221" t="s">
        <v>1619</v>
      </c>
      <c r="N6221">
        <v>12</v>
      </c>
      <c r="O6221" s="49">
        <v>45077</v>
      </c>
      <c r="P6221" s="50">
        <v>40.914000000000001</v>
      </c>
    </row>
    <row r="6222" spans="4:16" x14ac:dyDescent="0.2">
      <c r="D6222">
        <v>100003696</v>
      </c>
      <c r="E6222" s="49">
        <v>44754</v>
      </c>
      <c r="F6222" t="s">
        <v>5190</v>
      </c>
      <c r="G6222" t="s">
        <v>2390</v>
      </c>
      <c r="H6222">
        <v>6</v>
      </c>
      <c r="I6222">
        <v>58.37</v>
      </c>
      <c r="J6222" s="50">
        <v>350.22</v>
      </c>
      <c r="K6222" t="s">
        <v>1632</v>
      </c>
      <c r="L6222" t="s">
        <v>5191</v>
      </c>
      <c r="M6222" t="s">
        <v>1627</v>
      </c>
      <c r="N6222">
        <v>30.81</v>
      </c>
      <c r="O6222" s="49">
        <v>44756</v>
      </c>
      <c r="P6222" s="50">
        <v>157.59900000000002</v>
      </c>
    </row>
    <row r="6223" spans="4:16" x14ac:dyDescent="0.2">
      <c r="D6223">
        <v>100003696</v>
      </c>
      <c r="E6223" s="49">
        <v>45356</v>
      </c>
      <c r="F6223" t="s">
        <v>5190</v>
      </c>
      <c r="G6223" t="s">
        <v>1955</v>
      </c>
      <c r="H6223">
        <v>8</v>
      </c>
      <c r="I6223">
        <v>119.36</v>
      </c>
      <c r="J6223" s="50">
        <v>954.88</v>
      </c>
      <c r="K6223" t="s">
        <v>1632</v>
      </c>
      <c r="L6223" t="s">
        <v>5191</v>
      </c>
      <c r="M6223" t="s">
        <v>1624</v>
      </c>
      <c r="N6223">
        <v>63</v>
      </c>
      <c r="O6223" s="49">
        <v>45359</v>
      </c>
      <c r="P6223" s="50">
        <v>429.69600000000003</v>
      </c>
    </row>
    <row r="6224" spans="4:16" x14ac:dyDescent="0.2">
      <c r="D6224">
        <v>100003696</v>
      </c>
      <c r="E6224" s="49">
        <v>44315</v>
      </c>
      <c r="F6224" t="s">
        <v>5190</v>
      </c>
      <c r="G6224" t="s">
        <v>1978</v>
      </c>
      <c r="H6224">
        <v>3</v>
      </c>
      <c r="I6224">
        <v>55.7</v>
      </c>
      <c r="J6224" s="50">
        <v>167.1</v>
      </c>
      <c r="K6224" t="s">
        <v>1632</v>
      </c>
      <c r="L6224" t="s">
        <v>5191</v>
      </c>
      <c r="M6224" t="s">
        <v>1629</v>
      </c>
      <c r="N6224">
        <v>29.4</v>
      </c>
      <c r="O6224" s="49">
        <v>44317</v>
      </c>
      <c r="P6224" s="50">
        <v>75.194999999999993</v>
      </c>
    </row>
    <row r="6225" spans="4:16" x14ac:dyDescent="0.2">
      <c r="D6225">
        <v>100003698</v>
      </c>
      <c r="E6225" s="49">
        <v>44792</v>
      </c>
      <c r="F6225" t="s">
        <v>5192</v>
      </c>
      <c r="G6225" t="s">
        <v>2230</v>
      </c>
      <c r="H6225">
        <v>3</v>
      </c>
      <c r="I6225">
        <v>86.73</v>
      </c>
      <c r="J6225" s="50">
        <v>260.19</v>
      </c>
      <c r="K6225" t="s">
        <v>1618</v>
      </c>
      <c r="M6225" t="s">
        <v>1621</v>
      </c>
      <c r="N6225">
        <v>45.77</v>
      </c>
      <c r="O6225" s="49">
        <v>44796</v>
      </c>
      <c r="P6225" s="50">
        <v>117.0855</v>
      </c>
    </row>
    <row r="6226" spans="4:16" x14ac:dyDescent="0.2">
      <c r="D6226">
        <v>100003698</v>
      </c>
      <c r="E6226" s="49">
        <v>44860</v>
      </c>
      <c r="F6226" t="s">
        <v>5192</v>
      </c>
      <c r="G6226" t="s">
        <v>2447</v>
      </c>
      <c r="H6226">
        <v>5</v>
      </c>
      <c r="I6226">
        <v>42.47</v>
      </c>
      <c r="J6226" s="50">
        <v>212.35</v>
      </c>
      <c r="K6226" t="s">
        <v>1618</v>
      </c>
      <c r="M6226" t="s">
        <v>1619</v>
      </c>
      <c r="N6226">
        <v>22.41</v>
      </c>
      <c r="O6226" s="49">
        <v>44863</v>
      </c>
      <c r="P6226" s="50">
        <v>95.557500000000005</v>
      </c>
    </row>
    <row r="6227" spans="4:16" x14ac:dyDescent="0.2">
      <c r="D6227">
        <v>100003698</v>
      </c>
      <c r="E6227" s="49">
        <v>44830</v>
      </c>
      <c r="F6227" t="s">
        <v>5192</v>
      </c>
      <c r="G6227" t="s">
        <v>2305</v>
      </c>
      <c r="H6227">
        <v>2</v>
      </c>
      <c r="I6227">
        <v>37.770000000000003</v>
      </c>
      <c r="J6227" s="50">
        <v>75.540000000000006</v>
      </c>
      <c r="K6227" t="s">
        <v>1618</v>
      </c>
      <c r="M6227" t="s">
        <v>1624</v>
      </c>
      <c r="N6227">
        <v>19.93</v>
      </c>
      <c r="O6227" s="49">
        <v>44833</v>
      </c>
      <c r="P6227" s="50">
        <v>33.993000000000002</v>
      </c>
    </row>
    <row r="6228" spans="4:16" x14ac:dyDescent="0.2">
      <c r="D6228">
        <v>100003698</v>
      </c>
      <c r="E6228" s="49">
        <v>45131</v>
      </c>
      <c r="F6228" t="s">
        <v>5192</v>
      </c>
      <c r="G6228" t="s">
        <v>2130</v>
      </c>
      <c r="H6228">
        <v>9</v>
      </c>
      <c r="I6228">
        <v>60.37</v>
      </c>
      <c r="J6228" s="50">
        <v>543.32999999999993</v>
      </c>
      <c r="K6228" t="s">
        <v>1618</v>
      </c>
      <c r="M6228" t="s">
        <v>1621</v>
      </c>
      <c r="N6228">
        <v>31.86</v>
      </c>
      <c r="O6228" s="49">
        <v>45134</v>
      </c>
      <c r="P6228" s="50">
        <v>244.49849999999998</v>
      </c>
    </row>
    <row r="6229" spans="4:16" x14ac:dyDescent="0.2">
      <c r="D6229">
        <v>100003698</v>
      </c>
      <c r="E6229" s="49">
        <v>44572</v>
      </c>
      <c r="F6229" t="s">
        <v>5192</v>
      </c>
      <c r="G6229" t="s">
        <v>1802</v>
      </c>
      <c r="H6229">
        <v>3</v>
      </c>
      <c r="I6229">
        <v>62.43</v>
      </c>
      <c r="J6229" s="50">
        <v>187.29</v>
      </c>
      <c r="K6229" t="s">
        <v>1618</v>
      </c>
      <c r="M6229" t="s">
        <v>1627</v>
      </c>
      <c r="N6229">
        <v>32.950000000000003</v>
      </c>
      <c r="O6229" s="49">
        <v>44574</v>
      </c>
      <c r="P6229" s="50">
        <v>84.280500000000004</v>
      </c>
    </row>
    <row r="6230" spans="4:16" x14ac:dyDescent="0.2">
      <c r="D6230">
        <v>100003699</v>
      </c>
      <c r="E6230" s="49">
        <v>45552</v>
      </c>
      <c r="F6230" t="s">
        <v>5193</v>
      </c>
      <c r="G6230" t="s">
        <v>1715</v>
      </c>
      <c r="H6230">
        <v>1</v>
      </c>
      <c r="I6230">
        <v>97.95</v>
      </c>
      <c r="J6230" s="50">
        <v>97.95</v>
      </c>
      <c r="K6230" t="s">
        <v>1632</v>
      </c>
      <c r="M6230" t="s">
        <v>1627</v>
      </c>
      <c r="N6230">
        <v>51.7</v>
      </c>
      <c r="O6230" s="49">
        <v>45554</v>
      </c>
      <c r="P6230" s="50">
        <v>44.077500000000001</v>
      </c>
    </row>
    <row r="6231" spans="4:16" x14ac:dyDescent="0.2">
      <c r="D6231">
        <v>100003700</v>
      </c>
      <c r="E6231" s="49">
        <v>45410</v>
      </c>
      <c r="F6231" t="s">
        <v>5194</v>
      </c>
      <c r="G6231" t="s">
        <v>1649</v>
      </c>
      <c r="H6231">
        <v>3</v>
      </c>
      <c r="I6231">
        <v>104.13</v>
      </c>
      <c r="J6231" s="50">
        <v>312.39</v>
      </c>
      <c r="K6231" t="s">
        <v>1618</v>
      </c>
      <c r="L6231" t="s">
        <v>2308</v>
      </c>
      <c r="M6231" t="s">
        <v>1629</v>
      </c>
      <c r="N6231">
        <v>54.96</v>
      </c>
      <c r="O6231" s="49">
        <v>45414</v>
      </c>
      <c r="P6231" s="50">
        <v>140.57550000000001</v>
      </c>
    </row>
    <row r="6232" spans="4:16" x14ac:dyDescent="0.2">
      <c r="D6232">
        <v>100003700</v>
      </c>
      <c r="E6232" s="49">
        <v>45062</v>
      </c>
      <c r="F6232" t="s">
        <v>5194</v>
      </c>
      <c r="G6232" t="s">
        <v>2065</v>
      </c>
      <c r="H6232">
        <v>5</v>
      </c>
      <c r="I6232">
        <v>76.239999999999995</v>
      </c>
      <c r="J6232" s="50">
        <v>381.2</v>
      </c>
      <c r="K6232" t="s">
        <v>1618</v>
      </c>
      <c r="L6232" t="s">
        <v>2308</v>
      </c>
      <c r="M6232" t="s">
        <v>1624</v>
      </c>
      <c r="N6232">
        <v>40.24</v>
      </c>
      <c r="O6232" s="49">
        <v>45067</v>
      </c>
      <c r="P6232" s="50">
        <v>171.54</v>
      </c>
    </row>
    <row r="6233" spans="4:16" x14ac:dyDescent="0.2">
      <c r="D6233">
        <v>100003700</v>
      </c>
      <c r="E6233" s="49">
        <v>45037</v>
      </c>
      <c r="F6233" t="s">
        <v>5194</v>
      </c>
      <c r="G6233" t="s">
        <v>1841</v>
      </c>
      <c r="H6233">
        <v>6</v>
      </c>
      <c r="I6233">
        <v>33.83</v>
      </c>
      <c r="J6233" s="50">
        <v>202.98</v>
      </c>
      <c r="K6233" t="s">
        <v>1618</v>
      </c>
      <c r="L6233" t="s">
        <v>2308</v>
      </c>
      <c r="M6233" t="s">
        <v>1621</v>
      </c>
      <c r="N6233">
        <v>17.850000000000001</v>
      </c>
      <c r="O6233" s="49">
        <v>45042</v>
      </c>
      <c r="P6233" s="50">
        <v>91.340999999999994</v>
      </c>
    </row>
    <row r="6234" spans="4:16" x14ac:dyDescent="0.2">
      <c r="D6234">
        <v>100003700</v>
      </c>
      <c r="E6234" s="49">
        <v>45284</v>
      </c>
      <c r="F6234" t="s">
        <v>5194</v>
      </c>
      <c r="G6234" t="s">
        <v>1739</v>
      </c>
      <c r="H6234">
        <v>8</v>
      </c>
      <c r="I6234">
        <v>96.75</v>
      </c>
      <c r="J6234" s="50">
        <v>774</v>
      </c>
      <c r="K6234" t="s">
        <v>1618</v>
      </c>
      <c r="L6234" t="s">
        <v>2308</v>
      </c>
      <c r="M6234" t="s">
        <v>1619</v>
      </c>
      <c r="N6234">
        <v>51.06</v>
      </c>
      <c r="O6234" s="49">
        <v>45285</v>
      </c>
      <c r="P6234" s="50">
        <v>348.3</v>
      </c>
    </row>
    <row r="6235" spans="4:16" x14ac:dyDescent="0.2">
      <c r="D6235">
        <v>100003700</v>
      </c>
      <c r="E6235" s="49">
        <v>44776</v>
      </c>
      <c r="F6235" t="s">
        <v>5194</v>
      </c>
      <c r="G6235" t="s">
        <v>1628</v>
      </c>
      <c r="H6235">
        <v>2</v>
      </c>
      <c r="I6235">
        <v>44.81</v>
      </c>
      <c r="J6235" s="50">
        <v>89.62</v>
      </c>
      <c r="K6235" t="s">
        <v>1618</v>
      </c>
      <c r="L6235" t="s">
        <v>2308</v>
      </c>
      <c r="M6235" t="s">
        <v>1621</v>
      </c>
      <c r="N6235">
        <v>23.65</v>
      </c>
      <c r="O6235" s="49">
        <v>44777</v>
      </c>
      <c r="P6235" s="50">
        <v>40.329000000000001</v>
      </c>
    </row>
    <row r="6236" spans="4:16" x14ac:dyDescent="0.2">
      <c r="D6236">
        <v>100003700</v>
      </c>
      <c r="E6236" s="49">
        <v>45354</v>
      </c>
      <c r="F6236" t="s">
        <v>5194</v>
      </c>
      <c r="G6236" t="s">
        <v>2004</v>
      </c>
      <c r="H6236">
        <v>2</v>
      </c>
      <c r="I6236">
        <v>74.849999999999994</v>
      </c>
      <c r="J6236" s="50">
        <v>149.69999999999999</v>
      </c>
      <c r="K6236" t="s">
        <v>1618</v>
      </c>
      <c r="L6236" t="s">
        <v>2308</v>
      </c>
      <c r="M6236" t="s">
        <v>1629</v>
      </c>
      <c r="N6236">
        <v>39.5</v>
      </c>
      <c r="O6236" s="49">
        <v>45356</v>
      </c>
      <c r="P6236" s="50">
        <v>67.364999999999995</v>
      </c>
    </row>
    <row r="6237" spans="4:16" x14ac:dyDescent="0.2">
      <c r="D6237">
        <v>100003700</v>
      </c>
      <c r="E6237" s="49">
        <v>44715</v>
      </c>
      <c r="F6237" t="s">
        <v>5194</v>
      </c>
      <c r="G6237" t="s">
        <v>2658</v>
      </c>
      <c r="H6237">
        <v>5</v>
      </c>
      <c r="I6237">
        <v>15.12</v>
      </c>
      <c r="J6237" s="50">
        <v>75.599999999999994</v>
      </c>
      <c r="K6237" t="s">
        <v>1618</v>
      </c>
      <c r="L6237" t="s">
        <v>2308</v>
      </c>
      <c r="M6237" t="s">
        <v>1621</v>
      </c>
      <c r="N6237">
        <v>7.98</v>
      </c>
      <c r="O6237" s="49">
        <v>44717</v>
      </c>
      <c r="P6237" s="50">
        <v>34.019999999999996</v>
      </c>
    </row>
    <row r="6238" spans="4:16" x14ac:dyDescent="0.2">
      <c r="D6238">
        <v>100003701</v>
      </c>
      <c r="E6238" s="49">
        <v>45443</v>
      </c>
      <c r="F6238" t="s">
        <v>5195</v>
      </c>
      <c r="G6238" t="s">
        <v>2571</v>
      </c>
      <c r="H6238">
        <v>6</v>
      </c>
      <c r="I6238">
        <v>86.59</v>
      </c>
      <c r="J6238" s="50">
        <v>519.54</v>
      </c>
      <c r="K6238" t="s">
        <v>1618</v>
      </c>
      <c r="L6238" t="s">
        <v>5196</v>
      </c>
      <c r="M6238" t="s">
        <v>1621</v>
      </c>
      <c r="N6238">
        <v>45.7</v>
      </c>
      <c r="O6238" s="49">
        <v>45446</v>
      </c>
      <c r="P6238" s="50">
        <v>233.79299999999998</v>
      </c>
    </row>
    <row r="6239" spans="4:16" x14ac:dyDescent="0.2">
      <c r="D6239">
        <v>100003701</v>
      </c>
      <c r="E6239" s="49">
        <v>44729</v>
      </c>
      <c r="F6239" t="s">
        <v>5195</v>
      </c>
      <c r="G6239" t="s">
        <v>2158</v>
      </c>
      <c r="H6239">
        <v>10</v>
      </c>
      <c r="I6239">
        <v>38.92</v>
      </c>
      <c r="J6239" s="50">
        <v>389.2</v>
      </c>
      <c r="K6239" t="s">
        <v>1618</v>
      </c>
      <c r="L6239" t="s">
        <v>5196</v>
      </c>
      <c r="M6239" t="s">
        <v>1624</v>
      </c>
      <c r="N6239">
        <v>20.54</v>
      </c>
      <c r="O6239" s="49">
        <v>44734</v>
      </c>
      <c r="P6239" s="50">
        <v>175.14</v>
      </c>
    </row>
    <row r="6240" spans="4:16" x14ac:dyDescent="0.2">
      <c r="D6240">
        <v>100003701</v>
      </c>
      <c r="E6240" s="49">
        <v>45091</v>
      </c>
      <c r="F6240" t="s">
        <v>5195</v>
      </c>
      <c r="G6240" t="s">
        <v>1982</v>
      </c>
      <c r="H6240">
        <v>10</v>
      </c>
      <c r="I6240">
        <v>102.4</v>
      </c>
      <c r="J6240" s="50">
        <v>1024</v>
      </c>
      <c r="K6240" t="s">
        <v>1618</v>
      </c>
      <c r="L6240" t="s">
        <v>5196</v>
      </c>
      <c r="M6240" t="s">
        <v>1624</v>
      </c>
      <c r="N6240">
        <v>54.04</v>
      </c>
      <c r="O6240" s="49">
        <v>45092</v>
      </c>
      <c r="P6240" s="50">
        <v>460.8</v>
      </c>
    </row>
    <row r="6241" spans="4:16" x14ac:dyDescent="0.2">
      <c r="D6241">
        <v>100003701</v>
      </c>
      <c r="E6241" s="49">
        <v>45635</v>
      </c>
      <c r="F6241" t="s">
        <v>5195</v>
      </c>
      <c r="G6241" t="s">
        <v>2125</v>
      </c>
      <c r="H6241">
        <v>4</v>
      </c>
      <c r="I6241">
        <v>40.67</v>
      </c>
      <c r="J6241" s="50">
        <v>162.68</v>
      </c>
      <c r="K6241" t="s">
        <v>1618</v>
      </c>
      <c r="L6241" t="s">
        <v>5196</v>
      </c>
      <c r="M6241" t="s">
        <v>1619</v>
      </c>
      <c r="N6241">
        <v>21.46</v>
      </c>
      <c r="O6241" s="49">
        <v>45638</v>
      </c>
      <c r="P6241" s="50">
        <v>73.206000000000003</v>
      </c>
    </row>
    <row r="6242" spans="4:16" x14ac:dyDescent="0.2">
      <c r="D6242">
        <v>100003701</v>
      </c>
      <c r="E6242" s="49">
        <v>44447</v>
      </c>
      <c r="F6242" t="s">
        <v>5195</v>
      </c>
      <c r="G6242" t="s">
        <v>1658</v>
      </c>
      <c r="H6242">
        <v>7</v>
      </c>
      <c r="I6242">
        <v>114.64</v>
      </c>
      <c r="J6242" s="50">
        <v>802.48</v>
      </c>
      <c r="K6242" t="s">
        <v>1618</v>
      </c>
      <c r="L6242" t="s">
        <v>5196</v>
      </c>
      <c r="M6242" t="s">
        <v>1629</v>
      </c>
      <c r="N6242">
        <v>60.5</v>
      </c>
      <c r="O6242" s="49">
        <v>44449</v>
      </c>
      <c r="P6242" s="50">
        <v>361.11600000000004</v>
      </c>
    </row>
    <row r="6243" spans="4:16" x14ac:dyDescent="0.2">
      <c r="D6243">
        <v>100003702</v>
      </c>
      <c r="E6243" s="49">
        <v>45465</v>
      </c>
      <c r="F6243" t="s">
        <v>5197</v>
      </c>
      <c r="G6243" t="s">
        <v>2658</v>
      </c>
      <c r="H6243">
        <v>7</v>
      </c>
      <c r="I6243">
        <v>28.47</v>
      </c>
      <c r="J6243" s="50">
        <v>199.29</v>
      </c>
      <c r="K6243" t="s">
        <v>1618</v>
      </c>
      <c r="M6243" t="s">
        <v>1621</v>
      </c>
      <c r="N6243">
        <v>15.03</v>
      </c>
      <c r="O6243" s="49">
        <v>45469</v>
      </c>
      <c r="P6243" s="50">
        <v>89.680499999999995</v>
      </c>
    </row>
    <row r="6244" spans="4:16" x14ac:dyDescent="0.2">
      <c r="D6244">
        <v>100003702</v>
      </c>
      <c r="E6244" s="49">
        <v>44499</v>
      </c>
      <c r="F6244" t="s">
        <v>5197</v>
      </c>
      <c r="G6244" t="s">
        <v>2628</v>
      </c>
      <c r="H6244">
        <v>6</v>
      </c>
      <c r="I6244">
        <v>45.73</v>
      </c>
      <c r="J6244" s="50">
        <v>274.38</v>
      </c>
      <c r="K6244" t="s">
        <v>1618</v>
      </c>
      <c r="M6244" t="s">
        <v>1619</v>
      </c>
      <c r="N6244">
        <v>24.14</v>
      </c>
      <c r="O6244" s="49">
        <v>44500</v>
      </c>
      <c r="P6244" s="50">
        <v>123.471</v>
      </c>
    </row>
    <row r="6245" spans="4:16" x14ac:dyDescent="0.2">
      <c r="D6245">
        <v>100003702</v>
      </c>
      <c r="E6245" s="49">
        <v>44892</v>
      </c>
      <c r="F6245" t="s">
        <v>5197</v>
      </c>
      <c r="G6245" t="s">
        <v>2116</v>
      </c>
      <c r="H6245">
        <v>5</v>
      </c>
      <c r="I6245">
        <v>113.31</v>
      </c>
      <c r="J6245" s="50">
        <v>566.54999999999995</v>
      </c>
      <c r="K6245" t="s">
        <v>1618</v>
      </c>
      <c r="M6245" t="s">
        <v>1629</v>
      </c>
      <c r="N6245">
        <v>59.8</v>
      </c>
      <c r="O6245" s="49">
        <v>44894</v>
      </c>
      <c r="P6245" s="50">
        <v>254.94749999999999</v>
      </c>
    </row>
    <row r="6246" spans="4:16" x14ac:dyDescent="0.2">
      <c r="D6246">
        <v>100003702</v>
      </c>
      <c r="E6246" s="49">
        <v>44922</v>
      </c>
      <c r="F6246" t="s">
        <v>5197</v>
      </c>
      <c r="G6246" t="s">
        <v>2062</v>
      </c>
      <c r="H6246">
        <v>3</v>
      </c>
      <c r="I6246">
        <v>107.2</v>
      </c>
      <c r="J6246" s="50">
        <v>321.60000000000002</v>
      </c>
      <c r="K6246" t="s">
        <v>1618</v>
      </c>
      <c r="M6246" t="s">
        <v>1621</v>
      </c>
      <c r="N6246">
        <v>56.58</v>
      </c>
      <c r="O6246" s="49">
        <v>44925</v>
      </c>
      <c r="P6246" s="50">
        <v>144.72000000000003</v>
      </c>
    </row>
    <row r="6247" spans="4:16" x14ac:dyDescent="0.2">
      <c r="D6247">
        <v>100003702</v>
      </c>
      <c r="E6247" s="49">
        <v>44447</v>
      </c>
      <c r="F6247" t="s">
        <v>5197</v>
      </c>
      <c r="G6247" t="s">
        <v>1851</v>
      </c>
      <c r="H6247">
        <v>7</v>
      </c>
      <c r="I6247">
        <v>117.52</v>
      </c>
      <c r="J6247" s="50">
        <v>822.64</v>
      </c>
      <c r="K6247" t="s">
        <v>1618</v>
      </c>
      <c r="M6247" t="s">
        <v>1619</v>
      </c>
      <c r="N6247">
        <v>62.02</v>
      </c>
      <c r="O6247" s="49">
        <v>44448</v>
      </c>
      <c r="P6247" s="50">
        <v>370.18799999999999</v>
      </c>
    </row>
    <row r="6248" spans="4:16" x14ac:dyDescent="0.2">
      <c r="D6248">
        <v>100003704</v>
      </c>
      <c r="E6248" s="49">
        <v>44817</v>
      </c>
      <c r="F6248" t="s">
        <v>5198</v>
      </c>
      <c r="G6248" t="s">
        <v>1626</v>
      </c>
      <c r="H6248">
        <v>2</v>
      </c>
      <c r="I6248">
        <v>76.510000000000005</v>
      </c>
      <c r="J6248" s="50">
        <v>153.02000000000001</v>
      </c>
      <c r="K6248" t="s">
        <v>1632</v>
      </c>
      <c r="M6248" t="s">
        <v>1621</v>
      </c>
      <c r="N6248">
        <v>40.380000000000003</v>
      </c>
      <c r="O6248" s="49">
        <v>44820</v>
      </c>
      <c r="P6248" s="50">
        <v>68.859000000000009</v>
      </c>
    </row>
    <row r="6249" spans="4:16" x14ac:dyDescent="0.2">
      <c r="D6249">
        <v>100003706</v>
      </c>
      <c r="E6249" s="49">
        <v>45188</v>
      </c>
      <c r="F6249" t="s">
        <v>5199</v>
      </c>
      <c r="G6249" t="s">
        <v>2048</v>
      </c>
      <c r="H6249">
        <v>8</v>
      </c>
      <c r="I6249">
        <v>56.41</v>
      </c>
      <c r="J6249" s="50">
        <v>451.28</v>
      </c>
      <c r="K6249" t="s">
        <v>1632</v>
      </c>
      <c r="M6249" t="s">
        <v>1627</v>
      </c>
      <c r="N6249">
        <v>29.77</v>
      </c>
      <c r="O6249" s="49">
        <v>45191</v>
      </c>
      <c r="P6249" s="50">
        <v>203.07599999999999</v>
      </c>
    </row>
    <row r="6250" spans="4:16" x14ac:dyDescent="0.2">
      <c r="D6250">
        <v>100003708</v>
      </c>
      <c r="E6250" s="49">
        <v>45122</v>
      </c>
      <c r="F6250" t="s">
        <v>5200</v>
      </c>
      <c r="G6250" t="s">
        <v>2060</v>
      </c>
      <c r="H6250">
        <v>10</v>
      </c>
      <c r="I6250">
        <v>113.58</v>
      </c>
      <c r="J6250" s="50">
        <v>1135.8</v>
      </c>
      <c r="K6250" t="s">
        <v>1632</v>
      </c>
      <c r="M6250" t="s">
        <v>1619</v>
      </c>
      <c r="N6250">
        <v>59.94</v>
      </c>
      <c r="O6250" s="49">
        <v>45124</v>
      </c>
      <c r="P6250" s="50">
        <v>511.11</v>
      </c>
    </row>
    <row r="6251" spans="4:16" x14ac:dyDescent="0.2">
      <c r="D6251">
        <v>100003710</v>
      </c>
      <c r="E6251" s="49">
        <v>44311</v>
      </c>
      <c r="F6251" t="s">
        <v>5201</v>
      </c>
      <c r="G6251" t="s">
        <v>1631</v>
      </c>
      <c r="H6251">
        <v>7</v>
      </c>
      <c r="I6251">
        <v>83.9</v>
      </c>
      <c r="J6251" s="50">
        <v>587.30000000000007</v>
      </c>
      <c r="K6251" t="s">
        <v>1632</v>
      </c>
      <c r="M6251" t="s">
        <v>1629</v>
      </c>
      <c r="N6251">
        <v>44.28</v>
      </c>
      <c r="O6251" s="49">
        <v>44316</v>
      </c>
      <c r="P6251" s="50">
        <v>264.28500000000003</v>
      </c>
    </row>
    <row r="6252" spans="4:16" x14ac:dyDescent="0.2">
      <c r="D6252">
        <v>100003711</v>
      </c>
      <c r="E6252" s="49">
        <v>44317</v>
      </c>
      <c r="F6252" t="s">
        <v>5202</v>
      </c>
      <c r="G6252" t="s">
        <v>2003</v>
      </c>
      <c r="H6252">
        <v>3</v>
      </c>
      <c r="I6252">
        <v>59.28</v>
      </c>
      <c r="J6252" s="50">
        <v>177.84</v>
      </c>
      <c r="K6252" t="s">
        <v>1618</v>
      </c>
      <c r="M6252" t="s">
        <v>1621</v>
      </c>
      <c r="N6252">
        <v>31.29</v>
      </c>
      <c r="O6252" s="49">
        <v>44319</v>
      </c>
      <c r="P6252" s="50">
        <v>80.028000000000006</v>
      </c>
    </row>
    <row r="6253" spans="4:16" x14ac:dyDescent="0.2">
      <c r="D6253">
        <v>100003715</v>
      </c>
      <c r="E6253" s="49">
        <v>44332</v>
      </c>
      <c r="F6253" t="s">
        <v>5203</v>
      </c>
      <c r="G6253" t="s">
        <v>1973</v>
      </c>
      <c r="H6253">
        <v>3</v>
      </c>
      <c r="I6253">
        <v>53.23</v>
      </c>
      <c r="J6253" s="50">
        <v>159.69</v>
      </c>
      <c r="K6253" t="s">
        <v>1632</v>
      </c>
      <c r="M6253" t="s">
        <v>1621</v>
      </c>
      <c r="N6253">
        <v>28.09</v>
      </c>
      <c r="O6253" s="49">
        <v>44334</v>
      </c>
      <c r="P6253" s="50">
        <v>71.860500000000002</v>
      </c>
    </row>
    <row r="6254" spans="4:16" x14ac:dyDescent="0.2">
      <c r="D6254">
        <v>100003716</v>
      </c>
      <c r="E6254" s="49">
        <v>44759</v>
      </c>
      <c r="F6254" t="s">
        <v>5204</v>
      </c>
      <c r="G6254" t="s">
        <v>1646</v>
      </c>
      <c r="H6254">
        <v>7</v>
      </c>
      <c r="I6254">
        <v>43.11</v>
      </c>
      <c r="J6254" s="50">
        <v>301.77</v>
      </c>
      <c r="K6254" t="s">
        <v>1618</v>
      </c>
      <c r="M6254" t="s">
        <v>1624</v>
      </c>
      <c r="N6254">
        <v>22.75</v>
      </c>
      <c r="O6254" s="49">
        <v>44762</v>
      </c>
      <c r="P6254" s="50">
        <v>135.79650000000001</v>
      </c>
    </row>
    <row r="6255" spans="4:16" x14ac:dyDescent="0.2">
      <c r="D6255">
        <v>100003717</v>
      </c>
      <c r="E6255" s="49">
        <v>45314</v>
      </c>
      <c r="F6255" t="s">
        <v>5205</v>
      </c>
      <c r="G6255" t="s">
        <v>2033</v>
      </c>
      <c r="H6255">
        <v>5</v>
      </c>
      <c r="I6255">
        <v>55.8</v>
      </c>
      <c r="J6255" s="50">
        <v>279</v>
      </c>
      <c r="K6255" t="s">
        <v>1632</v>
      </c>
      <c r="M6255" t="s">
        <v>1629</v>
      </c>
      <c r="N6255">
        <v>29.45</v>
      </c>
      <c r="O6255" s="49">
        <v>45319</v>
      </c>
      <c r="P6255" s="50">
        <v>125.55</v>
      </c>
    </row>
    <row r="6256" spans="4:16" x14ac:dyDescent="0.2">
      <c r="D6256">
        <v>100003717</v>
      </c>
      <c r="E6256" s="49">
        <v>45186</v>
      </c>
      <c r="F6256" t="s">
        <v>5205</v>
      </c>
      <c r="G6256" t="s">
        <v>1815</v>
      </c>
      <c r="H6256">
        <v>2</v>
      </c>
      <c r="I6256">
        <v>18.899999999999999</v>
      </c>
      <c r="J6256" s="50">
        <v>37.799999999999997</v>
      </c>
      <c r="K6256" t="s">
        <v>1632</v>
      </c>
      <c r="M6256" t="s">
        <v>1624</v>
      </c>
      <c r="N6256">
        <v>9.9700000000000006</v>
      </c>
      <c r="O6256" s="49">
        <v>45191</v>
      </c>
      <c r="P6256" s="50">
        <v>17.009999999999998</v>
      </c>
    </row>
    <row r="6257" spans="4:16" x14ac:dyDescent="0.2">
      <c r="D6257">
        <v>100003717</v>
      </c>
      <c r="E6257" s="49">
        <v>45371</v>
      </c>
      <c r="F6257" t="s">
        <v>5205</v>
      </c>
      <c r="G6257" t="s">
        <v>2138</v>
      </c>
      <c r="H6257">
        <v>4</v>
      </c>
      <c r="I6257">
        <v>95.78</v>
      </c>
      <c r="J6257" s="50">
        <v>383.12</v>
      </c>
      <c r="K6257" t="s">
        <v>1632</v>
      </c>
      <c r="M6257" t="s">
        <v>1619</v>
      </c>
      <c r="N6257">
        <v>50.55</v>
      </c>
      <c r="O6257" s="49">
        <v>45372</v>
      </c>
      <c r="P6257" s="50">
        <v>172.404</v>
      </c>
    </row>
    <row r="6258" spans="4:16" x14ac:dyDescent="0.2">
      <c r="D6258">
        <v>100003719</v>
      </c>
      <c r="E6258" s="49">
        <v>44875</v>
      </c>
      <c r="F6258" t="s">
        <v>5206</v>
      </c>
      <c r="G6258" t="s">
        <v>2158</v>
      </c>
      <c r="H6258">
        <v>8</v>
      </c>
      <c r="I6258">
        <v>116.78</v>
      </c>
      <c r="J6258" s="50">
        <v>934.24</v>
      </c>
      <c r="K6258" t="s">
        <v>1632</v>
      </c>
      <c r="L6258" t="s">
        <v>5207</v>
      </c>
      <c r="M6258" t="s">
        <v>1627</v>
      </c>
      <c r="N6258">
        <v>61.63</v>
      </c>
      <c r="O6258" s="49">
        <v>44878</v>
      </c>
      <c r="P6258" s="50">
        <v>420.40800000000002</v>
      </c>
    </row>
    <row r="6259" spans="4:16" x14ac:dyDescent="0.2">
      <c r="D6259">
        <v>100003720</v>
      </c>
      <c r="E6259" s="49">
        <v>45345</v>
      </c>
      <c r="F6259" t="s">
        <v>5208</v>
      </c>
      <c r="G6259" t="s">
        <v>1717</v>
      </c>
      <c r="H6259">
        <v>5</v>
      </c>
      <c r="I6259">
        <v>56.31</v>
      </c>
      <c r="J6259" s="50">
        <v>281.55</v>
      </c>
      <c r="K6259" t="s">
        <v>1618</v>
      </c>
      <c r="M6259" t="s">
        <v>1627</v>
      </c>
      <c r="N6259">
        <v>29.72</v>
      </c>
      <c r="O6259" s="49">
        <v>45348</v>
      </c>
      <c r="P6259" s="50">
        <v>126.69750000000001</v>
      </c>
    </row>
    <row r="6260" spans="4:16" x14ac:dyDescent="0.2">
      <c r="D6260">
        <v>100003720</v>
      </c>
      <c r="E6260" s="49">
        <v>44616</v>
      </c>
      <c r="F6260" t="s">
        <v>5208</v>
      </c>
      <c r="G6260" t="s">
        <v>1924</v>
      </c>
      <c r="H6260">
        <v>5</v>
      </c>
      <c r="I6260">
        <v>111.69</v>
      </c>
      <c r="J6260" s="50">
        <v>558.45000000000005</v>
      </c>
      <c r="K6260" t="s">
        <v>1618</v>
      </c>
      <c r="M6260" t="s">
        <v>1627</v>
      </c>
      <c r="N6260">
        <v>58.95</v>
      </c>
      <c r="O6260" s="49">
        <v>44618</v>
      </c>
      <c r="P6260" s="50">
        <v>251.30250000000004</v>
      </c>
    </row>
    <row r="6261" spans="4:16" x14ac:dyDescent="0.2">
      <c r="D6261">
        <v>100003720</v>
      </c>
      <c r="E6261" s="49">
        <v>45309</v>
      </c>
      <c r="F6261" t="s">
        <v>5208</v>
      </c>
      <c r="G6261" t="s">
        <v>1650</v>
      </c>
      <c r="H6261">
        <v>9</v>
      </c>
      <c r="I6261">
        <v>13.54</v>
      </c>
      <c r="J6261" s="50">
        <v>121.86</v>
      </c>
      <c r="K6261" t="s">
        <v>1618</v>
      </c>
      <c r="M6261" t="s">
        <v>1619</v>
      </c>
      <c r="N6261">
        <v>7.15</v>
      </c>
      <c r="O6261" s="49">
        <v>45310</v>
      </c>
      <c r="P6261" s="50">
        <v>54.837000000000003</v>
      </c>
    </row>
    <row r="6262" spans="4:16" x14ac:dyDescent="0.2">
      <c r="D6262">
        <v>100003720</v>
      </c>
      <c r="E6262" s="49">
        <v>45027</v>
      </c>
      <c r="F6262" t="s">
        <v>5208</v>
      </c>
      <c r="G6262" t="s">
        <v>2090</v>
      </c>
      <c r="H6262">
        <v>6</v>
      </c>
      <c r="I6262">
        <v>21.1</v>
      </c>
      <c r="J6262" s="50">
        <v>126.6</v>
      </c>
      <c r="K6262" t="s">
        <v>1618</v>
      </c>
      <c r="M6262" t="s">
        <v>1621</v>
      </c>
      <c r="N6262">
        <v>11.14</v>
      </c>
      <c r="O6262" s="49">
        <v>45031</v>
      </c>
      <c r="P6262" s="50">
        <v>56.97</v>
      </c>
    </row>
    <row r="6263" spans="4:16" x14ac:dyDescent="0.2">
      <c r="D6263">
        <v>100003722</v>
      </c>
      <c r="E6263" s="49">
        <v>44652</v>
      </c>
      <c r="F6263" t="s">
        <v>5082</v>
      </c>
      <c r="G6263" t="s">
        <v>1686</v>
      </c>
      <c r="H6263">
        <v>5</v>
      </c>
      <c r="I6263">
        <v>32.17</v>
      </c>
      <c r="J6263" s="50">
        <v>160.85</v>
      </c>
      <c r="K6263" t="s">
        <v>1618</v>
      </c>
      <c r="M6263" t="s">
        <v>1619</v>
      </c>
      <c r="N6263">
        <v>16.98</v>
      </c>
      <c r="O6263" s="49">
        <v>44655</v>
      </c>
      <c r="P6263" s="50">
        <v>72.382499999999993</v>
      </c>
    </row>
    <row r="6264" spans="4:16" x14ac:dyDescent="0.2">
      <c r="D6264">
        <v>100003722</v>
      </c>
      <c r="E6264" s="49">
        <v>44396</v>
      </c>
      <c r="F6264" t="s">
        <v>5082</v>
      </c>
      <c r="G6264" t="s">
        <v>1882</v>
      </c>
      <c r="H6264">
        <v>1</v>
      </c>
      <c r="I6264">
        <v>89.49</v>
      </c>
      <c r="J6264" s="50">
        <v>89.49</v>
      </c>
      <c r="K6264" t="s">
        <v>1618</v>
      </c>
      <c r="M6264" t="s">
        <v>1624</v>
      </c>
      <c r="N6264">
        <v>47.23</v>
      </c>
      <c r="O6264" s="49">
        <v>44400</v>
      </c>
      <c r="P6264" s="50">
        <v>40.270499999999998</v>
      </c>
    </row>
    <row r="6265" spans="4:16" x14ac:dyDescent="0.2">
      <c r="D6265">
        <v>100003723</v>
      </c>
      <c r="E6265" s="49">
        <v>44861</v>
      </c>
      <c r="F6265" t="s">
        <v>5209</v>
      </c>
      <c r="G6265" t="s">
        <v>2207</v>
      </c>
      <c r="H6265">
        <v>8</v>
      </c>
      <c r="I6265">
        <v>101</v>
      </c>
      <c r="J6265" s="50">
        <v>808</v>
      </c>
      <c r="K6265" t="s">
        <v>1618</v>
      </c>
      <c r="M6265" t="s">
        <v>1621</v>
      </c>
      <c r="N6265">
        <v>53.31</v>
      </c>
      <c r="O6265" s="49">
        <v>44866</v>
      </c>
      <c r="P6265" s="50">
        <v>363.6</v>
      </c>
    </row>
    <row r="6266" spans="4:16" x14ac:dyDescent="0.2">
      <c r="D6266">
        <v>100003723</v>
      </c>
      <c r="E6266" s="49">
        <v>45202</v>
      </c>
      <c r="F6266" t="s">
        <v>5209</v>
      </c>
      <c r="G6266" t="s">
        <v>2007</v>
      </c>
      <c r="H6266">
        <v>8</v>
      </c>
      <c r="I6266">
        <v>115.64</v>
      </c>
      <c r="J6266" s="50">
        <v>925.12</v>
      </c>
      <c r="K6266" t="s">
        <v>1618</v>
      </c>
      <c r="M6266" t="s">
        <v>1627</v>
      </c>
      <c r="N6266">
        <v>61.03</v>
      </c>
      <c r="O6266" s="49">
        <v>45204</v>
      </c>
      <c r="P6266" s="50">
        <v>416.30400000000003</v>
      </c>
    </row>
    <row r="6267" spans="4:16" x14ac:dyDescent="0.2">
      <c r="D6267">
        <v>100003723</v>
      </c>
      <c r="E6267" s="49">
        <v>44483</v>
      </c>
      <c r="F6267" t="s">
        <v>5209</v>
      </c>
      <c r="G6267" t="s">
        <v>1768</v>
      </c>
      <c r="H6267">
        <v>9</v>
      </c>
      <c r="I6267">
        <v>53.35</v>
      </c>
      <c r="J6267" s="50">
        <v>480.15</v>
      </c>
      <c r="K6267" t="s">
        <v>1618</v>
      </c>
      <c r="M6267" t="s">
        <v>1627</v>
      </c>
      <c r="N6267">
        <v>28.16</v>
      </c>
      <c r="O6267" s="49">
        <v>44484</v>
      </c>
      <c r="P6267" s="50">
        <v>216.0675</v>
      </c>
    </row>
    <row r="6268" spans="4:16" x14ac:dyDescent="0.2">
      <c r="D6268">
        <v>100003723</v>
      </c>
      <c r="E6268" s="49">
        <v>44204</v>
      </c>
      <c r="F6268" t="s">
        <v>5209</v>
      </c>
      <c r="G6268" t="s">
        <v>1853</v>
      </c>
      <c r="H6268">
        <v>10</v>
      </c>
      <c r="I6268">
        <v>102.18</v>
      </c>
      <c r="J6268" s="50">
        <v>1021.8</v>
      </c>
      <c r="K6268" t="s">
        <v>1618</v>
      </c>
      <c r="M6268" t="s">
        <v>1621</v>
      </c>
      <c r="N6268">
        <v>53.93</v>
      </c>
      <c r="O6268" s="49">
        <v>44206</v>
      </c>
      <c r="P6268" s="50">
        <v>459.81</v>
      </c>
    </row>
    <row r="6269" spans="4:16" x14ac:dyDescent="0.2">
      <c r="D6269">
        <v>100003724</v>
      </c>
      <c r="E6269" s="49">
        <v>44212</v>
      </c>
      <c r="F6269" t="s">
        <v>5210</v>
      </c>
      <c r="G6269" t="s">
        <v>2330</v>
      </c>
      <c r="H6269">
        <v>2</v>
      </c>
      <c r="I6269">
        <v>69.77</v>
      </c>
      <c r="J6269" s="50">
        <v>139.54</v>
      </c>
      <c r="K6269" t="s">
        <v>1618</v>
      </c>
      <c r="M6269" t="s">
        <v>1619</v>
      </c>
      <c r="N6269">
        <v>36.82</v>
      </c>
      <c r="O6269" s="49">
        <v>44217</v>
      </c>
      <c r="P6269" s="50">
        <v>62.792999999999999</v>
      </c>
    </row>
    <row r="6270" spans="4:16" x14ac:dyDescent="0.2">
      <c r="D6270">
        <v>100003724</v>
      </c>
      <c r="E6270" s="49">
        <v>44636</v>
      </c>
      <c r="F6270" t="s">
        <v>5210</v>
      </c>
      <c r="G6270" t="s">
        <v>1636</v>
      </c>
      <c r="H6270">
        <v>5</v>
      </c>
      <c r="I6270">
        <v>72.03</v>
      </c>
      <c r="J6270" s="50">
        <v>360.15</v>
      </c>
      <c r="K6270" t="s">
        <v>1618</v>
      </c>
      <c r="M6270" t="s">
        <v>1619</v>
      </c>
      <c r="N6270">
        <v>38.020000000000003</v>
      </c>
      <c r="O6270" s="49">
        <v>44637</v>
      </c>
      <c r="P6270" s="50">
        <v>162.0675</v>
      </c>
    </row>
    <row r="6271" spans="4:16" x14ac:dyDescent="0.2">
      <c r="D6271">
        <v>100003725</v>
      </c>
      <c r="E6271" s="49">
        <v>44268</v>
      </c>
      <c r="F6271" t="s">
        <v>5211</v>
      </c>
      <c r="G6271" t="s">
        <v>1864</v>
      </c>
      <c r="H6271">
        <v>1</v>
      </c>
      <c r="I6271">
        <v>70.69</v>
      </c>
      <c r="J6271" s="50">
        <v>70.69</v>
      </c>
      <c r="K6271" t="s">
        <v>1618</v>
      </c>
      <c r="M6271" t="s">
        <v>1619</v>
      </c>
      <c r="N6271">
        <v>37.31</v>
      </c>
      <c r="O6271" s="49">
        <v>44272</v>
      </c>
      <c r="P6271" s="50">
        <v>31.810500000000001</v>
      </c>
    </row>
    <row r="6272" spans="4:16" x14ac:dyDescent="0.2">
      <c r="D6272">
        <v>100003726</v>
      </c>
      <c r="E6272" s="49">
        <v>44296</v>
      </c>
      <c r="F6272" t="s">
        <v>5212</v>
      </c>
      <c r="G6272" t="s">
        <v>1661</v>
      </c>
      <c r="H6272">
        <v>2</v>
      </c>
      <c r="I6272">
        <v>39.85</v>
      </c>
      <c r="J6272" s="50">
        <v>79.7</v>
      </c>
      <c r="K6272" t="s">
        <v>1632</v>
      </c>
      <c r="M6272" t="s">
        <v>1629</v>
      </c>
      <c r="N6272">
        <v>21.03</v>
      </c>
      <c r="O6272" s="49">
        <v>44297</v>
      </c>
      <c r="P6272" s="50">
        <v>35.865000000000002</v>
      </c>
    </row>
    <row r="6273" spans="4:16" x14ac:dyDescent="0.2">
      <c r="D6273">
        <v>100003727</v>
      </c>
      <c r="E6273" s="49">
        <v>45416</v>
      </c>
      <c r="F6273" t="s">
        <v>5213</v>
      </c>
      <c r="G6273" t="s">
        <v>2112</v>
      </c>
      <c r="H6273">
        <v>7</v>
      </c>
      <c r="I6273">
        <v>107.02</v>
      </c>
      <c r="J6273" s="50">
        <v>749.14</v>
      </c>
      <c r="K6273" t="s">
        <v>1618</v>
      </c>
      <c r="L6273" t="s">
        <v>1772</v>
      </c>
      <c r="M6273" t="s">
        <v>1624</v>
      </c>
      <c r="N6273">
        <v>56.48</v>
      </c>
      <c r="O6273" s="49">
        <v>45421</v>
      </c>
      <c r="P6273" s="50">
        <v>337.113</v>
      </c>
    </row>
    <row r="6274" spans="4:16" x14ac:dyDescent="0.2">
      <c r="D6274">
        <v>100003728</v>
      </c>
      <c r="E6274" s="49">
        <v>44249</v>
      </c>
      <c r="F6274" t="s">
        <v>5214</v>
      </c>
      <c r="G6274" t="s">
        <v>1976</v>
      </c>
      <c r="H6274">
        <v>10</v>
      </c>
      <c r="I6274">
        <v>76.239999999999995</v>
      </c>
      <c r="J6274" s="50">
        <v>762.4</v>
      </c>
      <c r="K6274" t="s">
        <v>1632</v>
      </c>
      <c r="M6274" t="s">
        <v>1624</v>
      </c>
      <c r="N6274">
        <v>40.24</v>
      </c>
      <c r="O6274" s="49">
        <v>44252</v>
      </c>
      <c r="P6274" s="50">
        <v>343.08</v>
      </c>
    </row>
    <row r="6275" spans="4:16" x14ac:dyDescent="0.2">
      <c r="D6275">
        <v>100003729</v>
      </c>
      <c r="E6275" s="49">
        <v>44919</v>
      </c>
      <c r="F6275" t="s">
        <v>5215</v>
      </c>
      <c r="G6275" t="s">
        <v>1733</v>
      </c>
      <c r="H6275">
        <v>6</v>
      </c>
      <c r="I6275">
        <v>85.86</v>
      </c>
      <c r="J6275" s="50">
        <v>515.16</v>
      </c>
      <c r="K6275" t="s">
        <v>1632</v>
      </c>
      <c r="M6275" t="s">
        <v>1621</v>
      </c>
      <c r="N6275">
        <v>45.31</v>
      </c>
      <c r="O6275" s="49">
        <v>44922</v>
      </c>
      <c r="P6275" s="50">
        <v>231.822</v>
      </c>
    </row>
    <row r="6276" spans="4:16" x14ac:dyDescent="0.2">
      <c r="D6276">
        <v>100003729</v>
      </c>
      <c r="E6276" s="49">
        <v>45173</v>
      </c>
      <c r="F6276" t="s">
        <v>5215</v>
      </c>
      <c r="G6276" t="s">
        <v>1715</v>
      </c>
      <c r="H6276">
        <v>7</v>
      </c>
      <c r="I6276">
        <v>76.72</v>
      </c>
      <c r="J6276" s="50">
        <v>537.04</v>
      </c>
      <c r="K6276" t="s">
        <v>1632</v>
      </c>
      <c r="M6276" t="s">
        <v>1629</v>
      </c>
      <c r="N6276">
        <v>40.49</v>
      </c>
      <c r="O6276" s="49">
        <v>45176</v>
      </c>
      <c r="P6276" s="50">
        <v>241.66799999999998</v>
      </c>
    </row>
    <row r="6277" spans="4:16" x14ac:dyDescent="0.2">
      <c r="D6277">
        <v>100003729</v>
      </c>
      <c r="E6277" s="49">
        <v>44927</v>
      </c>
      <c r="F6277" t="s">
        <v>5215</v>
      </c>
      <c r="G6277" t="s">
        <v>2465</v>
      </c>
      <c r="H6277">
        <v>5</v>
      </c>
      <c r="I6277">
        <v>10</v>
      </c>
      <c r="J6277" s="50">
        <v>50</v>
      </c>
      <c r="K6277" t="s">
        <v>1632</v>
      </c>
      <c r="M6277" t="s">
        <v>1627</v>
      </c>
      <c r="N6277">
        <v>5.28</v>
      </c>
      <c r="O6277" s="49">
        <v>44929</v>
      </c>
      <c r="P6277" s="50">
        <v>22.5</v>
      </c>
    </row>
    <row r="6278" spans="4:16" x14ac:dyDescent="0.2">
      <c r="D6278">
        <v>100003730</v>
      </c>
      <c r="E6278" s="49">
        <v>45180</v>
      </c>
      <c r="F6278" t="s">
        <v>5216</v>
      </c>
      <c r="G6278" t="s">
        <v>1910</v>
      </c>
      <c r="H6278">
        <v>4</v>
      </c>
      <c r="I6278">
        <v>84.23</v>
      </c>
      <c r="J6278" s="50">
        <v>336.92</v>
      </c>
      <c r="K6278" t="s">
        <v>1618</v>
      </c>
      <c r="M6278" t="s">
        <v>1621</v>
      </c>
      <c r="N6278">
        <v>44.45</v>
      </c>
      <c r="O6278" s="49">
        <v>45183</v>
      </c>
      <c r="P6278" s="50">
        <v>151.614</v>
      </c>
    </row>
    <row r="6279" spans="4:16" x14ac:dyDescent="0.2">
      <c r="D6279">
        <v>100003732</v>
      </c>
      <c r="E6279" s="49">
        <v>44396</v>
      </c>
      <c r="F6279" t="s">
        <v>5217</v>
      </c>
      <c r="G6279" t="s">
        <v>3135</v>
      </c>
      <c r="H6279">
        <v>10</v>
      </c>
      <c r="I6279">
        <v>107.52</v>
      </c>
      <c r="J6279" s="50">
        <v>1075.2</v>
      </c>
      <c r="K6279" t="s">
        <v>1632</v>
      </c>
      <c r="L6279" t="s">
        <v>5218</v>
      </c>
      <c r="M6279" t="s">
        <v>1627</v>
      </c>
      <c r="N6279">
        <v>56.75</v>
      </c>
      <c r="O6279" s="49">
        <v>44397</v>
      </c>
      <c r="P6279" s="50">
        <v>483.84000000000003</v>
      </c>
    </row>
    <row r="6280" spans="4:16" x14ac:dyDescent="0.2">
      <c r="D6280">
        <v>100003732</v>
      </c>
      <c r="E6280" s="49">
        <v>44668</v>
      </c>
      <c r="F6280" t="s">
        <v>5217</v>
      </c>
      <c r="G6280" t="s">
        <v>2328</v>
      </c>
      <c r="H6280">
        <v>4</v>
      </c>
      <c r="I6280">
        <v>79.930000000000007</v>
      </c>
      <c r="J6280" s="50">
        <v>319.72000000000003</v>
      </c>
      <c r="K6280" t="s">
        <v>1632</v>
      </c>
      <c r="L6280" t="s">
        <v>5218</v>
      </c>
      <c r="M6280" t="s">
        <v>1627</v>
      </c>
      <c r="N6280">
        <v>42.18</v>
      </c>
      <c r="O6280" s="49">
        <v>44671</v>
      </c>
      <c r="P6280" s="50">
        <v>143.87400000000002</v>
      </c>
    </row>
    <row r="6281" spans="4:16" x14ac:dyDescent="0.2">
      <c r="D6281">
        <v>100003733</v>
      </c>
      <c r="E6281" s="49">
        <v>44367</v>
      </c>
      <c r="F6281" t="s">
        <v>5219</v>
      </c>
      <c r="G6281" t="s">
        <v>2337</v>
      </c>
      <c r="H6281">
        <v>1</v>
      </c>
      <c r="I6281">
        <v>96.34</v>
      </c>
      <c r="J6281" s="50">
        <v>96.34</v>
      </c>
      <c r="K6281" t="s">
        <v>1632</v>
      </c>
      <c r="L6281" t="s">
        <v>5220</v>
      </c>
      <c r="M6281" t="s">
        <v>1629</v>
      </c>
      <c r="N6281">
        <v>50.85</v>
      </c>
      <c r="O6281" s="49">
        <v>44369</v>
      </c>
      <c r="P6281" s="50">
        <v>43.353000000000002</v>
      </c>
    </row>
    <row r="6282" spans="4:16" x14ac:dyDescent="0.2">
      <c r="D6282">
        <v>100003733</v>
      </c>
      <c r="E6282" s="49">
        <v>45573</v>
      </c>
      <c r="F6282" t="s">
        <v>5219</v>
      </c>
      <c r="G6282" t="s">
        <v>1643</v>
      </c>
      <c r="H6282">
        <v>1</v>
      </c>
      <c r="I6282">
        <v>60.2</v>
      </c>
      <c r="J6282" s="50">
        <v>60.2</v>
      </c>
      <c r="K6282" t="s">
        <v>1632</v>
      </c>
      <c r="L6282" t="s">
        <v>5220</v>
      </c>
      <c r="M6282" t="s">
        <v>1627</v>
      </c>
      <c r="N6282">
        <v>31.77</v>
      </c>
      <c r="O6282" s="49">
        <v>45578</v>
      </c>
      <c r="P6282" s="50">
        <v>27.090000000000003</v>
      </c>
    </row>
    <row r="6283" spans="4:16" x14ac:dyDescent="0.2">
      <c r="D6283">
        <v>100003733</v>
      </c>
      <c r="E6283" s="49">
        <v>45285</v>
      </c>
      <c r="F6283" t="s">
        <v>5219</v>
      </c>
      <c r="G6283" t="s">
        <v>2337</v>
      </c>
      <c r="H6283">
        <v>1</v>
      </c>
      <c r="I6283">
        <v>24.85</v>
      </c>
      <c r="J6283" s="50">
        <v>24.85</v>
      </c>
      <c r="K6283" t="s">
        <v>1632</v>
      </c>
      <c r="L6283" t="s">
        <v>5220</v>
      </c>
      <c r="M6283" t="s">
        <v>1619</v>
      </c>
      <c r="N6283">
        <v>13.12</v>
      </c>
      <c r="O6283" s="49">
        <v>45289</v>
      </c>
      <c r="P6283" s="50">
        <v>11.182500000000001</v>
      </c>
    </row>
    <row r="6284" spans="4:16" x14ac:dyDescent="0.2">
      <c r="D6284">
        <v>100003734</v>
      </c>
      <c r="E6284" s="49">
        <v>44274</v>
      </c>
      <c r="F6284" t="s">
        <v>2243</v>
      </c>
      <c r="G6284" t="s">
        <v>1647</v>
      </c>
      <c r="H6284">
        <v>2</v>
      </c>
      <c r="I6284">
        <v>98.21</v>
      </c>
      <c r="J6284" s="50">
        <v>196.42</v>
      </c>
      <c r="K6284" t="s">
        <v>1618</v>
      </c>
      <c r="M6284" t="s">
        <v>1619</v>
      </c>
      <c r="N6284">
        <v>51.83</v>
      </c>
      <c r="O6284" s="49">
        <v>44276</v>
      </c>
      <c r="P6284" s="50">
        <v>88.388999999999996</v>
      </c>
    </row>
    <row r="6285" spans="4:16" x14ac:dyDescent="0.2">
      <c r="D6285">
        <v>100003734</v>
      </c>
      <c r="E6285" s="49">
        <v>45050</v>
      </c>
      <c r="F6285" t="s">
        <v>2243</v>
      </c>
      <c r="G6285" t="s">
        <v>2330</v>
      </c>
      <c r="H6285">
        <v>7</v>
      </c>
      <c r="I6285">
        <v>44.89</v>
      </c>
      <c r="J6285" s="50">
        <v>314.23</v>
      </c>
      <c r="K6285" t="s">
        <v>1618</v>
      </c>
      <c r="M6285" t="s">
        <v>1629</v>
      </c>
      <c r="N6285">
        <v>23.69</v>
      </c>
      <c r="O6285" s="49">
        <v>45055</v>
      </c>
      <c r="P6285" s="50">
        <v>141.40350000000001</v>
      </c>
    </row>
    <row r="6286" spans="4:16" x14ac:dyDescent="0.2">
      <c r="D6286">
        <v>100003734</v>
      </c>
      <c r="E6286" s="49">
        <v>45123</v>
      </c>
      <c r="F6286" t="s">
        <v>2243</v>
      </c>
      <c r="G6286" t="s">
        <v>1841</v>
      </c>
      <c r="H6286">
        <v>7</v>
      </c>
      <c r="I6286">
        <v>18.899999999999999</v>
      </c>
      <c r="J6286" s="50">
        <v>132.30000000000001</v>
      </c>
      <c r="K6286" t="s">
        <v>1618</v>
      </c>
      <c r="M6286" t="s">
        <v>1621</v>
      </c>
      <c r="N6286">
        <v>9.9700000000000006</v>
      </c>
      <c r="O6286" s="49">
        <v>45128</v>
      </c>
      <c r="P6286" s="50">
        <v>59.535000000000004</v>
      </c>
    </row>
    <row r="6287" spans="4:16" x14ac:dyDescent="0.2">
      <c r="D6287">
        <v>100003735</v>
      </c>
      <c r="E6287" s="49">
        <v>45525</v>
      </c>
      <c r="F6287" t="s">
        <v>5221</v>
      </c>
      <c r="G6287" t="s">
        <v>2065</v>
      </c>
      <c r="H6287">
        <v>9</v>
      </c>
      <c r="I6287">
        <v>71.37</v>
      </c>
      <c r="J6287" s="50">
        <v>642.33000000000004</v>
      </c>
      <c r="K6287" t="s">
        <v>1632</v>
      </c>
      <c r="L6287" t="s">
        <v>5222</v>
      </c>
      <c r="M6287" t="s">
        <v>1627</v>
      </c>
      <c r="N6287">
        <v>37.67</v>
      </c>
      <c r="O6287" s="49">
        <v>45527</v>
      </c>
      <c r="P6287" s="50">
        <v>289.04850000000005</v>
      </c>
    </row>
    <row r="6288" spans="4:16" x14ac:dyDescent="0.2">
      <c r="D6288">
        <v>100003737</v>
      </c>
      <c r="E6288" s="49">
        <v>44908</v>
      </c>
      <c r="F6288" t="s">
        <v>5223</v>
      </c>
      <c r="G6288" t="s">
        <v>2076</v>
      </c>
      <c r="H6288">
        <v>6</v>
      </c>
      <c r="I6288">
        <v>54.25</v>
      </c>
      <c r="J6288" s="50">
        <v>325.5</v>
      </c>
      <c r="K6288" t="s">
        <v>1632</v>
      </c>
      <c r="M6288" t="s">
        <v>1627</v>
      </c>
      <c r="N6288">
        <v>28.63</v>
      </c>
      <c r="O6288" s="49">
        <v>44909</v>
      </c>
      <c r="P6288" s="50">
        <v>146.47499999999999</v>
      </c>
    </row>
    <row r="6289" spans="4:16" x14ac:dyDescent="0.2">
      <c r="D6289">
        <v>100003739</v>
      </c>
      <c r="E6289" s="49">
        <v>44663</v>
      </c>
      <c r="F6289" t="s">
        <v>5224</v>
      </c>
      <c r="G6289" t="s">
        <v>1864</v>
      </c>
      <c r="H6289">
        <v>1</v>
      </c>
      <c r="I6289">
        <v>26.1</v>
      </c>
      <c r="J6289" s="50">
        <v>26.1</v>
      </c>
      <c r="K6289" t="s">
        <v>1618</v>
      </c>
      <c r="M6289" t="s">
        <v>1629</v>
      </c>
      <c r="N6289">
        <v>13.77</v>
      </c>
      <c r="O6289" s="49">
        <v>44666</v>
      </c>
      <c r="P6289" s="50">
        <v>11.745000000000001</v>
      </c>
    </row>
    <row r="6290" spans="4:16" x14ac:dyDescent="0.2">
      <c r="D6290">
        <v>100003740</v>
      </c>
      <c r="E6290" s="49">
        <v>44372</v>
      </c>
      <c r="F6290" t="s">
        <v>5225</v>
      </c>
      <c r="G6290" t="s">
        <v>1827</v>
      </c>
      <c r="H6290">
        <v>2</v>
      </c>
      <c r="I6290">
        <v>23.97</v>
      </c>
      <c r="J6290" s="50">
        <v>47.94</v>
      </c>
      <c r="K6290" t="s">
        <v>1618</v>
      </c>
      <c r="M6290" t="s">
        <v>1629</v>
      </c>
      <c r="N6290">
        <v>12.65</v>
      </c>
      <c r="O6290" s="49">
        <v>44377</v>
      </c>
      <c r="P6290" s="50">
        <v>21.573</v>
      </c>
    </row>
    <row r="6291" spans="4:16" x14ac:dyDescent="0.2">
      <c r="D6291">
        <v>100003740</v>
      </c>
      <c r="E6291" s="49">
        <v>44781</v>
      </c>
      <c r="F6291" t="s">
        <v>5225</v>
      </c>
      <c r="G6291" t="s">
        <v>1893</v>
      </c>
      <c r="H6291">
        <v>5</v>
      </c>
      <c r="I6291">
        <v>56.68</v>
      </c>
      <c r="J6291" s="50">
        <v>283.39999999999998</v>
      </c>
      <c r="K6291" t="s">
        <v>1618</v>
      </c>
      <c r="M6291" t="s">
        <v>1619</v>
      </c>
      <c r="N6291">
        <v>29.91</v>
      </c>
      <c r="O6291" s="49">
        <v>44783</v>
      </c>
      <c r="P6291" s="50">
        <v>127.52999999999999</v>
      </c>
    </row>
    <row r="6292" spans="4:16" x14ac:dyDescent="0.2">
      <c r="D6292">
        <v>100003741</v>
      </c>
      <c r="E6292" s="49">
        <v>44227</v>
      </c>
      <c r="F6292" t="s">
        <v>5226</v>
      </c>
      <c r="G6292" t="s">
        <v>1857</v>
      </c>
      <c r="H6292">
        <v>4</v>
      </c>
      <c r="I6292">
        <v>117.63</v>
      </c>
      <c r="J6292" s="50">
        <v>470.52</v>
      </c>
      <c r="K6292" t="s">
        <v>1632</v>
      </c>
      <c r="M6292" t="s">
        <v>1624</v>
      </c>
      <c r="N6292">
        <v>62.08</v>
      </c>
      <c r="O6292" s="49">
        <v>44232</v>
      </c>
      <c r="P6292" s="50">
        <v>211.73400000000001</v>
      </c>
    </row>
    <row r="6293" spans="4:16" x14ac:dyDescent="0.2">
      <c r="D6293">
        <v>100003741</v>
      </c>
      <c r="E6293" s="49">
        <v>45142</v>
      </c>
      <c r="F6293" t="s">
        <v>5226</v>
      </c>
      <c r="G6293" t="s">
        <v>2145</v>
      </c>
      <c r="H6293">
        <v>1</v>
      </c>
      <c r="I6293">
        <v>106.88</v>
      </c>
      <c r="J6293" s="50">
        <v>106.88</v>
      </c>
      <c r="K6293" t="s">
        <v>1632</v>
      </c>
      <c r="M6293" t="s">
        <v>1619</v>
      </c>
      <c r="N6293">
        <v>56.41</v>
      </c>
      <c r="O6293" s="49">
        <v>45146</v>
      </c>
      <c r="P6293" s="50">
        <v>48.095999999999997</v>
      </c>
    </row>
    <row r="6294" spans="4:16" x14ac:dyDescent="0.2">
      <c r="D6294">
        <v>100003741</v>
      </c>
      <c r="E6294" s="49">
        <v>44486</v>
      </c>
      <c r="F6294" t="s">
        <v>5226</v>
      </c>
      <c r="G6294" t="s">
        <v>1975</v>
      </c>
      <c r="H6294">
        <v>2</v>
      </c>
      <c r="I6294">
        <v>74.95</v>
      </c>
      <c r="J6294" s="50">
        <v>149.9</v>
      </c>
      <c r="K6294" t="s">
        <v>1632</v>
      </c>
      <c r="M6294" t="s">
        <v>1629</v>
      </c>
      <c r="N6294">
        <v>39.56</v>
      </c>
      <c r="O6294" s="49">
        <v>44488</v>
      </c>
      <c r="P6294" s="50">
        <v>67.454999999999998</v>
      </c>
    </row>
    <row r="6295" spans="4:16" x14ac:dyDescent="0.2">
      <c r="D6295">
        <v>100003742</v>
      </c>
      <c r="E6295" s="49">
        <v>44885</v>
      </c>
      <c r="F6295" t="s">
        <v>5227</v>
      </c>
      <c r="G6295" t="s">
        <v>2159</v>
      </c>
      <c r="H6295">
        <v>7</v>
      </c>
      <c r="I6295">
        <v>70.25</v>
      </c>
      <c r="J6295" s="50">
        <v>491.75</v>
      </c>
      <c r="K6295" t="s">
        <v>1618</v>
      </c>
      <c r="M6295" t="s">
        <v>1624</v>
      </c>
      <c r="N6295">
        <v>37.08</v>
      </c>
      <c r="O6295" s="49">
        <v>44890</v>
      </c>
      <c r="P6295" s="50">
        <v>221.28749999999999</v>
      </c>
    </row>
    <row r="6296" spans="4:16" x14ac:dyDescent="0.2">
      <c r="D6296">
        <v>100003745</v>
      </c>
      <c r="E6296" s="49">
        <v>44838</v>
      </c>
      <c r="F6296" t="s">
        <v>5228</v>
      </c>
      <c r="G6296" t="s">
        <v>1719</v>
      </c>
      <c r="H6296">
        <v>3</v>
      </c>
      <c r="I6296">
        <v>95.08</v>
      </c>
      <c r="J6296" s="50">
        <v>285.24</v>
      </c>
      <c r="K6296" t="s">
        <v>1618</v>
      </c>
      <c r="M6296" t="s">
        <v>1621</v>
      </c>
      <c r="N6296">
        <v>50.18</v>
      </c>
      <c r="O6296" s="49">
        <v>44843</v>
      </c>
      <c r="P6296" s="50">
        <v>128.358</v>
      </c>
    </row>
    <row r="6297" spans="4:16" x14ac:dyDescent="0.2">
      <c r="D6297">
        <v>100003745</v>
      </c>
      <c r="E6297" s="49">
        <v>44497</v>
      </c>
      <c r="F6297" t="s">
        <v>5228</v>
      </c>
      <c r="G6297" t="s">
        <v>1910</v>
      </c>
      <c r="H6297">
        <v>3</v>
      </c>
      <c r="I6297">
        <v>117.62</v>
      </c>
      <c r="J6297" s="50">
        <v>352.86</v>
      </c>
      <c r="K6297" t="s">
        <v>1618</v>
      </c>
      <c r="M6297" t="s">
        <v>1619</v>
      </c>
      <c r="N6297">
        <v>62.08</v>
      </c>
      <c r="O6297" s="49">
        <v>44501</v>
      </c>
      <c r="P6297" s="50">
        <v>158.78700000000001</v>
      </c>
    </row>
    <row r="6298" spans="4:16" x14ac:dyDescent="0.2">
      <c r="D6298">
        <v>100003746</v>
      </c>
      <c r="E6298" s="49">
        <v>44808</v>
      </c>
      <c r="F6298" t="s">
        <v>5229</v>
      </c>
      <c r="G6298" t="s">
        <v>1855</v>
      </c>
      <c r="H6298">
        <v>6</v>
      </c>
      <c r="I6298">
        <v>24.9</v>
      </c>
      <c r="J6298" s="50">
        <v>149.4</v>
      </c>
      <c r="K6298" t="s">
        <v>1618</v>
      </c>
      <c r="M6298" t="s">
        <v>1619</v>
      </c>
      <c r="N6298">
        <v>13.14</v>
      </c>
      <c r="O6298" s="49">
        <v>44809</v>
      </c>
      <c r="P6298" s="50">
        <v>67.23</v>
      </c>
    </row>
    <row r="6299" spans="4:16" x14ac:dyDescent="0.2">
      <c r="D6299">
        <v>100003746</v>
      </c>
      <c r="E6299" s="49">
        <v>45293</v>
      </c>
      <c r="F6299" t="s">
        <v>5229</v>
      </c>
      <c r="G6299" t="s">
        <v>2387</v>
      </c>
      <c r="H6299">
        <v>9</v>
      </c>
      <c r="I6299">
        <v>75.81</v>
      </c>
      <c r="J6299" s="50">
        <v>682.29</v>
      </c>
      <c r="K6299" t="s">
        <v>1618</v>
      </c>
      <c r="M6299" t="s">
        <v>1627</v>
      </c>
      <c r="N6299">
        <v>40.01</v>
      </c>
      <c r="O6299" s="49">
        <v>45294</v>
      </c>
      <c r="P6299" s="50">
        <v>307.03050000000002</v>
      </c>
    </row>
    <row r="6300" spans="4:16" x14ac:dyDescent="0.2">
      <c r="D6300">
        <v>100003746</v>
      </c>
      <c r="E6300" s="49">
        <v>44624</v>
      </c>
      <c r="F6300" t="s">
        <v>5229</v>
      </c>
      <c r="G6300" t="s">
        <v>2163</v>
      </c>
      <c r="H6300">
        <v>8</v>
      </c>
      <c r="I6300">
        <v>17.78</v>
      </c>
      <c r="J6300" s="50">
        <v>142.24</v>
      </c>
      <c r="K6300" t="s">
        <v>1618</v>
      </c>
      <c r="M6300" t="s">
        <v>1621</v>
      </c>
      <c r="N6300">
        <v>9.3800000000000008</v>
      </c>
      <c r="O6300" s="49">
        <v>44626</v>
      </c>
      <c r="P6300" s="50">
        <v>64.00800000000001</v>
      </c>
    </row>
    <row r="6301" spans="4:16" x14ac:dyDescent="0.2">
      <c r="D6301">
        <v>100003747</v>
      </c>
      <c r="E6301" s="49">
        <v>44526</v>
      </c>
      <c r="F6301" t="s">
        <v>3165</v>
      </c>
      <c r="G6301" t="s">
        <v>2103</v>
      </c>
      <c r="H6301">
        <v>6</v>
      </c>
      <c r="I6301">
        <v>50.56</v>
      </c>
      <c r="J6301" s="50">
        <v>303.36</v>
      </c>
      <c r="K6301" t="s">
        <v>1618</v>
      </c>
      <c r="L6301" t="s">
        <v>5230</v>
      </c>
      <c r="M6301" t="s">
        <v>1624</v>
      </c>
      <c r="N6301">
        <v>26.68</v>
      </c>
      <c r="O6301" s="49">
        <v>44528</v>
      </c>
      <c r="P6301" s="50">
        <v>136.512</v>
      </c>
    </row>
    <row r="6302" spans="4:16" x14ac:dyDescent="0.2">
      <c r="D6302">
        <v>100003748</v>
      </c>
      <c r="E6302" s="49">
        <v>44852</v>
      </c>
      <c r="F6302" t="s">
        <v>5231</v>
      </c>
      <c r="G6302" t="s">
        <v>2005</v>
      </c>
      <c r="H6302">
        <v>2</v>
      </c>
      <c r="I6302">
        <v>46.14</v>
      </c>
      <c r="J6302" s="50">
        <v>92.28</v>
      </c>
      <c r="K6302" t="s">
        <v>1632</v>
      </c>
      <c r="M6302" t="s">
        <v>1627</v>
      </c>
      <c r="N6302">
        <v>24.35</v>
      </c>
      <c r="O6302" s="49">
        <v>44854</v>
      </c>
      <c r="P6302" s="50">
        <v>41.526000000000003</v>
      </c>
    </row>
    <row r="6303" spans="4:16" x14ac:dyDescent="0.2">
      <c r="D6303">
        <v>100003749</v>
      </c>
      <c r="E6303" s="49">
        <v>45292</v>
      </c>
      <c r="F6303" t="s">
        <v>5232</v>
      </c>
      <c r="G6303" t="s">
        <v>2658</v>
      </c>
      <c r="H6303">
        <v>10</v>
      </c>
      <c r="I6303">
        <v>14.75</v>
      </c>
      <c r="J6303" s="50">
        <v>147.5</v>
      </c>
      <c r="K6303" t="s">
        <v>1618</v>
      </c>
      <c r="M6303" t="s">
        <v>1624</v>
      </c>
      <c r="N6303">
        <v>7.78</v>
      </c>
      <c r="O6303" s="49">
        <v>45296</v>
      </c>
      <c r="P6303" s="50">
        <v>66.375</v>
      </c>
    </row>
    <row r="6304" spans="4:16" x14ac:dyDescent="0.2">
      <c r="D6304">
        <v>100003749</v>
      </c>
      <c r="E6304" s="49">
        <v>44708</v>
      </c>
      <c r="F6304" t="s">
        <v>5232</v>
      </c>
      <c r="G6304" t="s">
        <v>1647</v>
      </c>
      <c r="H6304">
        <v>10</v>
      </c>
      <c r="I6304">
        <v>95.99</v>
      </c>
      <c r="J6304" s="50">
        <v>959.9</v>
      </c>
      <c r="K6304" t="s">
        <v>1618</v>
      </c>
      <c r="M6304" t="s">
        <v>1621</v>
      </c>
      <c r="N6304">
        <v>50.66</v>
      </c>
      <c r="O6304" s="49">
        <v>44711</v>
      </c>
      <c r="P6304" s="50">
        <v>431.95499999999998</v>
      </c>
    </row>
    <row r="6305" spans="4:16" x14ac:dyDescent="0.2">
      <c r="D6305">
        <v>100003750</v>
      </c>
      <c r="E6305" s="49">
        <v>44621</v>
      </c>
      <c r="F6305" t="s">
        <v>5233</v>
      </c>
      <c r="G6305" t="s">
        <v>2305</v>
      </c>
      <c r="H6305">
        <v>2</v>
      </c>
      <c r="I6305">
        <v>110.16</v>
      </c>
      <c r="J6305" s="50">
        <v>220.32</v>
      </c>
      <c r="K6305" t="s">
        <v>1632</v>
      </c>
      <c r="L6305" t="s">
        <v>2926</v>
      </c>
      <c r="M6305" t="s">
        <v>1629</v>
      </c>
      <c r="N6305">
        <v>58.14</v>
      </c>
      <c r="O6305" s="49">
        <v>44622</v>
      </c>
      <c r="P6305" s="50">
        <v>99.144000000000005</v>
      </c>
    </row>
    <row r="6306" spans="4:16" x14ac:dyDescent="0.2">
      <c r="D6306">
        <v>100003750</v>
      </c>
      <c r="E6306" s="49">
        <v>44628</v>
      </c>
      <c r="F6306" t="s">
        <v>5233</v>
      </c>
      <c r="G6306" t="s">
        <v>2198</v>
      </c>
      <c r="H6306">
        <v>10</v>
      </c>
      <c r="I6306">
        <v>37.29</v>
      </c>
      <c r="J6306" s="50">
        <v>372.9</v>
      </c>
      <c r="K6306" t="s">
        <v>1632</v>
      </c>
      <c r="L6306" t="s">
        <v>2926</v>
      </c>
      <c r="M6306" t="s">
        <v>1627</v>
      </c>
      <c r="N6306">
        <v>19.68</v>
      </c>
      <c r="O6306" s="49">
        <v>44633</v>
      </c>
      <c r="P6306" s="50">
        <v>167.80500000000001</v>
      </c>
    </row>
    <row r="6307" spans="4:16" x14ac:dyDescent="0.2">
      <c r="D6307">
        <v>100003750</v>
      </c>
      <c r="E6307" s="49">
        <v>44871</v>
      </c>
      <c r="F6307" t="s">
        <v>5233</v>
      </c>
      <c r="G6307" t="s">
        <v>2387</v>
      </c>
      <c r="H6307">
        <v>7</v>
      </c>
      <c r="I6307">
        <v>62.99</v>
      </c>
      <c r="J6307" s="50">
        <v>440.93</v>
      </c>
      <c r="K6307" t="s">
        <v>1632</v>
      </c>
      <c r="L6307" t="s">
        <v>2926</v>
      </c>
      <c r="M6307" t="s">
        <v>1627</v>
      </c>
      <c r="N6307">
        <v>33.24</v>
      </c>
      <c r="O6307" s="49">
        <v>44875</v>
      </c>
      <c r="P6307" s="50">
        <v>198.41849999999999</v>
      </c>
    </row>
    <row r="6308" spans="4:16" x14ac:dyDescent="0.2">
      <c r="D6308">
        <v>100003750</v>
      </c>
      <c r="E6308" s="49">
        <v>44611</v>
      </c>
      <c r="F6308" t="s">
        <v>5233</v>
      </c>
      <c r="G6308" t="s">
        <v>1833</v>
      </c>
      <c r="H6308">
        <v>2</v>
      </c>
      <c r="I6308">
        <v>107.73</v>
      </c>
      <c r="J6308" s="50">
        <v>215.46</v>
      </c>
      <c r="K6308" t="s">
        <v>1632</v>
      </c>
      <c r="L6308" t="s">
        <v>2926</v>
      </c>
      <c r="M6308" t="s">
        <v>1629</v>
      </c>
      <c r="N6308">
        <v>56.86</v>
      </c>
      <c r="O6308" s="49">
        <v>44616</v>
      </c>
      <c r="P6308" s="50">
        <v>96.957000000000008</v>
      </c>
    </row>
    <row r="6309" spans="4:16" x14ac:dyDescent="0.2">
      <c r="D6309">
        <v>100003751</v>
      </c>
      <c r="E6309" s="49">
        <v>44893</v>
      </c>
      <c r="F6309" t="s">
        <v>5234</v>
      </c>
      <c r="G6309" t="s">
        <v>1857</v>
      </c>
      <c r="H6309">
        <v>3</v>
      </c>
      <c r="I6309">
        <v>117.09</v>
      </c>
      <c r="J6309" s="50">
        <v>351.27</v>
      </c>
      <c r="K6309" t="s">
        <v>1632</v>
      </c>
      <c r="M6309" t="s">
        <v>1624</v>
      </c>
      <c r="N6309">
        <v>61.8</v>
      </c>
      <c r="O6309" s="49">
        <v>44896</v>
      </c>
      <c r="P6309" s="50">
        <v>158.07149999999999</v>
      </c>
    </row>
    <row r="6310" spans="4:16" x14ac:dyDescent="0.2">
      <c r="D6310">
        <v>100003751</v>
      </c>
      <c r="E6310" s="49">
        <v>45003</v>
      </c>
      <c r="F6310" t="s">
        <v>5234</v>
      </c>
      <c r="G6310" t="s">
        <v>2125</v>
      </c>
      <c r="H6310">
        <v>10</v>
      </c>
      <c r="I6310">
        <v>38.15</v>
      </c>
      <c r="J6310" s="50">
        <v>381.5</v>
      </c>
      <c r="K6310" t="s">
        <v>1632</v>
      </c>
      <c r="M6310" t="s">
        <v>1629</v>
      </c>
      <c r="N6310">
        <v>20.13</v>
      </c>
      <c r="O6310" s="49">
        <v>45005</v>
      </c>
      <c r="P6310" s="50">
        <v>171.67500000000001</v>
      </c>
    </row>
    <row r="6311" spans="4:16" x14ac:dyDescent="0.2">
      <c r="D6311">
        <v>100003752</v>
      </c>
      <c r="E6311" s="49">
        <v>44852</v>
      </c>
      <c r="F6311" t="s">
        <v>5235</v>
      </c>
      <c r="G6311" t="s">
        <v>1830</v>
      </c>
      <c r="H6311">
        <v>2</v>
      </c>
      <c r="I6311">
        <v>118.03</v>
      </c>
      <c r="J6311" s="50">
        <v>236.06</v>
      </c>
      <c r="K6311" t="s">
        <v>1618</v>
      </c>
      <c r="M6311" t="s">
        <v>1619</v>
      </c>
      <c r="N6311">
        <v>62.29</v>
      </c>
      <c r="O6311" s="49">
        <v>44857</v>
      </c>
      <c r="P6311" s="50">
        <v>106.227</v>
      </c>
    </row>
    <row r="6312" spans="4:16" x14ac:dyDescent="0.2">
      <c r="D6312">
        <v>100003752</v>
      </c>
      <c r="E6312" s="49">
        <v>44837</v>
      </c>
      <c r="F6312" t="s">
        <v>5235</v>
      </c>
      <c r="G6312" t="s">
        <v>1620</v>
      </c>
      <c r="H6312">
        <v>9</v>
      </c>
      <c r="I6312">
        <v>61.44</v>
      </c>
      <c r="J6312" s="50">
        <v>552.96</v>
      </c>
      <c r="K6312" t="s">
        <v>1618</v>
      </c>
      <c r="M6312" t="s">
        <v>1621</v>
      </c>
      <c r="N6312">
        <v>32.43</v>
      </c>
      <c r="O6312" s="49">
        <v>44839</v>
      </c>
      <c r="P6312" s="50">
        <v>248.83200000000002</v>
      </c>
    </row>
    <row r="6313" spans="4:16" x14ac:dyDescent="0.2">
      <c r="D6313">
        <v>100003752</v>
      </c>
      <c r="E6313" s="49">
        <v>45422</v>
      </c>
      <c r="F6313" t="s">
        <v>5235</v>
      </c>
      <c r="G6313" t="s">
        <v>1695</v>
      </c>
      <c r="H6313">
        <v>10</v>
      </c>
      <c r="I6313">
        <v>114.05</v>
      </c>
      <c r="J6313" s="50">
        <v>1140.5</v>
      </c>
      <c r="K6313" t="s">
        <v>1618</v>
      </c>
      <c r="M6313" t="s">
        <v>1624</v>
      </c>
      <c r="N6313">
        <v>60.19</v>
      </c>
      <c r="O6313" s="49">
        <v>45423</v>
      </c>
      <c r="P6313" s="50">
        <v>513.22500000000002</v>
      </c>
    </row>
    <row r="6314" spans="4:16" x14ac:dyDescent="0.2">
      <c r="D6314">
        <v>100003752</v>
      </c>
      <c r="E6314" s="49">
        <v>44890</v>
      </c>
      <c r="F6314" t="s">
        <v>5235</v>
      </c>
      <c r="G6314" t="s">
        <v>1770</v>
      </c>
      <c r="H6314">
        <v>1</v>
      </c>
      <c r="I6314">
        <v>34.5</v>
      </c>
      <c r="J6314" s="50">
        <v>34.5</v>
      </c>
      <c r="K6314" t="s">
        <v>1618</v>
      </c>
      <c r="M6314" t="s">
        <v>1624</v>
      </c>
      <c r="N6314">
        <v>18.21</v>
      </c>
      <c r="O6314" s="49">
        <v>44893</v>
      </c>
      <c r="P6314" s="50">
        <v>15.525</v>
      </c>
    </row>
    <row r="6315" spans="4:16" x14ac:dyDescent="0.2">
      <c r="D6315">
        <v>100003752</v>
      </c>
      <c r="E6315" s="49">
        <v>44577</v>
      </c>
      <c r="F6315" t="s">
        <v>5235</v>
      </c>
      <c r="G6315" t="s">
        <v>1714</v>
      </c>
      <c r="H6315">
        <v>4</v>
      </c>
      <c r="I6315">
        <v>20.47</v>
      </c>
      <c r="J6315" s="50">
        <v>81.88</v>
      </c>
      <c r="K6315" t="s">
        <v>1618</v>
      </c>
      <c r="M6315" t="s">
        <v>1619</v>
      </c>
      <c r="N6315">
        <v>10.8</v>
      </c>
      <c r="O6315" s="49">
        <v>44582</v>
      </c>
      <c r="P6315" s="50">
        <v>36.845999999999997</v>
      </c>
    </row>
    <row r="6316" spans="4:16" x14ac:dyDescent="0.2">
      <c r="D6316">
        <v>100003752</v>
      </c>
      <c r="E6316" s="49">
        <v>44766</v>
      </c>
      <c r="F6316" t="s">
        <v>5235</v>
      </c>
      <c r="G6316" t="s">
        <v>1620</v>
      </c>
      <c r="H6316">
        <v>2</v>
      </c>
      <c r="I6316">
        <v>78.94</v>
      </c>
      <c r="J6316" s="50">
        <v>157.88</v>
      </c>
      <c r="K6316" t="s">
        <v>1618</v>
      </c>
      <c r="M6316" t="s">
        <v>1627</v>
      </c>
      <c r="N6316">
        <v>41.66</v>
      </c>
      <c r="O6316" s="49">
        <v>44769</v>
      </c>
      <c r="P6316" s="50">
        <v>71.046000000000006</v>
      </c>
    </row>
    <row r="6317" spans="4:16" x14ac:dyDescent="0.2">
      <c r="D6317">
        <v>100003752</v>
      </c>
      <c r="E6317" s="49">
        <v>45621</v>
      </c>
      <c r="F6317" t="s">
        <v>5235</v>
      </c>
      <c r="G6317" t="s">
        <v>2019</v>
      </c>
      <c r="H6317">
        <v>9</v>
      </c>
      <c r="I6317">
        <v>116.34</v>
      </c>
      <c r="J6317" s="50">
        <v>1047.06</v>
      </c>
      <c r="K6317" t="s">
        <v>1618</v>
      </c>
      <c r="M6317" t="s">
        <v>1619</v>
      </c>
      <c r="N6317">
        <v>61.4</v>
      </c>
      <c r="O6317" s="49">
        <v>45623</v>
      </c>
      <c r="P6317" s="50">
        <v>471.17699999999996</v>
      </c>
    </row>
    <row r="6318" spans="4:16" x14ac:dyDescent="0.2">
      <c r="D6318">
        <v>100003754</v>
      </c>
      <c r="E6318" s="49">
        <v>45025</v>
      </c>
      <c r="F6318" t="s">
        <v>5236</v>
      </c>
      <c r="G6318" t="s">
        <v>1777</v>
      </c>
      <c r="H6318">
        <v>9</v>
      </c>
      <c r="I6318">
        <v>80.98</v>
      </c>
      <c r="J6318" s="50">
        <v>728.82</v>
      </c>
      <c r="K6318" t="s">
        <v>1618</v>
      </c>
      <c r="M6318" t="s">
        <v>1629</v>
      </c>
      <c r="N6318">
        <v>42.74</v>
      </c>
      <c r="O6318" s="49">
        <v>45026</v>
      </c>
      <c r="P6318" s="50">
        <v>327.96900000000005</v>
      </c>
    </row>
    <row r="6319" spans="4:16" x14ac:dyDescent="0.2">
      <c r="D6319">
        <v>100003755</v>
      </c>
      <c r="E6319" s="49">
        <v>45407</v>
      </c>
      <c r="F6319" t="s">
        <v>5237</v>
      </c>
      <c r="G6319" t="s">
        <v>2380</v>
      </c>
      <c r="H6319">
        <v>8</v>
      </c>
      <c r="I6319">
        <v>98.74</v>
      </c>
      <c r="J6319" s="50">
        <v>789.92</v>
      </c>
      <c r="K6319" t="s">
        <v>1632</v>
      </c>
      <c r="M6319" t="s">
        <v>1619</v>
      </c>
      <c r="N6319">
        <v>52.11</v>
      </c>
      <c r="O6319" s="49">
        <v>45408</v>
      </c>
      <c r="P6319" s="50">
        <v>355.464</v>
      </c>
    </row>
    <row r="6320" spans="4:16" x14ac:dyDescent="0.2">
      <c r="D6320">
        <v>100003755</v>
      </c>
      <c r="E6320" s="49">
        <v>44547</v>
      </c>
      <c r="F6320" t="s">
        <v>5237</v>
      </c>
      <c r="G6320" t="s">
        <v>1775</v>
      </c>
      <c r="H6320">
        <v>9</v>
      </c>
      <c r="I6320">
        <v>66.78</v>
      </c>
      <c r="J6320" s="50">
        <v>601.02</v>
      </c>
      <c r="K6320" t="s">
        <v>1632</v>
      </c>
      <c r="M6320" t="s">
        <v>1621</v>
      </c>
      <c r="N6320">
        <v>35.24</v>
      </c>
      <c r="O6320" s="49">
        <v>44549</v>
      </c>
      <c r="P6320" s="50">
        <v>270.459</v>
      </c>
    </row>
    <row r="6321" spans="4:16" x14ac:dyDescent="0.2">
      <c r="D6321">
        <v>100003756</v>
      </c>
      <c r="E6321" s="49">
        <v>44682</v>
      </c>
      <c r="F6321" t="s">
        <v>5238</v>
      </c>
      <c r="G6321" t="s">
        <v>2484</v>
      </c>
      <c r="H6321">
        <v>7</v>
      </c>
      <c r="I6321">
        <v>29.08</v>
      </c>
      <c r="J6321" s="50">
        <v>203.56</v>
      </c>
      <c r="K6321" t="s">
        <v>1618</v>
      </c>
      <c r="M6321" t="s">
        <v>1619</v>
      </c>
      <c r="N6321">
        <v>15.35</v>
      </c>
      <c r="O6321" s="49">
        <v>44683</v>
      </c>
      <c r="P6321" s="50">
        <v>91.602000000000004</v>
      </c>
    </row>
    <row r="6322" spans="4:16" x14ac:dyDescent="0.2">
      <c r="D6322">
        <v>100003756</v>
      </c>
      <c r="E6322" s="49">
        <v>44863</v>
      </c>
      <c r="F6322" t="s">
        <v>5238</v>
      </c>
      <c r="G6322" t="s">
        <v>1617</v>
      </c>
      <c r="H6322">
        <v>9</v>
      </c>
      <c r="I6322">
        <v>29.43</v>
      </c>
      <c r="J6322" s="50">
        <v>264.87</v>
      </c>
      <c r="K6322" t="s">
        <v>1618</v>
      </c>
      <c r="M6322" t="s">
        <v>1621</v>
      </c>
      <c r="N6322">
        <v>15.53</v>
      </c>
      <c r="O6322" s="49">
        <v>44864</v>
      </c>
      <c r="P6322" s="50">
        <v>119.1915</v>
      </c>
    </row>
    <row r="6323" spans="4:16" x14ac:dyDescent="0.2">
      <c r="D6323">
        <v>100003756</v>
      </c>
      <c r="E6323" s="49">
        <v>45412</v>
      </c>
      <c r="F6323" t="s">
        <v>5238</v>
      </c>
      <c r="G6323" t="s">
        <v>2180</v>
      </c>
      <c r="H6323">
        <v>4</v>
      </c>
      <c r="I6323">
        <v>37.68</v>
      </c>
      <c r="J6323" s="50">
        <v>150.72</v>
      </c>
      <c r="K6323" t="s">
        <v>1618</v>
      </c>
      <c r="M6323" t="s">
        <v>1624</v>
      </c>
      <c r="N6323">
        <v>19.89</v>
      </c>
      <c r="O6323" s="49">
        <v>45416</v>
      </c>
      <c r="P6323" s="50">
        <v>67.823999999999998</v>
      </c>
    </row>
    <row r="6324" spans="4:16" x14ac:dyDescent="0.2">
      <c r="D6324">
        <v>100003757</v>
      </c>
      <c r="E6324" s="49">
        <v>45200</v>
      </c>
      <c r="F6324" t="s">
        <v>5239</v>
      </c>
      <c r="G6324" t="s">
        <v>2514</v>
      </c>
      <c r="H6324">
        <v>9</v>
      </c>
      <c r="I6324">
        <v>50.1</v>
      </c>
      <c r="J6324" s="50">
        <v>450.9</v>
      </c>
      <c r="K6324" t="s">
        <v>1618</v>
      </c>
      <c r="M6324" t="s">
        <v>1627</v>
      </c>
      <c r="N6324">
        <v>26.44</v>
      </c>
      <c r="O6324" s="49">
        <v>45201</v>
      </c>
      <c r="P6324" s="50">
        <v>202.905</v>
      </c>
    </row>
    <row r="6325" spans="4:16" x14ac:dyDescent="0.2">
      <c r="D6325">
        <v>100003758</v>
      </c>
      <c r="E6325" s="49">
        <v>44513</v>
      </c>
      <c r="F6325" t="s">
        <v>5240</v>
      </c>
      <c r="G6325" t="s">
        <v>1932</v>
      </c>
      <c r="H6325">
        <v>2</v>
      </c>
      <c r="I6325">
        <v>66.81</v>
      </c>
      <c r="J6325" s="50">
        <v>133.62</v>
      </c>
      <c r="K6325" t="s">
        <v>1632</v>
      </c>
      <c r="M6325" t="s">
        <v>1619</v>
      </c>
      <c r="N6325">
        <v>35.26</v>
      </c>
      <c r="O6325" s="49">
        <v>44516</v>
      </c>
      <c r="P6325" s="50">
        <v>60.129000000000005</v>
      </c>
    </row>
    <row r="6326" spans="4:16" x14ac:dyDescent="0.2">
      <c r="D6326">
        <v>100003758</v>
      </c>
      <c r="E6326" s="49">
        <v>44663</v>
      </c>
      <c r="F6326" t="s">
        <v>5240</v>
      </c>
      <c r="G6326" t="s">
        <v>1634</v>
      </c>
      <c r="H6326">
        <v>4</v>
      </c>
      <c r="I6326">
        <v>60.67</v>
      </c>
      <c r="J6326" s="50">
        <v>242.68</v>
      </c>
      <c r="K6326" t="s">
        <v>1632</v>
      </c>
      <c r="M6326" t="s">
        <v>1627</v>
      </c>
      <c r="N6326">
        <v>32.020000000000003</v>
      </c>
      <c r="O6326" s="49">
        <v>44664</v>
      </c>
      <c r="P6326" s="50">
        <v>109.206</v>
      </c>
    </row>
    <row r="6327" spans="4:16" x14ac:dyDescent="0.2">
      <c r="D6327">
        <v>100003759</v>
      </c>
      <c r="E6327" s="49">
        <v>45318</v>
      </c>
      <c r="F6327" t="s">
        <v>3810</v>
      </c>
      <c r="G6327" t="s">
        <v>1702</v>
      </c>
      <c r="H6327">
        <v>1</v>
      </c>
      <c r="I6327">
        <v>25.22</v>
      </c>
      <c r="J6327" s="50">
        <v>25.22</v>
      </c>
      <c r="K6327" t="s">
        <v>1618</v>
      </c>
      <c r="L6327" t="s">
        <v>2788</v>
      </c>
      <c r="M6327" t="s">
        <v>1627</v>
      </c>
      <c r="N6327">
        <v>13.31</v>
      </c>
      <c r="O6327" s="49">
        <v>45320</v>
      </c>
      <c r="P6327" s="50">
        <v>11.349</v>
      </c>
    </row>
    <row r="6328" spans="4:16" x14ac:dyDescent="0.2">
      <c r="D6328">
        <v>100003759</v>
      </c>
      <c r="E6328" s="49">
        <v>45635</v>
      </c>
      <c r="F6328" t="s">
        <v>3810</v>
      </c>
      <c r="G6328" t="s">
        <v>1794</v>
      </c>
      <c r="H6328">
        <v>9</v>
      </c>
      <c r="I6328">
        <v>43.69</v>
      </c>
      <c r="J6328" s="50">
        <v>393.21</v>
      </c>
      <c r="K6328" t="s">
        <v>1618</v>
      </c>
      <c r="L6328" t="s">
        <v>2788</v>
      </c>
      <c r="M6328" t="s">
        <v>1629</v>
      </c>
      <c r="N6328">
        <v>23.06</v>
      </c>
      <c r="O6328" s="49">
        <v>45640</v>
      </c>
      <c r="P6328" s="50">
        <v>176.94450000000001</v>
      </c>
    </row>
    <row r="6329" spans="4:16" x14ac:dyDescent="0.2">
      <c r="D6329">
        <v>100003760</v>
      </c>
      <c r="E6329" s="49">
        <v>45289</v>
      </c>
      <c r="F6329" t="s">
        <v>5241</v>
      </c>
      <c r="G6329" t="s">
        <v>1739</v>
      </c>
      <c r="H6329">
        <v>8</v>
      </c>
      <c r="I6329">
        <v>100.08</v>
      </c>
      <c r="J6329" s="50">
        <v>800.64</v>
      </c>
      <c r="K6329" t="s">
        <v>1618</v>
      </c>
      <c r="L6329" t="s">
        <v>2830</v>
      </c>
      <c r="M6329" t="s">
        <v>1624</v>
      </c>
      <c r="N6329">
        <v>52.82</v>
      </c>
      <c r="O6329" s="49">
        <v>45291</v>
      </c>
      <c r="P6329" s="50">
        <v>360.28800000000001</v>
      </c>
    </row>
    <row r="6330" spans="4:16" x14ac:dyDescent="0.2">
      <c r="D6330">
        <v>100003761</v>
      </c>
      <c r="E6330" s="49">
        <v>45258</v>
      </c>
      <c r="F6330" t="s">
        <v>5242</v>
      </c>
      <c r="G6330" t="s">
        <v>2707</v>
      </c>
      <c r="H6330">
        <v>1</v>
      </c>
      <c r="I6330">
        <v>115.64</v>
      </c>
      <c r="J6330" s="50">
        <v>115.64</v>
      </c>
      <c r="K6330" t="s">
        <v>1618</v>
      </c>
      <c r="M6330" t="s">
        <v>1627</v>
      </c>
      <c r="N6330">
        <v>61.03</v>
      </c>
      <c r="O6330" s="49">
        <v>45260</v>
      </c>
      <c r="P6330" s="50">
        <v>52.038000000000004</v>
      </c>
    </row>
    <row r="6331" spans="4:16" x14ac:dyDescent="0.2">
      <c r="D6331">
        <v>100003762</v>
      </c>
      <c r="E6331" s="49">
        <v>44526</v>
      </c>
      <c r="F6331" t="s">
        <v>5133</v>
      </c>
      <c r="G6331" t="s">
        <v>2069</v>
      </c>
      <c r="H6331">
        <v>7</v>
      </c>
      <c r="I6331">
        <v>18.829999999999998</v>
      </c>
      <c r="J6331" s="50">
        <v>131.81</v>
      </c>
      <c r="K6331" t="s">
        <v>1618</v>
      </c>
      <c r="M6331" t="s">
        <v>1624</v>
      </c>
      <c r="N6331">
        <v>9.94</v>
      </c>
      <c r="O6331" s="49">
        <v>44530</v>
      </c>
      <c r="P6331" s="50">
        <v>59.314500000000002</v>
      </c>
    </row>
    <row r="6332" spans="4:16" x14ac:dyDescent="0.2">
      <c r="D6332">
        <v>100003762</v>
      </c>
      <c r="E6332" s="49">
        <v>44420</v>
      </c>
      <c r="F6332" t="s">
        <v>5133</v>
      </c>
      <c r="G6332" t="s">
        <v>1982</v>
      </c>
      <c r="H6332">
        <v>7</v>
      </c>
      <c r="I6332">
        <v>12.05</v>
      </c>
      <c r="J6332" s="50">
        <v>84.350000000000009</v>
      </c>
      <c r="K6332" t="s">
        <v>1618</v>
      </c>
      <c r="M6332" t="s">
        <v>1624</v>
      </c>
      <c r="N6332">
        <v>6.36</v>
      </c>
      <c r="O6332" s="49">
        <v>44421</v>
      </c>
      <c r="P6332" s="50">
        <v>37.957500000000003</v>
      </c>
    </row>
    <row r="6333" spans="4:16" x14ac:dyDescent="0.2">
      <c r="D6333">
        <v>100003762</v>
      </c>
      <c r="E6333" s="49">
        <v>44486</v>
      </c>
      <c r="F6333" t="s">
        <v>5133</v>
      </c>
      <c r="G6333" t="s">
        <v>1754</v>
      </c>
      <c r="H6333">
        <v>5</v>
      </c>
      <c r="I6333">
        <v>33.44</v>
      </c>
      <c r="J6333" s="50">
        <v>167.2</v>
      </c>
      <c r="K6333" t="s">
        <v>1618</v>
      </c>
      <c r="M6333" t="s">
        <v>1624</v>
      </c>
      <c r="N6333">
        <v>17.649999999999999</v>
      </c>
      <c r="O6333" s="49">
        <v>44488</v>
      </c>
      <c r="P6333" s="50">
        <v>75.239999999999995</v>
      </c>
    </row>
    <row r="6334" spans="4:16" x14ac:dyDescent="0.2">
      <c r="D6334">
        <v>100003762</v>
      </c>
      <c r="E6334" s="49">
        <v>44601</v>
      </c>
      <c r="F6334" t="s">
        <v>5133</v>
      </c>
      <c r="G6334" t="s">
        <v>1971</v>
      </c>
      <c r="H6334">
        <v>3</v>
      </c>
      <c r="I6334">
        <v>31.98</v>
      </c>
      <c r="J6334" s="50">
        <v>95.94</v>
      </c>
      <c r="K6334" t="s">
        <v>1618</v>
      </c>
      <c r="M6334" t="s">
        <v>1629</v>
      </c>
      <c r="N6334">
        <v>16.88</v>
      </c>
      <c r="O6334" s="49">
        <v>44606</v>
      </c>
      <c r="P6334" s="50">
        <v>43.173000000000002</v>
      </c>
    </row>
    <row r="6335" spans="4:16" x14ac:dyDescent="0.2">
      <c r="D6335">
        <v>100003762</v>
      </c>
      <c r="E6335" s="49">
        <v>44613</v>
      </c>
      <c r="F6335" t="s">
        <v>5133</v>
      </c>
      <c r="G6335" t="s">
        <v>1794</v>
      </c>
      <c r="H6335">
        <v>1</v>
      </c>
      <c r="I6335">
        <v>32.36</v>
      </c>
      <c r="J6335" s="50">
        <v>32.36</v>
      </c>
      <c r="K6335" t="s">
        <v>1618</v>
      </c>
      <c r="M6335" t="s">
        <v>1629</v>
      </c>
      <c r="N6335">
        <v>17.079999999999998</v>
      </c>
      <c r="O6335" s="49">
        <v>44615</v>
      </c>
      <c r="P6335" s="50">
        <v>14.561999999999999</v>
      </c>
    </row>
    <row r="6336" spans="4:16" x14ac:dyDescent="0.2">
      <c r="D6336">
        <v>100003762</v>
      </c>
      <c r="E6336" s="49">
        <v>45341</v>
      </c>
      <c r="F6336" t="s">
        <v>5133</v>
      </c>
      <c r="G6336" t="s">
        <v>1742</v>
      </c>
      <c r="H6336">
        <v>10</v>
      </c>
      <c r="I6336">
        <v>110.6</v>
      </c>
      <c r="J6336" s="50">
        <v>1106</v>
      </c>
      <c r="K6336" t="s">
        <v>1618</v>
      </c>
      <c r="M6336" t="s">
        <v>1621</v>
      </c>
      <c r="N6336">
        <v>58.37</v>
      </c>
      <c r="O6336" s="49">
        <v>45345</v>
      </c>
      <c r="P6336" s="50">
        <v>497.7</v>
      </c>
    </row>
    <row r="6337" spans="4:16" x14ac:dyDescent="0.2">
      <c r="D6337">
        <v>100003764</v>
      </c>
      <c r="E6337" s="49">
        <v>44788</v>
      </c>
      <c r="F6337" t="s">
        <v>5243</v>
      </c>
      <c r="G6337" t="s">
        <v>2301</v>
      </c>
      <c r="H6337">
        <v>7</v>
      </c>
      <c r="I6337">
        <v>38.950000000000003</v>
      </c>
      <c r="J6337" s="50">
        <v>272.64999999999998</v>
      </c>
      <c r="K6337" t="s">
        <v>1618</v>
      </c>
      <c r="L6337" t="s">
        <v>3599</v>
      </c>
      <c r="M6337" t="s">
        <v>1624</v>
      </c>
      <c r="N6337">
        <v>20.56</v>
      </c>
      <c r="O6337" s="49">
        <v>44792</v>
      </c>
      <c r="P6337" s="50">
        <v>122.6925</v>
      </c>
    </row>
    <row r="6338" spans="4:16" x14ac:dyDescent="0.2">
      <c r="D6338">
        <v>100003764</v>
      </c>
      <c r="E6338" s="49">
        <v>44436</v>
      </c>
      <c r="F6338" t="s">
        <v>5243</v>
      </c>
      <c r="G6338" t="s">
        <v>1782</v>
      </c>
      <c r="H6338">
        <v>4</v>
      </c>
      <c r="I6338">
        <v>111.18</v>
      </c>
      <c r="J6338" s="50">
        <v>444.72</v>
      </c>
      <c r="K6338" t="s">
        <v>1618</v>
      </c>
      <c r="L6338" t="s">
        <v>3599</v>
      </c>
      <c r="M6338" t="s">
        <v>1629</v>
      </c>
      <c r="N6338">
        <v>58.68</v>
      </c>
      <c r="O6338" s="49">
        <v>44441</v>
      </c>
      <c r="P6338" s="50">
        <v>200.12400000000002</v>
      </c>
    </row>
    <row r="6339" spans="4:16" x14ac:dyDescent="0.2">
      <c r="D6339">
        <v>100003765</v>
      </c>
      <c r="E6339" s="49">
        <v>45039</v>
      </c>
      <c r="F6339" t="s">
        <v>5244</v>
      </c>
      <c r="G6339" t="s">
        <v>2465</v>
      </c>
      <c r="H6339">
        <v>7</v>
      </c>
      <c r="I6339">
        <v>50.57</v>
      </c>
      <c r="J6339" s="50">
        <v>353.99</v>
      </c>
      <c r="K6339" t="s">
        <v>1618</v>
      </c>
      <c r="L6339" t="s">
        <v>2122</v>
      </c>
      <c r="M6339" t="s">
        <v>1621</v>
      </c>
      <c r="N6339">
        <v>26.69</v>
      </c>
      <c r="O6339" s="49">
        <v>45044</v>
      </c>
      <c r="P6339" s="50">
        <v>159.2955</v>
      </c>
    </row>
    <row r="6340" spans="4:16" x14ac:dyDescent="0.2">
      <c r="D6340">
        <v>100003765</v>
      </c>
      <c r="E6340" s="49">
        <v>45410</v>
      </c>
      <c r="F6340" t="s">
        <v>5244</v>
      </c>
      <c r="G6340" t="s">
        <v>1658</v>
      </c>
      <c r="H6340">
        <v>8</v>
      </c>
      <c r="I6340">
        <v>21.24</v>
      </c>
      <c r="J6340" s="50">
        <v>169.92</v>
      </c>
      <c r="K6340" t="s">
        <v>1618</v>
      </c>
      <c r="L6340" t="s">
        <v>2122</v>
      </c>
      <c r="M6340" t="s">
        <v>1629</v>
      </c>
      <c r="N6340">
        <v>11.21</v>
      </c>
      <c r="O6340" s="49">
        <v>45411</v>
      </c>
      <c r="P6340" s="50">
        <v>76.463999999999999</v>
      </c>
    </row>
    <row r="6341" spans="4:16" x14ac:dyDescent="0.2">
      <c r="D6341">
        <v>100003766</v>
      </c>
      <c r="E6341" s="49">
        <v>45591</v>
      </c>
      <c r="F6341" t="s">
        <v>5245</v>
      </c>
      <c r="G6341" t="s">
        <v>1676</v>
      </c>
      <c r="H6341">
        <v>5</v>
      </c>
      <c r="I6341">
        <v>113.03</v>
      </c>
      <c r="J6341" s="50">
        <v>565.15</v>
      </c>
      <c r="K6341" t="s">
        <v>1632</v>
      </c>
      <c r="M6341" t="s">
        <v>1627</v>
      </c>
      <c r="N6341">
        <v>59.65</v>
      </c>
      <c r="O6341" s="49">
        <v>45592</v>
      </c>
      <c r="P6341" s="50">
        <v>254.3175</v>
      </c>
    </row>
    <row r="6342" spans="4:16" x14ac:dyDescent="0.2">
      <c r="D6342">
        <v>100003768</v>
      </c>
      <c r="E6342" s="49">
        <v>44815</v>
      </c>
      <c r="F6342" t="s">
        <v>5246</v>
      </c>
      <c r="G6342" t="s">
        <v>1846</v>
      </c>
      <c r="H6342">
        <v>3</v>
      </c>
      <c r="I6342">
        <v>99.91</v>
      </c>
      <c r="J6342" s="50">
        <v>299.73</v>
      </c>
      <c r="K6342" t="s">
        <v>1632</v>
      </c>
      <c r="M6342" t="s">
        <v>1619</v>
      </c>
      <c r="N6342">
        <v>52.73</v>
      </c>
      <c r="O6342" s="49">
        <v>44819</v>
      </c>
      <c r="P6342" s="50">
        <v>134.8785</v>
      </c>
    </row>
    <row r="6343" spans="4:16" x14ac:dyDescent="0.2">
      <c r="D6343">
        <v>100003768</v>
      </c>
      <c r="E6343" s="49">
        <v>45275</v>
      </c>
      <c r="F6343" t="s">
        <v>5246</v>
      </c>
      <c r="G6343" t="s">
        <v>2278</v>
      </c>
      <c r="H6343">
        <v>9</v>
      </c>
      <c r="I6343">
        <v>88.53</v>
      </c>
      <c r="J6343" s="50">
        <v>796.77</v>
      </c>
      <c r="K6343" t="s">
        <v>1632</v>
      </c>
      <c r="M6343" t="s">
        <v>1627</v>
      </c>
      <c r="N6343">
        <v>46.72</v>
      </c>
      <c r="O6343" s="49">
        <v>45280</v>
      </c>
      <c r="P6343" s="50">
        <v>358.54649999999998</v>
      </c>
    </row>
    <row r="6344" spans="4:16" x14ac:dyDescent="0.2">
      <c r="D6344">
        <v>100003768</v>
      </c>
      <c r="E6344" s="49">
        <v>44581</v>
      </c>
      <c r="F6344" t="s">
        <v>5246</v>
      </c>
      <c r="G6344" t="s">
        <v>1982</v>
      </c>
      <c r="H6344">
        <v>4</v>
      </c>
      <c r="I6344">
        <v>51.18</v>
      </c>
      <c r="J6344" s="50">
        <v>204.72</v>
      </c>
      <c r="K6344" t="s">
        <v>1632</v>
      </c>
      <c r="M6344" t="s">
        <v>1619</v>
      </c>
      <c r="N6344">
        <v>27.01</v>
      </c>
      <c r="O6344" s="49">
        <v>44582</v>
      </c>
      <c r="P6344" s="50">
        <v>92.123999999999995</v>
      </c>
    </row>
    <row r="6345" spans="4:16" x14ac:dyDescent="0.2">
      <c r="D6345">
        <v>100003768</v>
      </c>
      <c r="E6345" s="49">
        <v>44838</v>
      </c>
      <c r="F6345" t="s">
        <v>5246</v>
      </c>
      <c r="G6345" t="s">
        <v>2039</v>
      </c>
      <c r="H6345">
        <v>10</v>
      </c>
      <c r="I6345">
        <v>64.739999999999995</v>
      </c>
      <c r="J6345" s="50">
        <v>647.4</v>
      </c>
      <c r="K6345" t="s">
        <v>1632</v>
      </c>
      <c r="M6345" t="s">
        <v>1629</v>
      </c>
      <c r="N6345">
        <v>34.17</v>
      </c>
      <c r="O6345" s="49">
        <v>44842</v>
      </c>
      <c r="P6345" s="50">
        <v>291.33</v>
      </c>
    </row>
    <row r="6346" spans="4:16" x14ac:dyDescent="0.2">
      <c r="D6346">
        <v>100003768</v>
      </c>
      <c r="E6346" s="49">
        <v>44597</v>
      </c>
      <c r="F6346" t="s">
        <v>5246</v>
      </c>
      <c r="G6346" t="s">
        <v>1797</v>
      </c>
      <c r="H6346">
        <v>5</v>
      </c>
      <c r="I6346">
        <v>46.49</v>
      </c>
      <c r="J6346" s="50">
        <v>232.45</v>
      </c>
      <c r="K6346" t="s">
        <v>1632</v>
      </c>
      <c r="M6346" t="s">
        <v>1624</v>
      </c>
      <c r="N6346">
        <v>24.54</v>
      </c>
      <c r="O6346" s="49">
        <v>44600</v>
      </c>
      <c r="P6346" s="50">
        <v>104.60249999999999</v>
      </c>
    </row>
    <row r="6347" spans="4:16" x14ac:dyDescent="0.2">
      <c r="D6347">
        <v>100003768</v>
      </c>
      <c r="E6347" s="49">
        <v>45580</v>
      </c>
      <c r="F6347" t="s">
        <v>5246</v>
      </c>
      <c r="G6347" t="s">
        <v>1620</v>
      </c>
      <c r="H6347">
        <v>9</v>
      </c>
      <c r="I6347">
        <v>92.62</v>
      </c>
      <c r="J6347" s="50">
        <v>833.58</v>
      </c>
      <c r="K6347" t="s">
        <v>1632</v>
      </c>
      <c r="M6347" t="s">
        <v>1629</v>
      </c>
      <c r="N6347">
        <v>48.88</v>
      </c>
      <c r="O6347" s="49">
        <v>45583</v>
      </c>
      <c r="P6347" s="50">
        <v>375.11100000000005</v>
      </c>
    </row>
    <row r="6348" spans="4:16" x14ac:dyDescent="0.2">
      <c r="D6348">
        <v>100003770</v>
      </c>
      <c r="E6348" s="49">
        <v>45297</v>
      </c>
      <c r="F6348" t="s">
        <v>5247</v>
      </c>
      <c r="G6348" t="s">
        <v>1768</v>
      </c>
      <c r="H6348">
        <v>6</v>
      </c>
      <c r="I6348">
        <v>32.96</v>
      </c>
      <c r="J6348" s="50">
        <v>197.76</v>
      </c>
      <c r="K6348" t="s">
        <v>1618</v>
      </c>
      <c r="L6348" t="s">
        <v>5248</v>
      </c>
      <c r="M6348" t="s">
        <v>1629</v>
      </c>
      <c r="N6348">
        <v>17.399999999999999</v>
      </c>
      <c r="O6348" s="49">
        <v>45298</v>
      </c>
      <c r="P6348" s="50">
        <v>88.992000000000004</v>
      </c>
    </row>
    <row r="6349" spans="4:16" x14ac:dyDescent="0.2">
      <c r="D6349">
        <v>100003771</v>
      </c>
      <c r="E6349" s="49">
        <v>45226</v>
      </c>
      <c r="F6349" t="s">
        <v>5249</v>
      </c>
      <c r="G6349" t="s">
        <v>1699</v>
      </c>
      <c r="H6349">
        <v>6</v>
      </c>
      <c r="I6349">
        <v>28.66</v>
      </c>
      <c r="J6349" s="50">
        <v>171.96</v>
      </c>
      <c r="K6349" t="s">
        <v>1618</v>
      </c>
      <c r="M6349" t="s">
        <v>1619</v>
      </c>
      <c r="N6349">
        <v>15.13</v>
      </c>
      <c r="O6349" s="49">
        <v>45229</v>
      </c>
      <c r="P6349" s="50">
        <v>77.382000000000005</v>
      </c>
    </row>
    <row r="6350" spans="4:16" x14ac:dyDescent="0.2">
      <c r="D6350">
        <v>100003775</v>
      </c>
      <c r="E6350" s="49">
        <v>44568</v>
      </c>
      <c r="F6350" t="s">
        <v>5250</v>
      </c>
      <c r="G6350" t="s">
        <v>1677</v>
      </c>
      <c r="H6350">
        <v>9</v>
      </c>
      <c r="I6350">
        <v>32.61</v>
      </c>
      <c r="J6350" s="50">
        <v>293.49</v>
      </c>
      <c r="K6350" t="s">
        <v>1618</v>
      </c>
      <c r="M6350" t="s">
        <v>1619</v>
      </c>
      <c r="N6350">
        <v>17.21</v>
      </c>
      <c r="O6350" s="49">
        <v>44571</v>
      </c>
      <c r="P6350" s="50">
        <v>132.07050000000001</v>
      </c>
    </row>
    <row r="6351" spans="4:16" x14ac:dyDescent="0.2">
      <c r="D6351">
        <v>100003776</v>
      </c>
      <c r="E6351" s="49">
        <v>44414</v>
      </c>
      <c r="F6351" t="s">
        <v>5251</v>
      </c>
      <c r="G6351" t="s">
        <v>2553</v>
      </c>
      <c r="H6351">
        <v>2</v>
      </c>
      <c r="I6351">
        <v>26.11</v>
      </c>
      <c r="J6351" s="50">
        <v>52.22</v>
      </c>
      <c r="K6351" t="s">
        <v>1618</v>
      </c>
      <c r="M6351" t="s">
        <v>1624</v>
      </c>
      <c r="N6351">
        <v>13.78</v>
      </c>
      <c r="O6351" s="49">
        <v>44417</v>
      </c>
      <c r="P6351" s="50">
        <v>23.498999999999999</v>
      </c>
    </row>
    <row r="6352" spans="4:16" x14ac:dyDescent="0.2">
      <c r="D6352">
        <v>100003777</v>
      </c>
      <c r="E6352" s="49">
        <v>44679</v>
      </c>
      <c r="F6352" t="s">
        <v>5252</v>
      </c>
      <c r="G6352" t="s">
        <v>1980</v>
      </c>
      <c r="H6352">
        <v>7</v>
      </c>
      <c r="I6352">
        <v>109.4</v>
      </c>
      <c r="J6352" s="50">
        <v>765.80000000000007</v>
      </c>
      <c r="K6352" t="s">
        <v>1618</v>
      </c>
      <c r="L6352" t="s">
        <v>3637</v>
      </c>
      <c r="M6352" t="s">
        <v>1621</v>
      </c>
      <c r="N6352">
        <v>57.74</v>
      </c>
      <c r="O6352" s="49">
        <v>44683</v>
      </c>
      <c r="P6352" s="50">
        <v>344.61</v>
      </c>
    </row>
    <row r="6353" spans="4:16" x14ac:dyDescent="0.2">
      <c r="D6353">
        <v>100003778</v>
      </c>
      <c r="E6353" s="49">
        <v>45442</v>
      </c>
      <c r="F6353" t="s">
        <v>5253</v>
      </c>
      <c r="G6353" t="s">
        <v>2042</v>
      </c>
      <c r="H6353">
        <v>10</v>
      </c>
      <c r="I6353">
        <v>26.42</v>
      </c>
      <c r="J6353" s="50">
        <v>264.2</v>
      </c>
      <c r="K6353" t="s">
        <v>1632</v>
      </c>
      <c r="M6353" t="s">
        <v>1627</v>
      </c>
      <c r="N6353">
        <v>13.94</v>
      </c>
      <c r="O6353" s="49">
        <v>45447</v>
      </c>
      <c r="P6353" s="50">
        <v>118.89</v>
      </c>
    </row>
    <row r="6354" spans="4:16" x14ac:dyDescent="0.2">
      <c r="D6354">
        <v>100003778</v>
      </c>
      <c r="E6354" s="49">
        <v>44575</v>
      </c>
      <c r="F6354" t="s">
        <v>5253</v>
      </c>
      <c r="G6354" t="s">
        <v>1744</v>
      </c>
      <c r="H6354">
        <v>2</v>
      </c>
      <c r="I6354">
        <v>79.8</v>
      </c>
      <c r="J6354" s="50">
        <v>159.6</v>
      </c>
      <c r="K6354" t="s">
        <v>1632</v>
      </c>
      <c r="M6354" t="s">
        <v>1627</v>
      </c>
      <c r="N6354">
        <v>42.12</v>
      </c>
      <c r="O6354" s="49">
        <v>44576</v>
      </c>
      <c r="P6354" s="50">
        <v>71.819999999999993</v>
      </c>
    </row>
    <row r="6355" spans="4:16" x14ac:dyDescent="0.2">
      <c r="D6355">
        <v>100003779</v>
      </c>
      <c r="E6355" s="49">
        <v>44551</v>
      </c>
      <c r="F6355" t="s">
        <v>5254</v>
      </c>
      <c r="G6355" t="s">
        <v>1815</v>
      </c>
      <c r="H6355">
        <v>8</v>
      </c>
      <c r="I6355">
        <v>91.48</v>
      </c>
      <c r="J6355" s="50">
        <v>731.84</v>
      </c>
      <c r="K6355" t="s">
        <v>1618</v>
      </c>
      <c r="M6355" t="s">
        <v>1619</v>
      </c>
      <c r="N6355">
        <v>48.28</v>
      </c>
      <c r="O6355" s="49">
        <v>44554</v>
      </c>
      <c r="P6355" s="50">
        <v>329.32800000000003</v>
      </c>
    </row>
    <row r="6356" spans="4:16" x14ac:dyDescent="0.2">
      <c r="D6356">
        <v>100003780</v>
      </c>
      <c r="E6356" s="49">
        <v>45313</v>
      </c>
      <c r="F6356" t="s">
        <v>4903</v>
      </c>
      <c r="G6356" t="s">
        <v>1690</v>
      </c>
      <c r="H6356">
        <v>5</v>
      </c>
      <c r="I6356">
        <v>40.869999999999997</v>
      </c>
      <c r="J6356" s="50">
        <v>204.35</v>
      </c>
      <c r="K6356" t="s">
        <v>1618</v>
      </c>
      <c r="M6356" t="s">
        <v>1624</v>
      </c>
      <c r="N6356">
        <v>21.57</v>
      </c>
      <c r="O6356" s="49">
        <v>45315</v>
      </c>
      <c r="P6356" s="50">
        <v>91.957499999999996</v>
      </c>
    </row>
    <row r="6357" spans="4:16" x14ac:dyDescent="0.2">
      <c r="D6357">
        <v>100003781</v>
      </c>
      <c r="E6357" s="49">
        <v>45406</v>
      </c>
      <c r="F6357" t="s">
        <v>5255</v>
      </c>
      <c r="G6357" t="s">
        <v>1924</v>
      </c>
      <c r="H6357">
        <v>9</v>
      </c>
      <c r="I6357">
        <v>77.22</v>
      </c>
      <c r="J6357" s="50">
        <v>694.98</v>
      </c>
      <c r="K6357" t="s">
        <v>1632</v>
      </c>
      <c r="L6357" t="s">
        <v>5256</v>
      </c>
      <c r="M6357" t="s">
        <v>1624</v>
      </c>
      <c r="N6357">
        <v>40.75</v>
      </c>
      <c r="O6357" s="49">
        <v>45408</v>
      </c>
      <c r="P6357" s="50">
        <v>312.74100000000004</v>
      </c>
    </row>
    <row r="6358" spans="4:16" x14ac:dyDescent="0.2">
      <c r="D6358">
        <v>100003782</v>
      </c>
      <c r="E6358" s="49">
        <v>44760</v>
      </c>
      <c r="F6358" t="s">
        <v>5257</v>
      </c>
      <c r="G6358" t="s">
        <v>1655</v>
      </c>
      <c r="H6358">
        <v>6</v>
      </c>
      <c r="I6358">
        <v>114.59</v>
      </c>
      <c r="J6358" s="50">
        <v>687.54</v>
      </c>
      <c r="K6358" t="s">
        <v>1618</v>
      </c>
      <c r="M6358" t="s">
        <v>1624</v>
      </c>
      <c r="N6358">
        <v>60.48</v>
      </c>
      <c r="O6358" s="49">
        <v>44764</v>
      </c>
      <c r="P6358" s="50">
        <v>309.39299999999997</v>
      </c>
    </row>
    <row r="6359" spans="4:16" x14ac:dyDescent="0.2">
      <c r="D6359">
        <v>100003785</v>
      </c>
      <c r="E6359" s="49">
        <v>44425</v>
      </c>
      <c r="F6359" t="s">
        <v>5258</v>
      </c>
      <c r="G6359" t="s">
        <v>1645</v>
      </c>
      <c r="H6359">
        <v>9</v>
      </c>
      <c r="I6359">
        <v>81.98</v>
      </c>
      <c r="J6359" s="50">
        <v>737.82</v>
      </c>
      <c r="K6359" t="s">
        <v>1632</v>
      </c>
      <c r="M6359" t="s">
        <v>1627</v>
      </c>
      <c r="N6359">
        <v>43.27</v>
      </c>
      <c r="O6359" s="49">
        <v>44429</v>
      </c>
      <c r="P6359" s="50">
        <v>332.01900000000001</v>
      </c>
    </row>
    <row r="6360" spans="4:16" x14ac:dyDescent="0.2">
      <c r="D6360">
        <v>100003785</v>
      </c>
      <c r="E6360" s="49">
        <v>44201</v>
      </c>
      <c r="F6360" t="s">
        <v>5258</v>
      </c>
      <c r="G6360" t="s">
        <v>2553</v>
      </c>
      <c r="H6360">
        <v>8</v>
      </c>
      <c r="I6360">
        <v>113.23</v>
      </c>
      <c r="J6360" s="50">
        <v>905.84</v>
      </c>
      <c r="K6360" t="s">
        <v>1632</v>
      </c>
      <c r="M6360" t="s">
        <v>1629</v>
      </c>
      <c r="N6360">
        <v>59.76</v>
      </c>
      <c r="O6360" s="49">
        <v>44206</v>
      </c>
      <c r="P6360" s="50">
        <v>407.62800000000004</v>
      </c>
    </row>
    <row r="6361" spans="4:16" x14ac:dyDescent="0.2">
      <c r="D6361">
        <v>100003786</v>
      </c>
      <c r="E6361" s="49">
        <v>45399</v>
      </c>
      <c r="F6361" t="s">
        <v>5259</v>
      </c>
      <c r="G6361" t="s">
        <v>2168</v>
      </c>
      <c r="H6361">
        <v>5</v>
      </c>
      <c r="I6361">
        <v>118.35</v>
      </c>
      <c r="J6361" s="50">
        <v>591.75</v>
      </c>
      <c r="K6361" t="s">
        <v>1618</v>
      </c>
      <c r="M6361" t="s">
        <v>1624</v>
      </c>
      <c r="N6361">
        <v>62.46</v>
      </c>
      <c r="O6361" s="49">
        <v>45402</v>
      </c>
      <c r="P6361" s="50">
        <v>266.28750000000002</v>
      </c>
    </row>
    <row r="6362" spans="4:16" x14ac:dyDescent="0.2">
      <c r="D6362">
        <v>100003786</v>
      </c>
      <c r="E6362" s="49">
        <v>44555</v>
      </c>
      <c r="F6362" t="s">
        <v>5259</v>
      </c>
      <c r="G6362" t="s">
        <v>2302</v>
      </c>
      <c r="H6362">
        <v>2</v>
      </c>
      <c r="I6362">
        <v>99.15</v>
      </c>
      <c r="J6362" s="50">
        <v>198.3</v>
      </c>
      <c r="K6362" t="s">
        <v>1618</v>
      </c>
      <c r="M6362" t="s">
        <v>1629</v>
      </c>
      <c r="N6362">
        <v>52.33</v>
      </c>
      <c r="O6362" s="49">
        <v>44560</v>
      </c>
      <c r="P6362" s="50">
        <v>89.235000000000014</v>
      </c>
    </row>
    <row r="6363" spans="4:16" x14ac:dyDescent="0.2">
      <c r="D6363">
        <v>100003786</v>
      </c>
      <c r="E6363" s="49">
        <v>44842</v>
      </c>
      <c r="F6363" t="s">
        <v>5259</v>
      </c>
      <c r="G6363" t="s">
        <v>2038</v>
      </c>
      <c r="H6363">
        <v>2</v>
      </c>
      <c r="I6363">
        <v>41.19</v>
      </c>
      <c r="J6363" s="50">
        <v>82.38</v>
      </c>
      <c r="K6363" t="s">
        <v>1618</v>
      </c>
      <c r="M6363" t="s">
        <v>1621</v>
      </c>
      <c r="N6363">
        <v>21.74</v>
      </c>
      <c r="O6363" s="49">
        <v>44844</v>
      </c>
      <c r="P6363" s="50">
        <v>37.070999999999998</v>
      </c>
    </row>
    <row r="6364" spans="4:16" x14ac:dyDescent="0.2">
      <c r="D6364">
        <v>100003786</v>
      </c>
      <c r="E6364" s="49">
        <v>45570</v>
      </c>
      <c r="F6364" t="s">
        <v>5259</v>
      </c>
      <c r="G6364" t="s">
        <v>2101</v>
      </c>
      <c r="H6364">
        <v>5</v>
      </c>
      <c r="I6364">
        <v>82.38</v>
      </c>
      <c r="J6364" s="50">
        <v>411.9</v>
      </c>
      <c r="K6364" t="s">
        <v>1618</v>
      </c>
      <c r="M6364" t="s">
        <v>1619</v>
      </c>
      <c r="N6364">
        <v>43.48</v>
      </c>
      <c r="O6364" s="49">
        <v>45574</v>
      </c>
      <c r="P6364" s="50">
        <v>185.35499999999999</v>
      </c>
    </row>
    <row r="6365" spans="4:16" x14ac:dyDescent="0.2">
      <c r="D6365">
        <v>100003786</v>
      </c>
      <c r="E6365" s="49">
        <v>44640</v>
      </c>
      <c r="F6365" t="s">
        <v>5259</v>
      </c>
      <c r="G6365" t="s">
        <v>1978</v>
      </c>
      <c r="H6365">
        <v>6</v>
      </c>
      <c r="I6365">
        <v>64.55</v>
      </c>
      <c r="J6365" s="50">
        <v>387.3</v>
      </c>
      <c r="K6365" t="s">
        <v>1618</v>
      </c>
      <c r="M6365" t="s">
        <v>1619</v>
      </c>
      <c r="N6365">
        <v>34.07</v>
      </c>
      <c r="O6365" s="49">
        <v>44643</v>
      </c>
      <c r="P6365" s="50">
        <v>174.285</v>
      </c>
    </row>
    <row r="6366" spans="4:16" x14ac:dyDescent="0.2">
      <c r="D6366">
        <v>100003788</v>
      </c>
      <c r="E6366" s="49">
        <v>44467</v>
      </c>
      <c r="F6366" t="s">
        <v>5260</v>
      </c>
      <c r="G6366" t="s">
        <v>2346</v>
      </c>
      <c r="H6366">
        <v>9</v>
      </c>
      <c r="I6366">
        <v>74.760000000000005</v>
      </c>
      <c r="J6366" s="50">
        <v>672.84</v>
      </c>
      <c r="K6366" t="s">
        <v>1632</v>
      </c>
      <c r="M6366" t="s">
        <v>1627</v>
      </c>
      <c r="N6366">
        <v>39.46</v>
      </c>
      <c r="O6366" s="49">
        <v>44471</v>
      </c>
      <c r="P6366" s="50">
        <v>302.77800000000002</v>
      </c>
    </row>
    <row r="6367" spans="4:16" x14ac:dyDescent="0.2">
      <c r="D6367">
        <v>100003788</v>
      </c>
      <c r="E6367" s="49">
        <v>44262</v>
      </c>
      <c r="F6367" t="s">
        <v>5260</v>
      </c>
      <c r="G6367" t="s">
        <v>1941</v>
      </c>
      <c r="H6367">
        <v>3</v>
      </c>
      <c r="I6367">
        <v>66.61</v>
      </c>
      <c r="J6367" s="50">
        <v>199.83</v>
      </c>
      <c r="K6367" t="s">
        <v>1632</v>
      </c>
      <c r="M6367" t="s">
        <v>1629</v>
      </c>
      <c r="N6367">
        <v>35.159999999999997</v>
      </c>
      <c r="O6367" s="49">
        <v>44267</v>
      </c>
      <c r="P6367" s="50">
        <v>89.923500000000004</v>
      </c>
    </row>
    <row r="6368" spans="4:16" x14ac:dyDescent="0.2">
      <c r="D6368">
        <v>100003788</v>
      </c>
      <c r="E6368" s="49">
        <v>44345</v>
      </c>
      <c r="F6368" t="s">
        <v>5260</v>
      </c>
      <c r="G6368" t="s">
        <v>2099</v>
      </c>
      <c r="H6368">
        <v>4</v>
      </c>
      <c r="I6368">
        <v>54.77</v>
      </c>
      <c r="J6368" s="50">
        <v>219.08</v>
      </c>
      <c r="K6368" t="s">
        <v>1632</v>
      </c>
      <c r="M6368" t="s">
        <v>1624</v>
      </c>
      <c r="N6368">
        <v>28.91</v>
      </c>
      <c r="O6368" s="49">
        <v>44346</v>
      </c>
      <c r="P6368" s="50">
        <v>98.586000000000013</v>
      </c>
    </row>
    <row r="6369" spans="4:16" x14ac:dyDescent="0.2">
      <c r="D6369">
        <v>100003788</v>
      </c>
      <c r="E6369" s="49">
        <v>44517</v>
      </c>
      <c r="F6369" t="s">
        <v>5260</v>
      </c>
      <c r="G6369" t="s">
        <v>1636</v>
      </c>
      <c r="H6369">
        <v>3</v>
      </c>
      <c r="I6369">
        <v>90.08</v>
      </c>
      <c r="J6369" s="50">
        <v>270.24</v>
      </c>
      <c r="K6369" t="s">
        <v>1632</v>
      </c>
      <c r="M6369" t="s">
        <v>1624</v>
      </c>
      <c r="N6369">
        <v>47.54</v>
      </c>
      <c r="O6369" s="49">
        <v>44522</v>
      </c>
      <c r="P6369" s="50">
        <v>121.608</v>
      </c>
    </row>
    <row r="6370" spans="4:16" x14ac:dyDescent="0.2">
      <c r="D6370">
        <v>100003790</v>
      </c>
      <c r="E6370" s="49">
        <v>44436</v>
      </c>
      <c r="F6370" t="s">
        <v>5261</v>
      </c>
      <c r="G6370" t="s">
        <v>1721</v>
      </c>
      <c r="H6370">
        <v>1</v>
      </c>
      <c r="I6370">
        <v>102</v>
      </c>
      <c r="J6370" s="50">
        <v>102</v>
      </c>
      <c r="K6370" t="s">
        <v>1632</v>
      </c>
      <c r="M6370" t="s">
        <v>1621</v>
      </c>
      <c r="N6370">
        <v>53.83</v>
      </c>
      <c r="O6370" s="49">
        <v>44440</v>
      </c>
      <c r="P6370" s="50">
        <v>45.9</v>
      </c>
    </row>
    <row r="6371" spans="4:16" x14ac:dyDescent="0.2">
      <c r="D6371">
        <v>100003791</v>
      </c>
      <c r="E6371" s="49">
        <v>45642</v>
      </c>
      <c r="F6371" t="s">
        <v>5262</v>
      </c>
      <c r="G6371" t="s">
        <v>2048</v>
      </c>
      <c r="H6371">
        <v>5</v>
      </c>
      <c r="I6371">
        <v>112.03</v>
      </c>
      <c r="J6371" s="50">
        <v>560.15</v>
      </c>
      <c r="K6371" t="s">
        <v>1632</v>
      </c>
      <c r="M6371" t="s">
        <v>1621</v>
      </c>
      <c r="N6371">
        <v>59.13</v>
      </c>
      <c r="O6371" s="49">
        <v>45647</v>
      </c>
      <c r="P6371" s="50">
        <v>252.0675</v>
      </c>
    </row>
    <row r="6372" spans="4:16" x14ac:dyDescent="0.2">
      <c r="D6372">
        <v>100003792</v>
      </c>
      <c r="E6372" s="49">
        <v>44661</v>
      </c>
      <c r="F6372" t="s">
        <v>5263</v>
      </c>
      <c r="G6372" t="s">
        <v>1688</v>
      </c>
      <c r="H6372">
        <v>8</v>
      </c>
      <c r="I6372">
        <v>14.12</v>
      </c>
      <c r="J6372" s="50">
        <v>112.96</v>
      </c>
      <c r="K6372" t="s">
        <v>1632</v>
      </c>
      <c r="M6372" t="s">
        <v>1629</v>
      </c>
      <c r="N6372">
        <v>7.45</v>
      </c>
      <c r="O6372" s="49">
        <v>44662</v>
      </c>
      <c r="P6372" s="50">
        <v>50.832000000000001</v>
      </c>
    </row>
    <row r="6373" spans="4:16" x14ac:dyDescent="0.2">
      <c r="D6373">
        <v>100003792</v>
      </c>
      <c r="E6373" s="49">
        <v>45366</v>
      </c>
      <c r="F6373" t="s">
        <v>5263</v>
      </c>
      <c r="G6373" t="s">
        <v>2418</v>
      </c>
      <c r="H6373">
        <v>7</v>
      </c>
      <c r="I6373">
        <v>107.8</v>
      </c>
      <c r="J6373" s="50">
        <v>754.6</v>
      </c>
      <c r="K6373" t="s">
        <v>1632</v>
      </c>
      <c r="M6373" t="s">
        <v>1621</v>
      </c>
      <c r="N6373">
        <v>56.89</v>
      </c>
      <c r="O6373" s="49">
        <v>45371</v>
      </c>
      <c r="P6373" s="50">
        <v>339.57</v>
      </c>
    </row>
    <row r="6374" spans="4:16" x14ac:dyDescent="0.2">
      <c r="D6374">
        <v>100003794</v>
      </c>
      <c r="E6374" s="49">
        <v>45520</v>
      </c>
      <c r="F6374" t="s">
        <v>5264</v>
      </c>
      <c r="G6374" t="s">
        <v>2180</v>
      </c>
      <c r="H6374">
        <v>4</v>
      </c>
      <c r="I6374">
        <v>42.57</v>
      </c>
      <c r="J6374" s="50">
        <v>170.28</v>
      </c>
      <c r="K6374" t="s">
        <v>1618</v>
      </c>
      <c r="M6374" t="s">
        <v>1619</v>
      </c>
      <c r="N6374">
        <v>22.47</v>
      </c>
      <c r="O6374" s="49">
        <v>45524</v>
      </c>
      <c r="P6374" s="50">
        <v>76.626000000000005</v>
      </c>
    </row>
    <row r="6375" spans="4:16" x14ac:dyDescent="0.2">
      <c r="D6375">
        <v>100003796</v>
      </c>
      <c r="E6375" s="49">
        <v>45651</v>
      </c>
      <c r="F6375" t="s">
        <v>5265</v>
      </c>
      <c r="G6375" t="s">
        <v>2328</v>
      </c>
      <c r="H6375">
        <v>1</v>
      </c>
      <c r="I6375">
        <v>22.6</v>
      </c>
      <c r="J6375" s="50">
        <v>22.6</v>
      </c>
      <c r="K6375" t="s">
        <v>1618</v>
      </c>
      <c r="L6375" t="s">
        <v>5266</v>
      </c>
      <c r="M6375" t="s">
        <v>1621</v>
      </c>
      <c r="N6375">
        <v>11.93</v>
      </c>
      <c r="O6375" s="49">
        <v>45653</v>
      </c>
      <c r="P6375" s="50">
        <v>10.170000000000002</v>
      </c>
    </row>
    <row r="6376" spans="4:16" x14ac:dyDescent="0.2">
      <c r="D6376">
        <v>100003797</v>
      </c>
      <c r="E6376" s="49">
        <v>44391</v>
      </c>
      <c r="F6376" t="s">
        <v>5267</v>
      </c>
      <c r="G6376" t="s">
        <v>2706</v>
      </c>
      <c r="H6376">
        <v>8</v>
      </c>
      <c r="I6376">
        <v>66.22</v>
      </c>
      <c r="J6376" s="50">
        <v>529.76</v>
      </c>
      <c r="K6376" t="s">
        <v>1618</v>
      </c>
      <c r="M6376" t="s">
        <v>1619</v>
      </c>
      <c r="N6376">
        <v>34.950000000000003</v>
      </c>
      <c r="O6376" s="49">
        <v>44392</v>
      </c>
      <c r="P6376" s="50">
        <v>238.392</v>
      </c>
    </row>
    <row r="6377" spans="4:16" x14ac:dyDescent="0.2">
      <c r="D6377">
        <v>100003797</v>
      </c>
      <c r="E6377" s="49">
        <v>44850</v>
      </c>
      <c r="F6377" t="s">
        <v>5267</v>
      </c>
      <c r="G6377" t="s">
        <v>2125</v>
      </c>
      <c r="H6377">
        <v>1</v>
      </c>
      <c r="I6377">
        <v>42.78</v>
      </c>
      <c r="J6377" s="50">
        <v>42.78</v>
      </c>
      <c r="K6377" t="s">
        <v>1618</v>
      </c>
      <c r="M6377" t="s">
        <v>1621</v>
      </c>
      <c r="N6377">
        <v>22.58</v>
      </c>
      <c r="O6377" s="49">
        <v>44855</v>
      </c>
      <c r="P6377" s="50">
        <v>19.251000000000001</v>
      </c>
    </row>
    <row r="6378" spans="4:16" x14ac:dyDescent="0.2">
      <c r="D6378">
        <v>100003798</v>
      </c>
      <c r="E6378" s="49">
        <v>45547</v>
      </c>
      <c r="F6378" t="s">
        <v>5268</v>
      </c>
      <c r="G6378" t="s">
        <v>2328</v>
      </c>
      <c r="H6378">
        <v>3</v>
      </c>
      <c r="I6378">
        <v>10.44</v>
      </c>
      <c r="J6378" s="50">
        <v>31.32</v>
      </c>
      <c r="K6378" t="s">
        <v>1632</v>
      </c>
      <c r="M6378" t="s">
        <v>1621</v>
      </c>
      <c r="N6378">
        <v>5.51</v>
      </c>
      <c r="O6378" s="49">
        <v>45551</v>
      </c>
      <c r="P6378" s="50">
        <v>14.094000000000001</v>
      </c>
    </row>
    <row r="6379" spans="4:16" x14ac:dyDescent="0.2">
      <c r="D6379">
        <v>100003800</v>
      </c>
      <c r="E6379" s="49">
        <v>44909</v>
      </c>
      <c r="F6379" t="s">
        <v>5269</v>
      </c>
      <c r="G6379" t="s">
        <v>1696</v>
      </c>
      <c r="H6379">
        <v>9</v>
      </c>
      <c r="I6379">
        <v>54.89</v>
      </c>
      <c r="J6379" s="50">
        <v>494.01</v>
      </c>
      <c r="K6379" t="s">
        <v>1632</v>
      </c>
      <c r="M6379" t="s">
        <v>1619</v>
      </c>
      <c r="N6379">
        <v>28.97</v>
      </c>
      <c r="O6379" s="49">
        <v>44910</v>
      </c>
      <c r="P6379" s="50">
        <v>222.30449999999999</v>
      </c>
    </row>
    <row r="6380" spans="4:16" x14ac:dyDescent="0.2">
      <c r="D6380">
        <v>100003801</v>
      </c>
      <c r="E6380" s="49">
        <v>45053</v>
      </c>
      <c r="F6380" t="s">
        <v>5270</v>
      </c>
      <c r="G6380" t="s">
        <v>2240</v>
      </c>
      <c r="H6380">
        <v>6</v>
      </c>
      <c r="I6380">
        <v>69.88</v>
      </c>
      <c r="J6380" s="50">
        <v>419.28</v>
      </c>
      <c r="K6380" t="s">
        <v>1618</v>
      </c>
      <c r="M6380" t="s">
        <v>1619</v>
      </c>
      <c r="N6380">
        <v>36.880000000000003</v>
      </c>
      <c r="O6380" s="49">
        <v>45057</v>
      </c>
      <c r="P6380" s="50">
        <v>188.67599999999999</v>
      </c>
    </row>
    <row r="6381" spans="4:16" x14ac:dyDescent="0.2">
      <c r="D6381">
        <v>100003801</v>
      </c>
      <c r="E6381" s="49">
        <v>44551</v>
      </c>
      <c r="F6381" t="s">
        <v>5270</v>
      </c>
      <c r="G6381" t="s">
        <v>1720</v>
      </c>
      <c r="H6381">
        <v>8</v>
      </c>
      <c r="I6381">
        <v>23.83</v>
      </c>
      <c r="J6381" s="50">
        <v>190.64</v>
      </c>
      <c r="K6381" t="s">
        <v>1618</v>
      </c>
      <c r="M6381" t="s">
        <v>1621</v>
      </c>
      <c r="N6381">
        <v>12.58</v>
      </c>
      <c r="O6381" s="49">
        <v>44556</v>
      </c>
      <c r="P6381" s="50">
        <v>85.787999999999997</v>
      </c>
    </row>
    <row r="6382" spans="4:16" x14ac:dyDescent="0.2">
      <c r="D6382">
        <v>100003802</v>
      </c>
      <c r="E6382" s="49">
        <v>45598</v>
      </c>
      <c r="F6382" t="s">
        <v>5271</v>
      </c>
      <c r="G6382" t="s">
        <v>1900</v>
      </c>
      <c r="H6382">
        <v>4</v>
      </c>
      <c r="I6382">
        <v>110.57</v>
      </c>
      <c r="J6382" s="50">
        <v>442.28</v>
      </c>
      <c r="K6382" t="s">
        <v>1618</v>
      </c>
      <c r="M6382" t="s">
        <v>1621</v>
      </c>
      <c r="N6382">
        <v>58.36</v>
      </c>
      <c r="O6382" s="49">
        <v>45599</v>
      </c>
      <c r="P6382" s="50">
        <v>199.02599999999998</v>
      </c>
    </row>
    <row r="6383" spans="4:16" x14ac:dyDescent="0.2">
      <c r="D6383">
        <v>100003802</v>
      </c>
      <c r="E6383" s="49">
        <v>44813</v>
      </c>
      <c r="F6383" t="s">
        <v>5271</v>
      </c>
      <c r="G6383" t="s">
        <v>1720</v>
      </c>
      <c r="H6383">
        <v>6</v>
      </c>
      <c r="I6383">
        <v>57.78</v>
      </c>
      <c r="J6383" s="50">
        <v>346.68</v>
      </c>
      <c r="K6383" t="s">
        <v>1618</v>
      </c>
      <c r="M6383" t="s">
        <v>1627</v>
      </c>
      <c r="N6383">
        <v>30.49</v>
      </c>
      <c r="O6383" s="49">
        <v>44816</v>
      </c>
      <c r="P6383" s="50">
        <v>156.006</v>
      </c>
    </row>
    <row r="6384" spans="4:16" x14ac:dyDescent="0.2">
      <c r="D6384">
        <v>100003803</v>
      </c>
      <c r="E6384" s="49">
        <v>44253</v>
      </c>
      <c r="F6384" t="s">
        <v>5272</v>
      </c>
      <c r="G6384" t="s">
        <v>1817</v>
      </c>
      <c r="H6384">
        <v>7</v>
      </c>
      <c r="I6384">
        <v>103.13</v>
      </c>
      <c r="J6384" s="50">
        <v>721.91</v>
      </c>
      <c r="K6384" t="s">
        <v>1632</v>
      </c>
      <c r="L6384" t="s">
        <v>5273</v>
      </c>
      <c r="M6384" t="s">
        <v>1629</v>
      </c>
      <c r="N6384">
        <v>54.43</v>
      </c>
      <c r="O6384" s="49">
        <v>44256</v>
      </c>
      <c r="P6384" s="50">
        <v>324.85949999999997</v>
      </c>
    </row>
    <row r="6385" spans="4:16" x14ac:dyDescent="0.2">
      <c r="D6385">
        <v>100003803</v>
      </c>
      <c r="E6385" s="49">
        <v>44683</v>
      </c>
      <c r="F6385" t="s">
        <v>5272</v>
      </c>
      <c r="G6385" t="s">
        <v>1833</v>
      </c>
      <c r="H6385">
        <v>4</v>
      </c>
      <c r="I6385">
        <v>54.12</v>
      </c>
      <c r="J6385" s="50">
        <v>216.48</v>
      </c>
      <c r="K6385" t="s">
        <v>1632</v>
      </c>
      <c r="L6385" t="s">
        <v>5273</v>
      </c>
      <c r="M6385" t="s">
        <v>1619</v>
      </c>
      <c r="N6385">
        <v>28.56</v>
      </c>
      <c r="O6385" s="49">
        <v>44687</v>
      </c>
      <c r="P6385" s="50">
        <v>97.415999999999997</v>
      </c>
    </row>
    <row r="6386" spans="4:16" x14ac:dyDescent="0.2">
      <c r="D6386">
        <v>100003803</v>
      </c>
      <c r="E6386" s="49">
        <v>45491</v>
      </c>
      <c r="F6386" t="s">
        <v>5272</v>
      </c>
      <c r="G6386" t="s">
        <v>2420</v>
      </c>
      <c r="H6386">
        <v>9</v>
      </c>
      <c r="I6386">
        <v>59.94</v>
      </c>
      <c r="J6386" s="50">
        <v>539.46</v>
      </c>
      <c r="K6386" t="s">
        <v>1632</v>
      </c>
      <c r="L6386" t="s">
        <v>5273</v>
      </c>
      <c r="M6386" t="s">
        <v>1624</v>
      </c>
      <c r="N6386">
        <v>31.63</v>
      </c>
      <c r="O6386" s="49">
        <v>45492</v>
      </c>
      <c r="P6386" s="50">
        <v>242.75700000000003</v>
      </c>
    </row>
    <row r="6387" spans="4:16" x14ac:dyDescent="0.2">
      <c r="D6387">
        <v>100003803</v>
      </c>
      <c r="E6387" s="49">
        <v>44386</v>
      </c>
      <c r="F6387" t="s">
        <v>5272</v>
      </c>
      <c r="G6387" t="s">
        <v>1661</v>
      </c>
      <c r="H6387">
        <v>3</v>
      </c>
      <c r="I6387">
        <v>81.489999999999995</v>
      </c>
      <c r="J6387" s="50">
        <v>244.47</v>
      </c>
      <c r="K6387" t="s">
        <v>1632</v>
      </c>
      <c r="L6387" t="s">
        <v>5273</v>
      </c>
      <c r="M6387" t="s">
        <v>1621</v>
      </c>
      <c r="N6387">
        <v>43.01</v>
      </c>
      <c r="O6387" s="49">
        <v>44388</v>
      </c>
      <c r="P6387" s="50">
        <v>110.0115</v>
      </c>
    </row>
    <row r="6388" spans="4:16" x14ac:dyDescent="0.2">
      <c r="D6388">
        <v>100003803</v>
      </c>
      <c r="E6388" s="49">
        <v>45250</v>
      </c>
      <c r="F6388" t="s">
        <v>5272</v>
      </c>
      <c r="G6388" t="s">
        <v>2033</v>
      </c>
      <c r="H6388">
        <v>6</v>
      </c>
      <c r="I6388">
        <v>94.92</v>
      </c>
      <c r="J6388" s="50">
        <v>569.52</v>
      </c>
      <c r="K6388" t="s">
        <v>1632</v>
      </c>
      <c r="L6388" t="s">
        <v>5273</v>
      </c>
      <c r="M6388" t="s">
        <v>1629</v>
      </c>
      <c r="N6388">
        <v>50.1</v>
      </c>
      <c r="O6388" s="49">
        <v>45254</v>
      </c>
      <c r="P6388" s="50">
        <v>256.28399999999999</v>
      </c>
    </row>
    <row r="6389" spans="4:16" x14ac:dyDescent="0.2">
      <c r="D6389">
        <v>100003804</v>
      </c>
      <c r="E6389" s="49">
        <v>44274</v>
      </c>
      <c r="F6389" t="s">
        <v>5274</v>
      </c>
      <c r="G6389" t="s">
        <v>2099</v>
      </c>
      <c r="H6389">
        <v>6</v>
      </c>
      <c r="I6389">
        <v>90.12</v>
      </c>
      <c r="J6389" s="50">
        <v>540.72</v>
      </c>
      <c r="K6389" t="s">
        <v>1618</v>
      </c>
      <c r="L6389" t="s">
        <v>5275</v>
      </c>
      <c r="M6389" t="s">
        <v>1624</v>
      </c>
      <c r="N6389">
        <v>47.56</v>
      </c>
      <c r="O6389" s="49">
        <v>44276</v>
      </c>
      <c r="P6389" s="50">
        <v>243.32400000000001</v>
      </c>
    </row>
    <row r="6390" spans="4:16" x14ac:dyDescent="0.2">
      <c r="D6390">
        <v>100003805</v>
      </c>
      <c r="E6390" s="49">
        <v>44319</v>
      </c>
      <c r="F6390" t="s">
        <v>5276</v>
      </c>
      <c r="G6390" t="s">
        <v>1686</v>
      </c>
      <c r="H6390">
        <v>1</v>
      </c>
      <c r="I6390">
        <v>118.43</v>
      </c>
      <c r="J6390" s="50">
        <v>118.43</v>
      </c>
      <c r="K6390" t="s">
        <v>1618</v>
      </c>
      <c r="M6390" t="s">
        <v>1629</v>
      </c>
      <c r="N6390">
        <v>62.5</v>
      </c>
      <c r="O6390" s="49">
        <v>44322</v>
      </c>
      <c r="P6390" s="50">
        <v>53.293500000000002</v>
      </c>
    </row>
    <row r="6391" spans="4:16" x14ac:dyDescent="0.2">
      <c r="D6391">
        <v>100003805</v>
      </c>
      <c r="E6391" s="49">
        <v>45510</v>
      </c>
      <c r="F6391" t="s">
        <v>5276</v>
      </c>
      <c r="G6391" t="s">
        <v>1754</v>
      </c>
      <c r="H6391">
        <v>4</v>
      </c>
      <c r="I6391">
        <v>56.74</v>
      </c>
      <c r="J6391" s="50">
        <v>226.96</v>
      </c>
      <c r="K6391" t="s">
        <v>1618</v>
      </c>
      <c r="M6391" t="s">
        <v>1624</v>
      </c>
      <c r="N6391">
        <v>29.95</v>
      </c>
      <c r="O6391" s="49">
        <v>45511</v>
      </c>
      <c r="P6391" s="50">
        <v>102.13200000000001</v>
      </c>
    </row>
    <row r="6392" spans="4:16" x14ac:dyDescent="0.2">
      <c r="D6392">
        <v>100003805</v>
      </c>
      <c r="E6392" s="49">
        <v>45624</v>
      </c>
      <c r="F6392" t="s">
        <v>5276</v>
      </c>
      <c r="G6392" t="s">
        <v>2134</v>
      </c>
      <c r="H6392">
        <v>10</v>
      </c>
      <c r="I6392">
        <v>78.61</v>
      </c>
      <c r="J6392" s="50">
        <v>786.1</v>
      </c>
      <c r="K6392" t="s">
        <v>1618</v>
      </c>
      <c r="M6392" t="s">
        <v>1624</v>
      </c>
      <c r="N6392">
        <v>41.49</v>
      </c>
      <c r="O6392" s="49">
        <v>45628</v>
      </c>
      <c r="P6392" s="50">
        <v>353.745</v>
      </c>
    </row>
    <row r="6393" spans="4:16" x14ac:dyDescent="0.2">
      <c r="D6393">
        <v>100003806</v>
      </c>
      <c r="E6393" s="49">
        <v>44407</v>
      </c>
      <c r="F6393" t="s">
        <v>3818</v>
      </c>
      <c r="G6393" t="s">
        <v>1623</v>
      </c>
      <c r="H6393">
        <v>2</v>
      </c>
      <c r="I6393">
        <v>54.13</v>
      </c>
      <c r="J6393" s="50">
        <v>108.26</v>
      </c>
      <c r="K6393" t="s">
        <v>1618</v>
      </c>
      <c r="L6393" t="s">
        <v>5277</v>
      </c>
      <c r="M6393" t="s">
        <v>1627</v>
      </c>
      <c r="N6393">
        <v>28.57</v>
      </c>
      <c r="O6393" s="49">
        <v>44410</v>
      </c>
      <c r="P6393" s="50">
        <v>48.717000000000006</v>
      </c>
    </row>
    <row r="6394" spans="4:16" x14ac:dyDescent="0.2">
      <c r="D6394">
        <v>100003806</v>
      </c>
      <c r="E6394" s="49">
        <v>44528</v>
      </c>
      <c r="F6394" t="s">
        <v>3818</v>
      </c>
      <c r="G6394" t="s">
        <v>1825</v>
      </c>
      <c r="H6394">
        <v>6</v>
      </c>
      <c r="I6394">
        <v>119.56</v>
      </c>
      <c r="J6394" s="50">
        <v>717.36</v>
      </c>
      <c r="K6394" t="s">
        <v>1618</v>
      </c>
      <c r="L6394" t="s">
        <v>5277</v>
      </c>
      <c r="M6394" t="s">
        <v>1627</v>
      </c>
      <c r="N6394">
        <v>63.1</v>
      </c>
      <c r="O6394" s="49">
        <v>44530</v>
      </c>
      <c r="P6394" s="50">
        <v>322.81200000000001</v>
      </c>
    </row>
    <row r="6395" spans="4:16" x14ac:dyDescent="0.2">
      <c r="D6395">
        <v>100003806</v>
      </c>
      <c r="E6395" s="49">
        <v>44491</v>
      </c>
      <c r="F6395" t="s">
        <v>3818</v>
      </c>
      <c r="G6395" t="s">
        <v>1647</v>
      </c>
      <c r="H6395">
        <v>10</v>
      </c>
      <c r="I6395">
        <v>35.72</v>
      </c>
      <c r="J6395" s="50">
        <v>357.2</v>
      </c>
      <c r="K6395" t="s">
        <v>1618</v>
      </c>
      <c r="L6395" t="s">
        <v>5277</v>
      </c>
      <c r="M6395" t="s">
        <v>1619</v>
      </c>
      <c r="N6395">
        <v>18.850000000000001</v>
      </c>
      <c r="O6395" s="49">
        <v>44492</v>
      </c>
      <c r="P6395" s="50">
        <v>160.74</v>
      </c>
    </row>
    <row r="6396" spans="4:16" x14ac:dyDescent="0.2">
      <c r="D6396">
        <v>100003806</v>
      </c>
      <c r="E6396" s="49">
        <v>45655</v>
      </c>
      <c r="F6396" t="s">
        <v>3818</v>
      </c>
      <c r="G6396" t="s">
        <v>1825</v>
      </c>
      <c r="H6396">
        <v>1</v>
      </c>
      <c r="I6396">
        <v>69.84</v>
      </c>
      <c r="J6396" s="50">
        <v>69.84</v>
      </c>
      <c r="K6396" t="s">
        <v>1618</v>
      </c>
      <c r="L6396" t="s">
        <v>5277</v>
      </c>
      <c r="M6396" t="s">
        <v>1624</v>
      </c>
      <c r="N6396">
        <v>36.86</v>
      </c>
      <c r="O6396" s="49">
        <v>45657</v>
      </c>
      <c r="P6396" s="50">
        <v>31.428000000000001</v>
      </c>
    </row>
    <row r="6397" spans="4:16" x14ac:dyDescent="0.2">
      <c r="D6397">
        <v>100003806</v>
      </c>
      <c r="E6397" s="49">
        <v>45294</v>
      </c>
      <c r="F6397" t="s">
        <v>3818</v>
      </c>
      <c r="G6397" t="s">
        <v>2306</v>
      </c>
      <c r="H6397">
        <v>1</v>
      </c>
      <c r="I6397">
        <v>99.73</v>
      </c>
      <c r="J6397" s="50">
        <v>99.73</v>
      </c>
      <c r="K6397" t="s">
        <v>1618</v>
      </c>
      <c r="L6397" t="s">
        <v>5277</v>
      </c>
      <c r="M6397" t="s">
        <v>1627</v>
      </c>
      <c r="N6397">
        <v>52.63</v>
      </c>
      <c r="O6397" s="49">
        <v>45295</v>
      </c>
      <c r="P6397" s="50">
        <v>44.878500000000003</v>
      </c>
    </row>
    <row r="6398" spans="4:16" x14ac:dyDescent="0.2">
      <c r="D6398">
        <v>100003807</v>
      </c>
      <c r="E6398" s="49">
        <v>45369</v>
      </c>
      <c r="F6398" t="s">
        <v>5278</v>
      </c>
      <c r="G6398" t="s">
        <v>1720</v>
      </c>
      <c r="H6398">
        <v>9</v>
      </c>
      <c r="I6398">
        <v>107.85</v>
      </c>
      <c r="J6398" s="50">
        <v>970.65</v>
      </c>
      <c r="K6398" t="s">
        <v>1618</v>
      </c>
      <c r="L6398" t="s">
        <v>5279</v>
      </c>
      <c r="M6398" t="s">
        <v>1624</v>
      </c>
      <c r="N6398">
        <v>56.92</v>
      </c>
      <c r="O6398" s="49">
        <v>45373</v>
      </c>
      <c r="P6398" s="50">
        <v>436.79250000000002</v>
      </c>
    </row>
    <row r="6399" spans="4:16" x14ac:dyDescent="0.2">
      <c r="D6399">
        <v>100003809</v>
      </c>
      <c r="E6399" s="49">
        <v>44332</v>
      </c>
      <c r="F6399" t="s">
        <v>5280</v>
      </c>
      <c r="G6399" t="s">
        <v>1913</v>
      </c>
      <c r="H6399">
        <v>3</v>
      </c>
      <c r="I6399">
        <v>88.03</v>
      </c>
      <c r="J6399" s="50">
        <v>264.08999999999997</v>
      </c>
      <c r="K6399" t="s">
        <v>1632</v>
      </c>
      <c r="M6399" t="s">
        <v>1624</v>
      </c>
      <c r="N6399">
        <v>46.46</v>
      </c>
      <c r="O6399" s="49">
        <v>44336</v>
      </c>
      <c r="P6399" s="50">
        <v>118.84049999999999</v>
      </c>
    </row>
    <row r="6400" spans="4:16" x14ac:dyDescent="0.2">
      <c r="D6400">
        <v>100003809</v>
      </c>
      <c r="E6400" s="49">
        <v>44336</v>
      </c>
      <c r="F6400" t="s">
        <v>5280</v>
      </c>
      <c r="G6400" t="s">
        <v>2447</v>
      </c>
      <c r="H6400">
        <v>3</v>
      </c>
      <c r="I6400">
        <v>86.81</v>
      </c>
      <c r="J6400" s="50">
        <v>260.43</v>
      </c>
      <c r="K6400" t="s">
        <v>1632</v>
      </c>
      <c r="M6400" t="s">
        <v>1619</v>
      </c>
      <c r="N6400">
        <v>45.82</v>
      </c>
      <c r="O6400" s="49">
        <v>44341</v>
      </c>
      <c r="P6400" s="50">
        <v>117.1935</v>
      </c>
    </row>
    <row r="6401" spans="4:16" x14ac:dyDescent="0.2">
      <c r="D6401">
        <v>100003809</v>
      </c>
      <c r="E6401" s="49">
        <v>44205</v>
      </c>
      <c r="F6401" t="s">
        <v>5280</v>
      </c>
      <c r="G6401" t="s">
        <v>2240</v>
      </c>
      <c r="H6401">
        <v>4</v>
      </c>
      <c r="I6401">
        <v>47.21</v>
      </c>
      <c r="J6401" s="50">
        <v>188.84</v>
      </c>
      <c r="K6401" t="s">
        <v>1632</v>
      </c>
      <c r="M6401" t="s">
        <v>1619</v>
      </c>
      <c r="N6401">
        <v>24.92</v>
      </c>
      <c r="O6401" s="49">
        <v>44206</v>
      </c>
      <c r="P6401" s="50">
        <v>84.978000000000009</v>
      </c>
    </row>
    <row r="6402" spans="4:16" x14ac:dyDescent="0.2">
      <c r="D6402">
        <v>100003809</v>
      </c>
      <c r="E6402" s="49">
        <v>44937</v>
      </c>
      <c r="F6402" t="s">
        <v>5280</v>
      </c>
      <c r="G6402" t="s">
        <v>2766</v>
      </c>
      <c r="H6402">
        <v>2</v>
      </c>
      <c r="I6402">
        <v>37.29</v>
      </c>
      <c r="J6402" s="50">
        <v>74.58</v>
      </c>
      <c r="K6402" t="s">
        <v>1632</v>
      </c>
      <c r="M6402" t="s">
        <v>1624</v>
      </c>
      <c r="N6402">
        <v>19.68</v>
      </c>
      <c r="O6402" s="49">
        <v>44938</v>
      </c>
      <c r="P6402" s="50">
        <v>33.561</v>
      </c>
    </row>
    <row r="6403" spans="4:16" x14ac:dyDescent="0.2">
      <c r="D6403">
        <v>100003809</v>
      </c>
      <c r="E6403" s="49">
        <v>45478</v>
      </c>
      <c r="F6403" t="s">
        <v>5280</v>
      </c>
      <c r="G6403" t="s">
        <v>1738</v>
      </c>
      <c r="H6403">
        <v>2</v>
      </c>
      <c r="I6403">
        <v>112.62</v>
      </c>
      <c r="J6403" s="50">
        <v>225.24</v>
      </c>
      <c r="K6403" t="s">
        <v>1632</v>
      </c>
      <c r="M6403" t="s">
        <v>1619</v>
      </c>
      <c r="N6403">
        <v>59.44</v>
      </c>
      <c r="O6403" s="49">
        <v>45482</v>
      </c>
      <c r="P6403" s="50">
        <v>101.358</v>
      </c>
    </row>
    <row r="6404" spans="4:16" x14ac:dyDescent="0.2">
      <c r="D6404">
        <v>100003810</v>
      </c>
      <c r="E6404" s="49">
        <v>45083</v>
      </c>
      <c r="F6404" t="s">
        <v>5281</v>
      </c>
      <c r="G6404" t="s">
        <v>1663</v>
      </c>
      <c r="H6404">
        <v>9</v>
      </c>
      <c r="I6404">
        <v>55.24</v>
      </c>
      <c r="J6404" s="50">
        <v>497.16</v>
      </c>
      <c r="K6404" t="s">
        <v>1618</v>
      </c>
      <c r="L6404" t="s">
        <v>1659</v>
      </c>
      <c r="M6404" t="s">
        <v>1624</v>
      </c>
      <c r="N6404">
        <v>29.15</v>
      </c>
      <c r="O6404" s="49">
        <v>45086</v>
      </c>
      <c r="P6404" s="50">
        <v>223.72200000000001</v>
      </c>
    </row>
    <row r="6405" spans="4:16" x14ac:dyDescent="0.2">
      <c r="D6405">
        <v>100003811</v>
      </c>
      <c r="E6405" s="49">
        <v>45001</v>
      </c>
      <c r="F6405" t="s">
        <v>5282</v>
      </c>
      <c r="G6405" t="s">
        <v>1648</v>
      </c>
      <c r="H6405">
        <v>2</v>
      </c>
      <c r="I6405">
        <v>67.98</v>
      </c>
      <c r="J6405" s="50">
        <v>135.96</v>
      </c>
      <c r="K6405" t="s">
        <v>1618</v>
      </c>
      <c r="M6405" t="s">
        <v>1621</v>
      </c>
      <c r="N6405">
        <v>35.880000000000003</v>
      </c>
      <c r="O6405" s="49">
        <v>45004</v>
      </c>
      <c r="P6405" s="50">
        <v>61.182000000000002</v>
      </c>
    </row>
    <row r="6406" spans="4:16" x14ac:dyDescent="0.2">
      <c r="D6406">
        <v>100003811</v>
      </c>
      <c r="E6406" s="49">
        <v>44362</v>
      </c>
      <c r="F6406" t="s">
        <v>5282</v>
      </c>
      <c r="G6406" t="s">
        <v>2101</v>
      </c>
      <c r="H6406">
        <v>3</v>
      </c>
      <c r="I6406">
        <v>64.489999999999995</v>
      </c>
      <c r="J6406" s="50">
        <v>193.47</v>
      </c>
      <c r="K6406" t="s">
        <v>1618</v>
      </c>
      <c r="M6406" t="s">
        <v>1619</v>
      </c>
      <c r="N6406">
        <v>34.04</v>
      </c>
      <c r="O6406" s="49">
        <v>44365</v>
      </c>
      <c r="P6406" s="50">
        <v>87.061499999999995</v>
      </c>
    </row>
    <row r="6407" spans="4:16" x14ac:dyDescent="0.2">
      <c r="D6407">
        <v>100003813</v>
      </c>
      <c r="E6407" s="49">
        <v>45237</v>
      </c>
      <c r="F6407" t="s">
        <v>5283</v>
      </c>
      <c r="G6407" t="s">
        <v>1823</v>
      </c>
      <c r="H6407">
        <v>8</v>
      </c>
      <c r="I6407">
        <v>76.23</v>
      </c>
      <c r="J6407" s="50">
        <v>609.84</v>
      </c>
      <c r="K6407" t="s">
        <v>1618</v>
      </c>
      <c r="L6407" t="s">
        <v>5120</v>
      </c>
      <c r="M6407" t="s">
        <v>1624</v>
      </c>
      <c r="N6407">
        <v>40.229999999999997</v>
      </c>
      <c r="O6407" s="49">
        <v>45240</v>
      </c>
      <c r="P6407" s="50">
        <v>274.428</v>
      </c>
    </row>
    <row r="6408" spans="4:16" x14ac:dyDescent="0.2">
      <c r="D6408">
        <v>100003813</v>
      </c>
      <c r="E6408" s="49">
        <v>45001</v>
      </c>
      <c r="F6408" t="s">
        <v>5283</v>
      </c>
      <c r="G6408" t="s">
        <v>1932</v>
      </c>
      <c r="H6408">
        <v>7</v>
      </c>
      <c r="I6408">
        <v>47.83</v>
      </c>
      <c r="J6408" s="50">
        <v>334.81</v>
      </c>
      <c r="K6408" t="s">
        <v>1618</v>
      </c>
      <c r="L6408" t="s">
        <v>5120</v>
      </c>
      <c r="M6408" t="s">
        <v>1624</v>
      </c>
      <c r="N6408">
        <v>25.24</v>
      </c>
      <c r="O6408" s="49">
        <v>45006</v>
      </c>
      <c r="P6408" s="50">
        <v>150.6645</v>
      </c>
    </row>
    <row r="6409" spans="4:16" x14ac:dyDescent="0.2">
      <c r="D6409">
        <v>100003813</v>
      </c>
      <c r="E6409" s="49">
        <v>45073</v>
      </c>
      <c r="F6409" t="s">
        <v>5283</v>
      </c>
      <c r="G6409" t="s">
        <v>1688</v>
      </c>
      <c r="H6409">
        <v>4</v>
      </c>
      <c r="I6409">
        <v>35.64</v>
      </c>
      <c r="J6409" s="50">
        <v>142.56</v>
      </c>
      <c r="K6409" t="s">
        <v>1618</v>
      </c>
      <c r="L6409" t="s">
        <v>5120</v>
      </c>
      <c r="M6409" t="s">
        <v>1624</v>
      </c>
      <c r="N6409">
        <v>18.809999999999999</v>
      </c>
      <c r="O6409" s="49">
        <v>45076</v>
      </c>
      <c r="P6409" s="50">
        <v>64.152000000000001</v>
      </c>
    </row>
    <row r="6410" spans="4:16" x14ac:dyDescent="0.2">
      <c r="D6410">
        <v>100003813</v>
      </c>
      <c r="E6410" s="49">
        <v>44582</v>
      </c>
      <c r="F6410" t="s">
        <v>5283</v>
      </c>
      <c r="G6410" t="s">
        <v>1664</v>
      </c>
      <c r="H6410">
        <v>2</v>
      </c>
      <c r="I6410">
        <v>41.24</v>
      </c>
      <c r="J6410" s="50">
        <v>82.48</v>
      </c>
      <c r="K6410" t="s">
        <v>1618</v>
      </c>
      <c r="L6410" t="s">
        <v>5120</v>
      </c>
      <c r="M6410" t="s">
        <v>1619</v>
      </c>
      <c r="N6410">
        <v>21.77</v>
      </c>
      <c r="O6410" s="49">
        <v>44583</v>
      </c>
      <c r="P6410" s="50">
        <v>37.116</v>
      </c>
    </row>
    <row r="6411" spans="4:16" x14ac:dyDescent="0.2">
      <c r="D6411">
        <v>100003813</v>
      </c>
      <c r="E6411" s="49">
        <v>44862</v>
      </c>
      <c r="F6411" t="s">
        <v>5283</v>
      </c>
      <c r="G6411" t="s">
        <v>2733</v>
      </c>
      <c r="H6411">
        <v>10</v>
      </c>
      <c r="I6411">
        <v>118.35</v>
      </c>
      <c r="J6411" s="50">
        <v>1183.5</v>
      </c>
      <c r="K6411" t="s">
        <v>1618</v>
      </c>
      <c r="L6411" t="s">
        <v>5120</v>
      </c>
      <c r="M6411" t="s">
        <v>1621</v>
      </c>
      <c r="N6411">
        <v>62.46</v>
      </c>
      <c r="O6411" s="49">
        <v>44867</v>
      </c>
      <c r="P6411" s="50">
        <v>532.57500000000005</v>
      </c>
    </row>
    <row r="6412" spans="4:16" x14ac:dyDescent="0.2">
      <c r="D6412">
        <v>100003814</v>
      </c>
      <c r="E6412" s="49">
        <v>45429</v>
      </c>
      <c r="F6412" t="s">
        <v>5284</v>
      </c>
      <c r="G6412" t="s">
        <v>1712</v>
      </c>
      <c r="H6412">
        <v>10</v>
      </c>
      <c r="I6412">
        <v>115.2</v>
      </c>
      <c r="J6412" s="50">
        <v>1152</v>
      </c>
      <c r="K6412" t="s">
        <v>1618</v>
      </c>
      <c r="M6412" t="s">
        <v>1624</v>
      </c>
      <c r="N6412">
        <v>60.8</v>
      </c>
      <c r="O6412" s="49">
        <v>45434</v>
      </c>
      <c r="P6412" s="50">
        <v>518.4</v>
      </c>
    </row>
    <row r="6413" spans="4:16" x14ac:dyDescent="0.2">
      <c r="D6413">
        <v>100003814</v>
      </c>
      <c r="E6413" s="49">
        <v>45505</v>
      </c>
      <c r="F6413" t="s">
        <v>5284</v>
      </c>
      <c r="G6413" t="s">
        <v>1859</v>
      </c>
      <c r="H6413">
        <v>10</v>
      </c>
      <c r="I6413">
        <v>104.77</v>
      </c>
      <c r="J6413" s="50">
        <v>1047.7</v>
      </c>
      <c r="K6413" t="s">
        <v>1618</v>
      </c>
      <c r="M6413" t="s">
        <v>1627</v>
      </c>
      <c r="N6413">
        <v>55.29</v>
      </c>
      <c r="O6413" s="49">
        <v>45510</v>
      </c>
      <c r="P6413" s="50">
        <v>471.46500000000003</v>
      </c>
    </row>
    <row r="6414" spans="4:16" x14ac:dyDescent="0.2">
      <c r="D6414">
        <v>100003817</v>
      </c>
      <c r="E6414" s="49">
        <v>45159</v>
      </c>
      <c r="F6414" t="s">
        <v>5285</v>
      </c>
      <c r="G6414" t="s">
        <v>1714</v>
      </c>
      <c r="H6414">
        <v>2</v>
      </c>
      <c r="I6414">
        <v>99.78</v>
      </c>
      <c r="J6414" s="50">
        <v>199.56</v>
      </c>
      <c r="K6414" t="s">
        <v>1618</v>
      </c>
      <c r="M6414" t="s">
        <v>1629</v>
      </c>
      <c r="N6414">
        <v>52.66</v>
      </c>
      <c r="O6414" s="49">
        <v>45163</v>
      </c>
      <c r="P6414" s="50">
        <v>89.802000000000007</v>
      </c>
    </row>
    <row r="6415" spans="4:16" x14ac:dyDescent="0.2">
      <c r="D6415">
        <v>100003817</v>
      </c>
      <c r="E6415" s="49">
        <v>44483</v>
      </c>
      <c r="F6415" t="s">
        <v>5285</v>
      </c>
      <c r="G6415" t="s">
        <v>1707</v>
      </c>
      <c r="H6415">
        <v>1</v>
      </c>
      <c r="I6415">
        <v>57.28</v>
      </c>
      <c r="J6415" s="50">
        <v>57.28</v>
      </c>
      <c r="K6415" t="s">
        <v>1618</v>
      </c>
      <c r="M6415" t="s">
        <v>1619</v>
      </c>
      <c r="N6415">
        <v>30.23</v>
      </c>
      <c r="O6415" s="49">
        <v>44488</v>
      </c>
      <c r="P6415" s="50">
        <v>25.776</v>
      </c>
    </row>
    <row r="6416" spans="4:16" x14ac:dyDescent="0.2">
      <c r="D6416">
        <v>100003817</v>
      </c>
      <c r="E6416" s="49">
        <v>45511</v>
      </c>
      <c r="F6416" t="s">
        <v>5285</v>
      </c>
      <c r="G6416" t="s">
        <v>2613</v>
      </c>
      <c r="H6416">
        <v>4</v>
      </c>
      <c r="I6416">
        <v>97.59</v>
      </c>
      <c r="J6416" s="50">
        <v>390.36</v>
      </c>
      <c r="K6416" t="s">
        <v>1618</v>
      </c>
      <c r="M6416" t="s">
        <v>1624</v>
      </c>
      <c r="N6416">
        <v>51.51</v>
      </c>
      <c r="O6416" s="49">
        <v>45515</v>
      </c>
      <c r="P6416" s="50">
        <v>175.66200000000001</v>
      </c>
    </row>
    <row r="6417" spans="4:16" x14ac:dyDescent="0.2">
      <c r="D6417">
        <v>100003817</v>
      </c>
      <c r="E6417" s="49">
        <v>44432</v>
      </c>
      <c r="F6417" t="s">
        <v>5285</v>
      </c>
      <c r="G6417" t="s">
        <v>2145</v>
      </c>
      <c r="H6417">
        <v>7</v>
      </c>
      <c r="I6417">
        <v>66.349999999999994</v>
      </c>
      <c r="J6417" s="50">
        <v>464.44999999999987</v>
      </c>
      <c r="K6417" t="s">
        <v>1618</v>
      </c>
      <c r="M6417" t="s">
        <v>1621</v>
      </c>
      <c r="N6417">
        <v>35.020000000000003</v>
      </c>
      <c r="O6417" s="49">
        <v>44435</v>
      </c>
      <c r="P6417" s="50">
        <v>209.00249999999994</v>
      </c>
    </row>
    <row r="6418" spans="4:16" x14ac:dyDescent="0.2">
      <c r="D6418">
        <v>100003817</v>
      </c>
      <c r="E6418" s="49">
        <v>44652</v>
      </c>
      <c r="F6418" t="s">
        <v>5285</v>
      </c>
      <c r="G6418" t="s">
        <v>1723</v>
      </c>
      <c r="H6418">
        <v>3</v>
      </c>
      <c r="I6418">
        <v>31.24</v>
      </c>
      <c r="J6418" s="50">
        <v>93.72</v>
      </c>
      <c r="K6418" t="s">
        <v>1618</v>
      </c>
      <c r="M6418" t="s">
        <v>1627</v>
      </c>
      <c r="N6418">
        <v>16.489999999999998</v>
      </c>
      <c r="O6418" s="49">
        <v>44654</v>
      </c>
      <c r="P6418" s="50">
        <v>42.173999999999999</v>
      </c>
    </row>
    <row r="6419" spans="4:16" x14ac:dyDescent="0.2">
      <c r="D6419">
        <v>100003818</v>
      </c>
      <c r="E6419" s="49">
        <v>45054</v>
      </c>
      <c r="F6419" t="s">
        <v>5286</v>
      </c>
      <c r="G6419" t="s">
        <v>2198</v>
      </c>
      <c r="H6419">
        <v>6</v>
      </c>
      <c r="I6419">
        <v>15.58</v>
      </c>
      <c r="J6419" s="50">
        <v>93.48</v>
      </c>
      <c r="K6419" t="s">
        <v>1618</v>
      </c>
      <c r="M6419" t="s">
        <v>1621</v>
      </c>
      <c r="N6419">
        <v>8.2200000000000006</v>
      </c>
      <c r="O6419" s="49">
        <v>45057</v>
      </c>
      <c r="P6419" s="50">
        <v>42.066000000000003</v>
      </c>
    </row>
    <row r="6420" spans="4:16" x14ac:dyDescent="0.2">
      <c r="D6420">
        <v>100003818</v>
      </c>
      <c r="E6420" s="49">
        <v>45195</v>
      </c>
      <c r="F6420" t="s">
        <v>5286</v>
      </c>
      <c r="G6420" t="s">
        <v>1670</v>
      </c>
      <c r="H6420">
        <v>6</v>
      </c>
      <c r="I6420">
        <v>26.14</v>
      </c>
      <c r="J6420" s="50">
        <v>156.84</v>
      </c>
      <c r="K6420" t="s">
        <v>1618</v>
      </c>
      <c r="M6420" t="s">
        <v>1627</v>
      </c>
      <c r="N6420">
        <v>13.8</v>
      </c>
      <c r="O6420" s="49">
        <v>45196</v>
      </c>
      <c r="P6420" s="50">
        <v>70.578000000000003</v>
      </c>
    </row>
    <row r="6421" spans="4:16" x14ac:dyDescent="0.2">
      <c r="D6421">
        <v>100003819</v>
      </c>
      <c r="E6421" s="49">
        <v>45121</v>
      </c>
      <c r="F6421" t="s">
        <v>5287</v>
      </c>
      <c r="G6421" t="s">
        <v>1655</v>
      </c>
      <c r="H6421">
        <v>6</v>
      </c>
      <c r="I6421">
        <v>115.5</v>
      </c>
      <c r="J6421" s="50">
        <v>693</v>
      </c>
      <c r="K6421" t="s">
        <v>1618</v>
      </c>
      <c r="M6421" t="s">
        <v>1621</v>
      </c>
      <c r="N6421">
        <v>60.96</v>
      </c>
      <c r="O6421" s="49">
        <v>45126</v>
      </c>
      <c r="P6421" s="50">
        <v>311.85000000000002</v>
      </c>
    </row>
    <row r="6422" spans="4:16" x14ac:dyDescent="0.2">
      <c r="D6422">
        <v>100003821</v>
      </c>
      <c r="E6422" s="49">
        <v>44813</v>
      </c>
      <c r="F6422" t="s">
        <v>5288</v>
      </c>
      <c r="G6422" t="s">
        <v>1801</v>
      </c>
      <c r="H6422">
        <v>1</v>
      </c>
      <c r="I6422">
        <v>29.49</v>
      </c>
      <c r="J6422" s="50">
        <v>29.49</v>
      </c>
      <c r="K6422" t="s">
        <v>1618</v>
      </c>
      <c r="M6422" t="s">
        <v>1619</v>
      </c>
      <c r="N6422">
        <v>15.56</v>
      </c>
      <c r="O6422" s="49">
        <v>44816</v>
      </c>
      <c r="P6422" s="50">
        <v>13.2705</v>
      </c>
    </row>
    <row r="6423" spans="4:16" x14ac:dyDescent="0.2">
      <c r="D6423">
        <v>100003821</v>
      </c>
      <c r="E6423" s="49">
        <v>45158</v>
      </c>
      <c r="F6423" t="s">
        <v>5288</v>
      </c>
      <c r="G6423" t="s">
        <v>2111</v>
      </c>
      <c r="H6423">
        <v>1</v>
      </c>
      <c r="I6423">
        <v>23.45</v>
      </c>
      <c r="J6423" s="50">
        <v>23.45</v>
      </c>
      <c r="K6423" t="s">
        <v>1618</v>
      </c>
      <c r="M6423" t="s">
        <v>1627</v>
      </c>
      <c r="N6423">
        <v>12.38</v>
      </c>
      <c r="O6423" s="49">
        <v>45160</v>
      </c>
      <c r="P6423" s="50">
        <v>10.5525</v>
      </c>
    </row>
    <row r="6424" spans="4:16" x14ac:dyDescent="0.2">
      <c r="D6424">
        <v>100003821</v>
      </c>
      <c r="E6424" s="49">
        <v>44894</v>
      </c>
      <c r="F6424" t="s">
        <v>5288</v>
      </c>
      <c r="G6424" t="s">
        <v>2192</v>
      </c>
      <c r="H6424">
        <v>1</v>
      </c>
      <c r="I6424">
        <v>65.09</v>
      </c>
      <c r="J6424" s="50">
        <v>65.09</v>
      </c>
      <c r="K6424" t="s">
        <v>1618</v>
      </c>
      <c r="M6424" t="s">
        <v>1621</v>
      </c>
      <c r="N6424">
        <v>34.35</v>
      </c>
      <c r="O6424" s="49">
        <v>44899</v>
      </c>
      <c r="P6424" s="50">
        <v>29.290500000000002</v>
      </c>
    </row>
    <row r="6425" spans="4:16" x14ac:dyDescent="0.2">
      <c r="D6425">
        <v>100003821</v>
      </c>
      <c r="E6425" s="49">
        <v>44870</v>
      </c>
      <c r="F6425" t="s">
        <v>5288</v>
      </c>
      <c r="G6425" t="s">
        <v>2064</v>
      </c>
      <c r="H6425">
        <v>8</v>
      </c>
      <c r="I6425">
        <v>24.67</v>
      </c>
      <c r="J6425" s="50">
        <v>197.36</v>
      </c>
      <c r="K6425" t="s">
        <v>1618</v>
      </c>
      <c r="M6425" t="s">
        <v>1619</v>
      </c>
      <c r="N6425">
        <v>13.02</v>
      </c>
      <c r="O6425" s="49">
        <v>44872</v>
      </c>
      <c r="P6425" s="50">
        <v>88.812000000000012</v>
      </c>
    </row>
    <row r="6426" spans="4:16" x14ac:dyDescent="0.2">
      <c r="D6426">
        <v>100003821</v>
      </c>
      <c r="E6426" s="49">
        <v>44814</v>
      </c>
      <c r="F6426" t="s">
        <v>5288</v>
      </c>
      <c r="G6426" t="s">
        <v>2348</v>
      </c>
      <c r="H6426">
        <v>5</v>
      </c>
      <c r="I6426">
        <v>44.33</v>
      </c>
      <c r="J6426" s="50">
        <v>221.65</v>
      </c>
      <c r="K6426" t="s">
        <v>1618</v>
      </c>
      <c r="M6426" t="s">
        <v>1619</v>
      </c>
      <c r="N6426">
        <v>23.4</v>
      </c>
      <c r="O6426" s="49">
        <v>44815</v>
      </c>
      <c r="P6426" s="50">
        <v>99.742500000000007</v>
      </c>
    </row>
    <row r="6427" spans="4:16" x14ac:dyDescent="0.2">
      <c r="D6427">
        <v>100003821</v>
      </c>
      <c r="E6427" s="49">
        <v>44676</v>
      </c>
      <c r="F6427" t="s">
        <v>5288</v>
      </c>
      <c r="G6427" t="s">
        <v>2305</v>
      </c>
      <c r="H6427">
        <v>6</v>
      </c>
      <c r="I6427">
        <v>12.11</v>
      </c>
      <c r="J6427" s="50">
        <v>72.66</v>
      </c>
      <c r="K6427" t="s">
        <v>1618</v>
      </c>
      <c r="M6427" t="s">
        <v>1621</v>
      </c>
      <c r="N6427">
        <v>6.39</v>
      </c>
      <c r="O6427" s="49">
        <v>44679</v>
      </c>
      <c r="P6427" s="50">
        <v>32.697000000000003</v>
      </c>
    </row>
    <row r="6428" spans="4:16" x14ac:dyDescent="0.2">
      <c r="D6428">
        <v>100003822</v>
      </c>
      <c r="E6428" s="49">
        <v>44560</v>
      </c>
      <c r="F6428" t="s">
        <v>5289</v>
      </c>
      <c r="G6428" t="s">
        <v>1740</v>
      </c>
      <c r="H6428">
        <v>5</v>
      </c>
      <c r="I6428">
        <v>21.91</v>
      </c>
      <c r="J6428" s="50">
        <v>109.55</v>
      </c>
      <c r="K6428" t="s">
        <v>1618</v>
      </c>
      <c r="M6428" t="s">
        <v>1619</v>
      </c>
      <c r="N6428">
        <v>11.56</v>
      </c>
      <c r="O6428" s="49">
        <v>44563</v>
      </c>
      <c r="P6428" s="50">
        <v>49.297499999999999</v>
      </c>
    </row>
    <row r="6429" spans="4:16" x14ac:dyDescent="0.2">
      <c r="D6429">
        <v>100003822</v>
      </c>
      <c r="E6429" s="49">
        <v>44912</v>
      </c>
      <c r="F6429" t="s">
        <v>5289</v>
      </c>
      <c r="G6429" t="s">
        <v>1955</v>
      </c>
      <c r="H6429">
        <v>4</v>
      </c>
      <c r="I6429">
        <v>91.38</v>
      </c>
      <c r="J6429" s="50">
        <v>365.52</v>
      </c>
      <c r="K6429" t="s">
        <v>1618</v>
      </c>
      <c r="M6429" t="s">
        <v>1627</v>
      </c>
      <c r="N6429">
        <v>48.23</v>
      </c>
      <c r="O6429" s="49">
        <v>44917</v>
      </c>
      <c r="P6429" s="50">
        <v>164.48400000000001</v>
      </c>
    </row>
    <row r="6430" spans="4:16" x14ac:dyDescent="0.2">
      <c r="D6430">
        <v>100003823</v>
      </c>
      <c r="E6430" s="49">
        <v>44728</v>
      </c>
      <c r="F6430" t="s">
        <v>5290</v>
      </c>
      <c r="G6430" t="s">
        <v>1655</v>
      </c>
      <c r="H6430">
        <v>4</v>
      </c>
      <c r="I6430">
        <v>46.33</v>
      </c>
      <c r="J6430" s="50">
        <v>185.32</v>
      </c>
      <c r="K6430" t="s">
        <v>1632</v>
      </c>
      <c r="L6430" t="s">
        <v>5291</v>
      </c>
      <c r="M6430" t="s">
        <v>1619</v>
      </c>
      <c r="N6430">
        <v>24.45</v>
      </c>
      <c r="O6430" s="49">
        <v>44730</v>
      </c>
      <c r="P6430" s="50">
        <v>83.394000000000005</v>
      </c>
    </row>
    <row r="6431" spans="4:16" x14ac:dyDescent="0.2">
      <c r="D6431">
        <v>100003823</v>
      </c>
      <c r="E6431" s="49">
        <v>44678</v>
      </c>
      <c r="F6431" t="s">
        <v>5290</v>
      </c>
      <c r="G6431" t="s">
        <v>2263</v>
      </c>
      <c r="H6431">
        <v>3</v>
      </c>
      <c r="I6431">
        <v>73.2</v>
      </c>
      <c r="J6431" s="50">
        <v>219.6</v>
      </c>
      <c r="K6431" t="s">
        <v>1632</v>
      </c>
      <c r="L6431" t="s">
        <v>5291</v>
      </c>
      <c r="M6431" t="s">
        <v>1629</v>
      </c>
      <c r="N6431">
        <v>38.630000000000003</v>
      </c>
      <c r="O6431" s="49">
        <v>44681</v>
      </c>
      <c r="P6431" s="50">
        <v>98.82</v>
      </c>
    </row>
    <row r="6432" spans="4:16" x14ac:dyDescent="0.2">
      <c r="D6432">
        <v>100003823</v>
      </c>
      <c r="E6432" s="49">
        <v>44887</v>
      </c>
      <c r="F6432" t="s">
        <v>5290</v>
      </c>
      <c r="G6432" t="s">
        <v>2093</v>
      </c>
      <c r="H6432">
        <v>4</v>
      </c>
      <c r="I6432">
        <v>57.23</v>
      </c>
      <c r="J6432" s="50">
        <v>228.92</v>
      </c>
      <c r="K6432" t="s">
        <v>1632</v>
      </c>
      <c r="L6432" t="s">
        <v>5291</v>
      </c>
      <c r="M6432" t="s">
        <v>1629</v>
      </c>
      <c r="N6432">
        <v>30.2</v>
      </c>
      <c r="O6432" s="49">
        <v>44888</v>
      </c>
      <c r="P6432" s="50">
        <v>103.014</v>
      </c>
    </row>
    <row r="6433" spans="4:16" x14ac:dyDescent="0.2">
      <c r="D6433">
        <v>100003823</v>
      </c>
      <c r="E6433" s="49">
        <v>44900</v>
      </c>
      <c r="F6433" t="s">
        <v>5290</v>
      </c>
      <c r="G6433" t="s">
        <v>2024</v>
      </c>
      <c r="H6433">
        <v>4</v>
      </c>
      <c r="I6433">
        <v>75.05</v>
      </c>
      <c r="J6433" s="50">
        <v>300.2</v>
      </c>
      <c r="K6433" t="s">
        <v>1632</v>
      </c>
      <c r="L6433" t="s">
        <v>5291</v>
      </c>
      <c r="M6433" t="s">
        <v>1624</v>
      </c>
      <c r="N6433">
        <v>39.61</v>
      </c>
      <c r="O6433" s="49">
        <v>44903</v>
      </c>
      <c r="P6433" s="50">
        <v>135.09</v>
      </c>
    </row>
    <row r="6434" spans="4:16" x14ac:dyDescent="0.2">
      <c r="D6434">
        <v>100003823</v>
      </c>
      <c r="E6434" s="49">
        <v>44569</v>
      </c>
      <c r="F6434" t="s">
        <v>5290</v>
      </c>
      <c r="G6434" t="s">
        <v>2007</v>
      </c>
      <c r="H6434">
        <v>10</v>
      </c>
      <c r="I6434">
        <v>93.7</v>
      </c>
      <c r="J6434" s="50">
        <v>937</v>
      </c>
      <c r="K6434" t="s">
        <v>1632</v>
      </c>
      <c r="L6434" t="s">
        <v>5291</v>
      </c>
      <c r="M6434" t="s">
        <v>1629</v>
      </c>
      <c r="N6434">
        <v>49.45</v>
      </c>
      <c r="O6434" s="49">
        <v>44573</v>
      </c>
      <c r="P6434" s="50">
        <v>421.65000000000003</v>
      </c>
    </row>
    <row r="6435" spans="4:16" x14ac:dyDescent="0.2">
      <c r="D6435">
        <v>100003824</v>
      </c>
      <c r="E6435" s="49">
        <v>44748</v>
      </c>
      <c r="F6435" t="s">
        <v>5292</v>
      </c>
      <c r="G6435" t="s">
        <v>2420</v>
      </c>
      <c r="H6435">
        <v>9</v>
      </c>
      <c r="I6435">
        <v>38.72</v>
      </c>
      <c r="J6435" s="50">
        <v>348.48</v>
      </c>
      <c r="K6435" t="s">
        <v>1632</v>
      </c>
      <c r="M6435" t="s">
        <v>1619</v>
      </c>
      <c r="N6435">
        <v>20.440000000000001</v>
      </c>
      <c r="O6435" s="49">
        <v>44749</v>
      </c>
      <c r="P6435" s="50">
        <v>156.816</v>
      </c>
    </row>
    <row r="6436" spans="4:16" x14ac:dyDescent="0.2">
      <c r="D6436">
        <v>100003824</v>
      </c>
      <c r="E6436" s="49">
        <v>45200</v>
      </c>
      <c r="F6436" t="s">
        <v>5292</v>
      </c>
      <c r="G6436" t="s">
        <v>2745</v>
      </c>
      <c r="H6436">
        <v>7</v>
      </c>
      <c r="I6436">
        <v>57.59</v>
      </c>
      <c r="J6436" s="50">
        <v>403.13</v>
      </c>
      <c r="K6436" t="s">
        <v>1632</v>
      </c>
      <c r="M6436" t="s">
        <v>1629</v>
      </c>
      <c r="N6436">
        <v>30.39</v>
      </c>
      <c r="O6436" s="49">
        <v>45204</v>
      </c>
      <c r="P6436" s="50">
        <v>181.4085</v>
      </c>
    </row>
    <row r="6437" spans="4:16" x14ac:dyDescent="0.2">
      <c r="D6437">
        <v>100003824</v>
      </c>
      <c r="E6437" s="49">
        <v>44949</v>
      </c>
      <c r="F6437" t="s">
        <v>5292</v>
      </c>
      <c r="G6437" t="s">
        <v>1828</v>
      </c>
      <c r="H6437">
        <v>3</v>
      </c>
      <c r="I6437">
        <v>38.68</v>
      </c>
      <c r="J6437" s="50">
        <v>116.04</v>
      </c>
      <c r="K6437" t="s">
        <v>1632</v>
      </c>
      <c r="M6437" t="s">
        <v>1619</v>
      </c>
      <c r="N6437">
        <v>20.41</v>
      </c>
      <c r="O6437" s="49">
        <v>44950</v>
      </c>
      <c r="P6437" s="50">
        <v>52.218000000000004</v>
      </c>
    </row>
    <row r="6438" spans="4:16" x14ac:dyDescent="0.2">
      <c r="D6438">
        <v>100003824</v>
      </c>
      <c r="E6438" s="49">
        <v>44927</v>
      </c>
      <c r="F6438" t="s">
        <v>5292</v>
      </c>
      <c r="G6438" t="s">
        <v>2151</v>
      </c>
      <c r="H6438">
        <v>6</v>
      </c>
      <c r="I6438">
        <v>100.79</v>
      </c>
      <c r="J6438" s="50">
        <v>604.74</v>
      </c>
      <c r="K6438" t="s">
        <v>1632</v>
      </c>
      <c r="M6438" t="s">
        <v>1619</v>
      </c>
      <c r="N6438">
        <v>53.19</v>
      </c>
      <c r="O6438" s="49">
        <v>44932</v>
      </c>
      <c r="P6438" s="50">
        <v>272.13300000000004</v>
      </c>
    </row>
    <row r="6439" spans="4:16" x14ac:dyDescent="0.2">
      <c r="D6439">
        <v>100003825</v>
      </c>
      <c r="E6439" s="49">
        <v>44934</v>
      </c>
      <c r="F6439" t="s">
        <v>5293</v>
      </c>
      <c r="G6439" t="s">
        <v>2613</v>
      </c>
      <c r="H6439">
        <v>8</v>
      </c>
      <c r="I6439">
        <v>110.69</v>
      </c>
      <c r="J6439" s="50">
        <v>885.52</v>
      </c>
      <c r="K6439" t="s">
        <v>1618</v>
      </c>
      <c r="M6439" t="s">
        <v>1629</v>
      </c>
      <c r="N6439">
        <v>58.42</v>
      </c>
      <c r="O6439" s="49">
        <v>44938</v>
      </c>
      <c r="P6439" s="50">
        <v>398.48399999999998</v>
      </c>
    </row>
    <row r="6440" spans="4:16" x14ac:dyDescent="0.2">
      <c r="D6440">
        <v>100003826</v>
      </c>
      <c r="E6440" s="49">
        <v>45592</v>
      </c>
      <c r="F6440" t="s">
        <v>5294</v>
      </c>
      <c r="G6440" t="s">
        <v>2480</v>
      </c>
      <c r="H6440">
        <v>3</v>
      </c>
      <c r="I6440">
        <v>32.020000000000003</v>
      </c>
      <c r="J6440" s="50">
        <v>96.06</v>
      </c>
      <c r="K6440" t="s">
        <v>1632</v>
      </c>
      <c r="M6440" t="s">
        <v>1629</v>
      </c>
      <c r="N6440">
        <v>16.899999999999999</v>
      </c>
      <c r="O6440" s="49">
        <v>45597</v>
      </c>
      <c r="P6440" s="50">
        <v>43.227000000000004</v>
      </c>
    </row>
    <row r="6441" spans="4:16" x14ac:dyDescent="0.2">
      <c r="D6441">
        <v>100003827</v>
      </c>
      <c r="E6441" s="49">
        <v>44811</v>
      </c>
      <c r="F6441" t="s">
        <v>5295</v>
      </c>
      <c r="G6441" t="s">
        <v>2098</v>
      </c>
      <c r="H6441">
        <v>9</v>
      </c>
      <c r="I6441">
        <v>14.69</v>
      </c>
      <c r="J6441" s="50">
        <v>132.21</v>
      </c>
      <c r="K6441" t="s">
        <v>1618</v>
      </c>
      <c r="M6441" t="s">
        <v>1627</v>
      </c>
      <c r="N6441">
        <v>7.75</v>
      </c>
      <c r="O6441" s="49">
        <v>44814</v>
      </c>
      <c r="P6441" s="50">
        <v>59.494500000000002</v>
      </c>
    </row>
    <row r="6442" spans="4:16" x14ac:dyDescent="0.2">
      <c r="D6442">
        <v>100003829</v>
      </c>
      <c r="E6442" s="49">
        <v>45190</v>
      </c>
      <c r="F6442" t="s">
        <v>5296</v>
      </c>
      <c r="G6442" t="s">
        <v>1890</v>
      </c>
      <c r="H6442">
        <v>6</v>
      </c>
      <c r="I6442">
        <v>66.38</v>
      </c>
      <c r="J6442" s="50">
        <v>398.28</v>
      </c>
      <c r="K6442" t="s">
        <v>1618</v>
      </c>
      <c r="M6442" t="s">
        <v>1629</v>
      </c>
      <c r="N6442">
        <v>35.03</v>
      </c>
      <c r="O6442" s="49">
        <v>45194</v>
      </c>
      <c r="P6442" s="50">
        <v>179.226</v>
      </c>
    </row>
    <row r="6443" spans="4:16" x14ac:dyDescent="0.2">
      <c r="D6443">
        <v>100003829</v>
      </c>
      <c r="E6443" s="49">
        <v>45554</v>
      </c>
      <c r="F6443" t="s">
        <v>5296</v>
      </c>
      <c r="G6443" t="s">
        <v>1687</v>
      </c>
      <c r="H6443">
        <v>5</v>
      </c>
      <c r="I6443">
        <v>113.11</v>
      </c>
      <c r="J6443" s="50">
        <v>565.54999999999995</v>
      </c>
      <c r="K6443" t="s">
        <v>1618</v>
      </c>
      <c r="M6443" t="s">
        <v>1624</v>
      </c>
      <c r="N6443">
        <v>59.7</v>
      </c>
      <c r="O6443" s="49">
        <v>45555</v>
      </c>
      <c r="P6443" s="50">
        <v>254.49749999999997</v>
      </c>
    </row>
    <row r="6444" spans="4:16" x14ac:dyDescent="0.2">
      <c r="D6444">
        <v>100003830</v>
      </c>
      <c r="E6444" s="49">
        <v>45647</v>
      </c>
      <c r="F6444" t="s">
        <v>5297</v>
      </c>
      <c r="G6444" t="s">
        <v>2069</v>
      </c>
      <c r="H6444">
        <v>9</v>
      </c>
      <c r="I6444">
        <v>90.69</v>
      </c>
      <c r="J6444" s="50">
        <v>816.21</v>
      </c>
      <c r="K6444" t="s">
        <v>1632</v>
      </c>
      <c r="M6444" t="s">
        <v>1624</v>
      </c>
      <c r="N6444">
        <v>47.86</v>
      </c>
      <c r="O6444" s="49">
        <v>45652</v>
      </c>
      <c r="P6444" s="50">
        <v>367.29450000000003</v>
      </c>
    </row>
    <row r="6445" spans="4:16" x14ac:dyDescent="0.2">
      <c r="D6445">
        <v>100003830</v>
      </c>
      <c r="E6445" s="49">
        <v>45485</v>
      </c>
      <c r="F6445" t="s">
        <v>5297</v>
      </c>
      <c r="G6445" t="s">
        <v>1670</v>
      </c>
      <c r="H6445">
        <v>6</v>
      </c>
      <c r="I6445">
        <v>115.3</v>
      </c>
      <c r="J6445" s="50">
        <v>691.8</v>
      </c>
      <c r="K6445" t="s">
        <v>1632</v>
      </c>
      <c r="M6445" t="s">
        <v>1629</v>
      </c>
      <c r="N6445">
        <v>60.85</v>
      </c>
      <c r="O6445" s="49">
        <v>45490</v>
      </c>
      <c r="P6445" s="50">
        <v>311.31</v>
      </c>
    </row>
    <row r="6446" spans="4:16" x14ac:dyDescent="0.2">
      <c r="D6446">
        <v>100003833</v>
      </c>
      <c r="E6446" s="49">
        <v>44534</v>
      </c>
      <c r="F6446" t="s">
        <v>5298</v>
      </c>
      <c r="G6446" t="s">
        <v>1866</v>
      </c>
      <c r="H6446">
        <v>8</v>
      </c>
      <c r="I6446">
        <v>15.5</v>
      </c>
      <c r="J6446" s="50">
        <v>124</v>
      </c>
      <c r="K6446" t="s">
        <v>1618</v>
      </c>
      <c r="L6446" t="s">
        <v>5299</v>
      </c>
      <c r="M6446" t="s">
        <v>1629</v>
      </c>
      <c r="N6446">
        <v>8.18</v>
      </c>
      <c r="O6446" s="49">
        <v>44537</v>
      </c>
      <c r="P6446" s="50">
        <v>55.800000000000004</v>
      </c>
    </row>
    <row r="6447" spans="4:16" x14ac:dyDescent="0.2">
      <c r="D6447">
        <v>100003833</v>
      </c>
      <c r="E6447" s="49">
        <v>44465</v>
      </c>
      <c r="F6447" t="s">
        <v>5298</v>
      </c>
      <c r="G6447" t="s">
        <v>1645</v>
      </c>
      <c r="H6447">
        <v>5</v>
      </c>
      <c r="I6447">
        <v>53.17</v>
      </c>
      <c r="J6447" s="50">
        <v>265.85000000000002</v>
      </c>
      <c r="K6447" t="s">
        <v>1618</v>
      </c>
      <c r="L6447" t="s">
        <v>5299</v>
      </c>
      <c r="M6447" t="s">
        <v>1627</v>
      </c>
      <c r="N6447">
        <v>28.06</v>
      </c>
      <c r="O6447" s="49">
        <v>44469</v>
      </c>
      <c r="P6447" s="50">
        <v>119.63250000000001</v>
      </c>
    </row>
    <row r="6448" spans="4:16" x14ac:dyDescent="0.2">
      <c r="D6448">
        <v>100003834</v>
      </c>
      <c r="E6448" s="49">
        <v>44308</v>
      </c>
      <c r="F6448" t="s">
        <v>5300</v>
      </c>
      <c r="G6448" t="s">
        <v>1910</v>
      </c>
      <c r="H6448">
        <v>5</v>
      </c>
      <c r="I6448">
        <v>75.02</v>
      </c>
      <c r="J6448" s="50">
        <v>375.1</v>
      </c>
      <c r="K6448" t="s">
        <v>1618</v>
      </c>
      <c r="M6448" t="s">
        <v>1621</v>
      </c>
      <c r="N6448">
        <v>39.590000000000003</v>
      </c>
      <c r="O6448" s="49">
        <v>44312</v>
      </c>
      <c r="P6448" s="50">
        <v>168.79500000000002</v>
      </c>
    </row>
    <row r="6449" spans="4:16" x14ac:dyDescent="0.2">
      <c r="D6449">
        <v>100003834</v>
      </c>
      <c r="E6449" s="49">
        <v>44536</v>
      </c>
      <c r="F6449" t="s">
        <v>5300</v>
      </c>
      <c r="G6449" t="s">
        <v>1687</v>
      </c>
      <c r="H6449">
        <v>7</v>
      </c>
      <c r="I6449">
        <v>12.09</v>
      </c>
      <c r="J6449" s="50">
        <v>84.63</v>
      </c>
      <c r="K6449" t="s">
        <v>1618</v>
      </c>
      <c r="M6449" t="s">
        <v>1621</v>
      </c>
      <c r="N6449">
        <v>6.38</v>
      </c>
      <c r="O6449" s="49">
        <v>44541</v>
      </c>
      <c r="P6449" s="50">
        <v>38.083500000000001</v>
      </c>
    </row>
    <row r="6450" spans="4:16" x14ac:dyDescent="0.2">
      <c r="D6450">
        <v>100003834</v>
      </c>
      <c r="E6450" s="49">
        <v>45250</v>
      </c>
      <c r="F6450" t="s">
        <v>5300</v>
      </c>
      <c r="G6450" t="s">
        <v>1781</v>
      </c>
      <c r="H6450">
        <v>2</v>
      </c>
      <c r="I6450">
        <v>113.77</v>
      </c>
      <c r="J6450" s="50">
        <v>227.54</v>
      </c>
      <c r="K6450" t="s">
        <v>1618</v>
      </c>
      <c r="M6450" t="s">
        <v>1627</v>
      </c>
      <c r="N6450">
        <v>60.04</v>
      </c>
      <c r="O6450" s="49">
        <v>45253</v>
      </c>
      <c r="P6450" s="50">
        <v>102.393</v>
      </c>
    </row>
    <row r="6451" spans="4:16" x14ac:dyDescent="0.2">
      <c r="D6451">
        <v>100003835</v>
      </c>
      <c r="E6451" s="49">
        <v>44617</v>
      </c>
      <c r="F6451" t="s">
        <v>5301</v>
      </c>
      <c r="G6451" t="s">
        <v>1743</v>
      </c>
      <c r="H6451">
        <v>9</v>
      </c>
      <c r="I6451">
        <v>94.11</v>
      </c>
      <c r="J6451" s="50">
        <v>846.99</v>
      </c>
      <c r="K6451" t="s">
        <v>1618</v>
      </c>
      <c r="M6451" t="s">
        <v>1621</v>
      </c>
      <c r="N6451">
        <v>49.67</v>
      </c>
      <c r="O6451" s="49">
        <v>44620</v>
      </c>
      <c r="P6451" s="50">
        <v>381.14550000000003</v>
      </c>
    </row>
    <row r="6452" spans="4:16" x14ac:dyDescent="0.2">
      <c r="D6452">
        <v>100003836</v>
      </c>
      <c r="E6452" s="49">
        <v>45001</v>
      </c>
      <c r="F6452" t="s">
        <v>5302</v>
      </c>
      <c r="G6452" t="s">
        <v>2658</v>
      </c>
      <c r="H6452">
        <v>4</v>
      </c>
      <c r="I6452">
        <v>13.17</v>
      </c>
      <c r="J6452" s="50">
        <v>52.68</v>
      </c>
      <c r="K6452" t="s">
        <v>1632</v>
      </c>
      <c r="L6452" t="s">
        <v>3414</v>
      </c>
      <c r="M6452" t="s">
        <v>1627</v>
      </c>
      <c r="N6452">
        <v>6.95</v>
      </c>
      <c r="O6452" s="49">
        <v>45002</v>
      </c>
      <c r="P6452" s="50">
        <v>23.706</v>
      </c>
    </row>
    <row r="6453" spans="4:16" x14ac:dyDescent="0.2">
      <c r="D6453">
        <v>100003838</v>
      </c>
      <c r="E6453" s="49">
        <v>44753</v>
      </c>
      <c r="F6453" t="s">
        <v>5303</v>
      </c>
      <c r="G6453" t="s">
        <v>1783</v>
      </c>
      <c r="H6453">
        <v>1</v>
      </c>
      <c r="I6453">
        <v>46.21</v>
      </c>
      <c r="J6453" s="50">
        <v>46.21</v>
      </c>
      <c r="K6453" t="s">
        <v>1632</v>
      </c>
      <c r="M6453" t="s">
        <v>1624</v>
      </c>
      <c r="N6453">
        <v>24.39</v>
      </c>
      <c r="O6453" s="49">
        <v>44754</v>
      </c>
      <c r="P6453" s="50">
        <v>20.794499999999999</v>
      </c>
    </row>
    <row r="6454" spans="4:16" x14ac:dyDescent="0.2">
      <c r="D6454">
        <v>100003838</v>
      </c>
      <c r="E6454" s="49">
        <v>45247</v>
      </c>
      <c r="F6454" t="s">
        <v>5303</v>
      </c>
      <c r="G6454" t="s">
        <v>2574</v>
      </c>
      <c r="H6454">
        <v>8</v>
      </c>
      <c r="I6454">
        <v>12.7</v>
      </c>
      <c r="J6454" s="50">
        <v>101.6</v>
      </c>
      <c r="K6454" t="s">
        <v>1632</v>
      </c>
      <c r="M6454" t="s">
        <v>1619</v>
      </c>
      <c r="N6454">
        <v>6.7</v>
      </c>
      <c r="O6454" s="49">
        <v>45248</v>
      </c>
      <c r="P6454" s="50">
        <v>45.72</v>
      </c>
    </row>
    <row r="6455" spans="4:16" x14ac:dyDescent="0.2">
      <c r="D6455">
        <v>100003838</v>
      </c>
      <c r="E6455" s="49">
        <v>45434</v>
      </c>
      <c r="F6455" t="s">
        <v>5303</v>
      </c>
      <c r="G6455" t="s">
        <v>1690</v>
      </c>
      <c r="H6455">
        <v>1</v>
      </c>
      <c r="I6455">
        <v>108.47</v>
      </c>
      <c r="J6455" s="50">
        <v>108.47</v>
      </c>
      <c r="K6455" t="s">
        <v>1632</v>
      </c>
      <c r="M6455" t="s">
        <v>1621</v>
      </c>
      <c r="N6455">
        <v>57.25</v>
      </c>
      <c r="O6455" s="49">
        <v>45437</v>
      </c>
      <c r="P6455" s="50">
        <v>48.811500000000002</v>
      </c>
    </row>
    <row r="6456" spans="4:16" x14ac:dyDescent="0.2">
      <c r="D6456">
        <v>100003838</v>
      </c>
      <c r="E6456" s="49">
        <v>44857</v>
      </c>
      <c r="F6456" t="s">
        <v>5303</v>
      </c>
      <c r="G6456" t="s">
        <v>2125</v>
      </c>
      <c r="H6456">
        <v>1</v>
      </c>
      <c r="I6456">
        <v>115.32</v>
      </c>
      <c r="J6456" s="50">
        <v>115.32</v>
      </c>
      <c r="K6456" t="s">
        <v>1632</v>
      </c>
      <c r="M6456" t="s">
        <v>1621</v>
      </c>
      <c r="N6456">
        <v>60.86</v>
      </c>
      <c r="O6456" s="49">
        <v>44859</v>
      </c>
      <c r="P6456" s="50">
        <v>51.893999999999998</v>
      </c>
    </row>
    <row r="6457" spans="4:16" x14ac:dyDescent="0.2">
      <c r="D6457">
        <v>100003839</v>
      </c>
      <c r="E6457" s="49">
        <v>45612</v>
      </c>
      <c r="F6457" t="s">
        <v>5304</v>
      </c>
      <c r="G6457" t="s">
        <v>2111</v>
      </c>
      <c r="H6457">
        <v>5</v>
      </c>
      <c r="I6457">
        <v>98.43</v>
      </c>
      <c r="J6457" s="50">
        <v>492.15</v>
      </c>
      <c r="K6457" t="s">
        <v>1618</v>
      </c>
      <c r="M6457" t="s">
        <v>1621</v>
      </c>
      <c r="N6457">
        <v>51.95</v>
      </c>
      <c r="O6457" s="49">
        <v>45616</v>
      </c>
      <c r="P6457" s="50">
        <v>221.4675</v>
      </c>
    </row>
    <row r="6458" spans="4:16" x14ac:dyDescent="0.2">
      <c r="D6458">
        <v>100003839</v>
      </c>
      <c r="E6458" s="49">
        <v>44609</v>
      </c>
      <c r="F6458" t="s">
        <v>5304</v>
      </c>
      <c r="G6458" t="s">
        <v>1820</v>
      </c>
      <c r="H6458">
        <v>3</v>
      </c>
      <c r="I6458">
        <v>102.4</v>
      </c>
      <c r="J6458" s="50">
        <v>307.2</v>
      </c>
      <c r="K6458" t="s">
        <v>1618</v>
      </c>
      <c r="M6458" t="s">
        <v>1619</v>
      </c>
      <c r="N6458">
        <v>54.04</v>
      </c>
      <c r="O6458" s="49">
        <v>44611</v>
      </c>
      <c r="P6458" s="50">
        <v>138.24</v>
      </c>
    </row>
    <row r="6459" spans="4:16" x14ac:dyDescent="0.2">
      <c r="D6459">
        <v>100003840</v>
      </c>
      <c r="E6459" s="49">
        <v>44206</v>
      </c>
      <c r="F6459" t="s">
        <v>5305</v>
      </c>
      <c r="G6459" t="s">
        <v>1955</v>
      </c>
      <c r="H6459">
        <v>4</v>
      </c>
      <c r="I6459">
        <v>62.18</v>
      </c>
      <c r="J6459" s="50">
        <v>248.72</v>
      </c>
      <c r="K6459" t="s">
        <v>1618</v>
      </c>
      <c r="M6459" t="s">
        <v>1624</v>
      </c>
      <c r="N6459">
        <v>32.82</v>
      </c>
      <c r="O6459" s="49">
        <v>44209</v>
      </c>
      <c r="P6459" s="50">
        <v>111.92400000000001</v>
      </c>
    </row>
    <row r="6460" spans="4:16" x14ac:dyDescent="0.2">
      <c r="D6460">
        <v>100003841</v>
      </c>
      <c r="E6460" s="49">
        <v>45417</v>
      </c>
      <c r="F6460" t="s">
        <v>5306</v>
      </c>
      <c r="G6460" t="s">
        <v>1973</v>
      </c>
      <c r="H6460">
        <v>1</v>
      </c>
      <c r="I6460">
        <v>28.89</v>
      </c>
      <c r="J6460" s="50">
        <v>28.89</v>
      </c>
      <c r="K6460" t="s">
        <v>1632</v>
      </c>
      <c r="M6460" t="s">
        <v>1624</v>
      </c>
      <c r="N6460">
        <v>15.25</v>
      </c>
      <c r="O6460" s="49">
        <v>45422</v>
      </c>
      <c r="P6460" s="50">
        <v>13.000500000000001</v>
      </c>
    </row>
    <row r="6461" spans="4:16" x14ac:dyDescent="0.2">
      <c r="D6461">
        <v>100003842</v>
      </c>
      <c r="E6461" s="49">
        <v>44982</v>
      </c>
      <c r="F6461" t="s">
        <v>5307</v>
      </c>
      <c r="G6461" t="s">
        <v>2151</v>
      </c>
      <c r="H6461">
        <v>6</v>
      </c>
      <c r="I6461">
        <v>109.38</v>
      </c>
      <c r="J6461" s="50">
        <v>656.28</v>
      </c>
      <c r="K6461" t="s">
        <v>1618</v>
      </c>
      <c r="M6461" t="s">
        <v>1627</v>
      </c>
      <c r="N6461">
        <v>57.73</v>
      </c>
      <c r="O6461" s="49">
        <v>44986</v>
      </c>
      <c r="P6461" s="50">
        <v>295.32600000000002</v>
      </c>
    </row>
    <row r="6462" spans="4:16" x14ac:dyDescent="0.2">
      <c r="D6462">
        <v>100003843</v>
      </c>
      <c r="E6462" s="49">
        <v>45082</v>
      </c>
      <c r="F6462" t="s">
        <v>5308</v>
      </c>
      <c r="G6462" t="s">
        <v>1958</v>
      </c>
      <c r="H6462">
        <v>1</v>
      </c>
      <c r="I6462">
        <v>59.94</v>
      </c>
      <c r="J6462" s="50">
        <v>59.94</v>
      </c>
      <c r="K6462" t="s">
        <v>1632</v>
      </c>
      <c r="M6462" t="s">
        <v>1624</v>
      </c>
      <c r="N6462">
        <v>31.63</v>
      </c>
      <c r="O6462" s="49">
        <v>45085</v>
      </c>
      <c r="P6462" s="50">
        <v>26.972999999999999</v>
      </c>
    </row>
    <row r="6463" spans="4:16" x14ac:dyDescent="0.2">
      <c r="D6463">
        <v>100003843</v>
      </c>
      <c r="E6463" s="49">
        <v>45581</v>
      </c>
      <c r="F6463" t="s">
        <v>5308</v>
      </c>
      <c r="G6463" t="s">
        <v>2613</v>
      </c>
      <c r="H6463">
        <v>9</v>
      </c>
      <c r="I6463">
        <v>96.44</v>
      </c>
      <c r="J6463" s="50">
        <v>867.96</v>
      </c>
      <c r="K6463" t="s">
        <v>1632</v>
      </c>
      <c r="M6463" t="s">
        <v>1629</v>
      </c>
      <c r="N6463">
        <v>50.9</v>
      </c>
      <c r="O6463" s="49">
        <v>45582</v>
      </c>
      <c r="P6463" s="50">
        <v>390.58200000000005</v>
      </c>
    </row>
    <row r="6464" spans="4:16" x14ac:dyDescent="0.2">
      <c r="D6464">
        <v>100003844</v>
      </c>
      <c r="E6464" s="49">
        <v>44973</v>
      </c>
      <c r="F6464" t="s">
        <v>5309</v>
      </c>
      <c r="G6464" t="s">
        <v>2585</v>
      </c>
      <c r="H6464">
        <v>2</v>
      </c>
      <c r="I6464">
        <v>112.14</v>
      </c>
      <c r="J6464" s="50">
        <v>224.28</v>
      </c>
      <c r="K6464" t="s">
        <v>1618</v>
      </c>
      <c r="L6464" t="s">
        <v>5310</v>
      </c>
      <c r="M6464" t="s">
        <v>1629</v>
      </c>
      <c r="N6464">
        <v>59.18</v>
      </c>
      <c r="O6464" s="49">
        <v>44974</v>
      </c>
      <c r="P6464" s="50">
        <v>100.926</v>
      </c>
    </row>
    <row r="6465" spans="4:16" x14ac:dyDescent="0.2">
      <c r="D6465">
        <v>100003849</v>
      </c>
      <c r="E6465" s="49">
        <v>44348</v>
      </c>
      <c r="F6465" t="s">
        <v>3557</v>
      </c>
      <c r="G6465" t="s">
        <v>2420</v>
      </c>
      <c r="H6465">
        <v>2</v>
      </c>
      <c r="I6465">
        <v>62.8</v>
      </c>
      <c r="J6465" s="50">
        <v>125.6</v>
      </c>
      <c r="K6465" t="s">
        <v>1632</v>
      </c>
      <c r="M6465" t="s">
        <v>1619</v>
      </c>
      <c r="N6465">
        <v>33.14</v>
      </c>
      <c r="O6465" s="49">
        <v>44350</v>
      </c>
      <c r="P6465" s="50">
        <v>56.519999999999996</v>
      </c>
    </row>
    <row r="6466" spans="4:16" x14ac:dyDescent="0.2">
      <c r="D6466">
        <v>100003851</v>
      </c>
      <c r="E6466" s="49">
        <v>44235</v>
      </c>
      <c r="F6466" t="s">
        <v>5311</v>
      </c>
      <c r="G6466" t="s">
        <v>2136</v>
      </c>
      <c r="H6466">
        <v>9</v>
      </c>
      <c r="I6466">
        <v>59.83</v>
      </c>
      <c r="J6466" s="50">
        <v>538.47</v>
      </c>
      <c r="K6466" t="s">
        <v>1618</v>
      </c>
      <c r="M6466" t="s">
        <v>1629</v>
      </c>
      <c r="N6466">
        <v>31.58</v>
      </c>
      <c r="O6466" s="49">
        <v>44239</v>
      </c>
      <c r="P6466" s="50">
        <v>242.31150000000002</v>
      </c>
    </row>
    <row r="6467" spans="4:16" x14ac:dyDescent="0.2">
      <c r="D6467">
        <v>100003852</v>
      </c>
      <c r="E6467" s="49">
        <v>44574</v>
      </c>
      <c r="F6467" t="s">
        <v>5312</v>
      </c>
      <c r="G6467" t="s">
        <v>1620</v>
      </c>
      <c r="H6467">
        <v>10</v>
      </c>
      <c r="I6467">
        <v>90.02</v>
      </c>
      <c r="J6467" s="50">
        <v>900.19999999999993</v>
      </c>
      <c r="K6467" t="s">
        <v>1632</v>
      </c>
      <c r="L6467" t="s">
        <v>5313</v>
      </c>
      <c r="M6467" t="s">
        <v>1629</v>
      </c>
      <c r="N6467">
        <v>47.51</v>
      </c>
      <c r="O6467" s="49">
        <v>44578</v>
      </c>
      <c r="P6467" s="50">
        <v>405.09</v>
      </c>
    </row>
    <row r="6468" spans="4:16" x14ac:dyDescent="0.2">
      <c r="D6468">
        <v>100003852</v>
      </c>
      <c r="E6468" s="49">
        <v>44457</v>
      </c>
      <c r="F6468" t="s">
        <v>5312</v>
      </c>
      <c r="G6468" t="s">
        <v>1785</v>
      </c>
      <c r="H6468">
        <v>1</v>
      </c>
      <c r="I6468">
        <v>102.36</v>
      </c>
      <c r="J6468" s="50">
        <v>102.36</v>
      </c>
      <c r="K6468" t="s">
        <v>1632</v>
      </c>
      <c r="L6468" t="s">
        <v>5313</v>
      </c>
      <c r="M6468" t="s">
        <v>1629</v>
      </c>
      <c r="N6468">
        <v>54.02</v>
      </c>
      <c r="O6468" s="49">
        <v>44459</v>
      </c>
      <c r="P6468" s="50">
        <v>46.061999999999998</v>
      </c>
    </row>
    <row r="6469" spans="4:16" x14ac:dyDescent="0.2">
      <c r="D6469">
        <v>100003853</v>
      </c>
      <c r="E6469" s="49">
        <v>45585</v>
      </c>
      <c r="F6469" t="s">
        <v>5314</v>
      </c>
      <c r="G6469" t="s">
        <v>2180</v>
      </c>
      <c r="H6469">
        <v>3</v>
      </c>
      <c r="I6469">
        <v>34.130000000000003</v>
      </c>
      <c r="J6469" s="50">
        <v>102.39</v>
      </c>
      <c r="K6469" t="s">
        <v>1618</v>
      </c>
      <c r="L6469" t="s">
        <v>5028</v>
      </c>
      <c r="M6469" t="s">
        <v>1624</v>
      </c>
      <c r="N6469">
        <v>18.010000000000002</v>
      </c>
      <c r="O6469" s="49">
        <v>45590</v>
      </c>
      <c r="P6469" s="50">
        <v>46.075499999999998</v>
      </c>
    </row>
    <row r="6470" spans="4:16" x14ac:dyDescent="0.2">
      <c r="D6470">
        <v>100003853</v>
      </c>
      <c r="E6470" s="49">
        <v>44767</v>
      </c>
      <c r="F6470" t="s">
        <v>5314</v>
      </c>
      <c r="G6470" t="s">
        <v>1944</v>
      </c>
      <c r="H6470">
        <v>1</v>
      </c>
      <c r="I6470">
        <v>119.36</v>
      </c>
      <c r="J6470" s="50">
        <v>119.36</v>
      </c>
      <c r="K6470" t="s">
        <v>1618</v>
      </c>
      <c r="L6470" t="s">
        <v>5028</v>
      </c>
      <c r="M6470" t="s">
        <v>1624</v>
      </c>
      <c r="N6470">
        <v>63</v>
      </c>
      <c r="O6470" s="49">
        <v>44768</v>
      </c>
      <c r="P6470" s="50">
        <v>53.712000000000003</v>
      </c>
    </row>
    <row r="6471" spans="4:16" x14ac:dyDescent="0.2">
      <c r="D6471">
        <v>100003856</v>
      </c>
      <c r="E6471" s="49">
        <v>45217</v>
      </c>
      <c r="F6471" t="s">
        <v>5315</v>
      </c>
      <c r="G6471" t="s">
        <v>1775</v>
      </c>
      <c r="H6471">
        <v>4</v>
      </c>
      <c r="I6471">
        <v>22.1</v>
      </c>
      <c r="J6471" s="50">
        <v>88.4</v>
      </c>
      <c r="K6471" t="s">
        <v>1618</v>
      </c>
      <c r="L6471" t="s">
        <v>5316</v>
      </c>
      <c r="M6471" t="s">
        <v>1624</v>
      </c>
      <c r="N6471">
        <v>11.66</v>
      </c>
      <c r="O6471" s="49">
        <v>45221</v>
      </c>
      <c r="P6471" s="50">
        <v>39.78</v>
      </c>
    </row>
    <row r="6472" spans="4:16" x14ac:dyDescent="0.2">
      <c r="D6472">
        <v>100003857</v>
      </c>
      <c r="E6472" s="49">
        <v>44587</v>
      </c>
      <c r="F6472" t="s">
        <v>5317</v>
      </c>
      <c r="G6472" t="s">
        <v>1636</v>
      </c>
      <c r="H6472">
        <v>6</v>
      </c>
      <c r="I6472">
        <v>21.96</v>
      </c>
      <c r="J6472" s="50">
        <v>131.76</v>
      </c>
      <c r="K6472" t="s">
        <v>1632</v>
      </c>
      <c r="L6472" t="s">
        <v>5318</v>
      </c>
      <c r="M6472" t="s">
        <v>1621</v>
      </c>
      <c r="N6472">
        <v>11.59</v>
      </c>
      <c r="O6472" s="49">
        <v>44588</v>
      </c>
      <c r="P6472" s="50">
        <v>59.291999999999994</v>
      </c>
    </row>
    <row r="6473" spans="4:16" x14ac:dyDescent="0.2">
      <c r="D6473">
        <v>100003858</v>
      </c>
      <c r="E6473" s="49">
        <v>45454</v>
      </c>
      <c r="F6473" t="s">
        <v>5319</v>
      </c>
      <c r="G6473" t="s">
        <v>1785</v>
      </c>
      <c r="H6473">
        <v>8</v>
      </c>
      <c r="I6473">
        <v>94.19</v>
      </c>
      <c r="J6473" s="50">
        <v>753.52</v>
      </c>
      <c r="K6473" t="s">
        <v>1618</v>
      </c>
      <c r="M6473" t="s">
        <v>1624</v>
      </c>
      <c r="N6473">
        <v>49.71</v>
      </c>
      <c r="O6473" s="49">
        <v>45457</v>
      </c>
      <c r="P6473" s="50">
        <v>339.084</v>
      </c>
    </row>
    <row r="6474" spans="4:16" x14ac:dyDescent="0.2">
      <c r="D6474">
        <v>100003858</v>
      </c>
      <c r="E6474" s="49">
        <v>44797</v>
      </c>
      <c r="F6474" t="s">
        <v>5319</v>
      </c>
      <c r="G6474" t="s">
        <v>2147</v>
      </c>
      <c r="H6474">
        <v>1</v>
      </c>
      <c r="I6474">
        <v>80.510000000000005</v>
      </c>
      <c r="J6474" s="50">
        <v>80.510000000000005</v>
      </c>
      <c r="K6474" t="s">
        <v>1618</v>
      </c>
      <c r="M6474" t="s">
        <v>1619</v>
      </c>
      <c r="N6474">
        <v>42.49</v>
      </c>
      <c r="O6474" s="49">
        <v>44798</v>
      </c>
      <c r="P6474" s="50">
        <v>36.229500000000002</v>
      </c>
    </row>
    <row r="6475" spans="4:16" x14ac:dyDescent="0.2">
      <c r="D6475">
        <v>100003858</v>
      </c>
      <c r="E6475" s="49">
        <v>44285</v>
      </c>
      <c r="F6475" t="s">
        <v>5319</v>
      </c>
      <c r="G6475" t="s">
        <v>2460</v>
      </c>
      <c r="H6475">
        <v>3</v>
      </c>
      <c r="I6475">
        <v>17.21</v>
      </c>
      <c r="J6475" s="50">
        <v>51.63</v>
      </c>
      <c r="K6475" t="s">
        <v>1618</v>
      </c>
      <c r="M6475" t="s">
        <v>1624</v>
      </c>
      <c r="N6475">
        <v>9.08</v>
      </c>
      <c r="O6475" s="49">
        <v>44290</v>
      </c>
      <c r="P6475" s="50">
        <v>23.233500000000003</v>
      </c>
    </row>
    <row r="6476" spans="4:16" x14ac:dyDescent="0.2">
      <c r="D6476">
        <v>100003858</v>
      </c>
      <c r="E6476" s="49">
        <v>44646</v>
      </c>
      <c r="F6476" t="s">
        <v>5319</v>
      </c>
      <c r="G6476" t="s">
        <v>2232</v>
      </c>
      <c r="H6476">
        <v>10</v>
      </c>
      <c r="I6476">
        <v>47.59</v>
      </c>
      <c r="J6476" s="50">
        <v>475.9</v>
      </c>
      <c r="K6476" t="s">
        <v>1618</v>
      </c>
      <c r="M6476" t="s">
        <v>1621</v>
      </c>
      <c r="N6476">
        <v>25.12</v>
      </c>
      <c r="O6476" s="49">
        <v>44651</v>
      </c>
      <c r="P6476" s="50">
        <v>214.155</v>
      </c>
    </row>
    <row r="6477" spans="4:16" x14ac:dyDescent="0.2">
      <c r="D6477">
        <v>100003858</v>
      </c>
      <c r="E6477" s="49">
        <v>45126</v>
      </c>
      <c r="F6477" t="s">
        <v>5319</v>
      </c>
      <c r="G6477" t="s">
        <v>2207</v>
      </c>
      <c r="H6477">
        <v>8</v>
      </c>
      <c r="I6477">
        <v>80.02</v>
      </c>
      <c r="J6477" s="50">
        <v>640.16</v>
      </c>
      <c r="K6477" t="s">
        <v>1618</v>
      </c>
      <c r="M6477" t="s">
        <v>1624</v>
      </c>
      <c r="N6477">
        <v>42.23</v>
      </c>
      <c r="O6477" s="49">
        <v>45131</v>
      </c>
      <c r="P6477" s="50">
        <v>288.072</v>
      </c>
    </row>
    <row r="6478" spans="4:16" x14ac:dyDescent="0.2">
      <c r="D6478">
        <v>100003858</v>
      </c>
      <c r="E6478" s="49">
        <v>44661</v>
      </c>
      <c r="F6478" t="s">
        <v>5319</v>
      </c>
      <c r="G6478" t="s">
        <v>1674</v>
      </c>
      <c r="H6478">
        <v>1</v>
      </c>
      <c r="I6478">
        <v>98.01</v>
      </c>
      <c r="J6478" s="50">
        <v>98.01</v>
      </c>
      <c r="K6478" t="s">
        <v>1618</v>
      </c>
      <c r="M6478" t="s">
        <v>1624</v>
      </c>
      <c r="N6478">
        <v>51.73</v>
      </c>
      <c r="O6478" s="49">
        <v>44666</v>
      </c>
      <c r="P6478" s="50">
        <v>44.104500000000002</v>
      </c>
    </row>
    <row r="6479" spans="4:16" x14ac:dyDescent="0.2">
      <c r="D6479">
        <v>100003858</v>
      </c>
      <c r="E6479" s="49">
        <v>45179</v>
      </c>
      <c r="F6479" t="s">
        <v>5319</v>
      </c>
      <c r="G6479" t="s">
        <v>1644</v>
      </c>
      <c r="H6479">
        <v>7</v>
      </c>
      <c r="I6479">
        <v>78.28</v>
      </c>
      <c r="J6479" s="50">
        <v>547.96</v>
      </c>
      <c r="K6479" t="s">
        <v>1618</v>
      </c>
      <c r="M6479" t="s">
        <v>1627</v>
      </c>
      <c r="N6479">
        <v>41.31</v>
      </c>
      <c r="O6479" s="49">
        <v>45182</v>
      </c>
      <c r="P6479" s="50">
        <v>246.58200000000002</v>
      </c>
    </row>
    <row r="6480" spans="4:16" x14ac:dyDescent="0.2">
      <c r="D6480">
        <v>100003858</v>
      </c>
      <c r="E6480" s="49">
        <v>44735</v>
      </c>
      <c r="F6480" t="s">
        <v>5319</v>
      </c>
      <c r="G6480" t="s">
        <v>2328</v>
      </c>
      <c r="H6480">
        <v>1</v>
      </c>
      <c r="I6480">
        <v>16.55</v>
      </c>
      <c r="J6480" s="50">
        <v>16.55</v>
      </c>
      <c r="K6480" t="s">
        <v>1618</v>
      </c>
      <c r="M6480" t="s">
        <v>1619</v>
      </c>
      <c r="N6480">
        <v>8.73</v>
      </c>
      <c r="O6480" s="49">
        <v>44737</v>
      </c>
      <c r="P6480" s="50">
        <v>7.4475000000000007</v>
      </c>
    </row>
    <row r="6481" spans="4:16" x14ac:dyDescent="0.2">
      <c r="D6481">
        <v>100003858</v>
      </c>
      <c r="E6481" s="49">
        <v>45529</v>
      </c>
      <c r="F6481" t="s">
        <v>5319</v>
      </c>
      <c r="G6481" t="s">
        <v>2174</v>
      </c>
      <c r="H6481">
        <v>6</v>
      </c>
      <c r="I6481">
        <v>32.24</v>
      </c>
      <c r="J6481" s="50">
        <v>193.44</v>
      </c>
      <c r="K6481" t="s">
        <v>1618</v>
      </c>
      <c r="M6481" t="s">
        <v>1629</v>
      </c>
      <c r="N6481">
        <v>17.02</v>
      </c>
      <c r="O6481" s="49">
        <v>45530</v>
      </c>
      <c r="P6481" s="50">
        <v>87.048000000000002</v>
      </c>
    </row>
    <row r="6482" spans="4:16" x14ac:dyDescent="0.2">
      <c r="D6482">
        <v>100003858</v>
      </c>
      <c r="E6482" s="49">
        <v>45556</v>
      </c>
      <c r="F6482" t="s">
        <v>5319</v>
      </c>
      <c r="G6482" t="s">
        <v>1738</v>
      </c>
      <c r="H6482">
        <v>6</v>
      </c>
      <c r="I6482">
        <v>109.77</v>
      </c>
      <c r="J6482" s="50">
        <v>658.62</v>
      </c>
      <c r="K6482" t="s">
        <v>1618</v>
      </c>
      <c r="M6482" t="s">
        <v>1624</v>
      </c>
      <c r="N6482">
        <v>57.93</v>
      </c>
      <c r="O6482" s="49">
        <v>45559</v>
      </c>
      <c r="P6482" s="50">
        <v>296.37900000000002</v>
      </c>
    </row>
    <row r="6483" spans="4:16" x14ac:dyDescent="0.2">
      <c r="D6483">
        <v>100003858</v>
      </c>
      <c r="E6483" s="49">
        <v>45204</v>
      </c>
      <c r="F6483" t="s">
        <v>5319</v>
      </c>
      <c r="G6483" t="s">
        <v>2112</v>
      </c>
      <c r="H6483">
        <v>7</v>
      </c>
      <c r="I6483">
        <v>112.22</v>
      </c>
      <c r="J6483" s="50">
        <v>785.54</v>
      </c>
      <c r="K6483" t="s">
        <v>1618</v>
      </c>
      <c r="M6483" t="s">
        <v>1621</v>
      </c>
      <c r="N6483">
        <v>59.23</v>
      </c>
      <c r="O6483" s="49">
        <v>45206</v>
      </c>
      <c r="P6483" s="50">
        <v>353.49299999999999</v>
      </c>
    </row>
    <row r="6484" spans="4:16" x14ac:dyDescent="0.2">
      <c r="D6484">
        <v>100003858</v>
      </c>
      <c r="E6484" s="49">
        <v>44586</v>
      </c>
      <c r="F6484" t="s">
        <v>5319</v>
      </c>
      <c r="G6484" t="s">
        <v>1831</v>
      </c>
      <c r="H6484">
        <v>10</v>
      </c>
      <c r="I6484">
        <v>25.3</v>
      </c>
      <c r="J6484" s="50">
        <v>253</v>
      </c>
      <c r="K6484" t="s">
        <v>1618</v>
      </c>
      <c r="M6484" t="s">
        <v>1621</v>
      </c>
      <c r="N6484">
        <v>13.35</v>
      </c>
      <c r="O6484" s="49">
        <v>44590</v>
      </c>
      <c r="P6484" s="50">
        <v>113.85000000000001</v>
      </c>
    </row>
    <row r="6485" spans="4:16" x14ac:dyDescent="0.2">
      <c r="D6485">
        <v>100003858</v>
      </c>
      <c r="E6485" s="49">
        <v>45259</v>
      </c>
      <c r="F6485" t="s">
        <v>5319</v>
      </c>
      <c r="G6485" t="s">
        <v>2136</v>
      </c>
      <c r="H6485">
        <v>4</v>
      </c>
      <c r="I6485">
        <v>77.489999999999995</v>
      </c>
      <c r="J6485" s="50">
        <v>309.95999999999998</v>
      </c>
      <c r="K6485" t="s">
        <v>1618</v>
      </c>
      <c r="M6485" t="s">
        <v>1621</v>
      </c>
      <c r="N6485">
        <v>40.9</v>
      </c>
      <c r="O6485" s="49">
        <v>45261</v>
      </c>
      <c r="P6485" s="50">
        <v>139.482</v>
      </c>
    </row>
    <row r="6486" spans="4:16" x14ac:dyDescent="0.2">
      <c r="D6486">
        <v>100003859</v>
      </c>
      <c r="E6486" s="49">
        <v>44570</v>
      </c>
      <c r="F6486" t="s">
        <v>5320</v>
      </c>
      <c r="G6486" t="s">
        <v>1648</v>
      </c>
      <c r="H6486">
        <v>8</v>
      </c>
      <c r="I6486">
        <v>30.28</v>
      </c>
      <c r="J6486" s="50">
        <v>242.24</v>
      </c>
      <c r="K6486" t="s">
        <v>1618</v>
      </c>
      <c r="M6486" t="s">
        <v>1621</v>
      </c>
      <c r="N6486">
        <v>15.98</v>
      </c>
      <c r="O6486" s="49">
        <v>44574</v>
      </c>
      <c r="P6486" s="50">
        <v>109.00800000000001</v>
      </c>
    </row>
    <row r="6487" spans="4:16" x14ac:dyDescent="0.2">
      <c r="D6487">
        <v>100003859</v>
      </c>
      <c r="E6487" s="49">
        <v>45039</v>
      </c>
      <c r="F6487" t="s">
        <v>5320</v>
      </c>
      <c r="G6487" t="s">
        <v>1805</v>
      </c>
      <c r="H6487">
        <v>2</v>
      </c>
      <c r="I6487">
        <v>114.83</v>
      </c>
      <c r="J6487" s="50">
        <v>229.66</v>
      </c>
      <c r="K6487" t="s">
        <v>1618</v>
      </c>
      <c r="M6487" t="s">
        <v>1621</v>
      </c>
      <c r="N6487">
        <v>60.6</v>
      </c>
      <c r="O6487" s="49">
        <v>45044</v>
      </c>
      <c r="P6487" s="50">
        <v>103.34699999999999</v>
      </c>
    </row>
    <row r="6488" spans="4:16" x14ac:dyDescent="0.2">
      <c r="D6488">
        <v>100003861</v>
      </c>
      <c r="E6488" s="49">
        <v>44478</v>
      </c>
      <c r="F6488" t="s">
        <v>4059</v>
      </c>
      <c r="G6488" t="s">
        <v>2263</v>
      </c>
      <c r="H6488">
        <v>6</v>
      </c>
      <c r="I6488">
        <v>62.89</v>
      </c>
      <c r="J6488" s="50">
        <v>377.34</v>
      </c>
      <c r="K6488" t="s">
        <v>1618</v>
      </c>
      <c r="M6488" t="s">
        <v>1629</v>
      </c>
      <c r="N6488">
        <v>33.19</v>
      </c>
      <c r="O6488" s="49">
        <v>44479</v>
      </c>
      <c r="P6488" s="50">
        <v>169.803</v>
      </c>
    </row>
    <row r="6489" spans="4:16" x14ac:dyDescent="0.2">
      <c r="D6489">
        <v>100003861</v>
      </c>
      <c r="E6489" s="49">
        <v>45264</v>
      </c>
      <c r="F6489" t="s">
        <v>4059</v>
      </c>
      <c r="G6489" t="s">
        <v>2096</v>
      </c>
      <c r="H6489">
        <v>1</v>
      </c>
      <c r="I6489">
        <v>115.28</v>
      </c>
      <c r="J6489" s="50">
        <v>115.28</v>
      </c>
      <c r="K6489" t="s">
        <v>1618</v>
      </c>
      <c r="M6489" t="s">
        <v>1624</v>
      </c>
      <c r="N6489">
        <v>60.84</v>
      </c>
      <c r="O6489" s="49">
        <v>45269</v>
      </c>
      <c r="P6489" s="50">
        <v>51.876000000000005</v>
      </c>
    </row>
    <row r="6490" spans="4:16" x14ac:dyDescent="0.2">
      <c r="D6490">
        <v>100003861</v>
      </c>
      <c r="E6490" s="49">
        <v>44667</v>
      </c>
      <c r="F6490" t="s">
        <v>4059</v>
      </c>
      <c r="G6490" t="s">
        <v>1859</v>
      </c>
      <c r="H6490">
        <v>6</v>
      </c>
      <c r="I6490">
        <v>34.82</v>
      </c>
      <c r="J6490" s="50">
        <v>208.92</v>
      </c>
      <c r="K6490" t="s">
        <v>1618</v>
      </c>
      <c r="M6490" t="s">
        <v>1621</v>
      </c>
      <c r="N6490">
        <v>18.38</v>
      </c>
      <c r="O6490" s="49">
        <v>44668</v>
      </c>
      <c r="P6490" s="50">
        <v>94.013999999999996</v>
      </c>
    </row>
    <row r="6491" spans="4:16" x14ac:dyDescent="0.2">
      <c r="D6491">
        <v>100003861</v>
      </c>
      <c r="E6491" s="49">
        <v>44310</v>
      </c>
      <c r="F6491" t="s">
        <v>4059</v>
      </c>
      <c r="G6491" t="s">
        <v>2302</v>
      </c>
      <c r="H6491">
        <v>2</v>
      </c>
      <c r="I6491">
        <v>99.06</v>
      </c>
      <c r="J6491" s="50">
        <v>198.12</v>
      </c>
      <c r="K6491" t="s">
        <v>1618</v>
      </c>
      <c r="M6491" t="s">
        <v>1629</v>
      </c>
      <c r="N6491">
        <v>52.28</v>
      </c>
      <c r="O6491" s="49">
        <v>44313</v>
      </c>
      <c r="P6491" s="50">
        <v>89.154000000000011</v>
      </c>
    </row>
    <row r="6492" spans="4:16" x14ac:dyDescent="0.2">
      <c r="D6492">
        <v>100003862</v>
      </c>
      <c r="E6492" s="49">
        <v>45413</v>
      </c>
      <c r="F6492" t="s">
        <v>5321</v>
      </c>
      <c r="G6492" t="s">
        <v>2071</v>
      </c>
      <c r="H6492">
        <v>8</v>
      </c>
      <c r="I6492">
        <v>26.07</v>
      </c>
      <c r="J6492" s="50">
        <v>208.56</v>
      </c>
      <c r="K6492" t="s">
        <v>1618</v>
      </c>
      <c r="M6492" t="s">
        <v>1624</v>
      </c>
      <c r="N6492">
        <v>13.76</v>
      </c>
      <c r="O6492" s="49">
        <v>45418</v>
      </c>
      <c r="P6492" s="50">
        <v>93.852000000000004</v>
      </c>
    </row>
    <row r="6493" spans="4:16" x14ac:dyDescent="0.2">
      <c r="D6493">
        <v>100003863</v>
      </c>
      <c r="E6493" s="49">
        <v>44671</v>
      </c>
      <c r="F6493" t="s">
        <v>5322</v>
      </c>
      <c r="G6493" t="s">
        <v>2485</v>
      </c>
      <c r="H6493">
        <v>10</v>
      </c>
      <c r="I6493">
        <v>107.95</v>
      </c>
      <c r="J6493" s="50">
        <v>1079.5</v>
      </c>
      <c r="K6493" t="s">
        <v>1618</v>
      </c>
      <c r="L6493" t="s">
        <v>5323</v>
      </c>
      <c r="M6493" t="s">
        <v>1627</v>
      </c>
      <c r="N6493">
        <v>56.97</v>
      </c>
      <c r="O6493" s="49">
        <v>44676</v>
      </c>
      <c r="P6493" s="50">
        <v>485.77500000000003</v>
      </c>
    </row>
    <row r="6494" spans="4:16" x14ac:dyDescent="0.2">
      <c r="D6494">
        <v>100003863</v>
      </c>
      <c r="E6494" s="49">
        <v>44474</v>
      </c>
      <c r="F6494" t="s">
        <v>5322</v>
      </c>
      <c r="G6494" t="s">
        <v>2302</v>
      </c>
      <c r="H6494">
        <v>7</v>
      </c>
      <c r="I6494">
        <v>51.2</v>
      </c>
      <c r="J6494" s="50">
        <v>358.4</v>
      </c>
      <c r="K6494" t="s">
        <v>1618</v>
      </c>
      <c r="L6494" t="s">
        <v>5323</v>
      </c>
      <c r="M6494" t="s">
        <v>1621</v>
      </c>
      <c r="N6494">
        <v>27.02</v>
      </c>
      <c r="O6494" s="49">
        <v>44478</v>
      </c>
      <c r="P6494" s="50">
        <v>161.28</v>
      </c>
    </row>
    <row r="6495" spans="4:16" x14ac:dyDescent="0.2">
      <c r="D6495">
        <v>100003866</v>
      </c>
      <c r="E6495" s="49">
        <v>44724</v>
      </c>
      <c r="F6495" t="s">
        <v>5324</v>
      </c>
      <c r="G6495" t="s">
        <v>2210</v>
      </c>
      <c r="H6495">
        <v>4</v>
      </c>
      <c r="I6495">
        <v>81.42</v>
      </c>
      <c r="J6495" s="50">
        <v>325.68</v>
      </c>
      <c r="K6495" t="s">
        <v>1618</v>
      </c>
      <c r="M6495" t="s">
        <v>1621</v>
      </c>
      <c r="N6495">
        <v>42.97</v>
      </c>
      <c r="O6495" s="49">
        <v>44729</v>
      </c>
      <c r="P6495" s="50">
        <v>146.55600000000001</v>
      </c>
    </row>
    <row r="6496" spans="4:16" x14ac:dyDescent="0.2">
      <c r="D6496">
        <v>100003866</v>
      </c>
      <c r="E6496" s="49">
        <v>45114</v>
      </c>
      <c r="F6496" t="s">
        <v>5324</v>
      </c>
      <c r="G6496" t="s">
        <v>1641</v>
      </c>
      <c r="H6496">
        <v>1</v>
      </c>
      <c r="I6496">
        <v>104.19</v>
      </c>
      <c r="J6496" s="50">
        <v>104.19</v>
      </c>
      <c r="K6496" t="s">
        <v>1618</v>
      </c>
      <c r="M6496" t="s">
        <v>1627</v>
      </c>
      <c r="N6496">
        <v>54.99</v>
      </c>
      <c r="O6496" s="49">
        <v>45119</v>
      </c>
      <c r="P6496" s="50">
        <v>46.8855</v>
      </c>
    </row>
    <row r="6497" spans="4:16" x14ac:dyDescent="0.2">
      <c r="D6497">
        <v>100003867</v>
      </c>
      <c r="E6497" s="49">
        <v>45373</v>
      </c>
      <c r="F6497" t="s">
        <v>5325</v>
      </c>
      <c r="G6497" t="s">
        <v>2357</v>
      </c>
      <c r="H6497">
        <v>5</v>
      </c>
      <c r="I6497">
        <v>61.28</v>
      </c>
      <c r="J6497" s="50">
        <v>306.39999999999998</v>
      </c>
      <c r="K6497" t="s">
        <v>1618</v>
      </c>
      <c r="M6497" t="s">
        <v>1619</v>
      </c>
      <c r="N6497">
        <v>32.340000000000003</v>
      </c>
      <c r="O6497" s="49">
        <v>45377</v>
      </c>
      <c r="P6497" s="50">
        <v>137.88</v>
      </c>
    </row>
    <row r="6498" spans="4:16" x14ac:dyDescent="0.2">
      <c r="D6498">
        <v>100003869</v>
      </c>
      <c r="E6498" s="49">
        <v>44768</v>
      </c>
      <c r="F6498" t="s">
        <v>5326</v>
      </c>
      <c r="G6498" t="s">
        <v>1808</v>
      </c>
      <c r="H6498">
        <v>4</v>
      </c>
      <c r="I6498">
        <v>74.900000000000006</v>
      </c>
      <c r="J6498" s="50">
        <v>299.60000000000002</v>
      </c>
      <c r="K6498" t="s">
        <v>1618</v>
      </c>
      <c r="M6498" t="s">
        <v>1629</v>
      </c>
      <c r="N6498">
        <v>39.53</v>
      </c>
      <c r="O6498" s="49">
        <v>44770</v>
      </c>
      <c r="P6498" s="50">
        <v>134.82000000000002</v>
      </c>
    </row>
    <row r="6499" spans="4:16" x14ac:dyDescent="0.2">
      <c r="D6499">
        <v>100003870</v>
      </c>
      <c r="E6499" s="49">
        <v>44801</v>
      </c>
      <c r="F6499" t="s">
        <v>5327</v>
      </c>
      <c r="G6499" t="s">
        <v>2480</v>
      </c>
      <c r="H6499">
        <v>4</v>
      </c>
      <c r="I6499">
        <v>83.92</v>
      </c>
      <c r="J6499" s="50">
        <v>335.68</v>
      </c>
      <c r="K6499" t="s">
        <v>1618</v>
      </c>
      <c r="M6499" t="s">
        <v>1629</v>
      </c>
      <c r="N6499">
        <v>44.29</v>
      </c>
      <c r="O6499" s="49">
        <v>44803</v>
      </c>
      <c r="P6499" s="50">
        <v>151.05600000000001</v>
      </c>
    </row>
    <row r="6500" spans="4:16" x14ac:dyDescent="0.2">
      <c r="D6500">
        <v>100003871</v>
      </c>
      <c r="E6500" s="49">
        <v>44601</v>
      </c>
      <c r="F6500" t="s">
        <v>5328</v>
      </c>
      <c r="G6500" t="s">
        <v>1645</v>
      </c>
      <c r="H6500">
        <v>10</v>
      </c>
      <c r="I6500">
        <v>92.16</v>
      </c>
      <c r="J6500" s="50">
        <v>921.59999999999991</v>
      </c>
      <c r="K6500" t="s">
        <v>1618</v>
      </c>
      <c r="M6500" t="s">
        <v>1627</v>
      </c>
      <c r="N6500">
        <v>48.64</v>
      </c>
      <c r="O6500" s="49">
        <v>44604</v>
      </c>
      <c r="P6500" s="50">
        <v>414.71999999999997</v>
      </c>
    </row>
    <row r="6501" spans="4:16" x14ac:dyDescent="0.2">
      <c r="D6501">
        <v>100003872</v>
      </c>
      <c r="E6501" s="49">
        <v>45001</v>
      </c>
      <c r="F6501" t="s">
        <v>5329</v>
      </c>
      <c r="G6501" t="s">
        <v>1929</v>
      </c>
      <c r="H6501">
        <v>8</v>
      </c>
      <c r="I6501">
        <v>14.21</v>
      </c>
      <c r="J6501" s="50">
        <v>113.68</v>
      </c>
      <c r="K6501" t="s">
        <v>1618</v>
      </c>
      <c r="M6501" t="s">
        <v>1619</v>
      </c>
      <c r="N6501">
        <v>7.5</v>
      </c>
      <c r="O6501" s="49">
        <v>45006</v>
      </c>
      <c r="P6501" s="50">
        <v>51.156000000000006</v>
      </c>
    </row>
    <row r="6502" spans="4:16" x14ac:dyDescent="0.2">
      <c r="D6502">
        <v>100003873</v>
      </c>
      <c r="E6502" s="49">
        <v>44667</v>
      </c>
      <c r="F6502" t="s">
        <v>5330</v>
      </c>
      <c r="G6502" t="s">
        <v>2323</v>
      </c>
      <c r="H6502">
        <v>9</v>
      </c>
      <c r="I6502">
        <v>115.32</v>
      </c>
      <c r="J6502" s="50">
        <v>1037.8800000000001</v>
      </c>
      <c r="K6502" t="s">
        <v>1632</v>
      </c>
      <c r="M6502" t="s">
        <v>1627</v>
      </c>
      <c r="N6502">
        <v>60.86</v>
      </c>
      <c r="O6502" s="49">
        <v>44672</v>
      </c>
      <c r="P6502" s="50">
        <v>467.04600000000005</v>
      </c>
    </row>
    <row r="6503" spans="4:16" x14ac:dyDescent="0.2">
      <c r="D6503">
        <v>100003874</v>
      </c>
      <c r="E6503" s="49">
        <v>44576</v>
      </c>
      <c r="F6503" t="s">
        <v>5331</v>
      </c>
      <c r="G6503" t="s">
        <v>2269</v>
      </c>
      <c r="H6503">
        <v>9</v>
      </c>
      <c r="I6503">
        <v>60.45</v>
      </c>
      <c r="J6503" s="50">
        <v>544.05000000000007</v>
      </c>
      <c r="K6503" t="s">
        <v>1618</v>
      </c>
      <c r="M6503" t="s">
        <v>1627</v>
      </c>
      <c r="N6503">
        <v>31.9</v>
      </c>
      <c r="O6503" s="49">
        <v>44577</v>
      </c>
      <c r="P6503" s="50">
        <v>244.82250000000005</v>
      </c>
    </row>
    <row r="6504" spans="4:16" x14ac:dyDescent="0.2">
      <c r="D6504">
        <v>100003874</v>
      </c>
      <c r="E6504" s="49">
        <v>44863</v>
      </c>
      <c r="F6504" t="s">
        <v>5331</v>
      </c>
      <c r="G6504" t="s">
        <v>1902</v>
      </c>
      <c r="H6504">
        <v>1</v>
      </c>
      <c r="I6504">
        <v>89.11</v>
      </c>
      <c r="J6504" s="50">
        <v>89.11</v>
      </c>
      <c r="K6504" t="s">
        <v>1618</v>
      </c>
      <c r="M6504" t="s">
        <v>1624</v>
      </c>
      <c r="N6504">
        <v>47.03</v>
      </c>
      <c r="O6504" s="49">
        <v>44866</v>
      </c>
      <c r="P6504" s="50">
        <v>40.099499999999999</v>
      </c>
    </row>
    <row r="6505" spans="4:16" x14ac:dyDescent="0.2">
      <c r="D6505">
        <v>100003875</v>
      </c>
      <c r="E6505" s="49">
        <v>45353</v>
      </c>
      <c r="F6505" t="s">
        <v>5332</v>
      </c>
      <c r="G6505" t="s">
        <v>1647</v>
      </c>
      <c r="H6505">
        <v>8</v>
      </c>
      <c r="I6505">
        <v>91.83</v>
      </c>
      <c r="J6505" s="50">
        <v>734.64</v>
      </c>
      <c r="K6505" t="s">
        <v>1618</v>
      </c>
      <c r="M6505" t="s">
        <v>1624</v>
      </c>
      <c r="N6505">
        <v>48.47</v>
      </c>
      <c r="O6505" s="49">
        <v>45355</v>
      </c>
      <c r="P6505" s="50">
        <v>330.58800000000002</v>
      </c>
    </row>
    <row r="6506" spans="4:16" x14ac:dyDescent="0.2">
      <c r="D6506">
        <v>100003875</v>
      </c>
      <c r="E6506" s="49">
        <v>44590</v>
      </c>
      <c r="F6506" t="s">
        <v>5332</v>
      </c>
      <c r="G6506" t="s">
        <v>1726</v>
      </c>
      <c r="H6506">
        <v>5</v>
      </c>
      <c r="I6506">
        <v>45.81</v>
      </c>
      <c r="J6506" s="50">
        <v>229.05</v>
      </c>
      <c r="K6506" t="s">
        <v>1618</v>
      </c>
      <c r="M6506" t="s">
        <v>1629</v>
      </c>
      <c r="N6506">
        <v>24.18</v>
      </c>
      <c r="O6506" s="49">
        <v>44594</v>
      </c>
      <c r="P6506" s="50">
        <v>103.07250000000001</v>
      </c>
    </row>
    <row r="6507" spans="4:16" x14ac:dyDescent="0.2">
      <c r="D6507">
        <v>100003876</v>
      </c>
      <c r="E6507" s="49">
        <v>44335</v>
      </c>
      <c r="F6507" t="s">
        <v>2890</v>
      </c>
      <c r="G6507" t="s">
        <v>1910</v>
      </c>
      <c r="H6507">
        <v>5</v>
      </c>
      <c r="I6507">
        <v>107.5</v>
      </c>
      <c r="J6507" s="50">
        <v>537.5</v>
      </c>
      <c r="K6507" t="s">
        <v>1618</v>
      </c>
      <c r="M6507" t="s">
        <v>1619</v>
      </c>
      <c r="N6507">
        <v>56.74</v>
      </c>
      <c r="O6507" s="49">
        <v>44340</v>
      </c>
      <c r="P6507" s="50">
        <v>241.875</v>
      </c>
    </row>
    <row r="6508" spans="4:16" x14ac:dyDescent="0.2">
      <c r="D6508">
        <v>100003877</v>
      </c>
      <c r="E6508" s="49">
        <v>45253</v>
      </c>
      <c r="F6508" t="s">
        <v>5333</v>
      </c>
      <c r="G6508" t="s">
        <v>1639</v>
      </c>
      <c r="H6508">
        <v>3</v>
      </c>
      <c r="I6508">
        <v>104.56</v>
      </c>
      <c r="J6508" s="50">
        <v>313.68</v>
      </c>
      <c r="K6508" t="s">
        <v>1618</v>
      </c>
      <c r="M6508" t="s">
        <v>1627</v>
      </c>
      <c r="N6508">
        <v>55.18</v>
      </c>
      <c r="O6508" s="49">
        <v>45254</v>
      </c>
      <c r="P6508" s="50">
        <v>141.15600000000001</v>
      </c>
    </row>
    <row r="6509" spans="4:16" x14ac:dyDescent="0.2">
      <c r="D6509">
        <v>100003877</v>
      </c>
      <c r="E6509" s="49">
        <v>45435</v>
      </c>
      <c r="F6509" t="s">
        <v>5333</v>
      </c>
      <c r="G6509" t="s">
        <v>1669</v>
      </c>
      <c r="H6509">
        <v>6</v>
      </c>
      <c r="I6509">
        <v>49.6</v>
      </c>
      <c r="J6509" s="50">
        <v>297.60000000000002</v>
      </c>
      <c r="K6509" t="s">
        <v>1618</v>
      </c>
      <c r="M6509" t="s">
        <v>1629</v>
      </c>
      <c r="N6509">
        <v>26.18</v>
      </c>
      <c r="O6509" s="49">
        <v>45436</v>
      </c>
      <c r="P6509" s="50">
        <v>133.92000000000002</v>
      </c>
    </row>
    <row r="6510" spans="4:16" x14ac:dyDescent="0.2">
      <c r="D6510">
        <v>100003877</v>
      </c>
      <c r="E6510" s="49">
        <v>45445</v>
      </c>
      <c r="F6510" t="s">
        <v>5333</v>
      </c>
      <c r="G6510" t="s">
        <v>1705</v>
      </c>
      <c r="H6510">
        <v>2</v>
      </c>
      <c r="I6510">
        <v>59.3</v>
      </c>
      <c r="J6510" s="50">
        <v>118.6</v>
      </c>
      <c r="K6510" t="s">
        <v>1618</v>
      </c>
      <c r="M6510" t="s">
        <v>1624</v>
      </c>
      <c r="N6510">
        <v>31.3</v>
      </c>
      <c r="O6510" s="49">
        <v>45450</v>
      </c>
      <c r="P6510" s="50">
        <v>53.37</v>
      </c>
    </row>
    <row r="6511" spans="4:16" x14ac:dyDescent="0.2">
      <c r="D6511">
        <v>100003878</v>
      </c>
      <c r="E6511" s="49">
        <v>44715</v>
      </c>
      <c r="F6511" t="s">
        <v>5334</v>
      </c>
      <c r="G6511" t="s">
        <v>2217</v>
      </c>
      <c r="H6511">
        <v>10</v>
      </c>
      <c r="I6511">
        <v>86.03</v>
      </c>
      <c r="J6511" s="50">
        <v>860.3</v>
      </c>
      <c r="K6511" t="s">
        <v>1618</v>
      </c>
      <c r="M6511" t="s">
        <v>1619</v>
      </c>
      <c r="N6511">
        <v>45.4</v>
      </c>
      <c r="O6511" s="49">
        <v>44718</v>
      </c>
      <c r="P6511" s="50">
        <v>387.13499999999999</v>
      </c>
    </row>
    <row r="6512" spans="4:16" x14ac:dyDescent="0.2">
      <c r="D6512">
        <v>100003878</v>
      </c>
      <c r="E6512" s="49">
        <v>44355</v>
      </c>
      <c r="F6512" t="s">
        <v>5334</v>
      </c>
      <c r="G6512" t="s">
        <v>3075</v>
      </c>
      <c r="H6512">
        <v>1</v>
      </c>
      <c r="I6512">
        <v>70.739999999999995</v>
      </c>
      <c r="J6512" s="50">
        <v>70.739999999999995</v>
      </c>
      <c r="K6512" t="s">
        <v>1618</v>
      </c>
      <c r="M6512" t="s">
        <v>1621</v>
      </c>
      <c r="N6512">
        <v>37.33</v>
      </c>
      <c r="O6512" s="49">
        <v>44360</v>
      </c>
      <c r="P6512" s="50">
        <v>31.832999999999998</v>
      </c>
    </row>
    <row r="6513" spans="4:16" x14ac:dyDescent="0.2">
      <c r="D6513">
        <v>100003879</v>
      </c>
      <c r="E6513" s="49">
        <v>45489</v>
      </c>
      <c r="F6513" t="s">
        <v>5335</v>
      </c>
      <c r="G6513" t="s">
        <v>1973</v>
      </c>
      <c r="H6513">
        <v>3</v>
      </c>
      <c r="I6513">
        <v>54.76</v>
      </c>
      <c r="J6513" s="50">
        <v>164.28</v>
      </c>
      <c r="K6513" t="s">
        <v>1632</v>
      </c>
      <c r="M6513" t="s">
        <v>1619</v>
      </c>
      <c r="N6513">
        <v>28.9</v>
      </c>
      <c r="O6513" s="49">
        <v>45492</v>
      </c>
      <c r="P6513" s="50">
        <v>73.926000000000002</v>
      </c>
    </row>
    <row r="6514" spans="4:16" x14ac:dyDescent="0.2">
      <c r="D6514">
        <v>100003879</v>
      </c>
      <c r="E6514" s="49">
        <v>44580</v>
      </c>
      <c r="F6514" t="s">
        <v>5335</v>
      </c>
      <c r="G6514" t="s">
        <v>1649</v>
      </c>
      <c r="H6514">
        <v>1</v>
      </c>
      <c r="I6514">
        <v>48.81</v>
      </c>
      <c r="J6514" s="50">
        <v>48.81</v>
      </c>
      <c r="K6514" t="s">
        <v>1632</v>
      </c>
      <c r="M6514" t="s">
        <v>1619</v>
      </c>
      <c r="N6514">
        <v>25.76</v>
      </c>
      <c r="O6514" s="49">
        <v>44583</v>
      </c>
      <c r="P6514" s="50">
        <v>21.964500000000001</v>
      </c>
    </row>
    <row r="6515" spans="4:16" x14ac:dyDescent="0.2">
      <c r="D6515">
        <v>100003879</v>
      </c>
      <c r="E6515" s="49">
        <v>44840</v>
      </c>
      <c r="F6515" t="s">
        <v>5335</v>
      </c>
      <c r="G6515" t="s">
        <v>1802</v>
      </c>
      <c r="H6515">
        <v>10</v>
      </c>
      <c r="I6515">
        <v>26.97</v>
      </c>
      <c r="J6515" s="50">
        <v>269.7</v>
      </c>
      <c r="K6515" t="s">
        <v>1632</v>
      </c>
      <c r="M6515" t="s">
        <v>1629</v>
      </c>
      <c r="N6515">
        <v>14.23</v>
      </c>
      <c r="O6515" s="49">
        <v>44844</v>
      </c>
      <c r="P6515" s="50">
        <v>121.36499999999999</v>
      </c>
    </row>
    <row r="6516" spans="4:16" x14ac:dyDescent="0.2">
      <c r="D6516">
        <v>100003880</v>
      </c>
      <c r="E6516" s="49">
        <v>44199</v>
      </c>
      <c r="F6516" t="s">
        <v>5336</v>
      </c>
      <c r="G6516" t="s">
        <v>2079</v>
      </c>
      <c r="H6516">
        <v>7</v>
      </c>
      <c r="I6516">
        <v>40.909999999999997</v>
      </c>
      <c r="J6516" s="50">
        <v>286.37</v>
      </c>
      <c r="K6516" t="s">
        <v>1632</v>
      </c>
      <c r="L6516" t="s">
        <v>3046</v>
      </c>
      <c r="M6516" t="s">
        <v>1621</v>
      </c>
      <c r="N6516">
        <v>21.59</v>
      </c>
      <c r="O6516" s="49">
        <v>44201</v>
      </c>
      <c r="P6516" s="50">
        <v>128.8665</v>
      </c>
    </row>
    <row r="6517" spans="4:16" x14ac:dyDescent="0.2">
      <c r="D6517">
        <v>100003880</v>
      </c>
      <c r="E6517" s="49">
        <v>44859</v>
      </c>
      <c r="F6517" t="s">
        <v>5336</v>
      </c>
      <c r="G6517" t="s">
        <v>1777</v>
      </c>
      <c r="H6517">
        <v>1</v>
      </c>
      <c r="I6517">
        <v>27.49</v>
      </c>
      <c r="J6517" s="50">
        <v>27.49</v>
      </c>
      <c r="K6517" t="s">
        <v>1632</v>
      </c>
      <c r="L6517" t="s">
        <v>3046</v>
      </c>
      <c r="M6517" t="s">
        <v>1624</v>
      </c>
      <c r="N6517">
        <v>14.51</v>
      </c>
      <c r="O6517" s="49">
        <v>44860</v>
      </c>
      <c r="P6517" s="50">
        <v>12.3705</v>
      </c>
    </row>
    <row r="6518" spans="4:16" x14ac:dyDescent="0.2">
      <c r="D6518">
        <v>100003882</v>
      </c>
      <c r="E6518" s="49">
        <v>44273</v>
      </c>
      <c r="F6518" t="s">
        <v>5337</v>
      </c>
      <c r="G6518" t="s">
        <v>1859</v>
      </c>
      <c r="H6518">
        <v>9</v>
      </c>
      <c r="I6518">
        <v>19.920000000000002</v>
      </c>
      <c r="J6518" s="50">
        <v>179.28</v>
      </c>
      <c r="K6518" t="s">
        <v>1618</v>
      </c>
      <c r="L6518" t="s">
        <v>5338</v>
      </c>
      <c r="M6518" t="s">
        <v>1624</v>
      </c>
      <c r="N6518">
        <v>10.51</v>
      </c>
      <c r="O6518" s="49">
        <v>44278</v>
      </c>
      <c r="P6518" s="50">
        <v>80.676000000000002</v>
      </c>
    </row>
    <row r="6519" spans="4:16" x14ac:dyDescent="0.2">
      <c r="D6519">
        <v>100003882</v>
      </c>
      <c r="E6519" s="49">
        <v>45544</v>
      </c>
      <c r="F6519" t="s">
        <v>5337</v>
      </c>
      <c r="G6519" t="s">
        <v>1976</v>
      </c>
      <c r="H6519">
        <v>1</v>
      </c>
      <c r="I6519">
        <v>53.05</v>
      </c>
      <c r="J6519" s="50">
        <v>53.05</v>
      </c>
      <c r="K6519" t="s">
        <v>1618</v>
      </c>
      <c r="L6519" t="s">
        <v>5338</v>
      </c>
      <c r="M6519" t="s">
        <v>1619</v>
      </c>
      <c r="N6519">
        <v>28</v>
      </c>
      <c r="O6519" s="49">
        <v>45546</v>
      </c>
      <c r="P6519" s="50">
        <v>23.872499999999999</v>
      </c>
    </row>
    <row r="6520" spans="4:16" x14ac:dyDescent="0.2">
      <c r="D6520">
        <v>100003883</v>
      </c>
      <c r="E6520" s="49">
        <v>45312</v>
      </c>
      <c r="F6520" t="s">
        <v>5339</v>
      </c>
      <c r="G6520" t="s">
        <v>1844</v>
      </c>
      <c r="H6520">
        <v>4</v>
      </c>
      <c r="I6520">
        <v>44.09</v>
      </c>
      <c r="J6520" s="50">
        <v>176.36</v>
      </c>
      <c r="K6520" t="s">
        <v>1618</v>
      </c>
      <c r="M6520" t="s">
        <v>1627</v>
      </c>
      <c r="N6520">
        <v>23.27</v>
      </c>
      <c r="O6520" s="49">
        <v>45314</v>
      </c>
      <c r="P6520" s="50">
        <v>79.362000000000009</v>
      </c>
    </row>
    <row r="6521" spans="4:16" x14ac:dyDescent="0.2">
      <c r="D6521">
        <v>100003884</v>
      </c>
      <c r="E6521" s="49">
        <v>44835</v>
      </c>
      <c r="F6521" t="s">
        <v>5340</v>
      </c>
      <c r="G6521" t="s">
        <v>1872</v>
      </c>
      <c r="H6521">
        <v>8</v>
      </c>
      <c r="I6521">
        <v>91.76</v>
      </c>
      <c r="J6521" s="50">
        <v>734.08</v>
      </c>
      <c r="K6521" t="s">
        <v>1632</v>
      </c>
      <c r="M6521" t="s">
        <v>1624</v>
      </c>
      <c r="N6521">
        <v>48.43</v>
      </c>
      <c r="O6521" s="49">
        <v>44837</v>
      </c>
      <c r="P6521" s="50">
        <v>330.33600000000001</v>
      </c>
    </row>
    <row r="6522" spans="4:16" x14ac:dyDescent="0.2">
      <c r="D6522">
        <v>100003884</v>
      </c>
      <c r="E6522" s="49">
        <v>45034</v>
      </c>
      <c r="F6522" t="s">
        <v>5340</v>
      </c>
      <c r="G6522" t="s">
        <v>2138</v>
      </c>
      <c r="H6522">
        <v>9</v>
      </c>
      <c r="I6522">
        <v>59.19</v>
      </c>
      <c r="J6522" s="50">
        <v>532.71</v>
      </c>
      <c r="K6522" t="s">
        <v>1632</v>
      </c>
      <c r="M6522" t="s">
        <v>1627</v>
      </c>
      <c r="N6522">
        <v>31.24</v>
      </c>
      <c r="O6522" s="49">
        <v>45037</v>
      </c>
      <c r="P6522" s="50">
        <v>239.71950000000001</v>
      </c>
    </row>
    <row r="6523" spans="4:16" x14ac:dyDescent="0.2">
      <c r="D6523">
        <v>100003886</v>
      </c>
      <c r="E6523" s="49">
        <v>44383</v>
      </c>
      <c r="F6523" t="s">
        <v>5341</v>
      </c>
      <c r="G6523" t="s">
        <v>1695</v>
      </c>
      <c r="H6523">
        <v>7</v>
      </c>
      <c r="I6523">
        <v>77.510000000000005</v>
      </c>
      <c r="J6523" s="50">
        <v>542.57000000000005</v>
      </c>
      <c r="K6523" t="s">
        <v>1618</v>
      </c>
      <c r="M6523" t="s">
        <v>1627</v>
      </c>
      <c r="N6523">
        <v>40.909999999999997</v>
      </c>
      <c r="O6523" s="49">
        <v>44385</v>
      </c>
      <c r="P6523" s="50">
        <v>244.15650000000002</v>
      </c>
    </row>
    <row r="6524" spans="4:16" x14ac:dyDescent="0.2">
      <c r="D6524">
        <v>100003886</v>
      </c>
      <c r="E6524" s="49">
        <v>44792</v>
      </c>
      <c r="F6524" t="s">
        <v>5341</v>
      </c>
      <c r="G6524" t="s">
        <v>2692</v>
      </c>
      <c r="H6524">
        <v>8</v>
      </c>
      <c r="I6524">
        <v>63.32</v>
      </c>
      <c r="J6524" s="50">
        <v>506.56</v>
      </c>
      <c r="K6524" t="s">
        <v>1618</v>
      </c>
      <c r="M6524" t="s">
        <v>1624</v>
      </c>
      <c r="N6524">
        <v>33.42</v>
      </c>
      <c r="O6524" s="49">
        <v>44795</v>
      </c>
      <c r="P6524" s="50">
        <v>227.952</v>
      </c>
    </row>
    <row r="6525" spans="4:16" x14ac:dyDescent="0.2">
      <c r="D6525">
        <v>100003887</v>
      </c>
      <c r="E6525" s="49">
        <v>45118</v>
      </c>
      <c r="F6525" t="s">
        <v>5342</v>
      </c>
      <c r="G6525" t="s">
        <v>2079</v>
      </c>
      <c r="H6525">
        <v>8</v>
      </c>
      <c r="I6525">
        <v>34.729999999999997</v>
      </c>
      <c r="J6525" s="50">
        <v>277.83999999999997</v>
      </c>
      <c r="K6525" t="s">
        <v>1618</v>
      </c>
      <c r="M6525" t="s">
        <v>1624</v>
      </c>
      <c r="N6525">
        <v>18.329999999999998</v>
      </c>
      <c r="O6525" s="49">
        <v>45123</v>
      </c>
      <c r="P6525" s="50">
        <v>125.02799999999999</v>
      </c>
    </row>
    <row r="6526" spans="4:16" x14ac:dyDescent="0.2">
      <c r="D6526">
        <v>100003887</v>
      </c>
      <c r="E6526" s="49">
        <v>44308</v>
      </c>
      <c r="F6526" t="s">
        <v>5342</v>
      </c>
      <c r="G6526" t="s">
        <v>1844</v>
      </c>
      <c r="H6526">
        <v>10</v>
      </c>
      <c r="I6526">
        <v>52.3</v>
      </c>
      <c r="J6526" s="50">
        <v>523</v>
      </c>
      <c r="K6526" t="s">
        <v>1618</v>
      </c>
      <c r="M6526" t="s">
        <v>1629</v>
      </c>
      <c r="N6526">
        <v>27.6</v>
      </c>
      <c r="O6526" s="49">
        <v>44311</v>
      </c>
      <c r="P6526" s="50">
        <v>235.35</v>
      </c>
    </row>
    <row r="6527" spans="4:16" x14ac:dyDescent="0.2">
      <c r="D6527">
        <v>100003888</v>
      </c>
      <c r="E6527" s="49">
        <v>44239</v>
      </c>
      <c r="F6527" t="s">
        <v>4768</v>
      </c>
      <c r="G6527" t="s">
        <v>2145</v>
      </c>
      <c r="H6527">
        <v>7</v>
      </c>
      <c r="I6527">
        <v>101.92</v>
      </c>
      <c r="J6527" s="50">
        <v>713.44</v>
      </c>
      <c r="K6527" t="s">
        <v>1632</v>
      </c>
      <c r="M6527" t="s">
        <v>1621</v>
      </c>
      <c r="N6527">
        <v>53.79</v>
      </c>
      <c r="O6527" s="49">
        <v>44243</v>
      </c>
      <c r="P6527" s="50">
        <v>321.04800000000006</v>
      </c>
    </row>
    <row r="6528" spans="4:16" x14ac:dyDescent="0.2">
      <c r="D6528">
        <v>100003889</v>
      </c>
      <c r="E6528" s="49">
        <v>44806</v>
      </c>
      <c r="F6528" t="s">
        <v>5343</v>
      </c>
      <c r="G6528" t="s">
        <v>2633</v>
      </c>
      <c r="H6528">
        <v>8</v>
      </c>
      <c r="I6528">
        <v>83.43</v>
      </c>
      <c r="J6528" s="50">
        <v>667.44</v>
      </c>
      <c r="K6528" t="s">
        <v>1632</v>
      </c>
      <c r="L6528" t="s">
        <v>5291</v>
      </c>
      <c r="M6528" t="s">
        <v>1629</v>
      </c>
      <c r="N6528">
        <v>44.03</v>
      </c>
      <c r="O6528" s="49">
        <v>44811</v>
      </c>
      <c r="P6528" s="50">
        <v>300.34800000000001</v>
      </c>
    </row>
    <row r="6529" spans="4:16" x14ac:dyDescent="0.2">
      <c r="D6529">
        <v>100003889</v>
      </c>
      <c r="E6529" s="49">
        <v>44564</v>
      </c>
      <c r="F6529" t="s">
        <v>5343</v>
      </c>
      <c r="G6529" t="s">
        <v>2230</v>
      </c>
      <c r="H6529">
        <v>10</v>
      </c>
      <c r="I6529">
        <v>29.29</v>
      </c>
      <c r="J6529" s="50">
        <v>292.89999999999998</v>
      </c>
      <c r="K6529" t="s">
        <v>1632</v>
      </c>
      <c r="L6529" t="s">
        <v>5291</v>
      </c>
      <c r="M6529" t="s">
        <v>1621</v>
      </c>
      <c r="N6529">
        <v>15.46</v>
      </c>
      <c r="O6529" s="49">
        <v>44566</v>
      </c>
      <c r="P6529" s="50">
        <v>131.80500000000001</v>
      </c>
    </row>
    <row r="6530" spans="4:16" x14ac:dyDescent="0.2">
      <c r="D6530">
        <v>100003890</v>
      </c>
      <c r="E6530" s="49">
        <v>44639</v>
      </c>
      <c r="F6530" t="s">
        <v>5344</v>
      </c>
      <c r="G6530" t="s">
        <v>2069</v>
      </c>
      <c r="H6530">
        <v>4</v>
      </c>
      <c r="I6530">
        <v>14.93</v>
      </c>
      <c r="J6530" s="50">
        <v>59.72</v>
      </c>
      <c r="K6530" t="s">
        <v>1618</v>
      </c>
      <c r="M6530" t="s">
        <v>1624</v>
      </c>
      <c r="N6530">
        <v>7.88</v>
      </c>
      <c r="O6530" s="49">
        <v>44641</v>
      </c>
      <c r="P6530" s="50">
        <v>26.873999999999999</v>
      </c>
    </row>
    <row r="6531" spans="4:16" x14ac:dyDescent="0.2">
      <c r="D6531">
        <v>100003890</v>
      </c>
      <c r="E6531" s="49">
        <v>44621</v>
      </c>
      <c r="F6531" t="s">
        <v>5344</v>
      </c>
      <c r="G6531" t="s">
        <v>1664</v>
      </c>
      <c r="H6531">
        <v>1</v>
      </c>
      <c r="I6531">
        <v>38.020000000000003</v>
      </c>
      <c r="J6531" s="50">
        <v>38.020000000000003</v>
      </c>
      <c r="K6531" t="s">
        <v>1618</v>
      </c>
      <c r="M6531" t="s">
        <v>1621</v>
      </c>
      <c r="N6531">
        <v>20.07</v>
      </c>
      <c r="O6531" s="49">
        <v>44623</v>
      </c>
      <c r="P6531" s="50">
        <v>17.109000000000002</v>
      </c>
    </row>
    <row r="6532" spans="4:16" x14ac:dyDescent="0.2">
      <c r="D6532">
        <v>100003891</v>
      </c>
      <c r="E6532" s="49">
        <v>44388</v>
      </c>
      <c r="F6532" t="s">
        <v>5345</v>
      </c>
      <c r="G6532" t="s">
        <v>1762</v>
      </c>
      <c r="H6532">
        <v>6</v>
      </c>
      <c r="I6532">
        <v>50.44</v>
      </c>
      <c r="J6532" s="50">
        <v>302.64</v>
      </c>
      <c r="K6532" t="s">
        <v>1618</v>
      </c>
      <c r="L6532" t="s">
        <v>5346</v>
      </c>
      <c r="M6532" t="s">
        <v>1619</v>
      </c>
      <c r="N6532">
        <v>26.62</v>
      </c>
      <c r="O6532" s="49">
        <v>44391</v>
      </c>
      <c r="P6532" s="50">
        <v>136.18799999999999</v>
      </c>
    </row>
    <row r="6533" spans="4:16" x14ac:dyDescent="0.2">
      <c r="D6533">
        <v>100003892</v>
      </c>
      <c r="E6533" s="49">
        <v>45278</v>
      </c>
      <c r="F6533" t="s">
        <v>5347</v>
      </c>
      <c r="G6533" t="s">
        <v>1679</v>
      </c>
      <c r="H6533">
        <v>9</v>
      </c>
      <c r="I6533">
        <v>62.45</v>
      </c>
      <c r="J6533" s="50">
        <v>562.05000000000007</v>
      </c>
      <c r="K6533" t="s">
        <v>1618</v>
      </c>
      <c r="M6533" t="s">
        <v>1621</v>
      </c>
      <c r="N6533">
        <v>32.96</v>
      </c>
      <c r="O6533" s="49">
        <v>45283</v>
      </c>
      <c r="P6533" s="50">
        <v>252.92250000000004</v>
      </c>
    </row>
    <row r="6534" spans="4:16" x14ac:dyDescent="0.2">
      <c r="D6534">
        <v>100003893</v>
      </c>
      <c r="E6534" s="49">
        <v>44309</v>
      </c>
      <c r="F6534" t="s">
        <v>5348</v>
      </c>
      <c r="G6534" t="s">
        <v>1727</v>
      </c>
      <c r="H6534">
        <v>6</v>
      </c>
      <c r="I6534">
        <v>53.7</v>
      </c>
      <c r="J6534" s="50">
        <v>322.2</v>
      </c>
      <c r="K6534" t="s">
        <v>1618</v>
      </c>
      <c r="M6534" t="s">
        <v>1629</v>
      </c>
      <c r="N6534">
        <v>28.34</v>
      </c>
      <c r="O6534" s="49">
        <v>44313</v>
      </c>
      <c r="P6534" s="50">
        <v>144.99</v>
      </c>
    </row>
    <row r="6535" spans="4:16" x14ac:dyDescent="0.2">
      <c r="D6535">
        <v>100003894</v>
      </c>
      <c r="E6535" s="49">
        <v>44866</v>
      </c>
      <c r="F6535" t="s">
        <v>5349</v>
      </c>
      <c r="G6535" t="s">
        <v>2041</v>
      </c>
      <c r="H6535">
        <v>5</v>
      </c>
      <c r="I6535">
        <v>87.71</v>
      </c>
      <c r="J6535" s="50">
        <v>438.55</v>
      </c>
      <c r="K6535" t="s">
        <v>1618</v>
      </c>
      <c r="L6535" t="s">
        <v>5350</v>
      </c>
      <c r="M6535" t="s">
        <v>1624</v>
      </c>
      <c r="N6535">
        <v>46.29</v>
      </c>
      <c r="O6535" s="49">
        <v>44869</v>
      </c>
      <c r="P6535" s="50">
        <v>197.3475</v>
      </c>
    </row>
    <row r="6536" spans="4:16" x14ac:dyDescent="0.2">
      <c r="D6536">
        <v>100003894</v>
      </c>
      <c r="E6536" s="49">
        <v>45314</v>
      </c>
      <c r="F6536" t="s">
        <v>5349</v>
      </c>
      <c r="G6536" t="s">
        <v>2064</v>
      </c>
      <c r="H6536">
        <v>1</v>
      </c>
      <c r="I6536">
        <v>56.42</v>
      </c>
      <c r="J6536" s="50">
        <v>56.42</v>
      </c>
      <c r="K6536" t="s">
        <v>1618</v>
      </c>
      <c r="L6536" t="s">
        <v>5350</v>
      </c>
      <c r="M6536" t="s">
        <v>1629</v>
      </c>
      <c r="N6536">
        <v>29.78</v>
      </c>
      <c r="O6536" s="49">
        <v>45318</v>
      </c>
      <c r="P6536" s="50">
        <v>25.389000000000003</v>
      </c>
    </row>
    <row r="6537" spans="4:16" x14ac:dyDescent="0.2">
      <c r="D6537">
        <v>100003894</v>
      </c>
      <c r="E6537" s="49">
        <v>45244</v>
      </c>
      <c r="F6537" t="s">
        <v>5349</v>
      </c>
      <c r="G6537" t="s">
        <v>2142</v>
      </c>
      <c r="H6537">
        <v>10</v>
      </c>
      <c r="I6537">
        <v>81.47</v>
      </c>
      <c r="J6537" s="50">
        <v>814.7</v>
      </c>
      <c r="K6537" t="s">
        <v>1618</v>
      </c>
      <c r="L6537" t="s">
        <v>5350</v>
      </c>
      <c r="M6537" t="s">
        <v>1627</v>
      </c>
      <c r="N6537">
        <v>43</v>
      </c>
      <c r="O6537" s="49">
        <v>45249</v>
      </c>
      <c r="P6537" s="50">
        <v>366.61500000000001</v>
      </c>
    </row>
    <row r="6538" spans="4:16" x14ac:dyDescent="0.2">
      <c r="D6538">
        <v>100003894</v>
      </c>
      <c r="E6538" s="49">
        <v>44771</v>
      </c>
      <c r="F6538" t="s">
        <v>5349</v>
      </c>
      <c r="G6538" t="s">
        <v>1642</v>
      </c>
      <c r="H6538">
        <v>9</v>
      </c>
      <c r="I6538">
        <v>98.03</v>
      </c>
      <c r="J6538" s="50">
        <v>882.27</v>
      </c>
      <c r="K6538" t="s">
        <v>1618</v>
      </c>
      <c r="L6538" t="s">
        <v>5350</v>
      </c>
      <c r="M6538" t="s">
        <v>1621</v>
      </c>
      <c r="N6538">
        <v>51.74</v>
      </c>
      <c r="O6538" s="49">
        <v>44776</v>
      </c>
      <c r="P6538" s="50">
        <v>397.0215</v>
      </c>
    </row>
    <row r="6539" spans="4:16" x14ac:dyDescent="0.2">
      <c r="D6539">
        <v>100003894</v>
      </c>
      <c r="E6539" s="49">
        <v>44712</v>
      </c>
      <c r="F6539" t="s">
        <v>5349</v>
      </c>
      <c r="G6539" t="s">
        <v>2088</v>
      </c>
      <c r="H6539">
        <v>4</v>
      </c>
      <c r="I6539">
        <v>31.29</v>
      </c>
      <c r="J6539" s="50">
        <v>125.16</v>
      </c>
      <c r="K6539" t="s">
        <v>1618</v>
      </c>
      <c r="L6539" t="s">
        <v>5350</v>
      </c>
      <c r="M6539" t="s">
        <v>1627</v>
      </c>
      <c r="N6539">
        <v>16.510000000000002</v>
      </c>
      <c r="O6539" s="49">
        <v>44714</v>
      </c>
      <c r="P6539" s="50">
        <v>56.322000000000003</v>
      </c>
    </row>
    <row r="6540" spans="4:16" x14ac:dyDescent="0.2">
      <c r="D6540">
        <v>100003894</v>
      </c>
      <c r="E6540" s="49">
        <v>44442</v>
      </c>
      <c r="F6540" t="s">
        <v>5349</v>
      </c>
      <c r="G6540" t="s">
        <v>2698</v>
      </c>
      <c r="H6540">
        <v>4</v>
      </c>
      <c r="I6540">
        <v>52.08</v>
      </c>
      <c r="J6540" s="50">
        <v>208.32</v>
      </c>
      <c r="K6540" t="s">
        <v>1618</v>
      </c>
      <c r="L6540" t="s">
        <v>5350</v>
      </c>
      <c r="M6540" t="s">
        <v>1629</v>
      </c>
      <c r="N6540">
        <v>27.49</v>
      </c>
      <c r="O6540" s="49">
        <v>44443</v>
      </c>
      <c r="P6540" s="50">
        <v>93.744</v>
      </c>
    </row>
    <row r="6541" spans="4:16" x14ac:dyDescent="0.2">
      <c r="D6541">
        <v>100003895</v>
      </c>
      <c r="E6541" s="49">
        <v>44327</v>
      </c>
      <c r="F6541" t="s">
        <v>5351</v>
      </c>
      <c r="G6541" t="s">
        <v>1740</v>
      </c>
      <c r="H6541">
        <v>9</v>
      </c>
      <c r="I6541">
        <v>104.36</v>
      </c>
      <c r="J6541" s="50">
        <v>939.24</v>
      </c>
      <c r="K6541" t="s">
        <v>1618</v>
      </c>
      <c r="M6541" t="s">
        <v>1627</v>
      </c>
      <c r="N6541">
        <v>55.08</v>
      </c>
      <c r="O6541" s="49">
        <v>44331</v>
      </c>
      <c r="P6541" s="50">
        <v>422.65800000000002</v>
      </c>
    </row>
    <row r="6542" spans="4:16" x14ac:dyDescent="0.2">
      <c r="D6542">
        <v>100003897</v>
      </c>
      <c r="E6542" s="49">
        <v>45076</v>
      </c>
      <c r="F6542" t="s">
        <v>4881</v>
      </c>
      <c r="G6542" t="s">
        <v>1831</v>
      </c>
      <c r="H6542">
        <v>2</v>
      </c>
      <c r="I6542">
        <v>11.83</v>
      </c>
      <c r="J6542" s="50">
        <v>23.66</v>
      </c>
      <c r="K6542" t="s">
        <v>1618</v>
      </c>
      <c r="L6542" t="s">
        <v>3335</v>
      </c>
      <c r="M6542" t="s">
        <v>1621</v>
      </c>
      <c r="N6542">
        <v>6.24</v>
      </c>
      <c r="O6542" s="49">
        <v>45077</v>
      </c>
      <c r="P6542" s="50">
        <v>10.647</v>
      </c>
    </row>
    <row r="6543" spans="4:16" x14ac:dyDescent="0.2">
      <c r="D6543">
        <v>100003897</v>
      </c>
      <c r="E6543" s="49">
        <v>44483</v>
      </c>
      <c r="F6543" t="s">
        <v>4881</v>
      </c>
      <c r="G6543" t="s">
        <v>2465</v>
      </c>
      <c r="H6543">
        <v>2</v>
      </c>
      <c r="I6543">
        <v>31.03</v>
      </c>
      <c r="J6543" s="50">
        <v>62.06</v>
      </c>
      <c r="K6543" t="s">
        <v>1618</v>
      </c>
      <c r="L6543" t="s">
        <v>3335</v>
      </c>
      <c r="M6543" t="s">
        <v>1624</v>
      </c>
      <c r="N6543">
        <v>16.38</v>
      </c>
      <c r="O6543" s="49">
        <v>44485</v>
      </c>
      <c r="P6543" s="50">
        <v>27.927000000000003</v>
      </c>
    </row>
    <row r="6544" spans="4:16" x14ac:dyDescent="0.2">
      <c r="D6544">
        <v>100003897</v>
      </c>
      <c r="E6544" s="49">
        <v>44296</v>
      </c>
      <c r="F6544" t="s">
        <v>4881</v>
      </c>
      <c r="G6544" t="s">
        <v>1948</v>
      </c>
      <c r="H6544">
        <v>2</v>
      </c>
      <c r="I6544">
        <v>81.459999999999994</v>
      </c>
      <c r="J6544" s="50">
        <v>162.91999999999999</v>
      </c>
      <c r="K6544" t="s">
        <v>1618</v>
      </c>
      <c r="L6544" t="s">
        <v>3335</v>
      </c>
      <c r="M6544" t="s">
        <v>1624</v>
      </c>
      <c r="N6544">
        <v>42.99</v>
      </c>
      <c r="O6544" s="49">
        <v>44298</v>
      </c>
      <c r="P6544" s="50">
        <v>73.313999999999993</v>
      </c>
    </row>
    <row r="6545" spans="4:16" x14ac:dyDescent="0.2">
      <c r="D6545">
        <v>100003897</v>
      </c>
      <c r="E6545" s="49">
        <v>45342</v>
      </c>
      <c r="F6545" t="s">
        <v>4881</v>
      </c>
      <c r="G6545" t="s">
        <v>1677</v>
      </c>
      <c r="H6545">
        <v>1</v>
      </c>
      <c r="I6545">
        <v>17.170000000000002</v>
      </c>
      <c r="J6545" s="50">
        <v>17.170000000000002</v>
      </c>
      <c r="K6545" t="s">
        <v>1618</v>
      </c>
      <c r="L6545" t="s">
        <v>3335</v>
      </c>
      <c r="M6545" t="s">
        <v>1619</v>
      </c>
      <c r="N6545">
        <v>9.06</v>
      </c>
      <c r="O6545" s="49">
        <v>45346</v>
      </c>
      <c r="P6545" s="50">
        <v>7.7265000000000006</v>
      </c>
    </row>
    <row r="6546" spans="4:16" x14ac:dyDescent="0.2">
      <c r="D6546">
        <v>100003897</v>
      </c>
      <c r="E6546" s="49">
        <v>44308</v>
      </c>
      <c r="F6546" t="s">
        <v>4881</v>
      </c>
      <c r="G6546" t="s">
        <v>2447</v>
      </c>
      <c r="H6546">
        <v>5</v>
      </c>
      <c r="I6546">
        <v>26.51</v>
      </c>
      <c r="J6546" s="50">
        <v>132.55000000000001</v>
      </c>
      <c r="K6546" t="s">
        <v>1618</v>
      </c>
      <c r="L6546" t="s">
        <v>3335</v>
      </c>
      <c r="M6546" t="s">
        <v>1624</v>
      </c>
      <c r="N6546">
        <v>13.99</v>
      </c>
      <c r="O6546" s="49">
        <v>44310</v>
      </c>
      <c r="P6546" s="50">
        <v>59.647500000000008</v>
      </c>
    </row>
    <row r="6547" spans="4:16" x14ac:dyDescent="0.2">
      <c r="D6547">
        <v>100003897</v>
      </c>
      <c r="E6547" s="49">
        <v>45065</v>
      </c>
      <c r="F6547" t="s">
        <v>4881</v>
      </c>
      <c r="G6547" t="s">
        <v>1980</v>
      </c>
      <c r="H6547">
        <v>9</v>
      </c>
      <c r="I6547">
        <v>33.880000000000003</v>
      </c>
      <c r="J6547" s="50">
        <v>304.92</v>
      </c>
      <c r="K6547" t="s">
        <v>1618</v>
      </c>
      <c r="L6547" t="s">
        <v>3335</v>
      </c>
      <c r="M6547" t="s">
        <v>1621</v>
      </c>
      <c r="N6547">
        <v>17.88</v>
      </c>
      <c r="O6547" s="49">
        <v>45069</v>
      </c>
      <c r="P6547" s="50">
        <v>137.214</v>
      </c>
    </row>
    <row r="6548" spans="4:16" x14ac:dyDescent="0.2">
      <c r="D6548">
        <v>100003899</v>
      </c>
      <c r="E6548" s="49">
        <v>45185</v>
      </c>
      <c r="F6548" t="s">
        <v>5352</v>
      </c>
      <c r="G6548" t="s">
        <v>2357</v>
      </c>
      <c r="H6548">
        <v>1</v>
      </c>
      <c r="I6548">
        <v>73.180000000000007</v>
      </c>
      <c r="J6548" s="50">
        <v>73.180000000000007</v>
      </c>
      <c r="K6548" t="s">
        <v>1618</v>
      </c>
      <c r="M6548" t="s">
        <v>1621</v>
      </c>
      <c r="N6548">
        <v>38.619999999999997</v>
      </c>
      <c r="O6548" s="49">
        <v>45190</v>
      </c>
      <c r="P6548" s="50">
        <v>32.931000000000004</v>
      </c>
    </row>
    <row r="6549" spans="4:16" x14ac:dyDescent="0.2">
      <c r="D6549">
        <v>100003899</v>
      </c>
      <c r="E6549" s="49">
        <v>44483</v>
      </c>
      <c r="F6549" t="s">
        <v>5352</v>
      </c>
      <c r="G6549" t="s">
        <v>2151</v>
      </c>
      <c r="H6549">
        <v>1</v>
      </c>
      <c r="I6549">
        <v>76.78</v>
      </c>
      <c r="J6549" s="50">
        <v>76.78</v>
      </c>
      <c r="K6549" t="s">
        <v>1618</v>
      </c>
      <c r="M6549" t="s">
        <v>1624</v>
      </c>
      <c r="N6549">
        <v>40.520000000000003</v>
      </c>
      <c r="O6549" s="49">
        <v>44487</v>
      </c>
      <c r="P6549" s="50">
        <v>34.551000000000002</v>
      </c>
    </row>
    <row r="6550" spans="4:16" x14ac:dyDescent="0.2">
      <c r="D6550">
        <v>100003900</v>
      </c>
      <c r="E6550" s="49">
        <v>45015</v>
      </c>
      <c r="F6550" t="s">
        <v>5353</v>
      </c>
      <c r="G6550" t="s">
        <v>1648</v>
      </c>
      <c r="H6550">
        <v>1</v>
      </c>
      <c r="I6550">
        <v>99.97</v>
      </c>
      <c r="J6550" s="50">
        <v>99.97</v>
      </c>
      <c r="K6550" t="s">
        <v>1632</v>
      </c>
      <c r="L6550" t="s">
        <v>5354</v>
      </c>
      <c r="M6550" t="s">
        <v>1624</v>
      </c>
      <c r="N6550">
        <v>52.76</v>
      </c>
      <c r="O6550" s="49">
        <v>45016</v>
      </c>
      <c r="P6550" s="50">
        <v>44.986499999999999</v>
      </c>
    </row>
    <row r="6551" spans="4:16" x14ac:dyDescent="0.2">
      <c r="D6551">
        <v>100003901</v>
      </c>
      <c r="E6551" s="49">
        <v>45535</v>
      </c>
      <c r="F6551" t="s">
        <v>5355</v>
      </c>
      <c r="G6551" t="s">
        <v>2242</v>
      </c>
      <c r="H6551">
        <v>6</v>
      </c>
      <c r="I6551">
        <v>19.23</v>
      </c>
      <c r="J6551" s="50">
        <v>115.38</v>
      </c>
      <c r="K6551" t="s">
        <v>1618</v>
      </c>
      <c r="M6551" t="s">
        <v>1627</v>
      </c>
      <c r="N6551">
        <v>10.15</v>
      </c>
      <c r="O6551" s="49">
        <v>45538</v>
      </c>
      <c r="P6551" s="50">
        <v>51.920999999999999</v>
      </c>
    </row>
    <row r="6552" spans="4:16" x14ac:dyDescent="0.2">
      <c r="D6552">
        <v>100003902</v>
      </c>
      <c r="E6552" s="49">
        <v>45560</v>
      </c>
      <c r="F6552" t="s">
        <v>5356</v>
      </c>
      <c r="G6552" t="s">
        <v>2213</v>
      </c>
      <c r="H6552">
        <v>3</v>
      </c>
      <c r="I6552">
        <v>32.380000000000003</v>
      </c>
      <c r="J6552" s="50">
        <v>97.140000000000015</v>
      </c>
      <c r="K6552" t="s">
        <v>1618</v>
      </c>
      <c r="M6552" t="s">
        <v>1624</v>
      </c>
      <c r="N6552">
        <v>17.09</v>
      </c>
      <c r="O6552" s="49">
        <v>45564</v>
      </c>
      <c r="P6552" s="50">
        <v>43.713000000000008</v>
      </c>
    </row>
    <row r="6553" spans="4:16" x14ac:dyDescent="0.2">
      <c r="D6553">
        <v>100003902</v>
      </c>
      <c r="E6553" s="49">
        <v>44746</v>
      </c>
      <c r="F6553" t="s">
        <v>5356</v>
      </c>
      <c r="G6553" t="s">
        <v>2084</v>
      </c>
      <c r="H6553">
        <v>1</v>
      </c>
      <c r="I6553">
        <v>117</v>
      </c>
      <c r="J6553" s="50">
        <v>117</v>
      </c>
      <c r="K6553" t="s">
        <v>1618</v>
      </c>
      <c r="M6553" t="s">
        <v>1624</v>
      </c>
      <c r="N6553">
        <v>61.75</v>
      </c>
      <c r="O6553" s="49">
        <v>44750</v>
      </c>
      <c r="P6553" s="50">
        <v>52.65</v>
      </c>
    </row>
    <row r="6554" spans="4:16" x14ac:dyDescent="0.2">
      <c r="D6554">
        <v>100003902</v>
      </c>
      <c r="E6554" s="49">
        <v>45245</v>
      </c>
      <c r="F6554" t="s">
        <v>5356</v>
      </c>
      <c r="G6554" t="s">
        <v>1980</v>
      </c>
      <c r="H6554">
        <v>8</v>
      </c>
      <c r="I6554">
        <v>107.42</v>
      </c>
      <c r="J6554" s="50">
        <v>859.36</v>
      </c>
      <c r="K6554" t="s">
        <v>1618</v>
      </c>
      <c r="M6554" t="s">
        <v>1629</v>
      </c>
      <c r="N6554">
        <v>56.69</v>
      </c>
      <c r="O6554" s="49">
        <v>45249</v>
      </c>
      <c r="P6554" s="50">
        <v>386.71199999999999</v>
      </c>
    </row>
    <row r="6555" spans="4:16" x14ac:dyDescent="0.2">
      <c r="D6555">
        <v>100003902</v>
      </c>
      <c r="E6555" s="49">
        <v>45487</v>
      </c>
      <c r="F6555" t="s">
        <v>5356</v>
      </c>
      <c r="G6555" t="s">
        <v>2393</v>
      </c>
      <c r="H6555">
        <v>5</v>
      </c>
      <c r="I6555">
        <v>30.33</v>
      </c>
      <c r="J6555" s="50">
        <v>151.65</v>
      </c>
      <c r="K6555" t="s">
        <v>1618</v>
      </c>
      <c r="M6555" t="s">
        <v>1629</v>
      </c>
      <c r="N6555">
        <v>16.010000000000002</v>
      </c>
      <c r="O6555" s="49">
        <v>45492</v>
      </c>
      <c r="P6555" s="50">
        <v>68.242500000000007</v>
      </c>
    </row>
    <row r="6556" spans="4:16" x14ac:dyDescent="0.2">
      <c r="D6556">
        <v>100003903</v>
      </c>
      <c r="E6556" s="49">
        <v>44763</v>
      </c>
      <c r="F6556" t="s">
        <v>5357</v>
      </c>
      <c r="G6556" t="s">
        <v>1720</v>
      </c>
      <c r="H6556">
        <v>2</v>
      </c>
      <c r="I6556">
        <v>31.34</v>
      </c>
      <c r="J6556" s="50">
        <v>62.68</v>
      </c>
      <c r="K6556" t="s">
        <v>1618</v>
      </c>
      <c r="M6556" t="s">
        <v>1621</v>
      </c>
      <c r="N6556">
        <v>16.54</v>
      </c>
      <c r="O6556" s="49">
        <v>44764</v>
      </c>
      <c r="P6556" s="50">
        <v>28.206</v>
      </c>
    </row>
    <row r="6557" spans="4:16" x14ac:dyDescent="0.2">
      <c r="D6557">
        <v>100003903</v>
      </c>
      <c r="E6557" s="49">
        <v>44219</v>
      </c>
      <c r="F6557" t="s">
        <v>5357</v>
      </c>
      <c r="G6557" t="s">
        <v>2431</v>
      </c>
      <c r="H6557">
        <v>1</v>
      </c>
      <c r="I6557">
        <v>78.94</v>
      </c>
      <c r="J6557" s="50">
        <v>78.94</v>
      </c>
      <c r="K6557" t="s">
        <v>1618</v>
      </c>
      <c r="M6557" t="s">
        <v>1619</v>
      </c>
      <c r="N6557">
        <v>41.66</v>
      </c>
      <c r="O6557" s="49">
        <v>44224</v>
      </c>
      <c r="P6557" s="50">
        <v>35.523000000000003</v>
      </c>
    </row>
    <row r="6558" spans="4:16" x14ac:dyDescent="0.2">
      <c r="D6558">
        <v>100003905</v>
      </c>
      <c r="E6558" s="49">
        <v>44929</v>
      </c>
      <c r="F6558" t="s">
        <v>5358</v>
      </c>
      <c r="G6558" t="s">
        <v>2762</v>
      </c>
      <c r="H6558">
        <v>5</v>
      </c>
      <c r="I6558">
        <v>67.55</v>
      </c>
      <c r="J6558" s="50">
        <v>337.75</v>
      </c>
      <c r="K6558" t="s">
        <v>1632</v>
      </c>
      <c r="M6558" t="s">
        <v>1629</v>
      </c>
      <c r="N6558">
        <v>35.65</v>
      </c>
      <c r="O6558" s="49">
        <v>44932</v>
      </c>
      <c r="P6558" s="50">
        <v>151.98750000000001</v>
      </c>
    </row>
    <row r="6559" spans="4:16" x14ac:dyDescent="0.2">
      <c r="D6559">
        <v>100003906</v>
      </c>
      <c r="E6559" s="49">
        <v>44828</v>
      </c>
      <c r="F6559" t="s">
        <v>5359</v>
      </c>
      <c r="G6559" t="s">
        <v>2130</v>
      </c>
      <c r="H6559">
        <v>2</v>
      </c>
      <c r="I6559">
        <v>93.75</v>
      </c>
      <c r="J6559" s="50">
        <v>187.5</v>
      </c>
      <c r="K6559" t="s">
        <v>1618</v>
      </c>
      <c r="M6559" t="s">
        <v>1624</v>
      </c>
      <c r="N6559">
        <v>49.48</v>
      </c>
      <c r="O6559" s="49">
        <v>44829</v>
      </c>
      <c r="P6559" s="50">
        <v>84.375</v>
      </c>
    </row>
    <row r="6560" spans="4:16" x14ac:dyDescent="0.2">
      <c r="D6560">
        <v>100003906</v>
      </c>
      <c r="E6560" s="49">
        <v>44975</v>
      </c>
      <c r="F6560" t="s">
        <v>5359</v>
      </c>
      <c r="G6560" t="s">
        <v>2116</v>
      </c>
      <c r="H6560">
        <v>5</v>
      </c>
      <c r="I6560">
        <v>72.61</v>
      </c>
      <c r="J6560" s="50">
        <v>363.05</v>
      </c>
      <c r="K6560" t="s">
        <v>1618</v>
      </c>
      <c r="M6560" t="s">
        <v>1629</v>
      </c>
      <c r="N6560">
        <v>38.32</v>
      </c>
      <c r="O6560" s="49">
        <v>44977</v>
      </c>
      <c r="P6560" s="50">
        <v>163.3725</v>
      </c>
    </row>
    <row r="6561" spans="4:16" x14ac:dyDescent="0.2">
      <c r="D6561">
        <v>100003906</v>
      </c>
      <c r="E6561" s="49">
        <v>45577</v>
      </c>
      <c r="F6561" t="s">
        <v>5359</v>
      </c>
      <c r="G6561" t="s">
        <v>1639</v>
      </c>
      <c r="H6561">
        <v>8</v>
      </c>
      <c r="I6561">
        <v>50.17</v>
      </c>
      <c r="J6561" s="50">
        <v>401.36</v>
      </c>
      <c r="K6561" t="s">
        <v>1618</v>
      </c>
      <c r="M6561" t="s">
        <v>1624</v>
      </c>
      <c r="N6561">
        <v>26.48</v>
      </c>
      <c r="O6561" s="49">
        <v>45578</v>
      </c>
      <c r="P6561" s="50">
        <v>180.61200000000002</v>
      </c>
    </row>
    <row r="6562" spans="4:16" x14ac:dyDescent="0.2">
      <c r="D6562">
        <v>100003906</v>
      </c>
      <c r="E6562" s="49">
        <v>44614</v>
      </c>
      <c r="F6562" t="s">
        <v>5359</v>
      </c>
      <c r="G6562" t="s">
        <v>2084</v>
      </c>
      <c r="H6562">
        <v>6</v>
      </c>
      <c r="I6562">
        <v>43.48</v>
      </c>
      <c r="J6562" s="50">
        <v>260.88</v>
      </c>
      <c r="K6562" t="s">
        <v>1618</v>
      </c>
      <c r="M6562" t="s">
        <v>1629</v>
      </c>
      <c r="N6562">
        <v>22.95</v>
      </c>
      <c r="O6562" s="49">
        <v>44616</v>
      </c>
      <c r="P6562" s="50">
        <v>117.396</v>
      </c>
    </row>
    <row r="6563" spans="4:16" x14ac:dyDescent="0.2">
      <c r="D6563">
        <v>100003907</v>
      </c>
      <c r="E6563" s="49">
        <v>44315</v>
      </c>
      <c r="F6563" t="s">
        <v>5360</v>
      </c>
      <c r="G6563" t="s">
        <v>2301</v>
      </c>
      <c r="H6563">
        <v>6</v>
      </c>
      <c r="I6563">
        <v>25.69</v>
      </c>
      <c r="J6563" s="50">
        <v>154.13999999999999</v>
      </c>
      <c r="K6563" t="s">
        <v>1618</v>
      </c>
      <c r="M6563" t="s">
        <v>1624</v>
      </c>
      <c r="N6563">
        <v>13.56</v>
      </c>
      <c r="O6563" s="49">
        <v>44317</v>
      </c>
      <c r="P6563" s="50">
        <v>69.363</v>
      </c>
    </row>
    <row r="6564" spans="4:16" x14ac:dyDescent="0.2">
      <c r="D6564">
        <v>100003907</v>
      </c>
      <c r="E6564" s="49">
        <v>44632</v>
      </c>
      <c r="F6564" t="s">
        <v>5360</v>
      </c>
      <c r="G6564" t="s">
        <v>1679</v>
      </c>
      <c r="H6564">
        <v>5</v>
      </c>
      <c r="I6564">
        <v>110.14</v>
      </c>
      <c r="J6564" s="50">
        <v>550.70000000000005</v>
      </c>
      <c r="K6564" t="s">
        <v>1618</v>
      </c>
      <c r="M6564" t="s">
        <v>1619</v>
      </c>
      <c r="N6564">
        <v>58.13</v>
      </c>
      <c r="O6564" s="49">
        <v>44637</v>
      </c>
      <c r="P6564" s="50">
        <v>247.81500000000003</v>
      </c>
    </row>
    <row r="6565" spans="4:16" x14ac:dyDescent="0.2">
      <c r="D6565">
        <v>100003907</v>
      </c>
      <c r="E6565" s="49">
        <v>44342</v>
      </c>
      <c r="F6565" t="s">
        <v>5360</v>
      </c>
      <c r="G6565" t="s">
        <v>1636</v>
      </c>
      <c r="H6565">
        <v>10</v>
      </c>
      <c r="I6565">
        <v>58.34</v>
      </c>
      <c r="J6565" s="50">
        <v>583.40000000000009</v>
      </c>
      <c r="K6565" t="s">
        <v>1618</v>
      </c>
      <c r="M6565" t="s">
        <v>1627</v>
      </c>
      <c r="N6565">
        <v>30.79</v>
      </c>
      <c r="O6565" s="49">
        <v>44343</v>
      </c>
      <c r="P6565" s="50">
        <v>262.53000000000003</v>
      </c>
    </row>
    <row r="6566" spans="4:16" x14ac:dyDescent="0.2">
      <c r="D6566">
        <v>100003908</v>
      </c>
      <c r="E6566" s="49">
        <v>45143</v>
      </c>
      <c r="F6566" t="s">
        <v>5361</v>
      </c>
      <c r="G6566" t="s">
        <v>1664</v>
      </c>
      <c r="H6566">
        <v>2</v>
      </c>
      <c r="I6566">
        <v>47.34</v>
      </c>
      <c r="J6566" s="50">
        <v>94.68</v>
      </c>
      <c r="K6566" t="s">
        <v>1632</v>
      </c>
      <c r="M6566" t="s">
        <v>1629</v>
      </c>
      <c r="N6566">
        <v>24.98</v>
      </c>
      <c r="O6566" s="49">
        <v>45148</v>
      </c>
      <c r="P6566" s="50">
        <v>42.606000000000002</v>
      </c>
    </row>
    <row r="6567" spans="4:16" x14ac:dyDescent="0.2">
      <c r="D6567">
        <v>100003908</v>
      </c>
      <c r="E6567" s="49">
        <v>44360</v>
      </c>
      <c r="F6567" t="s">
        <v>5361</v>
      </c>
      <c r="G6567" t="s">
        <v>1705</v>
      </c>
      <c r="H6567">
        <v>5</v>
      </c>
      <c r="I6567">
        <v>35.549999999999997</v>
      </c>
      <c r="J6567" s="50">
        <v>177.75</v>
      </c>
      <c r="K6567" t="s">
        <v>1632</v>
      </c>
      <c r="M6567" t="s">
        <v>1619</v>
      </c>
      <c r="N6567">
        <v>18.760000000000002</v>
      </c>
      <c r="O6567" s="49">
        <v>44365</v>
      </c>
      <c r="P6567" s="50">
        <v>79.987499999999997</v>
      </c>
    </row>
    <row r="6568" spans="4:16" x14ac:dyDescent="0.2">
      <c r="D6568">
        <v>100003908</v>
      </c>
      <c r="E6568" s="49">
        <v>44233</v>
      </c>
      <c r="F6568" t="s">
        <v>5361</v>
      </c>
      <c r="G6568" t="s">
        <v>1967</v>
      </c>
      <c r="H6568">
        <v>2</v>
      </c>
      <c r="I6568">
        <v>114.21</v>
      </c>
      <c r="J6568" s="50">
        <v>228.42</v>
      </c>
      <c r="K6568" t="s">
        <v>1632</v>
      </c>
      <c r="M6568" t="s">
        <v>1619</v>
      </c>
      <c r="N6568">
        <v>60.28</v>
      </c>
      <c r="O6568" s="49">
        <v>44234</v>
      </c>
      <c r="P6568" s="50">
        <v>102.789</v>
      </c>
    </row>
    <row r="6569" spans="4:16" x14ac:dyDescent="0.2">
      <c r="D6569">
        <v>100003908</v>
      </c>
      <c r="E6569" s="49">
        <v>44622</v>
      </c>
      <c r="F6569" t="s">
        <v>5361</v>
      </c>
      <c r="G6569" t="s">
        <v>2025</v>
      </c>
      <c r="H6569">
        <v>5</v>
      </c>
      <c r="I6569">
        <v>36.78</v>
      </c>
      <c r="J6569" s="50">
        <v>183.9</v>
      </c>
      <c r="K6569" t="s">
        <v>1632</v>
      </c>
      <c r="M6569" t="s">
        <v>1624</v>
      </c>
      <c r="N6569">
        <v>19.41</v>
      </c>
      <c r="O6569" s="49">
        <v>44626</v>
      </c>
      <c r="P6569" s="50">
        <v>82.75500000000001</v>
      </c>
    </row>
    <row r="6570" spans="4:16" x14ac:dyDescent="0.2">
      <c r="D6570">
        <v>100003908</v>
      </c>
      <c r="E6570" s="49">
        <v>45192</v>
      </c>
      <c r="F6570" t="s">
        <v>5361</v>
      </c>
      <c r="G6570" t="s">
        <v>1663</v>
      </c>
      <c r="H6570">
        <v>5</v>
      </c>
      <c r="I6570">
        <v>13.22</v>
      </c>
      <c r="J6570" s="50">
        <v>66.100000000000009</v>
      </c>
      <c r="K6570" t="s">
        <v>1632</v>
      </c>
      <c r="M6570" t="s">
        <v>1621</v>
      </c>
      <c r="N6570">
        <v>6.98</v>
      </c>
      <c r="O6570" s="49">
        <v>45196</v>
      </c>
      <c r="P6570" s="50">
        <v>29.745000000000005</v>
      </c>
    </row>
    <row r="6571" spans="4:16" x14ac:dyDescent="0.2">
      <c r="D6571">
        <v>100003910</v>
      </c>
      <c r="E6571" s="49">
        <v>45067</v>
      </c>
      <c r="F6571" t="s">
        <v>5362</v>
      </c>
      <c r="G6571" t="s">
        <v>1709</v>
      </c>
      <c r="H6571">
        <v>8</v>
      </c>
      <c r="I6571">
        <v>37.700000000000003</v>
      </c>
      <c r="J6571" s="50">
        <v>301.60000000000002</v>
      </c>
      <c r="K6571" t="s">
        <v>1618</v>
      </c>
      <c r="M6571" t="s">
        <v>1624</v>
      </c>
      <c r="N6571">
        <v>19.899999999999999</v>
      </c>
      <c r="O6571" s="49">
        <v>45070</v>
      </c>
      <c r="P6571" s="50">
        <v>135.72000000000003</v>
      </c>
    </row>
    <row r="6572" spans="4:16" x14ac:dyDescent="0.2">
      <c r="D6572">
        <v>100003910</v>
      </c>
      <c r="E6572" s="49">
        <v>44555</v>
      </c>
      <c r="F6572" t="s">
        <v>5362</v>
      </c>
      <c r="G6572" t="s">
        <v>2134</v>
      </c>
      <c r="H6572">
        <v>1</v>
      </c>
      <c r="I6572">
        <v>40.85</v>
      </c>
      <c r="J6572" s="50">
        <v>40.85</v>
      </c>
      <c r="K6572" t="s">
        <v>1618</v>
      </c>
      <c r="M6572" t="s">
        <v>1621</v>
      </c>
      <c r="N6572">
        <v>21.56</v>
      </c>
      <c r="O6572" s="49">
        <v>44556</v>
      </c>
      <c r="P6572" s="50">
        <v>18.3825</v>
      </c>
    </row>
    <row r="6573" spans="4:16" x14ac:dyDescent="0.2">
      <c r="D6573">
        <v>100003910</v>
      </c>
      <c r="E6573" s="49">
        <v>45085</v>
      </c>
      <c r="F6573" t="s">
        <v>5362</v>
      </c>
      <c r="G6573" t="s">
        <v>1846</v>
      </c>
      <c r="H6573">
        <v>5</v>
      </c>
      <c r="I6573">
        <v>16.690000000000001</v>
      </c>
      <c r="J6573" s="50">
        <v>83.45</v>
      </c>
      <c r="K6573" t="s">
        <v>1618</v>
      </c>
      <c r="M6573" t="s">
        <v>1619</v>
      </c>
      <c r="N6573">
        <v>8.81</v>
      </c>
      <c r="O6573" s="49">
        <v>45087</v>
      </c>
      <c r="P6573" s="50">
        <v>37.552500000000002</v>
      </c>
    </row>
    <row r="6574" spans="4:16" x14ac:dyDescent="0.2">
      <c r="D6574">
        <v>100003911</v>
      </c>
      <c r="E6574" s="49">
        <v>44587</v>
      </c>
      <c r="F6574" t="s">
        <v>5363</v>
      </c>
      <c r="G6574" t="s">
        <v>1897</v>
      </c>
      <c r="H6574">
        <v>7</v>
      </c>
      <c r="I6574">
        <v>112.84</v>
      </c>
      <c r="J6574" s="50">
        <v>789.88</v>
      </c>
      <c r="K6574" t="s">
        <v>1632</v>
      </c>
      <c r="M6574" t="s">
        <v>1624</v>
      </c>
      <c r="N6574">
        <v>59.55</v>
      </c>
      <c r="O6574" s="49">
        <v>44591</v>
      </c>
      <c r="P6574" s="50">
        <v>355.44600000000003</v>
      </c>
    </row>
    <row r="6575" spans="4:16" x14ac:dyDescent="0.2">
      <c r="D6575">
        <v>100003911</v>
      </c>
      <c r="E6575" s="49">
        <v>44967</v>
      </c>
      <c r="F6575" t="s">
        <v>5363</v>
      </c>
      <c r="G6575" t="s">
        <v>2062</v>
      </c>
      <c r="H6575">
        <v>7</v>
      </c>
      <c r="I6575">
        <v>51.73</v>
      </c>
      <c r="J6575" s="50">
        <v>362.11</v>
      </c>
      <c r="K6575" t="s">
        <v>1632</v>
      </c>
      <c r="M6575" t="s">
        <v>1629</v>
      </c>
      <c r="N6575">
        <v>27.3</v>
      </c>
      <c r="O6575" s="49">
        <v>44968</v>
      </c>
      <c r="P6575" s="50">
        <v>162.9495</v>
      </c>
    </row>
    <row r="6576" spans="4:16" x14ac:dyDescent="0.2">
      <c r="D6576">
        <v>100003912</v>
      </c>
      <c r="E6576" s="49">
        <v>44360</v>
      </c>
      <c r="F6576" t="s">
        <v>5364</v>
      </c>
      <c r="G6576" t="s">
        <v>1714</v>
      </c>
      <c r="H6576">
        <v>10</v>
      </c>
      <c r="I6576">
        <v>29.08</v>
      </c>
      <c r="J6576" s="50">
        <v>290.8</v>
      </c>
      <c r="K6576" t="s">
        <v>1618</v>
      </c>
      <c r="L6576" t="s">
        <v>5365</v>
      </c>
      <c r="M6576" t="s">
        <v>1624</v>
      </c>
      <c r="N6576">
        <v>15.35</v>
      </c>
      <c r="O6576" s="49">
        <v>44363</v>
      </c>
      <c r="P6576" s="50">
        <v>130.86000000000001</v>
      </c>
    </row>
    <row r="6577" spans="4:16" x14ac:dyDescent="0.2">
      <c r="D6577">
        <v>100003912</v>
      </c>
      <c r="E6577" s="49">
        <v>45185</v>
      </c>
      <c r="F6577" t="s">
        <v>5364</v>
      </c>
      <c r="G6577" t="s">
        <v>1740</v>
      </c>
      <c r="H6577">
        <v>7</v>
      </c>
      <c r="I6577">
        <v>83.28</v>
      </c>
      <c r="J6577" s="50">
        <v>582.96</v>
      </c>
      <c r="K6577" t="s">
        <v>1618</v>
      </c>
      <c r="L6577" t="s">
        <v>5365</v>
      </c>
      <c r="M6577" t="s">
        <v>1619</v>
      </c>
      <c r="N6577">
        <v>43.95</v>
      </c>
      <c r="O6577" s="49">
        <v>45189</v>
      </c>
      <c r="P6577" s="50">
        <v>262.33200000000005</v>
      </c>
    </row>
    <row r="6578" spans="4:16" x14ac:dyDescent="0.2">
      <c r="D6578">
        <v>100003912</v>
      </c>
      <c r="E6578" s="49">
        <v>45054</v>
      </c>
      <c r="F6578" t="s">
        <v>5364</v>
      </c>
      <c r="G6578" t="s">
        <v>2069</v>
      </c>
      <c r="H6578">
        <v>8</v>
      </c>
      <c r="I6578">
        <v>90.18</v>
      </c>
      <c r="J6578" s="50">
        <v>721.44</v>
      </c>
      <c r="K6578" t="s">
        <v>1618</v>
      </c>
      <c r="L6578" t="s">
        <v>5365</v>
      </c>
      <c r="M6578" t="s">
        <v>1621</v>
      </c>
      <c r="N6578">
        <v>47.59</v>
      </c>
      <c r="O6578" s="49">
        <v>45057</v>
      </c>
      <c r="P6578" s="50">
        <v>324.64800000000002</v>
      </c>
    </row>
    <row r="6579" spans="4:16" x14ac:dyDescent="0.2">
      <c r="D6579">
        <v>100003912</v>
      </c>
      <c r="E6579" s="49">
        <v>44761</v>
      </c>
      <c r="F6579" t="s">
        <v>5364</v>
      </c>
      <c r="G6579" t="s">
        <v>1715</v>
      </c>
      <c r="H6579">
        <v>4</v>
      </c>
      <c r="I6579">
        <v>51.07</v>
      </c>
      <c r="J6579" s="50">
        <v>204.28</v>
      </c>
      <c r="K6579" t="s">
        <v>1618</v>
      </c>
      <c r="L6579" t="s">
        <v>5365</v>
      </c>
      <c r="M6579" t="s">
        <v>1619</v>
      </c>
      <c r="N6579">
        <v>26.95</v>
      </c>
      <c r="O6579" s="49">
        <v>44762</v>
      </c>
      <c r="P6579" s="50">
        <v>91.926000000000002</v>
      </c>
    </row>
    <row r="6580" spans="4:16" x14ac:dyDescent="0.2">
      <c r="D6580">
        <v>100003913</v>
      </c>
      <c r="E6580" s="49">
        <v>44777</v>
      </c>
      <c r="F6580" t="s">
        <v>5366</v>
      </c>
      <c r="G6580" t="s">
        <v>2427</v>
      </c>
      <c r="H6580">
        <v>9</v>
      </c>
      <c r="I6580">
        <v>44.75</v>
      </c>
      <c r="J6580" s="50">
        <v>402.75</v>
      </c>
      <c r="K6580" t="s">
        <v>1632</v>
      </c>
      <c r="L6580" t="s">
        <v>5367</v>
      </c>
      <c r="M6580" t="s">
        <v>1621</v>
      </c>
      <c r="N6580">
        <v>23.62</v>
      </c>
      <c r="O6580" s="49">
        <v>44780</v>
      </c>
      <c r="P6580" s="50">
        <v>181.23750000000001</v>
      </c>
    </row>
    <row r="6581" spans="4:16" x14ac:dyDescent="0.2">
      <c r="D6581">
        <v>100003913</v>
      </c>
      <c r="E6581" s="49">
        <v>44887</v>
      </c>
      <c r="F6581" t="s">
        <v>5366</v>
      </c>
      <c r="G6581" t="s">
        <v>2121</v>
      </c>
      <c r="H6581">
        <v>9</v>
      </c>
      <c r="I6581">
        <v>91.56</v>
      </c>
      <c r="J6581" s="50">
        <v>824.04</v>
      </c>
      <c r="K6581" t="s">
        <v>1632</v>
      </c>
      <c r="L6581" t="s">
        <v>5367</v>
      </c>
      <c r="M6581" t="s">
        <v>1621</v>
      </c>
      <c r="N6581">
        <v>48.32</v>
      </c>
      <c r="O6581" s="49">
        <v>44891</v>
      </c>
      <c r="P6581" s="50">
        <v>370.81799999999998</v>
      </c>
    </row>
    <row r="6582" spans="4:16" x14ac:dyDescent="0.2">
      <c r="D6582">
        <v>100003913</v>
      </c>
      <c r="E6582" s="49">
        <v>45518</v>
      </c>
      <c r="F6582" t="s">
        <v>5366</v>
      </c>
      <c r="G6582" t="s">
        <v>1721</v>
      </c>
      <c r="H6582">
        <v>8</v>
      </c>
      <c r="I6582">
        <v>106.46</v>
      </c>
      <c r="J6582" s="50">
        <v>851.68</v>
      </c>
      <c r="K6582" t="s">
        <v>1632</v>
      </c>
      <c r="L6582" t="s">
        <v>5367</v>
      </c>
      <c r="M6582" t="s">
        <v>1624</v>
      </c>
      <c r="N6582">
        <v>56.19</v>
      </c>
      <c r="O6582" s="49">
        <v>45519</v>
      </c>
      <c r="P6582" s="50">
        <v>383.25599999999997</v>
      </c>
    </row>
    <row r="6583" spans="4:16" x14ac:dyDescent="0.2">
      <c r="D6583">
        <v>100003915</v>
      </c>
      <c r="E6583" s="49">
        <v>44556</v>
      </c>
      <c r="F6583" t="s">
        <v>5368</v>
      </c>
      <c r="G6583" t="s">
        <v>2158</v>
      </c>
      <c r="H6583">
        <v>9</v>
      </c>
      <c r="I6583">
        <v>101.24</v>
      </c>
      <c r="J6583" s="50">
        <v>911.16</v>
      </c>
      <c r="K6583" t="s">
        <v>1632</v>
      </c>
      <c r="M6583" t="s">
        <v>1619</v>
      </c>
      <c r="N6583">
        <v>53.43</v>
      </c>
      <c r="O6583" s="49">
        <v>44561</v>
      </c>
      <c r="P6583" s="50">
        <v>410.02199999999999</v>
      </c>
    </row>
    <row r="6584" spans="4:16" x14ac:dyDescent="0.2">
      <c r="D6584">
        <v>100003919</v>
      </c>
      <c r="E6584" s="49">
        <v>44890</v>
      </c>
      <c r="F6584" t="s">
        <v>5369</v>
      </c>
      <c r="G6584" t="s">
        <v>1719</v>
      </c>
      <c r="H6584">
        <v>9</v>
      </c>
      <c r="I6584">
        <v>72.650000000000006</v>
      </c>
      <c r="J6584" s="50">
        <v>653.85</v>
      </c>
      <c r="K6584" t="s">
        <v>1618</v>
      </c>
      <c r="M6584" t="s">
        <v>1624</v>
      </c>
      <c r="N6584">
        <v>38.340000000000003</v>
      </c>
      <c r="O6584" s="49">
        <v>44892</v>
      </c>
      <c r="P6584" s="50">
        <v>294.23250000000002</v>
      </c>
    </row>
    <row r="6585" spans="4:16" x14ac:dyDescent="0.2">
      <c r="D6585">
        <v>100003919</v>
      </c>
      <c r="E6585" s="49">
        <v>44604</v>
      </c>
      <c r="F6585" t="s">
        <v>5369</v>
      </c>
      <c r="G6585" t="s">
        <v>1904</v>
      </c>
      <c r="H6585">
        <v>9</v>
      </c>
      <c r="I6585">
        <v>60.17</v>
      </c>
      <c r="J6585" s="50">
        <v>541.53</v>
      </c>
      <c r="K6585" t="s">
        <v>1618</v>
      </c>
      <c r="M6585" t="s">
        <v>1621</v>
      </c>
      <c r="N6585">
        <v>31.76</v>
      </c>
      <c r="O6585" s="49">
        <v>44608</v>
      </c>
      <c r="P6585" s="50">
        <v>243.6885</v>
      </c>
    </row>
    <row r="6586" spans="4:16" x14ac:dyDescent="0.2">
      <c r="D6586">
        <v>100003919</v>
      </c>
      <c r="E6586" s="49">
        <v>45017</v>
      </c>
      <c r="F6586" t="s">
        <v>5369</v>
      </c>
      <c r="G6586" t="s">
        <v>2038</v>
      </c>
      <c r="H6586">
        <v>3</v>
      </c>
      <c r="I6586">
        <v>85.92</v>
      </c>
      <c r="J6586" s="50">
        <v>257.76</v>
      </c>
      <c r="K6586" t="s">
        <v>1618</v>
      </c>
      <c r="M6586" t="s">
        <v>1619</v>
      </c>
      <c r="N6586">
        <v>45.35</v>
      </c>
      <c r="O6586" s="49">
        <v>45022</v>
      </c>
      <c r="P6586" s="50">
        <v>115.992</v>
      </c>
    </row>
    <row r="6587" spans="4:16" x14ac:dyDescent="0.2">
      <c r="D6587">
        <v>100003920</v>
      </c>
      <c r="E6587" s="49">
        <v>45239</v>
      </c>
      <c r="F6587" t="s">
        <v>5370</v>
      </c>
      <c r="G6587" t="s">
        <v>2004</v>
      </c>
      <c r="H6587">
        <v>6</v>
      </c>
      <c r="I6587">
        <v>106.56</v>
      </c>
      <c r="J6587" s="50">
        <v>639.36</v>
      </c>
      <c r="K6587" t="s">
        <v>1618</v>
      </c>
      <c r="M6587" t="s">
        <v>1624</v>
      </c>
      <c r="N6587">
        <v>56.24</v>
      </c>
      <c r="O6587" s="49">
        <v>45244</v>
      </c>
      <c r="P6587" s="50">
        <v>287.71199999999999</v>
      </c>
    </row>
    <row r="6588" spans="4:16" x14ac:dyDescent="0.2">
      <c r="D6588">
        <v>100003921</v>
      </c>
      <c r="E6588" s="49">
        <v>44345</v>
      </c>
      <c r="F6588" t="s">
        <v>5371</v>
      </c>
      <c r="G6588" t="s">
        <v>1916</v>
      </c>
      <c r="H6588">
        <v>6</v>
      </c>
      <c r="I6588">
        <v>87.76</v>
      </c>
      <c r="J6588" s="50">
        <v>526.56000000000006</v>
      </c>
      <c r="K6588" t="s">
        <v>1632</v>
      </c>
      <c r="M6588" t="s">
        <v>1629</v>
      </c>
      <c r="N6588">
        <v>46.32</v>
      </c>
      <c r="O6588" s="49">
        <v>44348</v>
      </c>
      <c r="P6588" s="50">
        <v>236.95200000000003</v>
      </c>
    </row>
    <row r="6589" spans="4:16" x14ac:dyDescent="0.2">
      <c r="D6589">
        <v>100003921</v>
      </c>
      <c r="E6589" s="49">
        <v>45473</v>
      </c>
      <c r="F6589" t="s">
        <v>5371</v>
      </c>
      <c r="G6589" t="s">
        <v>1649</v>
      </c>
      <c r="H6589">
        <v>2</v>
      </c>
      <c r="I6589">
        <v>77.510000000000005</v>
      </c>
      <c r="J6589" s="50">
        <v>155.02000000000001</v>
      </c>
      <c r="K6589" t="s">
        <v>1632</v>
      </c>
      <c r="M6589" t="s">
        <v>1629</v>
      </c>
      <c r="N6589">
        <v>40.909999999999997</v>
      </c>
      <c r="O6589" s="49">
        <v>45476</v>
      </c>
      <c r="P6589" s="50">
        <v>69.759</v>
      </c>
    </row>
    <row r="6590" spans="4:16" x14ac:dyDescent="0.2">
      <c r="D6590">
        <v>100003922</v>
      </c>
      <c r="E6590" s="49">
        <v>44216</v>
      </c>
      <c r="F6590" t="s">
        <v>5372</v>
      </c>
      <c r="G6590" t="s">
        <v>1742</v>
      </c>
      <c r="H6590">
        <v>5</v>
      </c>
      <c r="I6590">
        <v>54.72</v>
      </c>
      <c r="J6590" s="50">
        <v>273.60000000000002</v>
      </c>
      <c r="K6590" t="s">
        <v>1618</v>
      </c>
      <c r="M6590" t="s">
        <v>1624</v>
      </c>
      <c r="N6590">
        <v>28.88</v>
      </c>
      <c r="O6590" s="49">
        <v>44219</v>
      </c>
      <c r="P6590" s="50">
        <v>123.12000000000002</v>
      </c>
    </row>
    <row r="6591" spans="4:16" x14ac:dyDescent="0.2">
      <c r="D6591">
        <v>100003922</v>
      </c>
      <c r="E6591" s="49">
        <v>44445</v>
      </c>
      <c r="F6591" t="s">
        <v>5372</v>
      </c>
      <c r="G6591" t="s">
        <v>1834</v>
      </c>
      <c r="H6591">
        <v>9</v>
      </c>
      <c r="I6591">
        <v>35.020000000000003</v>
      </c>
      <c r="J6591" s="50">
        <v>315.18</v>
      </c>
      <c r="K6591" t="s">
        <v>1618</v>
      </c>
      <c r="M6591" t="s">
        <v>1619</v>
      </c>
      <c r="N6591">
        <v>18.48</v>
      </c>
      <c r="O6591" s="49">
        <v>44449</v>
      </c>
      <c r="P6591" s="50">
        <v>141.83100000000002</v>
      </c>
    </row>
    <row r="6592" spans="4:16" x14ac:dyDescent="0.2">
      <c r="D6592">
        <v>100003922</v>
      </c>
      <c r="E6592" s="49">
        <v>45598</v>
      </c>
      <c r="F6592" t="s">
        <v>5372</v>
      </c>
      <c r="G6592" t="s">
        <v>1897</v>
      </c>
      <c r="H6592">
        <v>3</v>
      </c>
      <c r="I6592">
        <v>107.06</v>
      </c>
      <c r="J6592" s="50">
        <v>321.18</v>
      </c>
      <c r="K6592" t="s">
        <v>1618</v>
      </c>
      <c r="M6592" t="s">
        <v>1627</v>
      </c>
      <c r="N6592">
        <v>56.5</v>
      </c>
      <c r="O6592" s="49">
        <v>45603</v>
      </c>
      <c r="P6592" s="50">
        <v>144.53100000000001</v>
      </c>
    </row>
    <row r="6593" spans="4:16" x14ac:dyDescent="0.2">
      <c r="D6593">
        <v>100003923</v>
      </c>
      <c r="E6593" s="49">
        <v>45325</v>
      </c>
      <c r="F6593" t="s">
        <v>5373</v>
      </c>
      <c r="G6593" t="s">
        <v>1976</v>
      </c>
      <c r="H6593">
        <v>7</v>
      </c>
      <c r="I6593">
        <v>30.72</v>
      </c>
      <c r="J6593" s="50">
        <v>215.04</v>
      </c>
      <c r="K6593" t="s">
        <v>1632</v>
      </c>
      <c r="M6593" t="s">
        <v>1624</v>
      </c>
      <c r="N6593">
        <v>16.21</v>
      </c>
      <c r="O6593" s="49">
        <v>45327</v>
      </c>
      <c r="P6593" s="50">
        <v>96.768000000000001</v>
      </c>
    </row>
    <row r="6594" spans="4:16" x14ac:dyDescent="0.2">
      <c r="D6594">
        <v>100003924</v>
      </c>
      <c r="E6594" s="49">
        <v>45402</v>
      </c>
      <c r="F6594" t="s">
        <v>5374</v>
      </c>
      <c r="G6594" t="s">
        <v>2550</v>
      </c>
      <c r="H6594">
        <v>10</v>
      </c>
      <c r="I6594">
        <v>47.18</v>
      </c>
      <c r="J6594" s="50">
        <v>471.8</v>
      </c>
      <c r="K6594" t="s">
        <v>1618</v>
      </c>
      <c r="M6594" t="s">
        <v>1619</v>
      </c>
      <c r="N6594">
        <v>24.9</v>
      </c>
      <c r="O6594" s="49">
        <v>45406</v>
      </c>
      <c r="P6594" s="50">
        <v>212.31</v>
      </c>
    </row>
    <row r="6595" spans="4:16" x14ac:dyDescent="0.2">
      <c r="D6595">
        <v>100003924</v>
      </c>
      <c r="E6595" s="49">
        <v>44864</v>
      </c>
      <c r="F6595" t="s">
        <v>5374</v>
      </c>
      <c r="G6595" t="s">
        <v>2023</v>
      </c>
      <c r="H6595">
        <v>4</v>
      </c>
      <c r="I6595">
        <v>106.35</v>
      </c>
      <c r="J6595" s="50">
        <v>425.4</v>
      </c>
      <c r="K6595" t="s">
        <v>1618</v>
      </c>
      <c r="M6595" t="s">
        <v>1629</v>
      </c>
      <c r="N6595">
        <v>56.13</v>
      </c>
      <c r="O6595" s="49">
        <v>44867</v>
      </c>
      <c r="P6595" s="50">
        <v>191.43</v>
      </c>
    </row>
    <row r="6596" spans="4:16" x14ac:dyDescent="0.2">
      <c r="D6596">
        <v>100003927</v>
      </c>
      <c r="E6596" s="49">
        <v>44512</v>
      </c>
      <c r="F6596" t="s">
        <v>5375</v>
      </c>
      <c r="G6596" t="s">
        <v>2633</v>
      </c>
      <c r="H6596">
        <v>7</v>
      </c>
      <c r="I6596">
        <v>98.37</v>
      </c>
      <c r="J6596" s="50">
        <v>688.59</v>
      </c>
      <c r="K6596" t="s">
        <v>1632</v>
      </c>
      <c r="M6596" t="s">
        <v>1627</v>
      </c>
      <c r="N6596">
        <v>51.92</v>
      </c>
      <c r="O6596" s="49">
        <v>44514</v>
      </c>
      <c r="P6596" s="50">
        <v>309.8655</v>
      </c>
    </row>
    <row r="6597" spans="4:16" x14ac:dyDescent="0.2">
      <c r="D6597">
        <v>100003928</v>
      </c>
      <c r="E6597" s="49">
        <v>44377</v>
      </c>
      <c r="F6597" t="s">
        <v>5376</v>
      </c>
      <c r="G6597" t="s">
        <v>2692</v>
      </c>
      <c r="H6597">
        <v>10</v>
      </c>
      <c r="I6597">
        <v>24.46</v>
      </c>
      <c r="J6597" s="50">
        <v>244.6</v>
      </c>
      <c r="K6597" t="s">
        <v>1618</v>
      </c>
      <c r="M6597" t="s">
        <v>1629</v>
      </c>
      <c r="N6597">
        <v>12.91</v>
      </c>
      <c r="O6597" s="49">
        <v>44380</v>
      </c>
      <c r="P6597" s="50">
        <v>110.07</v>
      </c>
    </row>
    <row r="6598" spans="4:16" x14ac:dyDescent="0.2">
      <c r="D6598">
        <v>100003930</v>
      </c>
      <c r="E6598" s="49">
        <v>44835</v>
      </c>
      <c r="F6598" t="s">
        <v>5377</v>
      </c>
      <c r="G6598" t="s">
        <v>1650</v>
      </c>
      <c r="H6598">
        <v>10</v>
      </c>
      <c r="I6598">
        <v>85.16</v>
      </c>
      <c r="J6598" s="50">
        <v>851.59999999999991</v>
      </c>
      <c r="K6598" t="s">
        <v>1618</v>
      </c>
      <c r="M6598" t="s">
        <v>1629</v>
      </c>
      <c r="N6598">
        <v>44.95</v>
      </c>
      <c r="O6598" s="49">
        <v>44839</v>
      </c>
      <c r="P6598" s="50">
        <v>383.21999999999997</v>
      </c>
    </row>
    <row r="6599" spans="4:16" x14ac:dyDescent="0.2">
      <c r="D6599">
        <v>100003931</v>
      </c>
      <c r="E6599" s="49">
        <v>45400</v>
      </c>
      <c r="F6599" t="s">
        <v>5378</v>
      </c>
      <c r="G6599" t="s">
        <v>2574</v>
      </c>
      <c r="H6599">
        <v>2</v>
      </c>
      <c r="I6599">
        <v>26.34</v>
      </c>
      <c r="J6599" s="50">
        <v>52.68</v>
      </c>
      <c r="K6599" t="s">
        <v>1618</v>
      </c>
      <c r="M6599" t="s">
        <v>1619</v>
      </c>
      <c r="N6599">
        <v>13.9</v>
      </c>
      <c r="O6599" s="49">
        <v>45402</v>
      </c>
      <c r="P6599" s="50">
        <v>23.706</v>
      </c>
    </row>
    <row r="6600" spans="4:16" x14ac:dyDescent="0.2">
      <c r="D6600">
        <v>100003931</v>
      </c>
      <c r="E6600" s="49">
        <v>44400</v>
      </c>
      <c r="F6600" t="s">
        <v>5378</v>
      </c>
      <c r="G6600" t="s">
        <v>1636</v>
      </c>
      <c r="H6600">
        <v>6</v>
      </c>
      <c r="I6600">
        <v>44.42</v>
      </c>
      <c r="J6600" s="50">
        <v>266.52</v>
      </c>
      <c r="K6600" t="s">
        <v>1618</v>
      </c>
      <c r="M6600" t="s">
        <v>1627</v>
      </c>
      <c r="N6600">
        <v>23.44</v>
      </c>
      <c r="O6600" s="49">
        <v>44402</v>
      </c>
      <c r="P6600" s="50">
        <v>119.934</v>
      </c>
    </row>
    <row r="6601" spans="4:16" x14ac:dyDescent="0.2">
      <c r="D6601">
        <v>100003931</v>
      </c>
      <c r="E6601" s="49">
        <v>44620</v>
      </c>
      <c r="F6601" t="s">
        <v>5378</v>
      </c>
      <c r="G6601" t="s">
        <v>1913</v>
      </c>
      <c r="H6601">
        <v>6</v>
      </c>
      <c r="I6601">
        <v>78.569999999999993</v>
      </c>
      <c r="J6601" s="50">
        <v>471.42</v>
      </c>
      <c r="K6601" t="s">
        <v>1618</v>
      </c>
      <c r="M6601" t="s">
        <v>1629</v>
      </c>
      <c r="N6601">
        <v>41.47</v>
      </c>
      <c r="O6601" s="49">
        <v>44625</v>
      </c>
      <c r="P6601" s="50">
        <v>212.13900000000001</v>
      </c>
    </row>
    <row r="6602" spans="4:16" x14ac:dyDescent="0.2">
      <c r="D6602">
        <v>100003931</v>
      </c>
      <c r="E6602" s="49">
        <v>44743</v>
      </c>
      <c r="F6602" t="s">
        <v>5378</v>
      </c>
      <c r="G6602" t="s">
        <v>2096</v>
      </c>
      <c r="H6602">
        <v>8</v>
      </c>
      <c r="I6602">
        <v>45.6</v>
      </c>
      <c r="J6602" s="50">
        <v>364.8</v>
      </c>
      <c r="K6602" t="s">
        <v>1618</v>
      </c>
      <c r="M6602" t="s">
        <v>1621</v>
      </c>
      <c r="N6602">
        <v>24.07</v>
      </c>
      <c r="O6602" s="49">
        <v>44747</v>
      </c>
      <c r="P6602" s="50">
        <v>164.16</v>
      </c>
    </row>
    <row r="6603" spans="4:16" x14ac:dyDescent="0.2">
      <c r="D6603">
        <v>100003933</v>
      </c>
      <c r="E6603" s="49">
        <v>44241</v>
      </c>
      <c r="F6603" t="s">
        <v>5379</v>
      </c>
      <c r="G6603" t="s">
        <v>3075</v>
      </c>
      <c r="H6603">
        <v>5</v>
      </c>
      <c r="I6603">
        <v>25.53</v>
      </c>
      <c r="J6603" s="50">
        <v>127.65</v>
      </c>
      <c r="K6603" t="s">
        <v>1618</v>
      </c>
      <c r="L6603" t="s">
        <v>2284</v>
      </c>
      <c r="M6603" t="s">
        <v>1621</v>
      </c>
      <c r="N6603">
        <v>13.47</v>
      </c>
      <c r="O6603" s="49">
        <v>44244</v>
      </c>
      <c r="P6603" s="50">
        <v>57.442500000000003</v>
      </c>
    </row>
    <row r="6604" spans="4:16" x14ac:dyDescent="0.2">
      <c r="D6604">
        <v>100003933</v>
      </c>
      <c r="E6604" s="49">
        <v>45629</v>
      </c>
      <c r="F6604" t="s">
        <v>5379</v>
      </c>
      <c r="G6604" t="s">
        <v>1823</v>
      </c>
      <c r="H6604">
        <v>2</v>
      </c>
      <c r="I6604">
        <v>21.97</v>
      </c>
      <c r="J6604" s="50">
        <v>43.94</v>
      </c>
      <c r="K6604" t="s">
        <v>1618</v>
      </c>
      <c r="L6604" t="s">
        <v>2284</v>
      </c>
      <c r="M6604" t="s">
        <v>1627</v>
      </c>
      <c r="N6604">
        <v>11.6</v>
      </c>
      <c r="O6604" s="49">
        <v>45633</v>
      </c>
      <c r="P6604" s="50">
        <v>19.773</v>
      </c>
    </row>
    <row r="6605" spans="4:16" x14ac:dyDescent="0.2">
      <c r="D6605">
        <v>100003934</v>
      </c>
      <c r="E6605" s="49">
        <v>44871</v>
      </c>
      <c r="F6605" t="s">
        <v>5380</v>
      </c>
      <c r="G6605" t="s">
        <v>2465</v>
      </c>
      <c r="H6605">
        <v>9</v>
      </c>
      <c r="I6605">
        <v>48.12</v>
      </c>
      <c r="J6605" s="50">
        <v>433.08</v>
      </c>
      <c r="K6605" t="s">
        <v>1632</v>
      </c>
      <c r="M6605" t="s">
        <v>1624</v>
      </c>
      <c r="N6605">
        <v>25.4</v>
      </c>
      <c r="O6605" s="49">
        <v>44876</v>
      </c>
      <c r="P6605" s="50">
        <v>194.886</v>
      </c>
    </row>
    <row r="6606" spans="4:16" x14ac:dyDescent="0.2">
      <c r="D6606">
        <v>100003935</v>
      </c>
      <c r="E6606" s="49">
        <v>45168</v>
      </c>
      <c r="F6606" t="s">
        <v>5381</v>
      </c>
      <c r="G6606" t="s">
        <v>2088</v>
      </c>
      <c r="H6606">
        <v>5</v>
      </c>
      <c r="I6606">
        <v>39.770000000000003</v>
      </c>
      <c r="J6606" s="50">
        <v>198.85</v>
      </c>
      <c r="K6606" t="s">
        <v>1618</v>
      </c>
      <c r="M6606" t="s">
        <v>1624</v>
      </c>
      <c r="N6606">
        <v>20.99</v>
      </c>
      <c r="O6606" s="49">
        <v>45173</v>
      </c>
      <c r="P6606" s="50">
        <v>89.482500000000002</v>
      </c>
    </row>
    <row r="6607" spans="4:16" x14ac:dyDescent="0.2">
      <c r="D6607">
        <v>100003936</v>
      </c>
      <c r="E6607" s="49">
        <v>44740</v>
      </c>
      <c r="F6607" t="s">
        <v>5382</v>
      </c>
      <c r="G6607" t="s">
        <v>1751</v>
      </c>
      <c r="H6607">
        <v>3</v>
      </c>
      <c r="I6607">
        <v>83.41</v>
      </c>
      <c r="J6607" s="50">
        <v>250.23</v>
      </c>
      <c r="K6607" t="s">
        <v>1632</v>
      </c>
      <c r="L6607" t="s">
        <v>5383</v>
      </c>
      <c r="M6607" t="s">
        <v>1627</v>
      </c>
      <c r="N6607">
        <v>44.02</v>
      </c>
      <c r="O6607" s="49">
        <v>44742</v>
      </c>
      <c r="P6607" s="50">
        <v>112.6035</v>
      </c>
    </row>
    <row r="6608" spans="4:16" x14ac:dyDescent="0.2">
      <c r="D6608">
        <v>100003937</v>
      </c>
      <c r="E6608" s="49">
        <v>44782</v>
      </c>
      <c r="F6608" t="s">
        <v>5384</v>
      </c>
      <c r="G6608" t="s">
        <v>2692</v>
      </c>
      <c r="H6608">
        <v>10</v>
      </c>
      <c r="I6608">
        <v>49.48</v>
      </c>
      <c r="J6608" s="50">
        <v>494.8</v>
      </c>
      <c r="K6608" t="s">
        <v>1618</v>
      </c>
      <c r="L6608" t="s">
        <v>5385</v>
      </c>
      <c r="M6608" t="s">
        <v>1627</v>
      </c>
      <c r="N6608">
        <v>26.11</v>
      </c>
      <c r="O6608" s="49">
        <v>44785</v>
      </c>
      <c r="P6608" s="50">
        <v>222.66</v>
      </c>
    </row>
    <row r="6609" spans="4:16" x14ac:dyDescent="0.2">
      <c r="D6609">
        <v>100003937</v>
      </c>
      <c r="E6609" s="49">
        <v>44638</v>
      </c>
      <c r="F6609" t="s">
        <v>5384</v>
      </c>
      <c r="G6609" t="s">
        <v>1812</v>
      </c>
      <c r="H6609">
        <v>6</v>
      </c>
      <c r="I6609">
        <v>90.25</v>
      </c>
      <c r="J6609" s="50">
        <v>541.5</v>
      </c>
      <c r="K6609" t="s">
        <v>1618</v>
      </c>
      <c r="L6609" t="s">
        <v>5385</v>
      </c>
      <c r="M6609" t="s">
        <v>1619</v>
      </c>
      <c r="N6609">
        <v>47.63</v>
      </c>
      <c r="O6609" s="49">
        <v>44639</v>
      </c>
      <c r="P6609" s="50">
        <v>243.67500000000001</v>
      </c>
    </row>
    <row r="6610" spans="4:16" x14ac:dyDescent="0.2">
      <c r="D6610">
        <v>100003937</v>
      </c>
      <c r="E6610" s="49">
        <v>44397</v>
      </c>
      <c r="F6610" t="s">
        <v>5384</v>
      </c>
      <c r="G6610" t="s">
        <v>1868</v>
      </c>
      <c r="H6610">
        <v>1</v>
      </c>
      <c r="I6610">
        <v>98.3</v>
      </c>
      <c r="J6610" s="50">
        <v>98.3</v>
      </c>
      <c r="K6610" t="s">
        <v>1618</v>
      </c>
      <c r="L6610" t="s">
        <v>5385</v>
      </c>
      <c r="M6610" t="s">
        <v>1627</v>
      </c>
      <c r="N6610">
        <v>51.88</v>
      </c>
      <c r="O6610" s="49">
        <v>44398</v>
      </c>
      <c r="P6610" s="50">
        <v>44.234999999999999</v>
      </c>
    </row>
    <row r="6611" spans="4:16" x14ac:dyDescent="0.2">
      <c r="D6611">
        <v>100003937</v>
      </c>
      <c r="E6611" s="49">
        <v>45466</v>
      </c>
      <c r="F6611" t="s">
        <v>5384</v>
      </c>
      <c r="G6611" t="s">
        <v>1724</v>
      </c>
      <c r="H6611">
        <v>6</v>
      </c>
      <c r="I6611">
        <v>65.89</v>
      </c>
      <c r="J6611" s="50">
        <v>395.34</v>
      </c>
      <c r="K6611" t="s">
        <v>1618</v>
      </c>
      <c r="L6611" t="s">
        <v>5385</v>
      </c>
      <c r="M6611" t="s">
        <v>1619</v>
      </c>
      <c r="N6611">
        <v>34.78</v>
      </c>
      <c r="O6611" s="49">
        <v>45467</v>
      </c>
      <c r="P6611" s="50">
        <v>177.90299999999999</v>
      </c>
    </row>
    <row r="6612" spans="4:16" x14ac:dyDescent="0.2">
      <c r="D6612">
        <v>100003937</v>
      </c>
      <c r="E6612" s="49">
        <v>45362</v>
      </c>
      <c r="F6612" t="s">
        <v>5384</v>
      </c>
      <c r="G6612" t="s">
        <v>1754</v>
      </c>
      <c r="H6612">
        <v>6</v>
      </c>
      <c r="I6612">
        <v>107.24</v>
      </c>
      <c r="J6612" s="50">
        <v>643.43999999999994</v>
      </c>
      <c r="K6612" t="s">
        <v>1618</v>
      </c>
      <c r="L6612" t="s">
        <v>5385</v>
      </c>
      <c r="M6612" t="s">
        <v>1621</v>
      </c>
      <c r="N6612">
        <v>56.6</v>
      </c>
      <c r="O6612" s="49">
        <v>45366</v>
      </c>
      <c r="P6612" s="50">
        <v>289.548</v>
      </c>
    </row>
    <row r="6613" spans="4:16" x14ac:dyDescent="0.2">
      <c r="D6613">
        <v>100003937</v>
      </c>
      <c r="E6613" s="49">
        <v>45474</v>
      </c>
      <c r="F6613" t="s">
        <v>5384</v>
      </c>
      <c r="G6613" t="s">
        <v>2745</v>
      </c>
      <c r="H6613">
        <v>7</v>
      </c>
      <c r="I6613">
        <v>74.81</v>
      </c>
      <c r="J6613" s="50">
        <v>523.67000000000007</v>
      </c>
      <c r="K6613" t="s">
        <v>1618</v>
      </c>
      <c r="L6613" t="s">
        <v>5385</v>
      </c>
      <c r="M6613" t="s">
        <v>1619</v>
      </c>
      <c r="N6613">
        <v>39.479999999999997</v>
      </c>
      <c r="O6613" s="49">
        <v>45475</v>
      </c>
      <c r="P6613" s="50">
        <v>235.65150000000003</v>
      </c>
    </row>
    <row r="6614" spans="4:16" x14ac:dyDescent="0.2">
      <c r="D6614">
        <v>100003938</v>
      </c>
      <c r="E6614" s="49">
        <v>44620</v>
      </c>
      <c r="F6614" t="s">
        <v>5386</v>
      </c>
      <c r="G6614" t="s">
        <v>1815</v>
      </c>
      <c r="H6614">
        <v>8</v>
      </c>
      <c r="I6614">
        <v>21.28</v>
      </c>
      <c r="J6614" s="50">
        <v>170.24</v>
      </c>
      <c r="K6614" t="s">
        <v>1618</v>
      </c>
      <c r="M6614" t="s">
        <v>1627</v>
      </c>
      <c r="N6614">
        <v>11.23</v>
      </c>
      <c r="O6614" s="49">
        <v>44623</v>
      </c>
      <c r="P6614" s="50">
        <v>76.608000000000004</v>
      </c>
    </row>
    <row r="6615" spans="4:16" x14ac:dyDescent="0.2">
      <c r="D6615">
        <v>100003940</v>
      </c>
      <c r="E6615" s="49">
        <v>44700</v>
      </c>
      <c r="F6615" t="s">
        <v>5387</v>
      </c>
      <c r="G6615" t="s">
        <v>1853</v>
      </c>
      <c r="H6615">
        <v>5</v>
      </c>
      <c r="I6615">
        <v>19.84</v>
      </c>
      <c r="J6615" s="50">
        <v>99.2</v>
      </c>
      <c r="K6615" t="s">
        <v>1618</v>
      </c>
      <c r="M6615" t="s">
        <v>1629</v>
      </c>
      <c r="N6615">
        <v>10.47</v>
      </c>
      <c r="O6615" s="49">
        <v>44705</v>
      </c>
      <c r="P6615" s="50">
        <v>44.64</v>
      </c>
    </row>
    <row r="6616" spans="4:16" x14ac:dyDescent="0.2">
      <c r="D6616">
        <v>100003941</v>
      </c>
      <c r="E6616" s="49">
        <v>44374</v>
      </c>
      <c r="F6616" t="s">
        <v>5388</v>
      </c>
      <c r="G6616" t="s">
        <v>1675</v>
      </c>
      <c r="H6616">
        <v>5</v>
      </c>
      <c r="I6616">
        <v>107.92</v>
      </c>
      <c r="J6616" s="50">
        <v>539.6</v>
      </c>
      <c r="K6616" t="s">
        <v>1632</v>
      </c>
      <c r="M6616" t="s">
        <v>1621</v>
      </c>
      <c r="N6616">
        <v>56.96</v>
      </c>
      <c r="O6616" s="49">
        <v>44375</v>
      </c>
      <c r="P6616" s="50">
        <v>242.82000000000002</v>
      </c>
    </row>
    <row r="6617" spans="4:16" x14ac:dyDescent="0.2">
      <c r="D6617">
        <v>100003942</v>
      </c>
      <c r="E6617" s="49">
        <v>45149</v>
      </c>
      <c r="F6617" t="s">
        <v>5389</v>
      </c>
      <c r="G6617" t="s">
        <v>1864</v>
      </c>
      <c r="H6617">
        <v>7</v>
      </c>
      <c r="I6617">
        <v>14.83</v>
      </c>
      <c r="J6617" s="50">
        <v>103.81</v>
      </c>
      <c r="K6617" t="s">
        <v>1618</v>
      </c>
      <c r="L6617" t="s">
        <v>2403</v>
      </c>
      <c r="M6617" t="s">
        <v>1624</v>
      </c>
      <c r="N6617">
        <v>7.83</v>
      </c>
      <c r="O6617" s="49">
        <v>45153</v>
      </c>
      <c r="P6617" s="50">
        <v>46.714500000000001</v>
      </c>
    </row>
    <row r="6618" spans="4:16" x14ac:dyDescent="0.2">
      <c r="D6618">
        <v>100003942</v>
      </c>
      <c r="E6618" s="49">
        <v>44864</v>
      </c>
      <c r="F6618" t="s">
        <v>5389</v>
      </c>
      <c r="G6618" t="s">
        <v>2003</v>
      </c>
      <c r="H6618">
        <v>8</v>
      </c>
      <c r="I6618">
        <v>55.36</v>
      </c>
      <c r="J6618" s="50">
        <v>442.88</v>
      </c>
      <c r="K6618" t="s">
        <v>1618</v>
      </c>
      <c r="L6618" t="s">
        <v>2403</v>
      </c>
      <c r="M6618" t="s">
        <v>1619</v>
      </c>
      <c r="N6618">
        <v>29.22</v>
      </c>
      <c r="O6618" s="49">
        <v>44865</v>
      </c>
      <c r="P6618" s="50">
        <v>199.29599999999999</v>
      </c>
    </row>
    <row r="6619" spans="4:16" x14ac:dyDescent="0.2">
      <c r="D6619">
        <v>100003942</v>
      </c>
      <c r="E6619" s="49">
        <v>45644</v>
      </c>
      <c r="F6619" t="s">
        <v>5389</v>
      </c>
      <c r="G6619" t="s">
        <v>1715</v>
      </c>
      <c r="H6619">
        <v>3</v>
      </c>
      <c r="I6619">
        <v>62.89</v>
      </c>
      <c r="J6619" s="50">
        <v>188.67</v>
      </c>
      <c r="K6619" t="s">
        <v>1618</v>
      </c>
      <c r="L6619" t="s">
        <v>2403</v>
      </c>
      <c r="M6619" t="s">
        <v>1627</v>
      </c>
      <c r="N6619">
        <v>33.19</v>
      </c>
      <c r="O6619" s="49">
        <v>45645</v>
      </c>
      <c r="P6619" s="50">
        <v>84.901499999999999</v>
      </c>
    </row>
    <row r="6620" spans="4:16" x14ac:dyDescent="0.2">
      <c r="D6620">
        <v>100003944</v>
      </c>
      <c r="E6620" s="49">
        <v>44295</v>
      </c>
      <c r="F6620" t="s">
        <v>5390</v>
      </c>
      <c r="G6620" t="s">
        <v>1675</v>
      </c>
      <c r="H6620">
        <v>4</v>
      </c>
      <c r="I6620">
        <v>119.27</v>
      </c>
      <c r="J6620" s="50">
        <v>477.08</v>
      </c>
      <c r="K6620" t="s">
        <v>1632</v>
      </c>
      <c r="M6620" t="s">
        <v>1621</v>
      </c>
      <c r="N6620">
        <v>62.95</v>
      </c>
      <c r="O6620" s="49">
        <v>44298</v>
      </c>
      <c r="P6620" s="50">
        <v>214.68600000000001</v>
      </c>
    </row>
    <row r="6621" spans="4:16" x14ac:dyDescent="0.2">
      <c r="D6621">
        <v>100003945</v>
      </c>
      <c r="E6621" s="49">
        <v>44386</v>
      </c>
      <c r="F6621" t="s">
        <v>5391</v>
      </c>
      <c r="G6621" t="s">
        <v>1639</v>
      </c>
      <c r="H6621">
        <v>4</v>
      </c>
      <c r="I6621">
        <v>34.15</v>
      </c>
      <c r="J6621" s="50">
        <v>136.6</v>
      </c>
      <c r="K6621" t="s">
        <v>1618</v>
      </c>
      <c r="L6621" t="s">
        <v>5107</v>
      </c>
      <c r="M6621" t="s">
        <v>1629</v>
      </c>
      <c r="N6621">
        <v>18.02</v>
      </c>
      <c r="O6621" s="49">
        <v>44389</v>
      </c>
      <c r="P6621" s="50">
        <v>61.47</v>
      </c>
    </row>
    <row r="6622" spans="4:16" x14ac:dyDescent="0.2">
      <c r="D6622">
        <v>100003945</v>
      </c>
      <c r="E6622" s="49">
        <v>44273</v>
      </c>
      <c r="F6622" t="s">
        <v>5391</v>
      </c>
      <c r="G6622" t="s">
        <v>1782</v>
      </c>
      <c r="H6622">
        <v>6</v>
      </c>
      <c r="I6622">
        <v>28.15</v>
      </c>
      <c r="J6622" s="50">
        <v>168.9</v>
      </c>
      <c r="K6622" t="s">
        <v>1618</v>
      </c>
      <c r="L6622" t="s">
        <v>5107</v>
      </c>
      <c r="M6622" t="s">
        <v>1627</v>
      </c>
      <c r="N6622">
        <v>14.86</v>
      </c>
      <c r="O6622" s="49">
        <v>44278</v>
      </c>
      <c r="P6622" s="50">
        <v>76.00500000000001</v>
      </c>
    </row>
    <row r="6623" spans="4:16" x14ac:dyDescent="0.2">
      <c r="D6623">
        <v>100003946</v>
      </c>
      <c r="E6623" s="49">
        <v>45456</v>
      </c>
      <c r="F6623" t="s">
        <v>5392</v>
      </c>
      <c r="G6623" t="s">
        <v>2242</v>
      </c>
      <c r="H6623">
        <v>8</v>
      </c>
      <c r="I6623">
        <v>13.82</v>
      </c>
      <c r="J6623" s="50">
        <v>110.56</v>
      </c>
      <c r="K6623" t="s">
        <v>1618</v>
      </c>
      <c r="M6623" t="s">
        <v>1629</v>
      </c>
      <c r="N6623">
        <v>7.29</v>
      </c>
      <c r="O6623" s="49">
        <v>45459</v>
      </c>
      <c r="P6623" s="50">
        <v>49.752000000000002</v>
      </c>
    </row>
    <row r="6624" spans="4:16" x14ac:dyDescent="0.2">
      <c r="D6624">
        <v>100003946</v>
      </c>
      <c r="E6624" s="49">
        <v>44890</v>
      </c>
      <c r="F6624" t="s">
        <v>5392</v>
      </c>
      <c r="G6624" t="s">
        <v>2068</v>
      </c>
      <c r="H6624">
        <v>9</v>
      </c>
      <c r="I6624">
        <v>84.25</v>
      </c>
      <c r="J6624" s="50">
        <v>758.25</v>
      </c>
      <c r="K6624" t="s">
        <v>1618</v>
      </c>
      <c r="M6624" t="s">
        <v>1629</v>
      </c>
      <c r="N6624">
        <v>44.46</v>
      </c>
      <c r="O6624" s="49">
        <v>44894</v>
      </c>
      <c r="P6624" s="50">
        <v>341.21250000000003</v>
      </c>
    </row>
    <row r="6625" spans="4:16" x14ac:dyDescent="0.2">
      <c r="D6625">
        <v>100003947</v>
      </c>
      <c r="E6625" s="49">
        <v>44678</v>
      </c>
      <c r="F6625" t="s">
        <v>5393</v>
      </c>
      <c r="G6625" t="s">
        <v>2174</v>
      </c>
      <c r="H6625">
        <v>2</v>
      </c>
      <c r="I6625">
        <v>12.07</v>
      </c>
      <c r="J6625" s="50">
        <v>24.14</v>
      </c>
      <c r="K6625" t="s">
        <v>1618</v>
      </c>
      <c r="M6625" t="s">
        <v>1621</v>
      </c>
      <c r="N6625">
        <v>6.37</v>
      </c>
      <c r="O6625" s="49">
        <v>44681</v>
      </c>
      <c r="P6625" s="50">
        <v>10.863000000000001</v>
      </c>
    </row>
    <row r="6626" spans="4:16" x14ac:dyDescent="0.2">
      <c r="D6626">
        <v>100003947</v>
      </c>
      <c r="E6626" s="49">
        <v>45312</v>
      </c>
      <c r="F6626" t="s">
        <v>5393</v>
      </c>
      <c r="G6626" t="s">
        <v>2328</v>
      </c>
      <c r="H6626">
        <v>2</v>
      </c>
      <c r="I6626">
        <v>53.4</v>
      </c>
      <c r="J6626" s="50">
        <v>106.8</v>
      </c>
      <c r="K6626" t="s">
        <v>1618</v>
      </c>
      <c r="M6626" t="s">
        <v>1621</v>
      </c>
      <c r="N6626">
        <v>28.18</v>
      </c>
      <c r="O6626" s="49">
        <v>45313</v>
      </c>
      <c r="P6626" s="50">
        <v>48.06</v>
      </c>
    </row>
    <row r="6627" spans="4:16" x14ac:dyDescent="0.2">
      <c r="D6627">
        <v>100003947</v>
      </c>
      <c r="E6627" s="49">
        <v>44468</v>
      </c>
      <c r="F6627" t="s">
        <v>5393</v>
      </c>
      <c r="G6627" t="s">
        <v>1967</v>
      </c>
      <c r="H6627">
        <v>2</v>
      </c>
      <c r="I6627">
        <v>77.59</v>
      </c>
      <c r="J6627" s="50">
        <v>155.18</v>
      </c>
      <c r="K6627" t="s">
        <v>1618</v>
      </c>
      <c r="M6627" t="s">
        <v>1629</v>
      </c>
      <c r="N6627">
        <v>40.950000000000003</v>
      </c>
      <c r="O6627" s="49">
        <v>44473</v>
      </c>
      <c r="P6627" s="50">
        <v>69.831000000000003</v>
      </c>
    </row>
    <row r="6628" spans="4:16" x14ac:dyDescent="0.2">
      <c r="D6628">
        <v>100003947</v>
      </c>
      <c r="E6628" s="49">
        <v>44426</v>
      </c>
      <c r="F6628" t="s">
        <v>5393</v>
      </c>
      <c r="G6628" t="s">
        <v>1737</v>
      </c>
      <c r="H6628">
        <v>9</v>
      </c>
      <c r="I6628">
        <v>111.55</v>
      </c>
      <c r="J6628" s="50">
        <v>1003.95</v>
      </c>
      <c r="K6628" t="s">
        <v>1618</v>
      </c>
      <c r="M6628" t="s">
        <v>1627</v>
      </c>
      <c r="N6628">
        <v>58.87</v>
      </c>
      <c r="O6628" s="49">
        <v>44431</v>
      </c>
      <c r="P6628" s="50">
        <v>451.77750000000003</v>
      </c>
    </row>
    <row r="6629" spans="4:16" x14ac:dyDescent="0.2">
      <c r="D6629">
        <v>100003947</v>
      </c>
      <c r="E6629" s="49">
        <v>45462</v>
      </c>
      <c r="F6629" t="s">
        <v>5393</v>
      </c>
      <c r="G6629" t="s">
        <v>1975</v>
      </c>
      <c r="H6629">
        <v>6</v>
      </c>
      <c r="I6629">
        <v>25.87</v>
      </c>
      <c r="J6629" s="50">
        <v>155.22</v>
      </c>
      <c r="K6629" t="s">
        <v>1618</v>
      </c>
      <c r="M6629" t="s">
        <v>1627</v>
      </c>
      <c r="N6629">
        <v>13.65</v>
      </c>
      <c r="O6629" s="49">
        <v>45467</v>
      </c>
      <c r="P6629" s="50">
        <v>69.849000000000004</v>
      </c>
    </row>
    <row r="6630" spans="4:16" x14ac:dyDescent="0.2">
      <c r="D6630">
        <v>100003947</v>
      </c>
      <c r="E6630" s="49">
        <v>45028</v>
      </c>
      <c r="F6630" t="s">
        <v>5393</v>
      </c>
      <c r="G6630" t="s">
        <v>2574</v>
      </c>
      <c r="H6630">
        <v>2</v>
      </c>
      <c r="I6630">
        <v>88.23</v>
      </c>
      <c r="J6630" s="50">
        <v>176.46</v>
      </c>
      <c r="K6630" t="s">
        <v>1618</v>
      </c>
      <c r="M6630" t="s">
        <v>1621</v>
      </c>
      <c r="N6630">
        <v>46.57</v>
      </c>
      <c r="O6630" s="49">
        <v>45030</v>
      </c>
      <c r="P6630" s="50">
        <v>79.407000000000011</v>
      </c>
    </row>
    <row r="6631" spans="4:16" x14ac:dyDescent="0.2">
      <c r="D6631">
        <v>100003947</v>
      </c>
      <c r="E6631" s="49">
        <v>44280</v>
      </c>
      <c r="F6631" t="s">
        <v>5393</v>
      </c>
      <c r="G6631" t="s">
        <v>2217</v>
      </c>
      <c r="H6631">
        <v>1</v>
      </c>
      <c r="I6631">
        <v>76.72</v>
      </c>
      <c r="J6631" s="50">
        <v>76.72</v>
      </c>
      <c r="K6631" t="s">
        <v>1618</v>
      </c>
      <c r="M6631" t="s">
        <v>1627</v>
      </c>
      <c r="N6631">
        <v>40.49</v>
      </c>
      <c r="O6631" s="49">
        <v>44284</v>
      </c>
      <c r="P6631" s="50">
        <v>34.524000000000001</v>
      </c>
    </row>
    <row r="6632" spans="4:16" x14ac:dyDescent="0.2">
      <c r="D6632">
        <v>100003948</v>
      </c>
      <c r="E6632" s="49">
        <v>45582</v>
      </c>
      <c r="F6632" t="s">
        <v>5394</v>
      </c>
      <c r="G6632" t="s">
        <v>1666</v>
      </c>
      <c r="H6632">
        <v>10</v>
      </c>
      <c r="I6632">
        <v>25.57</v>
      </c>
      <c r="J6632" s="50">
        <v>255.7</v>
      </c>
      <c r="K6632" t="s">
        <v>1618</v>
      </c>
      <c r="M6632" t="s">
        <v>1624</v>
      </c>
      <c r="N6632">
        <v>13.5</v>
      </c>
      <c r="O6632" s="49">
        <v>45587</v>
      </c>
      <c r="P6632" s="50">
        <v>115.065</v>
      </c>
    </row>
    <row r="6633" spans="4:16" x14ac:dyDescent="0.2">
      <c r="D6633">
        <v>100003948</v>
      </c>
      <c r="E6633" s="49">
        <v>45156</v>
      </c>
      <c r="F6633" t="s">
        <v>5394</v>
      </c>
      <c r="G6633" t="s">
        <v>2074</v>
      </c>
      <c r="H6633">
        <v>9</v>
      </c>
      <c r="I6633">
        <v>42.97</v>
      </c>
      <c r="J6633" s="50">
        <v>386.73</v>
      </c>
      <c r="K6633" t="s">
        <v>1618</v>
      </c>
      <c r="M6633" t="s">
        <v>1627</v>
      </c>
      <c r="N6633">
        <v>22.68</v>
      </c>
      <c r="O6633" s="49">
        <v>45161</v>
      </c>
      <c r="P6633" s="50">
        <v>174.02850000000001</v>
      </c>
    </row>
    <row r="6634" spans="4:16" x14ac:dyDescent="0.2">
      <c r="D6634">
        <v>100003948</v>
      </c>
      <c r="E6634" s="49">
        <v>44535</v>
      </c>
      <c r="F6634" t="s">
        <v>5394</v>
      </c>
      <c r="G6634" t="s">
        <v>1841</v>
      </c>
      <c r="H6634">
        <v>10</v>
      </c>
      <c r="I6634">
        <v>104.21</v>
      </c>
      <c r="J6634" s="50">
        <v>1042.0999999999999</v>
      </c>
      <c r="K6634" t="s">
        <v>1618</v>
      </c>
      <c r="M6634" t="s">
        <v>1621</v>
      </c>
      <c r="N6634">
        <v>55</v>
      </c>
      <c r="O6634" s="49">
        <v>44536</v>
      </c>
      <c r="P6634" s="50">
        <v>468.94499999999999</v>
      </c>
    </row>
    <row r="6635" spans="4:16" x14ac:dyDescent="0.2">
      <c r="D6635">
        <v>100003948</v>
      </c>
      <c r="E6635" s="49">
        <v>45039</v>
      </c>
      <c r="F6635" t="s">
        <v>5394</v>
      </c>
      <c r="G6635" t="s">
        <v>2242</v>
      </c>
      <c r="H6635">
        <v>4</v>
      </c>
      <c r="I6635">
        <v>45.18</v>
      </c>
      <c r="J6635" s="50">
        <v>180.72</v>
      </c>
      <c r="K6635" t="s">
        <v>1618</v>
      </c>
      <c r="M6635" t="s">
        <v>1624</v>
      </c>
      <c r="N6635">
        <v>23.84</v>
      </c>
      <c r="O6635" s="49">
        <v>45044</v>
      </c>
      <c r="P6635" s="50">
        <v>81.323999999999998</v>
      </c>
    </row>
    <row r="6636" spans="4:16" x14ac:dyDescent="0.2">
      <c r="D6636">
        <v>100003948</v>
      </c>
      <c r="E6636" s="49">
        <v>44247</v>
      </c>
      <c r="F6636" t="s">
        <v>5394</v>
      </c>
      <c r="G6636" t="s">
        <v>1671</v>
      </c>
      <c r="H6636">
        <v>2</v>
      </c>
      <c r="I6636">
        <v>28.27</v>
      </c>
      <c r="J6636" s="50">
        <v>56.54</v>
      </c>
      <c r="K6636" t="s">
        <v>1618</v>
      </c>
      <c r="M6636" t="s">
        <v>1619</v>
      </c>
      <c r="N6636">
        <v>14.92</v>
      </c>
      <c r="O6636" s="49">
        <v>44248</v>
      </c>
      <c r="P6636" s="50">
        <v>25.443000000000001</v>
      </c>
    </row>
    <row r="6637" spans="4:16" x14ac:dyDescent="0.2">
      <c r="D6637">
        <v>100003948</v>
      </c>
      <c r="E6637" s="49">
        <v>45062</v>
      </c>
      <c r="F6637" t="s">
        <v>5394</v>
      </c>
      <c r="G6637" t="s">
        <v>1975</v>
      </c>
      <c r="H6637">
        <v>10</v>
      </c>
      <c r="I6637">
        <v>103.24</v>
      </c>
      <c r="J6637" s="50">
        <v>1032.4000000000001</v>
      </c>
      <c r="K6637" t="s">
        <v>1618</v>
      </c>
      <c r="M6637" t="s">
        <v>1624</v>
      </c>
      <c r="N6637">
        <v>54.49</v>
      </c>
      <c r="O6637" s="49">
        <v>45065</v>
      </c>
      <c r="P6637" s="50">
        <v>464.58000000000004</v>
      </c>
    </row>
    <row r="6638" spans="4:16" x14ac:dyDescent="0.2">
      <c r="D6638">
        <v>100003949</v>
      </c>
      <c r="E6638" s="49">
        <v>44680</v>
      </c>
      <c r="F6638" t="s">
        <v>3648</v>
      </c>
      <c r="G6638" t="s">
        <v>1738</v>
      </c>
      <c r="H6638">
        <v>1</v>
      </c>
      <c r="I6638">
        <v>93.14</v>
      </c>
      <c r="J6638" s="50">
        <v>93.14</v>
      </c>
      <c r="K6638" t="s">
        <v>1618</v>
      </c>
      <c r="M6638" t="s">
        <v>1624</v>
      </c>
      <c r="N6638">
        <v>49.16</v>
      </c>
      <c r="O6638" s="49">
        <v>44683</v>
      </c>
      <c r="P6638" s="50">
        <v>41.913000000000004</v>
      </c>
    </row>
    <row r="6639" spans="4:16" x14ac:dyDescent="0.2">
      <c r="D6639">
        <v>100003949</v>
      </c>
      <c r="E6639" s="49">
        <v>44960</v>
      </c>
      <c r="F6639" t="s">
        <v>3648</v>
      </c>
      <c r="G6639" t="s">
        <v>2633</v>
      </c>
      <c r="H6639">
        <v>5</v>
      </c>
      <c r="I6639">
        <v>77.510000000000005</v>
      </c>
      <c r="J6639" s="50">
        <v>387.55</v>
      </c>
      <c r="K6639" t="s">
        <v>1618</v>
      </c>
      <c r="M6639" t="s">
        <v>1627</v>
      </c>
      <c r="N6639">
        <v>40.909999999999997</v>
      </c>
      <c r="O6639" s="49">
        <v>44962</v>
      </c>
      <c r="P6639" s="50">
        <v>174.39750000000001</v>
      </c>
    </row>
    <row r="6640" spans="4:16" x14ac:dyDescent="0.2">
      <c r="D6640">
        <v>100003951</v>
      </c>
      <c r="E6640" s="49">
        <v>45414</v>
      </c>
      <c r="F6640" t="s">
        <v>5395</v>
      </c>
      <c r="G6640" t="s">
        <v>1902</v>
      </c>
      <c r="H6640">
        <v>8</v>
      </c>
      <c r="I6640">
        <v>76</v>
      </c>
      <c r="J6640" s="50">
        <v>608</v>
      </c>
      <c r="K6640" t="s">
        <v>1632</v>
      </c>
      <c r="M6640" t="s">
        <v>1627</v>
      </c>
      <c r="N6640">
        <v>40.11</v>
      </c>
      <c r="O6640" s="49">
        <v>45416</v>
      </c>
      <c r="P6640" s="50">
        <v>273.60000000000002</v>
      </c>
    </row>
    <row r="6641" spans="4:16" x14ac:dyDescent="0.2">
      <c r="D6641">
        <v>100003952</v>
      </c>
      <c r="E6641" s="49">
        <v>45477</v>
      </c>
      <c r="F6641" t="s">
        <v>5396</v>
      </c>
      <c r="G6641" t="s">
        <v>2427</v>
      </c>
      <c r="H6641">
        <v>10</v>
      </c>
      <c r="I6641">
        <v>81.33</v>
      </c>
      <c r="J6641" s="50">
        <v>813.3</v>
      </c>
      <c r="K6641" t="s">
        <v>1618</v>
      </c>
      <c r="M6641" t="s">
        <v>1621</v>
      </c>
      <c r="N6641">
        <v>42.92</v>
      </c>
      <c r="O6641" s="49">
        <v>45479</v>
      </c>
      <c r="P6641" s="50">
        <v>365.98500000000001</v>
      </c>
    </row>
    <row r="6642" spans="4:16" x14ac:dyDescent="0.2">
      <c r="D6642">
        <v>100003954</v>
      </c>
      <c r="E6642" s="49">
        <v>45401</v>
      </c>
      <c r="F6642" t="s">
        <v>5397</v>
      </c>
      <c r="G6642" t="s">
        <v>1978</v>
      </c>
      <c r="H6642">
        <v>5</v>
      </c>
      <c r="I6642">
        <v>52.97</v>
      </c>
      <c r="J6642" s="50">
        <v>264.85000000000002</v>
      </c>
      <c r="K6642" t="s">
        <v>1618</v>
      </c>
      <c r="M6642" t="s">
        <v>1627</v>
      </c>
      <c r="N6642">
        <v>27.96</v>
      </c>
      <c r="O6642" s="49">
        <v>45403</v>
      </c>
      <c r="P6642" s="50">
        <v>119.18250000000002</v>
      </c>
    </row>
    <row r="6643" spans="4:16" x14ac:dyDescent="0.2">
      <c r="D6643">
        <v>100003954</v>
      </c>
      <c r="E6643" s="49">
        <v>44837</v>
      </c>
      <c r="F6643" t="s">
        <v>5397</v>
      </c>
      <c r="G6643" t="s">
        <v>1756</v>
      </c>
      <c r="H6643">
        <v>1</v>
      </c>
      <c r="I6643">
        <v>18.39</v>
      </c>
      <c r="J6643" s="50">
        <v>18.39</v>
      </c>
      <c r="K6643" t="s">
        <v>1618</v>
      </c>
      <c r="M6643" t="s">
        <v>1619</v>
      </c>
      <c r="N6643">
        <v>9.7100000000000009</v>
      </c>
      <c r="O6643" s="49">
        <v>44841</v>
      </c>
      <c r="P6643" s="50">
        <v>8.275500000000001</v>
      </c>
    </row>
    <row r="6644" spans="4:16" x14ac:dyDescent="0.2">
      <c r="D6644">
        <v>100003955</v>
      </c>
      <c r="E6644" s="49">
        <v>45303</v>
      </c>
      <c r="F6644" t="s">
        <v>4955</v>
      </c>
      <c r="G6644" t="s">
        <v>1631</v>
      </c>
      <c r="H6644">
        <v>2</v>
      </c>
      <c r="I6644">
        <v>97.6</v>
      </c>
      <c r="J6644" s="50">
        <v>195.2</v>
      </c>
      <c r="K6644" t="s">
        <v>1618</v>
      </c>
      <c r="M6644" t="s">
        <v>1627</v>
      </c>
      <c r="N6644">
        <v>51.51</v>
      </c>
      <c r="O6644" s="49">
        <v>45305</v>
      </c>
      <c r="P6644" s="50">
        <v>87.84</v>
      </c>
    </row>
    <row r="6645" spans="4:16" x14ac:dyDescent="0.2">
      <c r="D6645">
        <v>100003956</v>
      </c>
      <c r="E6645" s="49">
        <v>45153</v>
      </c>
      <c r="F6645" t="s">
        <v>5398</v>
      </c>
      <c r="G6645" t="s">
        <v>2099</v>
      </c>
      <c r="H6645">
        <v>4</v>
      </c>
      <c r="I6645">
        <v>102.09</v>
      </c>
      <c r="J6645" s="50">
        <v>408.36</v>
      </c>
      <c r="K6645" t="s">
        <v>1618</v>
      </c>
      <c r="M6645" t="s">
        <v>1621</v>
      </c>
      <c r="N6645">
        <v>53.88</v>
      </c>
      <c r="O6645" s="49">
        <v>45155</v>
      </c>
      <c r="P6645" s="50">
        <v>183.762</v>
      </c>
    </row>
    <row r="6646" spans="4:16" x14ac:dyDescent="0.2">
      <c r="D6646">
        <v>100003956</v>
      </c>
      <c r="E6646" s="49">
        <v>44896</v>
      </c>
      <c r="F6646" t="s">
        <v>5398</v>
      </c>
      <c r="G6646" t="s">
        <v>1762</v>
      </c>
      <c r="H6646">
        <v>1</v>
      </c>
      <c r="I6646">
        <v>70</v>
      </c>
      <c r="J6646" s="50">
        <v>70</v>
      </c>
      <c r="K6646" t="s">
        <v>1618</v>
      </c>
      <c r="M6646" t="s">
        <v>1629</v>
      </c>
      <c r="N6646">
        <v>36.94</v>
      </c>
      <c r="O6646" s="49">
        <v>44899</v>
      </c>
      <c r="P6646" s="50">
        <v>31.5</v>
      </c>
    </row>
    <row r="6647" spans="4:16" x14ac:dyDescent="0.2">
      <c r="D6647">
        <v>100003958</v>
      </c>
      <c r="E6647" s="49">
        <v>45308</v>
      </c>
      <c r="F6647" t="s">
        <v>5399</v>
      </c>
      <c r="G6647" t="s">
        <v>2207</v>
      </c>
      <c r="H6647">
        <v>10</v>
      </c>
      <c r="I6647">
        <v>85.01</v>
      </c>
      <c r="J6647" s="50">
        <v>850.1</v>
      </c>
      <c r="K6647" t="s">
        <v>1618</v>
      </c>
      <c r="L6647" t="s">
        <v>2462</v>
      </c>
      <c r="M6647" t="s">
        <v>1624</v>
      </c>
      <c r="N6647">
        <v>44.87</v>
      </c>
      <c r="O6647" s="49">
        <v>45313</v>
      </c>
      <c r="P6647" s="50">
        <v>382.54500000000002</v>
      </c>
    </row>
    <row r="6648" spans="4:16" x14ac:dyDescent="0.2">
      <c r="D6648">
        <v>100003958</v>
      </c>
      <c r="E6648" s="49">
        <v>44831</v>
      </c>
      <c r="F6648" t="s">
        <v>5399</v>
      </c>
      <c r="G6648" t="s">
        <v>2733</v>
      </c>
      <c r="H6648">
        <v>9</v>
      </c>
      <c r="I6648">
        <v>81.11</v>
      </c>
      <c r="J6648" s="50">
        <v>729.99</v>
      </c>
      <c r="K6648" t="s">
        <v>1618</v>
      </c>
      <c r="L6648" t="s">
        <v>2462</v>
      </c>
      <c r="M6648" t="s">
        <v>1627</v>
      </c>
      <c r="N6648">
        <v>42.81</v>
      </c>
      <c r="O6648" s="49">
        <v>44836</v>
      </c>
      <c r="P6648" s="50">
        <v>328.49549999999999</v>
      </c>
    </row>
    <row r="6649" spans="4:16" x14ac:dyDescent="0.2">
      <c r="D6649">
        <v>100003959</v>
      </c>
      <c r="E6649" s="49">
        <v>45560</v>
      </c>
      <c r="F6649" t="s">
        <v>5400</v>
      </c>
      <c r="G6649" t="s">
        <v>1980</v>
      </c>
      <c r="H6649">
        <v>8</v>
      </c>
      <c r="I6649">
        <v>66.08</v>
      </c>
      <c r="J6649" s="50">
        <v>528.64</v>
      </c>
      <c r="K6649" t="s">
        <v>1632</v>
      </c>
      <c r="L6649" t="s">
        <v>2932</v>
      </c>
      <c r="M6649" t="s">
        <v>1619</v>
      </c>
      <c r="N6649">
        <v>34.880000000000003</v>
      </c>
      <c r="O6649" s="49">
        <v>45565</v>
      </c>
      <c r="P6649" s="50">
        <v>237.88800000000001</v>
      </c>
    </row>
    <row r="6650" spans="4:16" x14ac:dyDescent="0.2">
      <c r="D6650">
        <v>100003959</v>
      </c>
      <c r="E6650" s="49">
        <v>45455</v>
      </c>
      <c r="F6650" t="s">
        <v>5400</v>
      </c>
      <c r="G6650" t="s">
        <v>2191</v>
      </c>
      <c r="H6650">
        <v>1</v>
      </c>
      <c r="I6650">
        <v>104.2</v>
      </c>
      <c r="J6650" s="50">
        <v>104.2</v>
      </c>
      <c r="K6650" t="s">
        <v>1632</v>
      </c>
      <c r="L6650" t="s">
        <v>2932</v>
      </c>
      <c r="M6650" t="s">
        <v>1627</v>
      </c>
      <c r="N6650">
        <v>54.99</v>
      </c>
      <c r="O6650" s="49">
        <v>45460</v>
      </c>
      <c r="P6650" s="50">
        <v>46.89</v>
      </c>
    </row>
    <row r="6651" spans="4:16" x14ac:dyDescent="0.2">
      <c r="D6651">
        <v>100003959</v>
      </c>
      <c r="E6651" s="49">
        <v>44818</v>
      </c>
      <c r="F6651" t="s">
        <v>5400</v>
      </c>
      <c r="G6651" t="s">
        <v>2191</v>
      </c>
      <c r="H6651">
        <v>1</v>
      </c>
      <c r="I6651">
        <v>101.25</v>
      </c>
      <c r="J6651" s="50">
        <v>101.25</v>
      </c>
      <c r="K6651" t="s">
        <v>1632</v>
      </c>
      <c r="L6651" t="s">
        <v>2932</v>
      </c>
      <c r="M6651" t="s">
        <v>1621</v>
      </c>
      <c r="N6651">
        <v>53.44</v>
      </c>
      <c r="O6651" s="49">
        <v>44819</v>
      </c>
      <c r="P6651" s="50">
        <v>45.5625</v>
      </c>
    </row>
    <row r="6652" spans="4:16" x14ac:dyDescent="0.2">
      <c r="D6652">
        <v>100003959</v>
      </c>
      <c r="E6652" s="49">
        <v>45079</v>
      </c>
      <c r="F6652" t="s">
        <v>5400</v>
      </c>
      <c r="G6652" t="s">
        <v>1731</v>
      </c>
      <c r="H6652">
        <v>9</v>
      </c>
      <c r="I6652">
        <v>112.06</v>
      </c>
      <c r="J6652" s="50">
        <v>1008.54</v>
      </c>
      <c r="K6652" t="s">
        <v>1632</v>
      </c>
      <c r="L6652" t="s">
        <v>2932</v>
      </c>
      <c r="M6652" t="s">
        <v>1629</v>
      </c>
      <c r="N6652">
        <v>59.14</v>
      </c>
      <c r="O6652" s="49">
        <v>45080</v>
      </c>
      <c r="P6652" s="50">
        <v>453.84300000000002</v>
      </c>
    </row>
    <row r="6653" spans="4:16" x14ac:dyDescent="0.2">
      <c r="D6653">
        <v>100003960</v>
      </c>
      <c r="E6653" s="49">
        <v>44640</v>
      </c>
      <c r="F6653" t="s">
        <v>5401</v>
      </c>
      <c r="G6653" t="s">
        <v>1748</v>
      </c>
      <c r="H6653">
        <v>4</v>
      </c>
      <c r="I6653">
        <v>34.25</v>
      </c>
      <c r="J6653" s="50">
        <v>137</v>
      </c>
      <c r="K6653" t="s">
        <v>1618</v>
      </c>
      <c r="L6653" t="s">
        <v>5402</v>
      </c>
      <c r="M6653" t="s">
        <v>1619</v>
      </c>
      <c r="N6653">
        <v>18.079999999999998</v>
      </c>
      <c r="O6653" s="49">
        <v>44642</v>
      </c>
      <c r="P6653" s="50">
        <v>61.65</v>
      </c>
    </row>
    <row r="6654" spans="4:16" x14ac:dyDescent="0.2">
      <c r="D6654">
        <v>100003961</v>
      </c>
      <c r="E6654" s="49">
        <v>44778</v>
      </c>
      <c r="F6654" t="s">
        <v>5403</v>
      </c>
      <c r="G6654" t="s">
        <v>2136</v>
      </c>
      <c r="H6654">
        <v>3</v>
      </c>
      <c r="I6654">
        <v>106.36</v>
      </c>
      <c r="J6654" s="50">
        <v>319.08</v>
      </c>
      <c r="K6654" t="s">
        <v>1618</v>
      </c>
      <c r="L6654" t="s">
        <v>3840</v>
      </c>
      <c r="M6654" t="s">
        <v>1619</v>
      </c>
      <c r="N6654">
        <v>56.13</v>
      </c>
      <c r="O6654" s="49">
        <v>44783</v>
      </c>
      <c r="P6654" s="50">
        <v>143.58599999999998</v>
      </c>
    </row>
    <row r="6655" spans="4:16" x14ac:dyDescent="0.2">
      <c r="D6655">
        <v>100003962</v>
      </c>
      <c r="E6655" s="49">
        <v>44262</v>
      </c>
      <c r="F6655" t="s">
        <v>5404</v>
      </c>
      <c r="G6655" t="s">
        <v>2553</v>
      </c>
      <c r="H6655">
        <v>10</v>
      </c>
      <c r="I6655">
        <v>14.64</v>
      </c>
      <c r="J6655" s="50">
        <v>146.4</v>
      </c>
      <c r="K6655" t="s">
        <v>1632</v>
      </c>
      <c r="M6655" t="s">
        <v>1624</v>
      </c>
      <c r="N6655">
        <v>7.73</v>
      </c>
      <c r="O6655" s="49">
        <v>44265</v>
      </c>
      <c r="P6655" s="50">
        <v>65.88000000000001</v>
      </c>
    </row>
    <row r="6656" spans="4:16" x14ac:dyDescent="0.2">
      <c r="D6656">
        <v>100003962</v>
      </c>
      <c r="E6656" s="49">
        <v>45079</v>
      </c>
      <c r="F6656" t="s">
        <v>5404</v>
      </c>
      <c r="G6656" t="s">
        <v>1834</v>
      </c>
      <c r="H6656">
        <v>1</v>
      </c>
      <c r="I6656">
        <v>52.19</v>
      </c>
      <c r="J6656" s="50">
        <v>52.19</v>
      </c>
      <c r="K6656" t="s">
        <v>1632</v>
      </c>
      <c r="M6656" t="s">
        <v>1629</v>
      </c>
      <c r="N6656">
        <v>27.54</v>
      </c>
      <c r="O6656" s="49">
        <v>45080</v>
      </c>
      <c r="P6656" s="50">
        <v>23.485499999999998</v>
      </c>
    </row>
    <row r="6657" spans="4:16" x14ac:dyDescent="0.2">
      <c r="D6657">
        <v>100003962</v>
      </c>
      <c r="E6657" s="49">
        <v>45394</v>
      </c>
      <c r="F6657" t="s">
        <v>5404</v>
      </c>
      <c r="G6657" t="s">
        <v>2412</v>
      </c>
      <c r="H6657">
        <v>8</v>
      </c>
      <c r="I6657">
        <v>104.48</v>
      </c>
      <c r="J6657" s="50">
        <v>835.84</v>
      </c>
      <c r="K6657" t="s">
        <v>1632</v>
      </c>
      <c r="M6657" t="s">
        <v>1621</v>
      </c>
      <c r="N6657">
        <v>55.14</v>
      </c>
      <c r="O6657" s="49">
        <v>45399</v>
      </c>
      <c r="P6657" s="50">
        <v>376.12800000000004</v>
      </c>
    </row>
    <row r="6658" spans="4:16" x14ac:dyDescent="0.2">
      <c r="D6658">
        <v>100003964</v>
      </c>
      <c r="E6658" s="49">
        <v>44695</v>
      </c>
      <c r="F6658" t="s">
        <v>5405</v>
      </c>
      <c r="G6658" t="s">
        <v>2305</v>
      </c>
      <c r="H6658">
        <v>4</v>
      </c>
      <c r="I6658">
        <v>43.26</v>
      </c>
      <c r="J6658" s="50">
        <v>173.04</v>
      </c>
      <c r="K6658" t="s">
        <v>1618</v>
      </c>
      <c r="M6658" t="s">
        <v>1624</v>
      </c>
      <c r="N6658">
        <v>22.83</v>
      </c>
      <c r="O6658" s="49">
        <v>44697</v>
      </c>
      <c r="P6658" s="50">
        <v>77.867999999999995</v>
      </c>
    </row>
    <row r="6659" spans="4:16" x14ac:dyDescent="0.2">
      <c r="D6659">
        <v>100003965</v>
      </c>
      <c r="E6659" s="49">
        <v>44541</v>
      </c>
      <c r="F6659" t="s">
        <v>5406</v>
      </c>
      <c r="G6659" t="s">
        <v>1794</v>
      </c>
      <c r="H6659">
        <v>10</v>
      </c>
      <c r="I6659">
        <v>70.89</v>
      </c>
      <c r="J6659" s="50">
        <v>708.9</v>
      </c>
      <c r="K6659" t="s">
        <v>1618</v>
      </c>
      <c r="L6659" t="s">
        <v>5407</v>
      </c>
      <c r="M6659" t="s">
        <v>1629</v>
      </c>
      <c r="N6659">
        <v>37.409999999999997</v>
      </c>
      <c r="O6659" s="49">
        <v>44542</v>
      </c>
      <c r="P6659" s="50">
        <v>319.005</v>
      </c>
    </row>
    <row r="6660" spans="4:16" x14ac:dyDescent="0.2">
      <c r="D6660">
        <v>100003966</v>
      </c>
      <c r="E6660" s="49">
        <v>44792</v>
      </c>
      <c r="F6660" t="s">
        <v>5408</v>
      </c>
      <c r="G6660" t="s">
        <v>2585</v>
      </c>
      <c r="H6660">
        <v>1</v>
      </c>
      <c r="I6660">
        <v>18.649999999999999</v>
      </c>
      <c r="J6660" s="50">
        <v>18.649999999999999</v>
      </c>
      <c r="K6660" t="s">
        <v>1632</v>
      </c>
      <c r="M6660" t="s">
        <v>1619</v>
      </c>
      <c r="N6660">
        <v>9.84</v>
      </c>
      <c r="O6660" s="49">
        <v>44793</v>
      </c>
      <c r="P6660" s="50">
        <v>8.3925000000000001</v>
      </c>
    </row>
    <row r="6661" spans="4:16" x14ac:dyDescent="0.2">
      <c r="D6661">
        <v>100003966</v>
      </c>
      <c r="E6661" s="49">
        <v>44923</v>
      </c>
      <c r="F6661" t="s">
        <v>5408</v>
      </c>
      <c r="G6661" t="s">
        <v>2125</v>
      </c>
      <c r="H6661">
        <v>7</v>
      </c>
      <c r="I6661">
        <v>110.65</v>
      </c>
      <c r="J6661" s="50">
        <v>774.55000000000007</v>
      </c>
      <c r="K6661" t="s">
        <v>1632</v>
      </c>
      <c r="M6661" t="s">
        <v>1619</v>
      </c>
      <c r="N6661">
        <v>58.4</v>
      </c>
      <c r="O6661" s="49">
        <v>44926</v>
      </c>
      <c r="P6661" s="50">
        <v>348.54750000000001</v>
      </c>
    </row>
    <row r="6662" spans="4:16" x14ac:dyDescent="0.2">
      <c r="D6662">
        <v>100003967</v>
      </c>
      <c r="E6662" s="49">
        <v>44343</v>
      </c>
      <c r="F6662" t="s">
        <v>5409</v>
      </c>
      <c r="G6662" t="s">
        <v>1864</v>
      </c>
      <c r="H6662">
        <v>6</v>
      </c>
      <c r="I6662">
        <v>18.2</v>
      </c>
      <c r="J6662" s="50">
        <v>109.2</v>
      </c>
      <c r="K6662" t="s">
        <v>1632</v>
      </c>
      <c r="L6662" t="s">
        <v>5410</v>
      </c>
      <c r="M6662" t="s">
        <v>1624</v>
      </c>
      <c r="N6662">
        <v>9.61</v>
      </c>
      <c r="O6662" s="49">
        <v>44345</v>
      </c>
      <c r="P6662" s="50">
        <v>49.14</v>
      </c>
    </row>
    <row r="6663" spans="4:16" x14ac:dyDescent="0.2">
      <c r="D6663">
        <v>100003967</v>
      </c>
      <c r="E6663" s="49">
        <v>45091</v>
      </c>
      <c r="F6663" t="s">
        <v>5409</v>
      </c>
      <c r="G6663" t="s">
        <v>2145</v>
      </c>
      <c r="H6663">
        <v>8</v>
      </c>
      <c r="I6663">
        <v>22.35</v>
      </c>
      <c r="J6663" s="50">
        <v>178.8</v>
      </c>
      <c r="K6663" t="s">
        <v>1632</v>
      </c>
      <c r="L6663" t="s">
        <v>5410</v>
      </c>
      <c r="M6663" t="s">
        <v>1624</v>
      </c>
      <c r="N6663">
        <v>11.8</v>
      </c>
      <c r="O6663" s="49">
        <v>45092</v>
      </c>
      <c r="P6663" s="50">
        <v>80.460000000000008</v>
      </c>
    </row>
    <row r="6664" spans="4:16" x14ac:dyDescent="0.2">
      <c r="D6664">
        <v>100003967</v>
      </c>
      <c r="E6664" s="49">
        <v>45548</v>
      </c>
      <c r="F6664" t="s">
        <v>5409</v>
      </c>
      <c r="G6664" t="s">
        <v>2484</v>
      </c>
      <c r="H6664">
        <v>2</v>
      </c>
      <c r="I6664">
        <v>118.12</v>
      </c>
      <c r="J6664" s="50">
        <v>236.24</v>
      </c>
      <c r="K6664" t="s">
        <v>1632</v>
      </c>
      <c r="L6664" t="s">
        <v>5410</v>
      </c>
      <c r="M6664" t="s">
        <v>1627</v>
      </c>
      <c r="N6664">
        <v>62.34</v>
      </c>
      <c r="O6664" s="49">
        <v>45549</v>
      </c>
      <c r="P6664" s="50">
        <v>106.30800000000001</v>
      </c>
    </row>
    <row r="6665" spans="4:16" x14ac:dyDescent="0.2">
      <c r="D6665">
        <v>100003969</v>
      </c>
      <c r="E6665" s="49">
        <v>45080</v>
      </c>
      <c r="F6665" t="s">
        <v>5411</v>
      </c>
      <c r="G6665" t="s">
        <v>2088</v>
      </c>
      <c r="H6665">
        <v>7</v>
      </c>
      <c r="I6665">
        <v>31.78</v>
      </c>
      <c r="J6665" s="50">
        <v>222.46</v>
      </c>
      <c r="K6665" t="s">
        <v>1618</v>
      </c>
      <c r="M6665" t="s">
        <v>1627</v>
      </c>
      <c r="N6665">
        <v>16.77</v>
      </c>
      <c r="O6665" s="49">
        <v>45084</v>
      </c>
      <c r="P6665" s="50">
        <v>100.107</v>
      </c>
    </row>
    <row r="6666" spans="4:16" x14ac:dyDescent="0.2">
      <c r="D6666">
        <v>100003969</v>
      </c>
      <c r="E6666" s="49">
        <v>44429</v>
      </c>
      <c r="F6666" t="s">
        <v>5411</v>
      </c>
      <c r="G6666" t="s">
        <v>1948</v>
      </c>
      <c r="H6666">
        <v>8</v>
      </c>
      <c r="I6666">
        <v>109.45</v>
      </c>
      <c r="J6666" s="50">
        <v>875.6</v>
      </c>
      <c r="K6666" t="s">
        <v>1618</v>
      </c>
      <c r="M6666" t="s">
        <v>1619</v>
      </c>
      <c r="N6666">
        <v>57.76</v>
      </c>
      <c r="O6666" s="49">
        <v>44430</v>
      </c>
      <c r="P6666" s="50">
        <v>394.02000000000004</v>
      </c>
    </row>
    <row r="6667" spans="4:16" x14ac:dyDescent="0.2">
      <c r="D6667">
        <v>100003969</v>
      </c>
      <c r="E6667" s="49">
        <v>45586</v>
      </c>
      <c r="F6667" t="s">
        <v>5411</v>
      </c>
      <c r="G6667" t="s">
        <v>1777</v>
      </c>
      <c r="H6667">
        <v>4</v>
      </c>
      <c r="I6667">
        <v>73.94</v>
      </c>
      <c r="J6667" s="50">
        <v>295.76</v>
      </c>
      <c r="K6667" t="s">
        <v>1618</v>
      </c>
      <c r="M6667" t="s">
        <v>1629</v>
      </c>
      <c r="N6667">
        <v>39.020000000000003</v>
      </c>
      <c r="O6667" s="49">
        <v>45590</v>
      </c>
      <c r="P6667" s="50">
        <v>133.09200000000001</v>
      </c>
    </row>
    <row r="6668" spans="4:16" x14ac:dyDescent="0.2">
      <c r="D6668">
        <v>100003969</v>
      </c>
      <c r="E6668" s="49">
        <v>45551</v>
      </c>
      <c r="F6668" t="s">
        <v>5411</v>
      </c>
      <c r="G6668" t="s">
        <v>1767</v>
      </c>
      <c r="H6668">
        <v>2</v>
      </c>
      <c r="I6668">
        <v>50.52</v>
      </c>
      <c r="J6668" s="50">
        <v>101.04</v>
      </c>
      <c r="K6668" t="s">
        <v>1618</v>
      </c>
      <c r="M6668" t="s">
        <v>1627</v>
      </c>
      <c r="N6668">
        <v>26.66</v>
      </c>
      <c r="O6668" s="49">
        <v>45554</v>
      </c>
      <c r="P6668" s="50">
        <v>45.468000000000004</v>
      </c>
    </row>
    <row r="6669" spans="4:16" x14ac:dyDescent="0.2">
      <c r="D6669">
        <v>100003969</v>
      </c>
      <c r="E6669" s="49">
        <v>44598</v>
      </c>
      <c r="F6669" t="s">
        <v>5411</v>
      </c>
      <c r="G6669" t="s">
        <v>1833</v>
      </c>
      <c r="H6669">
        <v>9</v>
      </c>
      <c r="I6669">
        <v>103.16</v>
      </c>
      <c r="J6669" s="50">
        <v>928.43999999999994</v>
      </c>
      <c r="K6669" t="s">
        <v>1618</v>
      </c>
      <c r="M6669" t="s">
        <v>1629</v>
      </c>
      <c r="N6669">
        <v>54.45</v>
      </c>
      <c r="O6669" s="49">
        <v>44600</v>
      </c>
      <c r="P6669" s="50">
        <v>417.798</v>
      </c>
    </row>
    <row r="6670" spans="4:16" x14ac:dyDescent="0.2">
      <c r="D6670">
        <v>100003970</v>
      </c>
      <c r="E6670" s="49">
        <v>45324</v>
      </c>
      <c r="F6670" t="s">
        <v>5412</v>
      </c>
      <c r="G6670" t="s">
        <v>1783</v>
      </c>
      <c r="H6670">
        <v>5</v>
      </c>
      <c r="I6670">
        <v>61.68</v>
      </c>
      <c r="J6670" s="50">
        <v>308.39999999999998</v>
      </c>
      <c r="K6670" t="s">
        <v>1632</v>
      </c>
      <c r="L6670" t="s">
        <v>1822</v>
      </c>
      <c r="M6670" t="s">
        <v>1629</v>
      </c>
      <c r="N6670">
        <v>32.549999999999997</v>
      </c>
      <c r="O6670" s="49">
        <v>45326</v>
      </c>
      <c r="P6670" s="50">
        <v>138.78</v>
      </c>
    </row>
    <row r="6671" spans="4:16" x14ac:dyDescent="0.2">
      <c r="D6671">
        <v>100003971</v>
      </c>
      <c r="E6671" s="49">
        <v>44871</v>
      </c>
      <c r="F6671" t="s">
        <v>5413</v>
      </c>
      <c r="G6671" t="s">
        <v>1639</v>
      </c>
      <c r="H6671">
        <v>2</v>
      </c>
      <c r="I6671">
        <v>71.8</v>
      </c>
      <c r="J6671" s="50">
        <v>143.6</v>
      </c>
      <c r="K6671" t="s">
        <v>1618</v>
      </c>
      <c r="M6671" t="s">
        <v>1627</v>
      </c>
      <c r="N6671">
        <v>37.89</v>
      </c>
      <c r="O6671" s="49">
        <v>44872</v>
      </c>
      <c r="P6671" s="50">
        <v>64.62</v>
      </c>
    </row>
    <row r="6672" spans="4:16" x14ac:dyDescent="0.2">
      <c r="D6672">
        <v>100003972</v>
      </c>
      <c r="E6672" s="49">
        <v>44708</v>
      </c>
      <c r="F6672" t="s">
        <v>5414</v>
      </c>
      <c r="G6672" t="s">
        <v>2003</v>
      </c>
      <c r="H6672">
        <v>1</v>
      </c>
      <c r="I6672">
        <v>33.36</v>
      </c>
      <c r="J6672" s="50">
        <v>33.36</v>
      </c>
      <c r="K6672" t="s">
        <v>1632</v>
      </c>
      <c r="M6672" t="s">
        <v>1627</v>
      </c>
      <c r="N6672">
        <v>17.61</v>
      </c>
      <c r="O6672" s="49">
        <v>44710</v>
      </c>
      <c r="P6672" s="50">
        <v>15.012</v>
      </c>
    </row>
    <row r="6673" spans="4:16" x14ac:dyDescent="0.2">
      <c r="D6673">
        <v>100003974</v>
      </c>
      <c r="E6673" s="49">
        <v>44909</v>
      </c>
      <c r="F6673" t="s">
        <v>5415</v>
      </c>
      <c r="G6673" t="s">
        <v>2375</v>
      </c>
      <c r="H6673">
        <v>3</v>
      </c>
      <c r="I6673">
        <v>36.31</v>
      </c>
      <c r="J6673" s="50">
        <v>108.93</v>
      </c>
      <c r="K6673" t="s">
        <v>1632</v>
      </c>
      <c r="L6673" t="s">
        <v>5416</v>
      </c>
      <c r="M6673" t="s">
        <v>1629</v>
      </c>
      <c r="N6673">
        <v>19.16</v>
      </c>
      <c r="O6673" s="49">
        <v>44914</v>
      </c>
      <c r="P6673" s="50">
        <v>49.018500000000003</v>
      </c>
    </row>
    <row r="6674" spans="4:16" x14ac:dyDescent="0.2">
      <c r="D6674">
        <v>100003976</v>
      </c>
      <c r="E6674" s="49">
        <v>44262</v>
      </c>
      <c r="F6674" t="s">
        <v>5417</v>
      </c>
      <c r="G6674" t="s">
        <v>1799</v>
      </c>
      <c r="H6674">
        <v>6</v>
      </c>
      <c r="I6674">
        <v>82.98</v>
      </c>
      <c r="J6674" s="50">
        <v>497.88</v>
      </c>
      <c r="K6674" t="s">
        <v>1632</v>
      </c>
      <c r="L6674" t="s">
        <v>2768</v>
      </c>
      <c r="M6674" t="s">
        <v>1627</v>
      </c>
      <c r="N6674">
        <v>43.79</v>
      </c>
      <c r="O6674" s="49">
        <v>44267</v>
      </c>
      <c r="P6674" s="50">
        <v>224.04599999999999</v>
      </c>
    </row>
    <row r="6675" spans="4:16" x14ac:dyDescent="0.2">
      <c r="D6675">
        <v>100003976</v>
      </c>
      <c r="E6675" s="49">
        <v>45231</v>
      </c>
      <c r="F6675" t="s">
        <v>5417</v>
      </c>
      <c r="G6675" t="s">
        <v>1714</v>
      </c>
      <c r="H6675">
        <v>3</v>
      </c>
      <c r="I6675">
        <v>63.28</v>
      </c>
      <c r="J6675" s="50">
        <v>189.84</v>
      </c>
      <c r="K6675" t="s">
        <v>1632</v>
      </c>
      <c r="L6675" t="s">
        <v>2768</v>
      </c>
      <c r="M6675" t="s">
        <v>1621</v>
      </c>
      <c r="N6675">
        <v>33.4</v>
      </c>
      <c r="O6675" s="49">
        <v>45232</v>
      </c>
      <c r="P6675" s="50">
        <v>85.427999999999997</v>
      </c>
    </row>
    <row r="6676" spans="4:16" x14ac:dyDescent="0.2">
      <c r="D6676">
        <v>100003976</v>
      </c>
      <c r="E6676" s="49">
        <v>44877</v>
      </c>
      <c r="F6676" t="s">
        <v>5417</v>
      </c>
      <c r="G6676" t="s">
        <v>1877</v>
      </c>
      <c r="H6676">
        <v>10</v>
      </c>
      <c r="I6676">
        <v>17.84</v>
      </c>
      <c r="J6676" s="50">
        <v>178.4</v>
      </c>
      <c r="K6676" t="s">
        <v>1632</v>
      </c>
      <c r="L6676" t="s">
        <v>2768</v>
      </c>
      <c r="M6676" t="s">
        <v>1621</v>
      </c>
      <c r="N6676">
        <v>9.42</v>
      </c>
      <c r="O6676" s="49">
        <v>44879</v>
      </c>
      <c r="P6676" s="50">
        <v>80.28</v>
      </c>
    </row>
    <row r="6677" spans="4:16" x14ac:dyDescent="0.2">
      <c r="D6677">
        <v>100003976</v>
      </c>
      <c r="E6677" s="49">
        <v>44969</v>
      </c>
      <c r="F6677" t="s">
        <v>5417</v>
      </c>
      <c r="G6677" t="s">
        <v>2346</v>
      </c>
      <c r="H6677">
        <v>4</v>
      </c>
      <c r="I6677">
        <v>58.83</v>
      </c>
      <c r="J6677" s="50">
        <v>235.32</v>
      </c>
      <c r="K6677" t="s">
        <v>1632</v>
      </c>
      <c r="L6677" t="s">
        <v>2768</v>
      </c>
      <c r="M6677" t="s">
        <v>1624</v>
      </c>
      <c r="N6677">
        <v>31.05</v>
      </c>
      <c r="O6677" s="49">
        <v>44973</v>
      </c>
      <c r="P6677" s="50">
        <v>105.89400000000001</v>
      </c>
    </row>
    <row r="6678" spans="4:16" x14ac:dyDescent="0.2">
      <c r="D6678">
        <v>100003976</v>
      </c>
      <c r="E6678" s="49">
        <v>44212</v>
      </c>
      <c r="F6678" t="s">
        <v>5417</v>
      </c>
      <c r="G6678" t="s">
        <v>2180</v>
      </c>
      <c r="H6678">
        <v>5</v>
      </c>
      <c r="I6678">
        <v>110.12</v>
      </c>
      <c r="J6678" s="50">
        <v>550.6</v>
      </c>
      <c r="K6678" t="s">
        <v>1632</v>
      </c>
      <c r="L6678" t="s">
        <v>2768</v>
      </c>
      <c r="M6678" t="s">
        <v>1627</v>
      </c>
      <c r="N6678">
        <v>58.12</v>
      </c>
      <c r="O6678" s="49">
        <v>44216</v>
      </c>
      <c r="P6678" s="50">
        <v>247.77</v>
      </c>
    </row>
    <row r="6679" spans="4:16" x14ac:dyDescent="0.2">
      <c r="D6679">
        <v>100003977</v>
      </c>
      <c r="E6679" s="49">
        <v>44391</v>
      </c>
      <c r="F6679" t="s">
        <v>5418</v>
      </c>
      <c r="G6679" t="s">
        <v>1913</v>
      </c>
      <c r="H6679">
        <v>3</v>
      </c>
      <c r="I6679">
        <v>43.93</v>
      </c>
      <c r="J6679" s="50">
        <v>131.79</v>
      </c>
      <c r="K6679" t="s">
        <v>1618</v>
      </c>
      <c r="M6679" t="s">
        <v>1624</v>
      </c>
      <c r="N6679">
        <v>23.19</v>
      </c>
      <c r="O6679" s="49">
        <v>44392</v>
      </c>
      <c r="P6679" s="50">
        <v>59.305499999999995</v>
      </c>
    </row>
    <row r="6680" spans="4:16" x14ac:dyDescent="0.2">
      <c r="D6680">
        <v>100003978</v>
      </c>
      <c r="E6680" s="49">
        <v>45304</v>
      </c>
      <c r="F6680" t="s">
        <v>5419</v>
      </c>
      <c r="G6680" t="s">
        <v>1851</v>
      </c>
      <c r="H6680">
        <v>7</v>
      </c>
      <c r="I6680">
        <v>95.74</v>
      </c>
      <c r="J6680" s="50">
        <v>670.18</v>
      </c>
      <c r="K6680" t="s">
        <v>1618</v>
      </c>
      <c r="M6680" t="s">
        <v>1621</v>
      </c>
      <c r="N6680">
        <v>50.53</v>
      </c>
      <c r="O6680" s="49">
        <v>45305</v>
      </c>
      <c r="P6680" s="50">
        <v>301.58099999999996</v>
      </c>
    </row>
    <row r="6681" spans="4:16" x14ac:dyDescent="0.2">
      <c r="D6681">
        <v>100003978</v>
      </c>
      <c r="E6681" s="49">
        <v>45075</v>
      </c>
      <c r="F6681" t="s">
        <v>5419</v>
      </c>
      <c r="G6681" t="s">
        <v>1631</v>
      </c>
      <c r="H6681">
        <v>6</v>
      </c>
      <c r="I6681">
        <v>66.319999999999993</v>
      </c>
      <c r="J6681" s="50">
        <v>397.92</v>
      </c>
      <c r="K6681" t="s">
        <v>1618</v>
      </c>
      <c r="M6681" t="s">
        <v>1624</v>
      </c>
      <c r="N6681">
        <v>35</v>
      </c>
      <c r="O6681" s="49">
        <v>45076</v>
      </c>
      <c r="P6681" s="50">
        <v>179.06400000000002</v>
      </c>
    </row>
    <row r="6682" spans="4:16" x14ac:dyDescent="0.2">
      <c r="D6682">
        <v>100003980</v>
      </c>
      <c r="E6682" s="49">
        <v>44611</v>
      </c>
      <c r="F6682" t="s">
        <v>5420</v>
      </c>
      <c r="G6682" t="s">
        <v>1667</v>
      </c>
      <c r="H6682">
        <v>10</v>
      </c>
      <c r="I6682">
        <v>65</v>
      </c>
      <c r="J6682" s="50">
        <v>650</v>
      </c>
      <c r="K6682" t="s">
        <v>1632</v>
      </c>
      <c r="M6682" t="s">
        <v>1627</v>
      </c>
      <c r="N6682">
        <v>34.31</v>
      </c>
      <c r="O6682" s="49">
        <v>44612</v>
      </c>
      <c r="P6682" s="50">
        <v>292.5</v>
      </c>
    </row>
    <row r="6683" spans="4:16" x14ac:dyDescent="0.2">
      <c r="D6683">
        <v>100003980</v>
      </c>
      <c r="E6683" s="49">
        <v>44595</v>
      </c>
      <c r="F6683" t="s">
        <v>5420</v>
      </c>
      <c r="G6683" t="s">
        <v>2033</v>
      </c>
      <c r="H6683">
        <v>2</v>
      </c>
      <c r="I6683">
        <v>10.87</v>
      </c>
      <c r="J6683" s="50">
        <v>21.74</v>
      </c>
      <c r="K6683" t="s">
        <v>1632</v>
      </c>
      <c r="M6683" t="s">
        <v>1627</v>
      </c>
      <c r="N6683">
        <v>5.74</v>
      </c>
      <c r="O6683" s="49">
        <v>44600</v>
      </c>
      <c r="P6683" s="50">
        <v>9.7829999999999995</v>
      </c>
    </row>
    <row r="6684" spans="4:16" x14ac:dyDescent="0.2">
      <c r="D6684">
        <v>100003980</v>
      </c>
      <c r="E6684" s="49">
        <v>45325</v>
      </c>
      <c r="F6684" t="s">
        <v>5420</v>
      </c>
      <c r="G6684" t="s">
        <v>2261</v>
      </c>
      <c r="H6684">
        <v>9</v>
      </c>
      <c r="I6684">
        <v>103.2</v>
      </c>
      <c r="J6684" s="50">
        <v>928.80000000000007</v>
      </c>
      <c r="K6684" t="s">
        <v>1632</v>
      </c>
      <c r="M6684" t="s">
        <v>1624</v>
      </c>
      <c r="N6684">
        <v>54.47</v>
      </c>
      <c r="O6684" s="49">
        <v>45329</v>
      </c>
      <c r="P6684" s="50">
        <v>417.96000000000004</v>
      </c>
    </row>
    <row r="6685" spans="4:16" x14ac:dyDescent="0.2">
      <c r="D6685">
        <v>100003981</v>
      </c>
      <c r="E6685" s="49">
        <v>45002</v>
      </c>
      <c r="F6685" t="s">
        <v>5421</v>
      </c>
      <c r="G6685" t="s">
        <v>1655</v>
      </c>
      <c r="H6685">
        <v>1</v>
      </c>
      <c r="I6685">
        <v>42.1</v>
      </c>
      <c r="J6685" s="50">
        <v>42.1</v>
      </c>
      <c r="K6685" t="s">
        <v>1618</v>
      </c>
      <c r="M6685" t="s">
        <v>1621</v>
      </c>
      <c r="N6685">
        <v>22.22</v>
      </c>
      <c r="O6685" s="49">
        <v>45004</v>
      </c>
      <c r="P6685" s="50">
        <v>18.945</v>
      </c>
    </row>
    <row r="6686" spans="4:16" x14ac:dyDescent="0.2">
      <c r="D6686">
        <v>100003982</v>
      </c>
      <c r="E6686" s="49">
        <v>44494</v>
      </c>
      <c r="F6686" t="s">
        <v>5422</v>
      </c>
      <c r="G6686" t="s">
        <v>1874</v>
      </c>
      <c r="H6686">
        <v>4</v>
      </c>
      <c r="I6686">
        <v>34.68</v>
      </c>
      <c r="J6686" s="50">
        <v>138.72</v>
      </c>
      <c r="K6686" t="s">
        <v>1632</v>
      </c>
      <c r="L6686" t="s">
        <v>3424</v>
      </c>
      <c r="M6686" t="s">
        <v>1619</v>
      </c>
      <c r="N6686">
        <v>18.3</v>
      </c>
      <c r="O6686" s="49">
        <v>44496</v>
      </c>
      <c r="P6686" s="50">
        <v>62.423999999999999</v>
      </c>
    </row>
    <row r="6687" spans="4:16" x14ac:dyDescent="0.2">
      <c r="D6687">
        <v>100003982</v>
      </c>
      <c r="E6687" s="49">
        <v>44497</v>
      </c>
      <c r="F6687" t="s">
        <v>5422</v>
      </c>
      <c r="G6687" t="s">
        <v>2024</v>
      </c>
      <c r="H6687">
        <v>3</v>
      </c>
      <c r="I6687">
        <v>20.92</v>
      </c>
      <c r="J6687" s="50">
        <v>62.760000000000012</v>
      </c>
      <c r="K6687" t="s">
        <v>1632</v>
      </c>
      <c r="L6687" t="s">
        <v>3424</v>
      </c>
      <c r="M6687" t="s">
        <v>1627</v>
      </c>
      <c r="N6687">
        <v>11.04</v>
      </c>
      <c r="O6687" s="49">
        <v>44499</v>
      </c>
      <c r="P6687" s="50">
        <v>28.242000000000004</v>
      </c>
    </row>
    <row r="6688" spans="4:16" x14ac:dyDescent="0.2">
      <c r="D6688">
        <v>100003982</v>
      </c>
      <c r="E6688" s="49">
        <v>44328</v>
      </c>
      <c r="F6688" t="s">
        <v>5422</v>
      </c>
      <c r="G6688" t="s">
        <v>1756</v>
      </c>
      <c r="H6688">
        <v>4</v>
      </c>
      <c r="I6688">
        <v>81.23</v>
      </c>
      <c r="J6688" s="50">
        <v>324.92</v>
      </c>
      <c r="K6688" t="s">
        <v>1632</v>
      </c>
      <c r="L6688" t="s">
        <v>3424</v>
      </c>
      <c r="M6688" t="s">
        <v>1624</v>
      </c>
      <c r="N6688">
        <v>42.87</v>
      </c>
      <c r="O6688" s="49">
        <v>44333</v>
      </c>
      <c r="P6688" s="50">
        <v>146.214</v>
      </c>
    </row>
    <row r="6689" spans="4:16" x14ac:dyDescent="0.2">
      <c r="D6689">
        <v>100003982</v>
      </c>
      <c r="E6689" s="49">
        <v>44778</v>
      </c>
      <c r="F6689" t="s">
        <v>5422</v>
      </c>
      <c r="G6689" t="s">
        <v>1702</v>
      </c>
      <c r="H6689">
        <v>10</v>
      </c>
      <c r="I6689">
        <v>91.48</v>
      </c>
      <c r="J6689" s="50">
        <v>914.80000000000007</v>
      </c>
      <c r="K6689" t="s">
        <v>1632</v>
      </c>
      <c r="L6689" t="s">
        <v>3424</v>
      </c>
      <c r="M6689" t="s">
        <v>1619</v>
      </c>
      <c r="N6689">
        <v>48.28</v>
      </c>
      <c r="O6689" s="49">
        <v>44780</v>
      </c>
      <c r="P6689" s="50">
        <v>411.66</v>
      </c>
    </row>
    <row r="6690" spans="4:16" x14ac:dyDescent="0.2">
      <c r="D6690">
        <v>100003983</v>
      </c>
      <c r="E6690" s="49">
        <v>44766</v>
      </c>
      <c r="F6690" t="s">
        <v>5423</v>
      </c>
      <c r="G6690" t="s">
        <v>1808</v>
      </c>
      <c r="H6690">
        <v>2</v>
      </c>
      <c r="I6690">
        <v>55.95</v>
      </c>
      <c r="J6690" s="50">
        <v>111.9</v>
      </c>
      <c r="K6690" t="s">
        <v>1618</v>
      </c>
      <c r="M6690" t="s">
        <v>1627</v>
      </c>
      <c r="N6690">
        <v>29.53</v>
      </c>
      <c r="O6690" s="49">
        <v>44767</v>
      </c>
      <c r="P6690" s="50">
        <v>50.355000000000004</v>
      </c>
    </row>
    <row r="6691" spans="4:16" x14ac:dyDescent="0.2">
      <c r="D6691">
        <v>100003983</v>
      </c>
      <c r="E6691" s="49">
        <v>44760</v>
      </c>
      <c r="F6691" t="s">
        <v>5423</v>
      </c>
      <c r="G6691" t="s">
        <v>2050</v>
      </c>
      <c r="H6691">
        <v>10</v>
      </c>
      <c r="I6691">
        <v>54.33</v>
      </c>
      <c r="J6691" s="50">
        <v>543.29999999999995</v>
      </c>
      <c r="K6691" t="s">
        <v>1618</v>
      </c>
      <c r="M6691" t="s">
        <v>1621</v>
      </c>
      <c r="N6691">
        <v>28.67</v>
      </c>
      <c r="O6691" s="49">
        <v>44764</v>
      </c>
      <c r="P6691" s="50">
        <v>244.48499999999999</v>
      </c>
    </row>
    <row r="6692" spans="4:16" x14ac:dyDescent="0.2">
      <c r="D6692">
        <v>100003985</v>
      </c>
      <c r="E6692" s="49">
        <v>44728</v>
      </c>
      <c r="F6692" t="s">
        <v>5424</v>
      </c>
      <c r="G6692" t="s">
        <v>2613</v>
      </c>
      <c r="H6692">
        <v>2</v>
      </c>
      <c r="I6692">
        <v>32.31</v>
      </c>
      <c r="J6692" s="50">
        <v>64.62</v>
      </c>
      <c r="K6692" t="s">
        <v>1632</v>
      </c>
      <c r="M6692" t="s">
        <v>1624</v>
      </c>
      <c r="N6692">
        <v>17.05</v>
      </c>
      <c r="O6692" s="49">
        <v>44730</v>
      </c>
      <c r="P6692" s="50">
        <v>29.079000000000004</v>
      </c>
    </row>
    <row r="6693" spans="4:16" x14ac:dyDescent="0.2">
      <c r="D6693">
        <v>100003985</v>
      </c>
      <c r="E6693" s="49">
        <v>45463</v>
      </c>
      <c r="F6693" t="s">
        <v>5424</v>
      </c>
      <c r="G6693" t="s">
        <v>1945</v>
      </c>
      <c r="H6693">
        <v>7</v>
      </c>
      <c r="I6693">
        <v>99.84</v>
      </c>
      <c r="J6693" s="50">
        <v>698.88</v>
      </c>
      <c r="K6693" t="s">
        <v>1632</v>
      </c>
      <c r="M6693" t="s">
        <v>1621</v>
      </c>
      <c r="N6693">
        <v>52.69</v>
      </c>
      <c r="O6693" s="49">
        <v>45466</v>
      </c>
      <c r="P6693" s="50">
        <v>314.49599999999998</v>
      </c>
    </row>
    <row r="6694" spans="4:16" x14ac:dyDescent="0.2">
      <c r="D6694">
        <v>100003987</v>
      </c>
      <c r="E6694" s="49">
        <v>45236</v>
      </c>
      <c r="F6694" t="s">
        <v>5425</v>
      </c>
      <c r="G6694" t="s">
        <v>1877</v>
      </c>
      <c r="H6694">
        <v>6</v>
      </c>
      <c r="I6694">
        <v>60.65</v>
      </c>
      <c r="J6694" s="50">
        <v>363.9</v>
      </c>
      <c r="K6694" t="s">
        <v>1618</v>
      </c>
      <c r="M6694" t="s">
        <v>1629</v>
      </c>
      <c r="N6694">
        <v>32.01</v>
      </c>
      <c r="O6694" s="49">
        <v>45238</v>
      </c>
      <c r="P6694" s="50">
        <v>163.755</v>
      </c>
    </row>
    <row r="6695" spans="4:16" x14ac:dyDescent="0.2">
      <c r="D6695">
        <v>100003987</v>
      </c>
      <c r="E6695" s="49">
        <v>44758</v>
      </c>
      <c r="F6695" t="s">
        <v>5425</v>
      </c>
      <c r="G6695" t="s">
        <v>1649</v>
      </c>
      <c r="H6695">
        <v>10</v>
      </c>
      <c r="I6695">
        <v>81.36</v>
      </c>
      <c r="J6695" s="50">
        <v>813.6</v>
      </c>
      <c r="K6695" t="s">
        <v>1618</v>
      </c>
      <c r="M6695" t="s">
        <v>1619</v>
      </c>
      <c r="N6695">
        <v>42.94</v>
      </c>
      <c r="O6695" s="49">
        <v>44759</v>
      </c>
      <c r="P6695" s="50">
        <v>366.12</v>
      </c>
    </row>
    <row r="6696" spans="4:16" x14ac:dyDescent="0.2">
      <c r="D6696">
        <v>100003987</v>
      </c>
      <c r="E6696" s="49">
        <v>45010</v>
      </c>
      <c r="F6696" t="s">
        <v>5425</v>
      </c>
      <c r="G6696" t="s">
        <v>1736</v>
      </c>
      <c r="H6696">
        <v>5</v>
      </c>
      <c r="I6696">
        <v>46.37</v>
      </c>
      <c r="J6696" s="50">
        <v>231.85</v>
      </c>
      <c r="K6696" t="s">
        <v>1618</v>
      </c>
      <c r="M6696" t="s">
        <v>1621</v>
      </c>
      <c r="N6696">
        <v>24.47</v>
      </c>
      <c r="O6696" s="49">
        <v>45011</v>
      </c>
      <c r="P6696" s="50">
        <v>104.3325</v>
      </c>
    </row>
    <row r="6697" spans="4:16" x14ac:dyDescent="0.2">
      <c r="D6697">
        <v>100003988</v>
      </c>
      <c r="E6697" s="49">
        <v>44246</v>
      </c>
      <c r="F6697" t="s">
        <v>5426</v>
      </c>
      <c r="G6697" t="s">
        <v>2069</v>
      </c>
      <c r="H6697">
        <v>5</v>
      </c>
      <c r="I6697">
        <v>61.08</v>
      </c>
      <c r="J6697" s="50">
        <v>305.39999999999998</v>
      </c>
      <c r="K6697" t="s">
        <v>1618</v>
      </c>
      <c r="M6697" t="s">
        <v>1629</v>
      </c>
      <c r="N6697">
        <v>32.24</v>
      </c>
      <c r="O6697" s="49">
        <v>44250</v>
      </c>
      <c r="P6697" s="50">
        <v>137.43</v>
      </c>
    </row>
    <row r="6698" spans="4:16" x14ac:dyDescent="0.2">
      <c r="D6698">
        <v>100003991</v>
      </c>
      <c r="E6698" s="49">
        <v>44201</v>
      </c>
      <c r="F6698" t="s">
        <v>5427</v>
      </c>
      <c r="G6698" t="s">
        <v>2136</v>
      </c>
      <c r="H6698">
        <v>6</v>
      </c>
      <c r="I6698">
        <v>74.84</v>
      </c>
      <c r="J6698" s="50">
        <v>449.04</v>
      </c>
      <c r="K6698" t="s">
        <v>1618</v>
      </c>
      <c r="L6698" t="s">
        <v>4134</v>
      </c>
      <c r="M6698" t="s">
        <v>1629</v>
      </c>
      <c r="N6698">
        <v>39.5</v>
      </c>
      <c r="O6698" s="49">
        <v>44203</v>
      </c>
      <c r="P6698" s="50">
        <v>202.06800000000001</v>
      </c>
    </row>
    <row r="6699" spans="4:16" x14ac:dyDescent="0.2">
      <c r="D6699">
        <v>100003993</v>
      </c>
      <c r="E6699" s="49">
        <v>44388</v>
      </c>
      <c r="F6699" t="s">
        <v>5428</v>
      </c>
      <c r="G6699" t="s">
        <v>1653</v>
      </c>
      <c r="H6699">
        <v>5</v>
      </c>
      <c r="I6699">
        <v>26.21</v>
      </c>
      <c r="J6699" s="50">
        <v>131.05000000000001</v>
      </c>
      <c r="K6699" t="s">
        <v>1632</v>
      </c>
      <c r="L6699" t="s">
        <v>5429</v>
      </c>
      <c r="M6699" t="s">
        <v>1624</v>
      </c>
      <c r="N6699">
        <v>13.83</v>
      </c>
      <c r="O6699" s="49">
        <v>44389</v>
      </c>
      <c r="P6699" s="50">
        <v>58.972500000000004</v>
      </c>
    </row>
    <row r="6700" spans="4:16" x14ac:dyDescent="0.2">
      <c r="D6700">
        <v>100003994</v>
      </c>
      <c r="E6700" s="49">
        <v>45111</v>
      </c>
      <c r="F6700" t="s">
        <v>5430</v>
      </c>
      <c r="G6700" t="s">
        <v>1646</v>
      </c>
      <c r="H6700">
        <v>1</v>
      </c>
      <c r="I6700">
        <v>67.69</v>
      </c>
      <c r="J6700" s="50">
        <v>67.69</v>
      </c>
      <c r="K6700" t="s">
        <v>1632</v>
      </c>
      <c r="M6700" t="s">
        <v>1619</v>
      </c>
      <c r="N6700">
        <v>35.729999999999997</v>
      </c>
      <c r="O6700" s="49">
        <v>45113</v>
      </c>
      <c r="P6700" s="50">
        <v>30.4605</v>
      </c>
    </row>
    <row r="6701" spans="4:16" x14ac:dyDescent="0.2">
      <c r="D6701">
        <v>100003994</v>
      </c>
      <c r="E6701" s="49">
        <v>45120</v>
      </c>
      <c r="F6701" t="s">
        <v>5430</v>
      </c>
      <c r="G6701" t="s">
        <v>2550</v>
      </c>
      <c r="H6701">
        <v>9</v>
      </c>
      <c r="I6701">
        <v>119.48</v>
      </c>
      <c r="J6701" s="50">
        <v>1075.32</v>
      </c>
      <c r="K6701" t="s">
        <v>1632</v>
      </c>
      <c r="M6701" t="s">
        <v>1629</v>
      </c>
      <c r="N6701">
        <v>63.06</v>
      </c>
      <c r="O6701" s="49">
        <v>45125</v>
      </c>
      <c r="P6701" s="50">
        <v>483.89400000000001</v>
      </c>
    </row>
    <row r="6702" spans="4:16" x14ac:dyDescent="0.2">
      <c r="D6702">
        <v>100003994</v>
      </c>
      <c r="E6702" s="49">
        <v>44590</v>
      </c>
      <c r="F6702" t="s">
        <v>5430</v>
      </c>
      <c r="G6702" t="s">
        <v>1714</v>
      </c>
      <c r="H6702">
        <v>4</v>
      </c>
      <c r="I6702">
        <v>19.55</v>
      </c>
      <c r="J6702" s="50">
        <v>78.2</v>
      </c>
      <c r="K6702" t="s">
        <v>1632</v>
      </c>
      <c r="M6702" t="s">
        <v>1627</v>
      </c>
      <c r="N6702">
        <v>10.32</v>
      </c>
      <c r="O6702" s="49">
        <v>44592</v>
      </c>
      <c r="P6702" s="50">
        <v>35.190000000000005</v>
      </c>
    </row>
    <row r="6703" spans="4:16" x14ac:dyDescent="0.2">
      <c r="D6703">
        <v>100003994</v>
      </c>
      <c r="E6703" s="49">
        <v>44944</v>
      </c>
      <c r="F6703" t="s">
        <v>5430</v>
      </c>
      <c r="G6703" t="s">
        <v>2261</v>
      </c>
      <c r="H6703">
        <v>9</v>
      </c>
      <c r="I6703">
        <v>97.29</v>
      </c>
      <c r="J6703" s="50">
        <v>875.61</v>
      </c>
      <c r="K6703" t="s">
        <v>1632</v>
      </c>
      <c r="M6703" t="s">
        <v>1621</v>
      </c>
      <c r="N6703">
        <v>51.35</v>
      </c>
      <c r="O6703" s="49">
        <v>44947</v>
      </c>
      <c r="P6703" s="50">
        <v>394.02449999999999</v>
      </c>
    </row>
    <row r="6704" spans="4:16" x14ac:dyDescent="0.2">
      <c r="D6704">
        <v>100003994</v>
      </c>
      <c r="E6704" s="49">
        <v>45248</v>
      </c>
      <c r="F6704" t="s">
        <v>5430</v>
      </c>
      <c r="G6704" t="s">
        <v>2306</v>
      </c>
      <c r="H6704">
        <v>1</v>
      </c>
      <c r="I6704">
        <v>109.02</v>
      </c>
      <c r="J6704" s="50">
        <v>109.02</v>
      </c>
      <c r="K6704" t="s">
        <v>1632</v>
      </c>
      <c r="M6704" t="s">
        <v>1627</v>
      </c>
      <c r="N6704">
        <v>57.54</v>
      </c>
      <c r="O6704" s="49">
        <v>45252</v>
      </c>
      <c r="P6704" s="50">
        <v>49.058999999999997</v>
      </c>
    </row>
    <row r="6705" spans="4:16" x14ac:dyDescent="0.2">
      <c r="D6705">
        <v>100003994</v>
      </c>
      <c r="E6705" s="49">
        <v>45526</v>
      </c>
      <c r="F6705" t="s">
        <v>5430</v>
      </c>
      <c r="G6705" t="s">
        <v>1944</v>
      </c>
      <c r="H6705">
        <v>10</v>
      </c>
      <c r="I6705">
        <v>10.91</v>
      </c>
      <c r="J6705" s="50">
        <v>109.1</v>
      </c>
      <c r="K6705" t="s">
        <v>1632</v>
      </c>
      <c r="M6705" t="s">
        <v>1629</v>
      </c>
      <c r="N6705">
        <v>5.76</v>
      </c>
      <c r="O6705" s="49">
        <v>45530</v>
      </c>
      <c r="P6705" s="50">
        <v>49.094999999999999</v>
      </c>
    </row>
    <row r="6706" spans="4:16" x14ac:dyDescent="0.2">
      <c r="D6706">
        <v>100003995</v>
      </c>
      <c r="E6706" s="49">
        <v>44446</v>
      </c>
      <c r="F6706" t="s">
        <v>5431</v>
      </c>
      <c r="G6706" t="s">
        <v>2210</v>
      </c>
      <c r="H6706">
        <v>5</v>
      </c>
      <c r="I6706">
        <v>41.5</v>
      </c>
      <c r="J6706" s="50">
        <v>207.5</v>
      </c>
      <c r="K6706" t="s">
        <v>1618</v>
      </c>
      <c r="M6706" t="s">
        <v>1624</v>
      </c>
      <c r="N6706">
        <v>21.9</v>
      </c>
      <c r="O6706" s="49">
        <v>44447</v>
      </c>
      <c r="P6706" s="50">
        <v>93.375</v>
      </c>
    </row>
    <row r="6707" spans="4:16" x14ac:dyDescent="0.2">
      <c r="D6707">
        <v>100003995</v>
      </c>
      <c r="E6707" s="49">
        <v>44688</v>
      </c>
      <c r="F6707" t="s">
        <v>5431</v>
      </c>
      <c r="G6707" t="s">
        <v>2019</v>
      </c>
      <c r="H6707">
        <v>4</v>
      </c>
      <c r="I6707">
        <v>34.74</v>
      </c>
      <c r="J6707" s="50">
        <v>138.96</v>
      </c>
      <c r="K6707" t="s">
        <v>1618</v>
      </c>
      <c r="M6707" t="s">
        <v>1629</v>
      </c>
      <c r="N6707">
        <v>18.329999999999998</v>
      </c>
      <c r="O6707" s="49">
        <v>44692</v>
      </c>
      <c r="P6707" s="50">
        <v>62.532000000000004</v>
      </c>
    </row>
    <row r="6708" spans="4:16" x14ac:dyDescent="0.2">
      <c r="D6708">
        <v>100003995</v>
      </c>
      <c r="E6708" s="49">
        <v>44388</v>
      </c>
      <c r="F6708" t="s">
        <v>5431</v>
      </c>
      <c r="G6708" t="s">
        <v>1617</v>
      </c>
      <c r="H6708">
        <v>10</v>
      </c>
      <c r="I6708">
        <v>66.569999999999993</v>
      </c>
      <c r="J6708" s="50">
        <v>665.69999999999993</v>
      </c>
      <c r="K6708" t="s">
        <v>1618</v>
      </c>
      <c r="M6708" t="s">
        <v>1621</v>
      </c>
      <c r="N6708">
        <v>35.130000000000003</v>
      </c>
      <c r="O6708" s="49">
        <v>44393</v>
      </c>
      <c r="P6708" s="50">
        <v>299.565</v>
      </c>
    </row>
    <row r="6709" spans="4:16" x14ac:dyDescent="0.2">
      <c r="D6709">
        <v>100003995</v>
      </c>
      <c r="E6709" s="49">
        <v>45090</v>
      </c>
      <c r="F6709" t="s">
        <v>5431</v>
      </c>
      <c r="G6709" t="s">
        <v>2707</v>
      </c>
      <c r="H6709">
        <v>6</v>
      </c>
      <c r="I6709">
        <v>51.34</v>
      </c>
      <c r="J6709" s="50">
        <v>308.04000000000002</v>
      </c>
      <c r="K6709" t="s">
        <v>1618</v>
      </c>
      <c r="M6709" t="s">
        <v>1619</v>
      </c>
      <c r="N6709">
        <v>27.1</v>
      </c>
      <c r="O6709" s="49">
        <v>45091</v>
      </c>
      <c r="P6709" s="50">
        <v>138.61800000000002</v>
      </c>
    </row>
    <row r="6710" spans="4:16" x14ac:dyDescent="0.2">
      <c r="D6710">
        <v>100003996</v>
      </c>
      <c r="E6710" s="49">
        <v>45224</v>
      </c>
      <c r="F6710" t="s">
        <v>5432</v>
      </c>
      <c r="G6710" t="s">
        <v>2057</v>
      </c>
      <c r="H6710">
        <v>1</v>
      </c>
      <c r="I6710">
        <v>13.97</v>
      </c>
      <c r="J6710" s="50">
        <v>13.97</v>
      </c>
      <c r="K6710" t="s">
        <v>1632</v>
      </c>
      <c r="M6710" t="s">
        <v>1629</v>
      </c>
      <c r="N6710">
        <v>7.37</v>
      </c>
      <c r="O6710" s="49">
        <v>45229</v>
      </c>
      <c r="P6710" s="50">
        <v>6.2865000000000002</v>
      </c>
    </row>
    <row r="6711" spans="4:16" x14ac:dyDescent="0.2">
      <c r="D6711">
        <v>100003996</v>
      </c>
      <c r="E6711" s="49">
        <v>45207</v>
      </c>
      <c r="F6711" t="s">
        <v>5432</v>
      </c>
      <c r="G6711" t="s">
        <v>1723</v>
      </c>
      <c r="H6711">
        <v>1</v>
      </c>
      <c r="I6711">
        <v>67.86</v>
      </c>
      <c r="J6711" s="50">
        <v>67.86</v>
      </c>
      <c r="K6711" t="s">
        <v>1632</v>
      </c>
      <c r="M6711" t="s">
        <v>1621</v>
      </c>
      <c r="N6711">
        <v>35.81</v>
      </c>
      <c r="O6711" s="49">
        <v>45210</v>
      </c>
      <c r="P6711" s="50">
        <v>30.536999999999999</v>
      </c>
    </row>
    <row r="6712" spans="4:16" x14ac:dyDescent="0.2">
      <c r="D6712">
        <v>100003997</v>
      </c>
      <c r="E6712" s="49">
        <v>44220</v>
      </c>
      <c r="F6712" t="s">
        <v>5433</v>
      </c>
      <c r="G6712" t="s">
        <v>2090</v>
      </c>
      <c r="H6712">
        <v>8</v>
      </c>
      <c r="I6712">
        <v>20.39</v>
      </c>
      <c r="J6712" s="50">
        <v>163.12</v>
      </c>
      <c r="K6712" t="s">
        <v>1632</v>
      </c>
      <c r="M6712" t="s">
        <v>1621</v>
      </c>
      <c r="N6712">
        <v>10.76</v>
      </c>
      <c r="O6712" s="49">
        <v>44222</v>
      </c>
      <c r="P6712" s="50">
        <v>73.404000000000011</v>
      </c>
    </row>
    <row r="6713" spans="4:16" x14ac:dyDescent="0.2">
      <c r="D6713">
        <v>100003998</v>
      </c>
      <c r="E6713" s="49">
        <v>45169</v>
      </c>
      <c r="F6713" t="s">
        <v>5434</v>
      </c>
      <c r="G6713" t="s">
        <v>2161</v>
      </c>
      <c r="H6713">
        <v>7</v>
      </c>
      <c r="I6713">
        <v>16.89</v>
      </c>
      <c r="J6713" s="50">
        <v>118.23</v>
      </c>
      <c r="K6713" t="s">
        <v>1632</v>
      </c>
      <c r="L6713" t="s">
        <v>5435</v>
      </c>
      <c r="M6713" t="s">
        <v>1629</v>
      </c>
      <c r="N6713">
        <v>8.91</v>
      </c>
      <c r="O6713" s="49">
        <v>45170</v>
      </c>
      <c r="P6713" s="50">
        <v>53.203500000000005</v>
      </c>
    </row>
    <row r="6714" spans="4:16" x14ac:dyDescent="0.2">
      <c r="D6714">
        <v>100003998</v>
      </c>
      <c r="E6714" s="49">
        <v>44197</v>
      </c>
      <c r="F6714" t="s">
        <v>5434</v>
      </c>
      <c r="G6714" t="s">
        <v>2418</v>
      </c>
      <c r="H6714">
        <v>8</v>
      </c>
      <c r="I6714">
        <v>55.32</v>
      </c>
      <c r="J6714" s="50">
        <v>442.56</v>
      </c>
      <c r="K6714" t="s">
        <v>1632</v>
      </c>
      <c r="L6714" t="s">
        <v>5435</v>
      </c>
      <c r="M6714" t="s">
        <v>1627</v>
      </c>
      <c r="N6714">
        <v>29.2</v>
      </c>
      <c r="O6714" s="49">
        <v>44201</v>
      </c>
      <c r="P6714" s="50">
        <v>199.15200000000002</v>
      </c>
    </row>
    <row r="6715" spans="4:16" x14ac:dyDescent="0.2">
      <c r="D6715">
        <v>100003998</v>
      </c>
      <c r="E6715" s="49">
        <v>45504</v>
      </c>
      <c r="F6715" t="s">
        <v>5434</v>
      </c>
      <c r="G6715" t="s">
        <v>1699</v>
      </c>
      <c r="H6715">
        <v>3</v>
      </c>
      <c r="I6715">
        <v>87.38</v>
      </c>
      <c r="J6715" s="50">
        <v>262.14</v>
      </c>
      <c r="K6715" t="s">
        <v>1632</v>
      </c>
      <c r="L6715" t="s">
        <v>5435</v>
      </c>
      <c r="M6715" t="s">
        <v>1624</v>
      </c>
      <c r="N6715">
        <v>46.12</v>
      </c>
      <c r="O6715" s="49">
        <v>45506</v>
      </c>
      <c r="P6715" s="50">
        <v>117.96299999999999</v>
      </c>
    </row>
    <row r="6716" spans="4:16" x14ac:dyDescent="0.2">
      <c r="D6716">
        <v>100003999</v>
      </c>
      <c r="E6716" s="49">
        <v>44374</v>
      </c>
      <c r="F6716" t="s">
        <v>5436</v>
      </c>
      <c r="G6716" t="s">
        <v>2390</v>
      </c>
      <c r="H6716">
        <v>10</v>
      </c>
      <c r="I6716">
        <v>39.26</v>
      </c>
      <c r="J6716" s="50">
        <v>392.6</v>
      </c>
      <c r="K6716" t="s">
        <v>1618</v>
      </c>
      <c r="M6716" t="s">
        <v>1621</v>
      </c>
      <c r="N6716">
        <v>20.72</v>
      </c>
      <c r="O6716" s="49">
        <v>44378</v>
      </c>
      <c r="P6716" s="50">
        <v>176.67000000000002</v>
      </c>
    </row>
    <row r="6717" spans="4:16" x14ac:dyDescent="0.2">
      <c r="D6717">
        <v>100003999</v>
      </c>
      <c r="E6717" s="49">
        <v>45152</v>
      </c>
      <c r="F6717" t="s">
        <v>5436</v>
      </c>
      <c r="G6717" t="s">
        <v>2306</v>
      </c>
      <c r="H6717">
        <v>10</v>
      </c>
      <c r="I6717">
        <v>96.01</v>
      </c>
      <c r="J6717" s="50">
        <v>960.1</v>
      </c>
      <c r="K6717" t="s">
        <v>1618</v>
      </c>
      <c r="M6717" t="s">
        <v>1629</v>
      </c>
      <c r="N6717">
        <v>50.67</v>
      </c>
      <c r="O6717" s="49">
        <v>45154</v>
      </c>
      <c r="P6717" s="50">
        <v>432.04500000000002</v>
      </c>
    </row>
    <row r="6718" spans="4:16" x14ac:dyDescent="0.2">
      <c r="D6718">
        <v>100004000</v>
      </c>
      <c r="E6718" s="49">
        <v>45208</v>
      </c>
      <c r="F6718" t="s">
        <v>5437</v>
      </c>
      <c r="G6718" t="s">
        <v>1802</v>
      </c>
      <c r="H6718">
        <v>3</v>
      </c>
      <c r="I6718">
        <v>102.72</v>
      </c>
      <c r="J6718" s="50">
        <v>308.16000000000003</v>
      </c>
      <c r="K6718" t="s">
        <v>1632</v>
      </c>
      <c r="M6718" t="s">
        <v>1619</v>
      </c>
      <c r="N6718">
        <v>54.21</v>
      </c>
      <c r="O6718" s="49">
        <v>45211</v>
      </c>
      <c r="P6718" s="50">
        <v>138.67200000000003</v>
      </c>
    </row>
    <row r="6719" spans="4:16" x14ac:dyDescent="0.2">
      <c r="D6719">
        <v>100004000</v>
      </c>
      <c r="E6719" s="49">
        <v>45369</v>
      </c>
      <c r="F6719" t="s">
        <v>5437</v>
      </c>
      <c r="G6719" t="s">
        <v>2093</v>
      </c>
      <c r="H6719">
        <v>8</v>
      </c>
      <c r="I6719">
        <v>72.69</v>
      </c>
      <c r="J6719" s="50">
        <v>581.52</v>
      </c>
      <c r="K6719" t="s">
        <v>1632</v>
      </c>
      <c r="M6719" t="s">
        <v>1627</v>
      </c>
      <c r="N6719">
        <v>38.36</v>
      </c>
      <c r="O6719" s="49">
        <v>45372</v>
      </c>
      <c r="P6719" s="50">
        <v>261.68400000000003</v>
      </c>
    </row>
    <row r="6720" spans="4:16" x14ac:dyDescent="0.2">
      <c r="D6720">
        <v>100004004</v>
      </c>
      <c r="E6720" s="49">
        <v>44821</v>
      </c>
      <c r="F6720" t="s">
        <v>3500</v>
      </c>
      <c r="G6720" t="s">
        <v>2158</v>
      </c>
      <c r="H6720">
        <v>6</v>
      </c>
      <c r="I6720">
        <v>68.599999999999994</v>
      </c>
      <c r="J6720" s="50">
        <v>411.6</v>
      </c>
      <c r="K6720" t="s">
        <v>1632</v>
      </c>
      <c r="M6720" t="s">
        <v>1627</v>
      </c>
      <c r="N6720">
        <v>36.21</v>
      </c>
      <c r="O6720" s="49">
        <v>44822</v>
      </c>
      <c r="P6720" s="50">
        <v>185.22000000000003</v>
      </c>
    </row>
    <row r="6721" spans="4:16" x14ac:dyDescent="0.2">
      <c r="D6721">
        <v>100004005</v>
      </c>
      <c r="E6721" s="49">
        <v>44267</v>
      </c>
      <c r="F6721" t="s">
        <v>5438</v>
      </c>
      <c r="G6721" t="s">
        <v>2057</v>
      </c>
      <c r="H6721">
        <v>1</v>
      </c>
      <c r="I6721">
        <v>77.52</v>
      </c>
      <c r="J6721" s="50">
        <v>77.52</v>
      </c>
      <c r="K6721" t="s">
        <v>1618</v>
      </c>
      <c r="M6721" t="s">
        <v>1624</v>
      </c>
      <c r="N6721">
        <v>40.909999999999997</v>
      </c>
      <c r="O6721" s="49">
        <v>44269</v>
      </c>
      <c r="P6721" s="50">
        <v>34.884</v>
      </c>
    </row>
    <row r="6722" spans="4:16" x14ac:dyDescent="0.2">
      <c r="D6722">
        <v>100004005</v>
      </c>
      <c r="E6722" s="49">
        <v>45277</v>
      </c>
      <c r="F6722" t="s">
        <v>5438</v>
      </c>
      <c r="G6722" t="s">
        <v>2514</v>
      </c>
      <c r="H6722">
        <v>1</v>
      </c>
      <c r="I6722">
        <v>71.41</v>
      </c>
      <c r="J6722" s="50">
        <v>71.41</v>
      </c>
      <c r="K6722" t="s">
        <v>1618</v>
      </c>
      <c r="M6722" t="s">
        <v>1627</v>
      </c>
      <c r="N6722">
        <v>37.69</v>
      </c>
      <c r="O6722" s="49">
        <v>45278</v>
      </c>
      <c r="P6722" s="50">
        <v>32.134500000000003</v>
      </c>
    </row>
    <row r="6723" spans="4:16" x14ac:dyDescent="0.2">
      <c r="D6723">
        <v>100004006</v>
      </c>
      <c r="E6723" s="49">
        <v>45001</v>
      </c>
      <c r="F6723" t="s">
        <v>5439</v>
      </c>
      <c r="G6723" t="s">
        <v>1817</v>
      </c>
      <c r="H6723">
        <v>10</v>
      </c>
      <c r="I6723">
        <v>39.47</v>
      </c>
      <c r="J6723" s="50">
        <v>394.7</v>
      </c>
      <c r="K6723" t="s">
        <v>1618</v>
      </c>
      <c r="M6723" t="s">
        <v>1624</v>
      </c>
      <c r="N6723">
        <v>20.83</v>
      </c>
      <c r="O6723" s="49">
        <v>45006</v>
      </c>
      <c r="P6723" s="50">
        <v>177.61500000000001</v>
      </c>
    </row>
    <row r="6724" spans="4:16" x14ac:dyDescent="0.2">
      <c r="D6724">
        <v>100004007</v>
      </c>
      <c r="E6724" s="49">
        <v>45195</v>
      </c>
      <c r="F6724" t="s">
        <v>5440</v>
      </c>
      <c r="G6724" t="s">
        <v>1815</v>
      </c>
      <c r="H6724">
        <v>5</v>
      </c>
      <c r="I6724">
        <v>96.04</v>
      </c>
      <c r="J6724" s="50">
        <v>480.2</v>
      </c>
      <c r="K6724" t="s">
        <v>1632</v>
      </c>
      <c r="M6724" t="s">
        <v>1629</v>
      </c>
      <c r="N6724">
        <v>50.69</v>
      </c>
      <c r="O6724" s="49">
        <v>45197</v>
      </c>
      <c r="P6724" s="50">
        <v>216.09</v>
      </c>
    </row>
    <row r="6725" spans="4:16" x14ac:dyDescent="0.2">
      <c r="D6725">
        <v>100004007</v>
      </c>
      <c r="E6725" s="49">
        <v>44320</v>
      </c>
      <c r="F6725" t="s">
        <v>5440</v>
      </c>
      <c r="G6725" t="s">
        <v>2633</v>
      </c>
      <c r="H6725">
        <v>9</v>
      </c>
      <c r="I6725">
        <v>105.02</v>
      </c>
      <c r="J6725" s="50">
        <v>945.18</v>
      </c>
      <c r="K6725" t="s">
        <v>1632</v>
      </c>
      <c r="M6725" t="s">
        <v>1621</v>
      </c>
      <c r="N6725">
        <v>55.43</v>
      </c>
      <c r="O6725" s="49">
        <v>44324</v>
      </c>
      <c r="P6725" s="50">
        <v>425.33099999999996</v>
      </c>
    </row>
    <row r="6726" spans="4:16" x14ac:dyDescent="0.2">
      <c r="D6726">
        <v>100004009</v>
      </c>
      <c r="E6726" s="49">
        <v>45517</v>
      </c>
      <c r="F6726" t="s">
        <v>5441</v>
      </c>
      <c r="G6726" t="s">
        <v>1971</v>
      </c>
      <c r="H6726">
        <v>7</v>
      </c>
      <c r="I6726">
        <v>20.69</v>
      </c>
      <c r="J6726" s="50">
        <v>144.83000000000001</v>
      </c>
      <c r="K6726" t="s">
        <v>1632</v>
      </c>
      <c r="L6726" t="s">
        <v>5442</v>
      </c>
      <c r="M6726" t="s">
        <v>1621</v>
      </c>
      <c r="N6726">
        <v>10.92</v>
      </c>
      <c r="O6726" s="49">
        <v>45521</v>
      </c>
      <c r="P6726" s="50">
        <v>65.173500000000004</v>
      </c>
    </row>
    <row r="6727" spans="4:16" x14ac:dyDescent="0.2">
      <c r="D6727">
        <v>100004009</v>
      </c>
      <c r="E6727" s="49">
        <v>45385</v>
      </c>
      <c r="F6727" t="s">
        <v>5441</v>
      </c>
      <c r="G6727" t="s">
        <v>2305</v>
      </c>
      <c r="H6727">
        <v>4</v>
      </c>
      <c r="I6727">
        <v>12.94</v>
      </c>
      <c r="J6727" s="50">
        <v>51.76</v>
      </c>
      <c r="K6727" t="s">
        <v>1632</v>
      </c>
      <c r="L6727" t="s">
        <v>5442</v>
      </c>
      <c r="M6727" t="s">
        <v>1627</v>
      </c>
      <c r="N6727">
        <v>6.83</v>
      </c>
      <c r="O6727" s="49">
        <v>45387</v>
      </c>
      <c r="P6727" s="50">
        <v>23.291999999999998</v>
      </c>
    </row>
    <row r="6728" spans="4:16" x14ac:dyDescent="0.2">
      <c r="D6728">
        <v>100004009</v>
      </c>
      <c r="E6728" s="49">
        <v>45047</v>
      </c>
      <c r="F6728" t="s">
        <v>5441</v>
      </c>
      <c r="G6728" t="s">
        <v>1677</v>
      </c>
      <c r="H6728">
        <v>7</v>
      </c>
      <c r="I6728">
        <v>94.54</v>
      </c>
      <c r="J6728" s="50">
        <v>661.78000000000009</v>
      </c>
      <c r="K6728" t="s">
        <v>1632</v>
      </c>
      <c r="L6728" t="s">
        <v>5442</v>
      </c>
      <c r="M6728" t="s">
        <v>1619</v>
      </c>
      <c r="N6728">
        <v>49.9</v>
      </c>
      <c r="O6728" s="49">
        <v>45048</v>
      </c>
      <c r="P6728" s="50">
        <v>297.80100000000004</v>
      </c>
    </row>
    <row r="6729" spans="4:16" x14ac:dyDescent="0.2">
      <c r="D6729">
        <v>100004009</v>
      </c>
      <c r="E6729" s="49">
        <v>45041</v>
      </c>
      <c r="F6729" t="s">
        <v>5441</v>
      </c>
      <c r="G6729" t="s">
        <v>1838</v>
      </c>
      <c r="H6729">
        <v>4</v>
      </c>
      <c r="I6729">
        <v>38.92</v>
      </c>
      <c r="J6729" s="50">
        <v>155.68</v>
      </c>
      <c r="K6729" t="s">
        <v>1632</v>
      </c>
      <c r="L6729" t="s">
        <v>5442</v>
      </c>
      <c r="M6729" t="s">
        <v>1629</v>
      </c>
      <c r="N6729">
        <v>20.54</v>
      </c>
      <c r="O6729" s="49">
        <v>45045</v>
      </c>
      <c r="P6729" s="50">
        <v>70.056000000000012</v>
      </c>
    </row>
    <row r="6730" spans="4:16" x14ac:dyDescent="0.2">
      <c r="D6730">
        <v>100004010</v>
      </c>
      <c r="E6730" s="49">
        <v>44548</v>
      </c>
      <c r="F6730" t="s">
        <v>3831</v>
      </c>
      <c r="G6730" t="s">
        <v>2553</v>
      </c>
      <c r="H6730">
        <v>3</v>
      </c>
      <c r="I6730">
        <v>24.35</v>
      </c>
      <c r="J6730" s="50">
        <v>73.050000000000011</v>
      </c>
      <c r="K6730" t="s">
        <v>1632</v>
      </c>
      <c r="L6730" t="s">
        <v>5443</v>
      </c>
      <c r="M6730" t="s">
        <v>1619</v>
      </c>
      <c r="N6730">
        <v>12.85</v>
      </c>
      <c r="O6730" s="49">
        <v>44553</v>
      </c>
      <c r="P6730" s="50">
        <v>32.872500000000009</v>
      </c>
    </row>
    <row r="6731" spans="4:16" x14ac:dyDescent="0.2">
      <c r="D6731">
        <v>100004010</v>
      </c>
      <c r="E6731" s="49">
        <v>44765</v>
      </c>
      <c r="F6731" t="s">
        <v>3831</v>
      </c>
      <c r="G6731" t="s">
        <v>1664</v>
      </c>
      <c r="H6731">
        <v>4</v>
      </c>
      <c r="I6731">
        <v>12.84</v>
      </c>
      <c r="J6731" s="50">
        <v>51.36</v>
      </c>
      <c r="K6731" t="s">
        <v>1632</v>
      </c>
      <c r="L6731" t="s">
        <v>5443</v>
      </c>
      <c r="M6731" t="s">
        <v>1619</v>
      </c>
      <c r="N6731">
        <v>6.78</v>
      </c>
      <c r="O6731" s="49">
        <v>44768</v>
      </c>
      <c r="P6731" s="50">
        <v>23.112000000000002</v>
      </c>
    </row>
    <row r="6732" spans="4:16" x14ac:dyDescent="0.2">
      <c r="D6732">
        <v>100004011</v>
      </c>
      <c r="E6732" s="49">
        <v>45620</v>
      </c>
      <c r="F6732" t="s">
        <v>2104</v>
      </c>
      <c r="G6732" t="s">
        <v>2733</v>
      </c>
      <c r="H6732">
        <v>4</v>
      </c>
      <c r="I6732">
        <v>95.22</v>
      </c>
      <c r="J6732" s="50">
        <v>380.88</v>
      </c>
      <c r="K6732" t="s">
        <v>1632</v>
      </c>
      <c r="L6732" t="s">
        <v>2741</v>
      </c>
      <c r="M6732" t="s">
        <v>1619</v>
      </c>
      <c r="N6732">
        <v>50.25</v>
      </c>
      <c r="O6732" s="49">
        <v>45625</v>
      </c>
      <c r="P6732" s="50">
        <v>171.39600000000002</v>
      </c>
    </row>
    <row r="6733" spans="4:16" x14ac:dyDescent="0.2">
      <c r="D6733">
        <v>100004012</v>
      </c>
      <c r="E6733" s="49">
        <v>44433</v>
      </c>
      <c r="F6733" t="s">
        <v>5444</v>
      </c>
      <c r="G6733" t="s">
        <v>1948</v>
      </c>
      <c r="H6733">
        <v>6</v>
      </c>
      <c r="I6733">
        <v>53.87</v>
      </c>
      <c r="J6733" s="50">
        <v>323.22000000000003</v>
      </c>
      <c r="K6733" t="s">
        <v>1618</v>
      </c>
      <c r="M6733" t="s">
        <v>1627</v>
      </c>
      <c r="N6733">
        <v>28.43</v>
      </c>
      <c r="O6733" s="49">
        <v>44434</v>
      </c>
      <c r="P6733" s="50">
        <v>145.44900000000001</v>
      </c>
    </row>
    <row r="6734" spans="4:16" x14ac:dyDescent="0.2">
      <c r="D6734">
        <v>100004012</v>
      </c>
      <c r="E6734" s="49">
        <v>44992</v>
      </c>
      <c r="F6734" t="s">
        <v>5444</v>
      </c>
      <c r="G6734" t="s">
        <v>1639</v>
      </c>
      <c r="H6734">
        <v>10</v>
      </c>
      <c r="I6734">
        <v>83.5</v>
      </c>
      <c r="J6734" s="50">
        <v>835</v>
      </c>
      <c r="K6734" t="s">
        <v>1618</v>
      </c>
      <c r="M6734" t="s">
        <v>1621</v>
      </c>
      <c r="N6734">
        <v>44.07</v>
      </c>
      <c r="O6734" s="49">
        <v>44994</v>
      </c>
      <c r="P6734" s="50">
        <v>375.75</v>
      </c>
    </row>
    <row r="6735" spans="4:16" x14ac:dyDescent="0.2">
      <c r="D6735">
        <v>100004013</v>
      </c>
      <c r="E6735" s="49">
        <v>45316</v>
      </c>
      <c r="F6735" t="s">
        <v>2606</v>
      </c>
      <c r="G6735" t="s">
        <v>1864</v>
      </c>
      <c r="H6735">
        <v>8</v>
      </c>
      <c r="I6735">
        <v>66.41</v>
      </c>
      <c r="J6735" s="50">
        <v>531.28</v>
      </c>
      <c r="K6735" t="s">
        <v>1632</v>
      </c>
      <c r="M6735" t="s">
        <v>1629</v>
      </c>
      <c r="N6735">
        <v>35.049999999999997</v>
      </c>
      <c r="O6735" s="49">
        <v>45321</v>
      </c>
      <c r="P6735" s="50">
        <v>239.07599999999999</v>
      </c>
    </row>
    <row r="6736" spans="4:16" x14ac:dyDescent="0.2">
      <c r="D6736">
        <v>100004013</v>
      </c>
      <c r="E6736" s="49">
        <v>44907</v>
      </c>
      <c r="F6736" t="s">
        <v>2606</v>
      </c>
      <c r="G6736" t="s">
        <v>1672</v>
      </c>
      <c r="H6736">
        <v>4</v>
      </c>
      <c r="I6736">
        <v>20.62</v>
      </c>
      <c r="J6736" s="50">
        <v>82.48</v>
      </c>
      <c r="K6736" t="s">
        <v>1632</v>
      </c>
      <c r="M6736" t="s">
        <v>1624</v>
      </c>
      <c r="N6736">
        <v>10.88</v>
      </c>
      <c r="O6736" s="49">
        <v>44909</v>
      </c>
      <c r="P6736" s="50">
        <v>37.116</v>
      </c>
    </row>
    <row r="6737" spans="4:16" x14ac:dyDescent="0.2">
      <c r="D6737">
        <v>100004014</v>
      </c>
      <c r="E6737" s="49">
        <v>45364</v>
      </c>
      <c r="F6737" t="s">
        <v>5445</v>
      </c>
      <c r="G6737" t="s">
        <v>2150</v>
      </c>
      <c r="H6737">
        <v>7</v>
      </c>
      <c r="I6737">
        <v>70.09</v>
      </c>
      <c r="J6737" s="50">
        <v>490.63</v>
      </c>
      <c r="K6737" t="s">
        <v>1632</v>
      </c>
      <c r="M6737" t="s">
        <v>1629</v>
      </c>
      <c r="N6737">
        <v>36.99</v>
      </c>
      <c r="O6737" s="49">
        <v>45368</v>
      </c>
      <c r="P6737" s="50">
        <v>220.7835</v>
      </c>
    </row>
    <row r="6738" spans="4:16" x14ac:dyDescent="0.2">
      <c r="D6738">
        <v>100004015</v>
      </c>
      <c r="E6738" s="49">
        <v>45374</v>
      </c>
      <c r="F6738" t="s">
        <v>5446</v>
      </c>
      <c r="G6738" t="s">
        <v>1797</v>
      </c>
      <c r="H6738">
        <v>2</v>
      </c>
      <c r="I6738">
        <v>65.56</v>
      </c>
      <c r="J6738" s="50">
        <v>131.12</v>
      </c>
      <c r="K6738" t="s">
        <v>1632</v>
      </c>
      <c r="M6738" t="s">
        <v>1624</v>
      </c>
      <c r="N6738">
        <v>34.6</v>
      </c>
      <c r="O6738" s="49">
        <v>45377</v>
      </c>
      <c r="P6738" s="50">
        <v>59.004000000000005</v>
      </c>
    </row>
    <row r="6739" spans="4:16" x14ac:dyDescent="0.2">
      <c r="D6739">
        <v>100004016</v>
      </c>
      <c r="E6739" s="49">
        <v>44313</v>
      </c>
      <c r="F6739" t="s">
        <v>5447</v>
      </c>
      <c r="G6739" t="s">
        <v>2076</v>
      </c>
      <c r="H6739">
        <v>5</v>
      </c>
      <c r="I6739">
        <v>12.85</v>
      </c>
      <c r="J6739" s="50">
        <v>64.25</v>
      </c>
      <c r="K6739" t="s">
        <v>1632</v>
      </c>
      <c r="M6739" t="s">
        <v>1619</v>
      </c>
      <c r="N6739">
        <v>6.78</v>
      </c>
      <c r="O6739" s="49">
        <v>44314</v>
      </c>
      <c r="P6739" s="50">
        <v>28.912500000000001</v>
      </c>
    </row>
    <row r="6740" spans="4:16" x14ac:dyDescent="0.2">
      <c r="D6740">
        <v>100004016</v>
      </c>
      <c r="E6740" s="49">
        <v>45206</v>
      </c>
      <c r="F6740" t="s">
        <v>5447</v>
      </c>
      <c r="G6740" t="s">
        <v>2706</v>
      </c>
      <c r="H6740">
        <v>3</v>
      </c>
      <c r="I6740">
        <v>72.87</v>
      </c>
      <c r="J6740" s="50">
        <v>218.61</v>
      </c>
      <c r="K6740" t="s">
        <v>1632</v>
      </c>
      <c r="M6740" t="s">
        <v>1621</v>
      </c>
      <c r="N6740">
        <v>38.46</v>
      </c>
      <c r="O6740" s="49">
        <v>45210</v>
      </c>
      <c r="P6740" s="50">
        <v>98.374500000000012</v>
      </c>
    </row>
    <row r="6741" spans="4:16" x14ac:dyDescent="0.2">
      <c r="D6741">
        <v>100004016</v>
      </c>
      <c r="E6741" s="49">
        <v>44598</v>
      </c>
      <c r="F6741" t="s">
        <v>5447</v>
      </c>
      <c r="G6741" t="s">
        <v>2151</v>
      </c>
      <c r="H6741">
        <v>7</v>
      </c>
      <c r="I6741">
        <v>20.94</v>
      </c>
      <c r="J6741" s="50">
        <v>146.58000000000001</v>
      </c>
      <c r="K6741" t="s">
        <v>1632</v>
      </c>
      <c r="M6741" t="s">
        <v>1629</v>
      </c>
      <c r="N6741">
        <v>11.05</v>
      </c>
      <c r="O6741" s="49">
        <v>44603</v>
      </c>
      <c r="P6741" s="50">
        <v>65.961000000000013</v>
      </c>
    </row>
    <row r="6742" spans="4:16" x14ac:dyDescent="0.2">
      <c r="D6742">
        <v>100004017</v>
      </c>
      <c r="E6742" s="49">
        <v>45011</v>
      </c>
      <c r="F6742" t="s">
        <v>5448</v>
      </c>
      <c r="G6742" t="s">
        <v>2099</v>
      </c>
      <c r="H6742">
        <v>4</v>
      </c>
      <c r="I6742">
        <v>30.11</v>
      </c>
      <c r="J6742" s="50">
        <v>120.44</v>
      </c>
      <c r="K6742" t="s">
        <v>1632</v>
      </c>
      <c r="M6742" t="s">
        <v>1619</v>
      </c>
      <c r="N6742">
        <v>15.89</v>
      </c>
      <c r="O6742" s="49">
        <v>45012</v>
      </c>
      <c r="P6742" s="50">
        <v>54.198</v>
      </c>
    </row>
    <row r="6743" spans="4:16" x14ac:dyDescent="0.2">
      <c r="D6743">
        <v>100004018</v>
      </c>
      <c r="E6743" s="49">
        <v>45597</v>
      </c>
      <c r="F6743" t="s">
        <v>5449</v>
      </c>
      <c r="G6743" t="s">
        <v>2063</v>
      </c>
      <c r="H6743">
        <v>8</v>
      </c>
      <c r="I6743">
        <v>60.6</v>
      </c>
      <c r="J6743" s="50">
        <v>484.8</v>
      </c>
      <c r="K6743" t="s">
        <v>1618</v>
      </c>
      <c r="M6743" t="s">
        <v>1621</v>
      </c>
      <c r="N6743">
        <v>31.98</v>
      </c>
      <c r="O6743" s="49">
        <v>45599</v>
      </c>
      <c r="P6743" s="50">
        <v>218.16</v>
      </c>
    </row>
    <row r="6744" spans="4:16" x14ac:dyDescent="0.2">
      <c r="D6744">
        <v>100004019</v>
      </c>
      <c r="E6744" s="49">
        <v>44522</v>
      </c>
      <c r="F6744" t="s">
        <v>5450</v>
      </c>
      <c r="G6744" t="s">
        <v>2436</v>
      </c>
      <c r="H6744">
        <v>9</v>
      </c>
      <c r="I6744">
        <v>61.28</v>
      </c>
      <c r="J6744" s="50">
        <v>551.52</v>
      </c>
      <c r="K6744" t="s">
        <v>1618</v>
      </c>
      <c r="M6744" t="s">
        <v>1629</v>
      </c>
      <c r="N6744">
        <v>32.340000000000003</v>
      </c>
      <c r="O6744" s="49">
        <v>44527</v>
      </c>
      <c r="P6744" s="50">
        <v>248.184</v>
      </c>
    </row>
    <row r="6745" spans="4:16" x14ac:dyDescent="0.2">
      <c r="D6745">
        <v>100004020</v>
      </c>
      <c r="E6745" s="49">
        <v>45135</v>
      </c>
      <c r="F6745" t="s">
        <v>5451</v>
      </c>
      <c r="G6745" t="s">
        <v>1868</v>
      </c>
      <c r="H6745">
        <v>10</v>
      </c>
      <c r="I6745">
        <v>25.92</v>
      </c>
      <c r="J6745" s="50">
        <v>259.2</v>
      </c>
      <c r="K6745" t="s">
        <v>1632</v>
      </c>
      <c r="M6745" t="s">
        <v>1624</v>
      </c>
      <c r="N6745">
        <v>13.68</v>
      </c>
      <c r="O6745" s="49">
        <v>45137</v>
      </c>
      <c r="P6745" s="50">
        <v>116.64</v>
      </c>
    </row>
    <row r="6746" spans="4:16" x14ac:dyDescent="0.2">
      <c r="D6746">
        <v>100004020</v>
      </c>
      <c r="E6746" s="49">
        <v>44917</v>
      </c>
      <c r="F6746" t="s">
        <v>5451</v>
      </c>
      <c r="G6746" t="s">
        <v>2550</v>
      </c>
      <c r="H6746">
        <v>8</v>
      </c>
      <c r="I6746">
        <v>79.599999999999994</v>
      </c>
      <c r="J6746" s="50">
        <v>636.79999999999995</v>
      </c>
      <c r="K6746" t="s">
        <v>1632</v>
      </c>
      <c r="M6746" t="s">
        <v>1629</v>
      </c>
      <c r="N6746">
        <v>42.01</v>
      </c>
      <c r="O6746" s="49">
        <v>44919</v>
      </c>
      <c r="P6746" s="50">
        <v>286.56</v>
      </c>
    </row>
    <row r="6747" spans="4:16" x14ac:dyDescent="0.2">
      <c r="D6747">
        <v>100004020</v>
      </c>
      <c r="E6747" s="49">
        <v>44555</v>
      </c>
      <c r="F6747" t="s">
        <v>5451</v>
      </c>
      <c r="G6747" t="s">
        <v>2343</v>
      </c>
      <c r="H6747">
        <v>5</v>
      </c>
      <c r="I6747">
        <v>56.17</v>
      </c>
      <c r="J6747" s="50">
        <v>280.85000000000002</v>
      </c>
      <c r="K6747" t="s">
        <v>1632</v>
      </c>
      <c r="M6747" t="s">
        <v>1627</v>
      </c>
      <c r="N6747">
        <v>29.65</v>
      </c>
      <c r="O6747" s="49">
        <v>44556</v>
      </c>
      <c r="P6747" s="50">
        <v>126.38250000000001</v>
      </c>
    </row>
    <row r="6748" spans="4:16" x14ac:dyDescent="0.2">
      <c r="D6748">
        <v>100004021</v>
      </c>
      <c r="E6748" s="49">
        <v>44739</v>
      </c>
      <c r="F6748" t="s">
        <v>5452</v>
      </c>
      <c r="G6748" t="s">
        <v>1848</v>
      </c>
      <c r="H6748">
        <v>5</v>
      </c>
      <c r="I6748">
        <v>118.59</v>
      </c>
      <c r="J6748" s="50">
        <v>592.95000000000005</v>
      </c>
      <c r="K6748" t="s">
        <v>1618</v>
      </c>
      <c r="M6748" t="s">
        <v>1629</v>
      </c>
      <c r="N6748">
        <v>62.59</v>
      </c>
      <c r="O6748" s="49">
        <v>44743</v>
      </c>
      <c r="P6748" s="50">
        <v>266.82750000000004</v>
      </c>
    </row>
    <row r="6749" spans="4:16" x14ac:dyDescent="0.2">
      <c r="D6749">
        <v>100004022</v>
      </c>
      <c r="E6749" s="49">
        <v>45146</v>
      </c>
      <c r="F6749" t="s">
        <v>5453</v>
      </c>
      <c r="G6749" t="s">
        <v>1828</v>
      </c>
      <c r="H6749">
        <v>8</v>
      </c>
      <c r="I6749">
        <v>59.64</v>
      </c>
      <c r="J6749" s="50">
        <v>477.12</v>
      </c>
      <c r="K6749" t="s">
        <v>1632</v>
      </c>
      <c r="M6749" t="s">
        <v>1621</v>
      </c>
      <c r="N6749">
        <v>31.48</v>
      </c>
      <c r="O6749" s="49">
        <v>45150</v>
      </c>
      <c r="P6749" s="50">
        <v>214.70400000000001</v>
      </c>
    </row>
    <row r="6750" spans="4:16" x14ac:dyDescent="0.2">
      <c r="D6750">
        <v>100004022</v>
      </c>
      <c r="E6750" s="49">
        <v>45486</v>
      </c>
      <c r="F6750" t="s">
        <v>5453</v>
      </c>
      <c r="G6750" t="s">
        <v>1727</v>
      </c>
      <c r="H6750">
        <v>4</v>
      </c>
      <c r="I6750">
        <v>60.18</v>
      </c>
      <c r="J6750" s="50">
        <v>240.72</v>
      </c>
      <c r="K6750" t="s">
        <v>1632</v>
      </c>
      <c r="M6750" t="s">
        <v>1619</v>
      </c>
      <c r="N6750">
        <v>31.76</v>
      </c>
      <c r="O6750" s="49">
        <v>45487</v>
      </c>
      <c r="P6750" s="50">
        <v>108.324</v>
      </c>
    </row>
    <row r="6751" spans="4:16" x14ac:dyDescent="0.2">
      <c r="D6751">
        <v>100004022</v>
      </c>
      <c r="E6751" s="49">
        <v>44495</v>
      </c>
      <c r="F6751" t="s">
        <v>5453</v>
      </c>
      <c r="G6751" t="s">
        <v>1687</v>
      </c>
      <c r="H6751">
        <v>1</v>
      </c>
      <c r="I6751">
        <v>42.8</v>
      </c>
      <c r="J6751" s="50">
        <v>42.8</v>
      </c>
      <c r="K6751" t="s">
        <v>1632</v>
      </c>
      <c r="M6751" t="s">
        <v>1627</v>
      </c>
      <c r="N6751">
        <v>22.59</v>
      </c>
      <c r="O6751" s="49">
        <v>44499</v>
      </c>
      <c r="P6751" s="50">
        <v>19.259999999999998</v>
      </c>
    </row>
    <row r="6752" spans="4:16" x14ac:dyDescent="0.2">
      <c r="D6752">
        <v>100004023</v>
      </c>
      <c r="E6752" s="49">
        <v>44309</v>
      </c>
      <c r="F6752" t="s">
        <v>5454</v>
      </c>
      <c r="G6752" t="s">
        <v>2553</v>
      </c>
      <c r="H6752">
        <v>6</v>
      </c>
      <c r="I6752">
        <v>73.209999999999994</v>
      </c>
      <c r="J6752" s="50">
        <v>439.26</v>
      </c>
      <c r="K6752" t="s">
        <v>1632</v>
      </c>
      <c r="L6752" t="s">
        <v>2469</v>
      </c>
      <c r="M6752" t="s">
        <v>1629</v>
      </c>
      <c r="N6752">
        <v>38.64</v>
      </c>
      <c r="O6752" s="49">
        <v>44310</v>
      </c>
      <c r="P6752" s="50">
        <v>197.667</v>
      </c>
    </row>
    <row r="6753" spans="4:16" x14ac:dyDescent="0.2">
      <c r="D6753">
        <v>100004023</v>
      </c>
      <c r="E6753" s="49">
        <v>45020</v>
      </c>
      <c r="F6753" t="s">
        <v>5454</v>
      </c>
      <c r="G6753" t="s">
        <v>1975</v>
      </c>
      <c r="H6753">
        <v>2</v>
      </c>
      <c r="I6753">
        <v>57.54</v>
      </c>
      <c r="J6753" s="50">
        <v>115.08</v>
      </c>
      <c r="K6753" t="s">
        <v>1632</v>
      </c>
      <c r="L6753" t="s">
        <v>2469</v>
      </c>
      <c r="M6753" t="s">
        <v>1629</v>
      </c>
      <c r="N6753">
        <v>30.37</v>
      </c>
      <c r="O6753" s="49">
        <v>45024</v>
      </c>
      <c r="P6753" s="50">
        <v>51.786000000000001</v>
      </c>
    </row>
    <row r="6754" spans="4:16" x14ac:dyDescent="0.2">
      <c r="D6754">
        <v>100004023</v>
      </c>
      <c r="E6754" s="49">
        <v>44785</v>
      </c>
      <c r="F6754" t="s">
        <v>5454</v>
      </c>
      <c r="G6754" t="s">
        <v>2038</v>
      </c>
      <c r="H6754">
        <v>1</v>
      </c>
      <c r="I6754">
        <v>117.94</v>
      </c>
      <c r="J6754" s="50">
        <v>117.94</v>
      </c>
      <c r="K6754" t="s">
        <v>1632</v>
      </c>
      <c r="L6754" t="s">
        <v>2469</v>
      </c>
      <c r="M6754" t="s">
        <v>1619</v>
      </c>
      <c r="N6754">
        <v>62.25</v>
      </c>
      <c r="O6754" s="49">
        <v>44787</v>
      </c>
      <c r="P6754" s="50">
        <v>53.073</v>
      </c>
    </row>
    <row r="6755" spans="4:16" x14ac:dyDescent="0.2">
      <c r="D6755">
        <v>100004023</v>
      </c>
      <c r="E6755" s="49">
        <v>44659</v>
      </c>
      <c r="F6755" t="s">
        <v>5454</v>
      </c>
      <c r="G6755" t="s">
        <v>1664</v>
      </c>
      <c r="H6755">
        <v>9</v>
      </c>
      <c r="I6755">
        <v>38.17</v>
      </c>
      <c r="J6755" s="50">
        <v>343.53</v>
      </c>
      <c r="K6755" t="s">
        <v>1632</v>
      </c>
      <c r="L6755" t="s">
        <v>2469</v>
      </c>
      <c r="M6755" t="s">
        <v>1627</v>
      </c>
      <c r="N6755">
        <v>20.149999999999999</v>
      </c>
      <c r="O6755" s="49">
        <v>44661</v>
      </c>
      <c r="P6755" s="50">
        <v>154.58849999999998</v>
      </c>
    </row>
    <row r="6756" spans="4:16" x14ac:dyDescent="0.2">
      <c r="D6756">
        <v>100004023</v>
      </c>
      <c r="E6756" s="49">
        <v>45256</v>
      </c>
      <c r="F6756" t="s">
        <v>5454</v>
      </c>
      <c r="G6756" t="s">
        <v>1651</v>
      </c>
      <c r="H6756">
        <v>9</v>
      </c>
      <c r="I6756">
        <v>65.680000000000007</v>
      </c>
      <c r="J6756" s="50">
        <v>591.12000000000012</v>
      </c>
      <c r="K6756" t="s">
        <v>1632</v>
      </c>
      <c r="L6756" t="s">
        <v>2469</v>
      </c>
      <c r="M6756" t="s">
        <v>1619</v>
      </c>
      <c r="N6756">
        <v>34.659999999999997</v>
      </c>
      <c r="O6756" s="49">
        <v>45257</v>
      </c>
      <c r="P6756" s="50">
        <v>266.00400000000008</v>
      </c>
    </row>
    <row r="6757" spans="4:16" x14ac:dyDescent="0.2">
      <c r="D6757">
        <v>100004025</v>
      </c>
      <c r="E6757" s="49">
        <v>45322</v>
      </c>
      <c r="F6757" t="s">
        <v>5455</v>
      </c>
      <c r="G6757" t="s">
        <v>2180</v>
      </c>
      <c r="H6757">
        <v>10</v>
      </c>
      <c r="I6757">
        <v>33.18</v>
      </c>
      <c r="J6757" s="50">
        <v>331.8</v>
      </c>
      <c r="K6757" t="s">
        <v>1618</v>
      </c>
      <c r="M6757" t="s">
        <v>1629</v>
      </c>
      <c r="N6757">
        <v>17.510000000000002</v>
      </c>
      <c r="O6757" s="49">
        <v>45326</v>
      </c>
      <c r="P6757" s="50">
        <v>149.31</v>
      </c>
    </row>
    <row r="6758" spans="4:16" x14ac:dyDescent="0.2">
      <c r="D6758">
        <v>100004025</v>
      </c>
      <c r="E6758" s="49">
        <v>44673</v>
      </c>
      <c r="F6758" t="s">
        <v>5455</v>
      </c>
      <c r="G6758" t="s">
        <v>2145</v>
      </c>
      <c r="H6758">
        <v>9</v>
      </c>
      <c r="I6758">
        <v>93.24</v>
      </c>
      <c r="J6758" s="50">
        <v>839.16</v>
      </c>
      <c r="K6758" t="s">
        <v>1618</v>
      </c>
      <c r="M6758" t="s">
        <v>1624</v>
      </c>
      <c r="N6758">
        <v>49.21</v>
      </c>
      <c r="O6758" s="49">
        <v>44678</v>
      </c>
      <c r="P6758" s="50">
        <v>377.62200000000001</v>
      </c>
    </row>
    <row r="6759" spans="4:16" x14ac:dyDescent="0.2">
      <c r="D6759">
        <v>100004025</v>
      </c>
      <c r="E6759" s="49">
        <v>45252</v>
      </c>
      <c r="F6759" t="s">
        <v>5455</v>
      </c>
      <c r="G6759" t="s">
        <v>2038</v>
      </c>
      <c r="H6759">
        <v>1</v>
      </c>
      <c r="I6759">
        <v>112.87</v>
      </c>
      <c r="J6759" s="50">
        <v>112.87</v>
      </c>
      <c r="K6759" t="s">
        <v>1618</v>
      </c>
      <c r="M6759" t="s">
        <v>1624</v>
      </c>
      <c r="N6759">
        <v>59.57</v>
      </c>
      <c r="O6759" s="49">
        <v>45256</v>
      </c>
      <c r="P6759" s="50">
        <v>50.791500000000006</v>
      </c>
    </row>
    <row r="6760" spans="4:16" x14ac:dyDescent="0.2">
      <c r="D6760">
        <v>100004025</v>
      </c>
      <c r="E6760" s="49">
        <v>45241</v>
      </c>
      <c r="F6760" t="s">
        <v>5455</v>
      </c>
      <c r="G6760" t="s">
        <v>1855</v>
      </c>
      <c r="H6760">
        <v>3</v>
      </c>
      <c r="I6760">
        <v>42.27</v>
      </c>
      <c r="J6760" s="50">
        <v>126.81</v>
      </c>
      <c r="K6760" t="s">
        <v>1618</v>
      </c>
      <c r="M6760" t="s">
        <v>1619</v>
      </c>
      <c r="N6760">
        <v>22.31</v>
      </c>
      <c r="O6760" s="49">
        <v>45246</v>
      </c>
      <c r="P6760" s="50">
        <v>57.064500000000002</v>
      </c>
    </row>
    <row r="6761" spans="4:16" x14ac:dyDescent="0.2">
      <c r="D6761">
        <v>100004026</v>
      </c>
      <c r="E6761" s="49">
        <v>44349</v>
      </c>
      <c r="F6761" t="s">
        <v>5456</v>
      </c>
      <c r="G6761" t="s">
        <v>2145</v>
      </c>
      <c r="H6761">
        <v>6</v>
      </c>
      <c r="I6761">
        <v>100.58</v>
      </c>
      <c r="J6761" s="50">
        <v>603.48</v>
      </c>
      <c r="K6761" t="s">
        <v>1632</v>
      </c>
      <c r="M6761" t="s">
        <v>1627</v>
      </c>
      <c r="N6761">
        <v>53.08</v>
      </c>
      <c r="O6761" s="49">
        <v>44354</v>
      </c>
      <c r="P6761" s="50">
        <v>271.56600000000003</v>
      </c>
    </row>
    <row r="6762" spans="4:16" x14ac:dyDescent="0.2">
      <c r="D6762">
        <v>100004027</v>
      </c>
      <c r="E6762" s="49">
        <v>45342</v>
      </c>
      <c r="F6762" t="s">
        <v>5457</v>
      </c>
      <c r="G6762" t="s">
        <v>1677</v>
      </c>
      <c r="H6762">
        <v>6</v>
      </c>
      <c r="I6762">
        <v>51.75</v>
      </c>
      <c r="J6762" s="50">
        <v>310.5</v>
      </c>
      <c r="K6762" t="s">
        <v>1632</v>
      </c>
      <c r="M6762" t="s">
        <v>1627</v>
      </c>
      <c r="N6762">
        <v>27.31</v>
      </c>
      <c r="O6762" s="49">
        <v>45346</v>
      </c>
      <c r="P6762" s="50">
        <v>139.72499999999999</v>
      </c>
    </row>
    <row r="6763" spans="4:16" x14ac:dyDescent="0.2">
      <c r="D6763">
        <v>100004027</v>
      </c>
      <c r="E6763" s="49">
        <v>45383</v>
      </c>
      <c r="F6763" t="s">
        <v>5457</v>
      </c>
      <c r="G6763" t="s">
        <v>1890</v>
      </c>
      <c r="H6763">
        <v>6</v>
      </c>
      <c r="I6763">
        <v>73.73</v>
      </c>
      <c r="J6763" s="50">
        <v>442.38</v>
      </c>
      <c r="K6763" t="s">
        <v>1632</v>
      </c>
      <c r="M6763" t="s">
        <v>1627</v>
      </c>
      <c r="N6763">
        <v>38.909999999999997</v>
      </c>
      <c r="O6763" s="49">
        <v>45384</v>
      </c>
      <c r="P6763" s="50">
        <v>199.071</v>
      </c>
    </row>
    <row r="6764" spans="4:16" x14ac:dyDescent="0.2">
      <c r="D6764">
        <v>100004028</v>
      </c>
      <c r="E6764" s="49">
        <v>45628</v>
      </c>
      <c r="F6764" t="s">
        <v>5458</v>
      </c>
      <c r="G6764" t="s">
        <v>1844</v>
      </c>
      <c r="H6764">
        <v>4</v>
      </c>
      <c r="I6764">
        <v>27.58</v>
      </c>
      <c r="J6764" s="50">
        <v>110.32</v>
      </c>
      <c r="K6764" t="s">
        <v>1618</v>
      </c>
      <c r="L6764" t="s">
        <v>5459</v>
      </c>
      <c r="M6764" t="s">
        <v>1627</v>
      </c>
      <c r="N6764">
        <v>14.56</v>
      </c>
      <c r="O6764" s="49">
        <v>45633</v>
      </c>
      <c r="P6764" s="50">
        <v>49.643999999999998</v>
      </c>
    </row>
    <row r="6765" spans="4:16" x14ac:dyDescent="0.2">
      <c r="D6765">
        <v>100004028</v>
      </c>
      <c r="E6765" s="49">
        <v>44267</v>
      </c>
      <c r="F6765" t="s">
        <v>5458</v>
      </c>
      <c r="G6765" t="s">
        <v>2192</v>
      </c>
      <c r="H6765">
        <v>9</v>
      </c>
      <c r="I6765">
        <v>64.02</v>
      </c>
      <c r="J6765" s="50">
        <v>576.17999999999995</v>
      </c>
      <c r="K6765" t="s">
        <v>1618</v>
      </c>
      <c r="L6765" t="s">
        <v>5459</v>
      </c>
      <c r="M6765" t="s">
        <v>1627</v>
      </c>
      <c r="N6765">
        <v>33.79</v>
      </c>
      <c r="O6765" s="49">
        <v>44270</v>
      </c>
      <c r="P6765" s="50">
        <v>259.28100000000001</v>
      </c>
    </row>
    <row r="6766" spans="4:16" x14ac:dyDescent="0.2">
      <c r="D6766">
        <v>100004028</v>
      </c>
      <c r="E6766" s="49">
        <v>44614</v>
      </c>
      <c r="F6766" t="s">
        <v>5458</v>
      </c>
      <c r="G6766" t="s">
        <v>2111</v>
      </c>
      <c r="H6766">
        <v>4</v>
      </c>
      <c r="I6766">
        <v>115.29</v>
      </c>
      <c r="J6766" s="50">
        <v>461.16</v>
      </c>
      <c r="K6766" t="s">
        <v>1618</v>
      </c>
      <c r="L6766" t="s">
        <v>5459</v>
      </c>
      <c r="M6766" t="s">
        <v>1627</v>
      </c>
      <c r="N6766">
        <v>60.85</v>
      </c>
      <c r="O6766" s="49">
        <v>44615</v>
      </c>
      <c r="P6766" s="50">
        <v>207.52200000000002</v>
      </c>
    </row>
    <row r="6767" spans="4:16" x14ac:dyDescent="0.2">
      <c r="D6767">
        <v>100004028</v>
      </c>
      <c r="E6767" s="49">
        <v>44983</v>
      </c>
      <c r="F6767" t="s">
        <v>5458</v>
      </c>
      <c r="G6767" t="s">
        <v>1707</v>
      </c>
      <c r="H6767">
        <v>6</v>
      </c>
      <c r="I6767">
        <v>91.64</v>
      </c>
      <c r="J6767" s="50">
        <v>549.84</v>
      </c>
      <c r="K6767" t="s">
        <v>1618</v>
      </c>
      <c r="L6767" t="s">
        <v>5459</v>
      </c>
      <c r="M6767" t="s">
        <v>1629</v>
      </c>
      <c r="N6767">
        <v>48.37</v>
      </c>
      <c r="O6767" s="49">
        <v>44988</v>
      </c>
      <c r="P6767" s="50">
        <v>247.42800000000003</v>
      </c>
    </row>
    <row r="6768" spans="4:16" x14ac:dyDescent="0.2">
      <c r="D6768">
        <v>100004028</v>
      </c>
      <c r="E6768" s="49">
        <v>45104</v>
      </c>
      <c r="F6768" t="s">
        <v>5458</v>
      </c>
      <c r="G6768" t="s">
        <v>1697</v>
      </c>
      <c r="H6768">
        <v>9</v>
      </c>
      <c r="I6768">
        <v>114.42</v>
      </c>
      <c r="J6768" s="50">
        <v>1029.78</v>
      </c>
      <c r="K6768" t="s">
        <v>1618</v>
      </c>
      <c r="L6768" t="s">
        <v>5459</v>
      </c>
      <c r="M6768" t="s">
        <v>1627</v>
      </c>
      <c r="N6768">
        <v>60.39</v>
      </c>
      <c r="O6768" s="49">
        <v>45109</v>
      </c>
      <c r="P6768" s="50">
        <v>463.40100000000001</v>
      </c>
    </row>
    <row r="6769" spans="4:16" x14ac:dyDescent="0.2">
      <c r="D6769">
        <v>100004030</v>
      </c>
      <c r="E6769" s="49">
        <v>44795</v>
      </c>
      <c r="F6769" t="s">
        <v>5458</v>
      </c>
      <c r="G6769" t="s">
        <v>1812</v>
      </c>
      <c r="H6769">
        <v>2</v>
      </c>
      <c r="I6769">
        <v>98.86</v>
      </c>
      <c r="J6769" s="50">
        <v>197.72</v>
      </c>
      <c r="K6769" t="s">
        <v>1618</v>
      </c>
      <c r="M6769" t="s">
        <v>1619</v>
      </c>
      <c r="N6769">
        <v>52.18</v>
      </c>
      <c r="O6769" s="49">
        <v>44796</v>
      </c>
      <c r="P6769" s="50">
        <v>88.974000000000004</v>
      </c>
    </row>
    <row r="6770" spans="4:16" x14ac:dyDescent="0.2">
      <c r="D6770">
        <v>100004031</v>
      </c>
      <c r="E6770" s="49">
        <v>45563</v>
      </c>
      <c r="F6770" t="s">
        <v>5460</v>
      </c>
      <c r="G6770" t="s">
        <v>2373</v>
      </c>
      <c r="H6770">
        <v>5</v>
      </c>
      <c r="I6770">
        <v>100.34</v>
      </c>
      <c r="J6770" s="50">
        <v>501.7</v>
      </c>
      <c r="K6770" t="s">
        <v>1618</v>
      </c>
      <c r="M6770" t="s">
        <v>1624</v>
      </c>
      <c r="N6770">
        <v>52.96</v>
      </c>
      <c r="O6770" s="49">
        <v>45568</v>
      </c>
      <c r="P6770" s="50">
        <v>225.76499999999999</v>
      </c>
    </row>
    <row r="6771" spans="4:16" x14ac:dyDescent="0.2">
      <c r="D6771">
        <v>100004031</v>
      </c>
      <c r="E6771" s="49">
        <v>45469</v>
      </c>
      <c r="F6771" t="s">
        <v>5460</v>
      </c>
      <c r="G6771" t="s">
        <v>2198</v>
      </c>
      <c r="H6771">
        <v>1</v>
      </c>
      <c r="I6771">
        <v>111.15</v>
      </c>
      <c r="J6771" s="50">
        <v>111.15</v>
      </c>
      <c r="K6771" t="s">
        <v>1618</v>
      </c>
      <c r="M6771" t="s">
        <v>1627</v>
      </c>
      <c r="N6771">
        <v>58.66</v>
      </c>
      <c r="O6771" s="49">
        <v>45470</v>
      </c>
      <c r="P6771" s="50">
        <v>50.017500000000005</v>
      </c>
    </row>
    <row r="6772" spans="4:16" x14ac:dyDescent="0.2">
      <c r="D6772">
        <v>100004032</v>
      </c>
      <c r="E6772" s="49">
        <v>45541</v>
      </c>
      <c r="F6772" t="s">
        <v>5461</v>
      </c>
      <c r="G6772" t="s">
        <v>1646</v>
      </c>
      <c r="H6772">
        <v>8</v>
      </c>
      <c r="I6772">
        <v>29.15</v>
      </c>
      <c r="J6772" s="50">
        <v>233.2</v>
      </c>
      <c r="K6772" t="s">
        <v>1632</v>
      </c>
      <c r="L6772" t="s">
        <v>5462</v>
      </c>
      <c r="M6772" t="s">
        <v>1619</v>
      </c>
      <c r="N6772">
        <v>15.38</v>
      </c>
      <c r="O6772" s="49">
        <v>45543</v>
      </c>
      <c r="P6772" s="50">
        <v>104.94</v>
      </c>
    </row>
    <row r="6773" spans="4:16" x14ac:dyDescent="0.2">
      <c r="D6773">
        <v>100004033</v>
      </c>
      <c r="E6773" s="49">
        <v>45328</v>
      </c>
      <c r="F6773" t="s">
        <v>5463</v>
      </c>
      <c r="G6773" t="s">
        <v>2331</v>
      </c>
      <c r="H6773">
        <v>10</v>
      </c>
      <c r="I6773">
        <v>29.36</v>
      </c>
      <c r="J6773" s="50">
        <v>293.60000000000002</v>
      </c>
      <c r="K6773" t="s">
        <v>1618</v>
      </c>
      <c r="M6773" t="s">
        <v>1621</v>
      </c>
      <c r="N6773">
        <v>15.5</v>
      </c>
      <c r="O6773" s="49">
        <v>45333</v>
      </c>
      <c r="P6773" s="50">
        <v>132.12</v>
      </c>
    </row>
    <row r="6774" spans="4:16" x14ac:dyDescent="0.2">
      <c r="D6774">
        <v>100004033</v>
      </c>
      <c r="E6774" s="49">
        <v>44750</v>
      </c>
      <c r="F6774" t="s">
        <v>5463</v>
      </c>
      <c r="G6774" t="s">
        <v>2418</v>
      </c>
      <c r="H6774">
        <v>5</v>
      </c>
      <c r="I6774">
        <v>40.479999999999997</v>
      </c>
      <c r="J6774" s="50">
        <v>202.4</v>
      </c>
      <c r="K6774" t="s">
        <v>1618</v>
      </c>
      <c r="M6774" t="s">
        <v>1619</v>
      </c>
      <c r="N6774">
        <v>21.36</v>
      </c>
      <c r="O6774" s="49">
        <v>44752</v>
      </c>
      <c r="P6774" s="50">
        <v>91.08</v>
      </c>
    </row>
    <row r="6775" spans="4:16" x14ac:dyDescent="0.2">
      <c r="D6775">
        <v>100004033</v>
      </c>
      <c r="E6775" s="49">
        <v>44630</v>
      </c>
      <c r="F6775" t="s">
        <v>5463</v>
      </c>
      <c r="G6775" t="s">
        <v>1693</v>
      </c>
      <c r="H6775">
        <v>2</v>
      </c>
      <c r="I6775">
        <v>116.13</v>
      </c>
      <c r="J6775" s="50">
        <v>232.26</v>
      </c>
      <c r="K6775" t="s">
        <v>1618</v>
      </c>
      <c r="M6775" t="s">
        <v>1624</v>
      </c>
      <c r="N6775">
        <v>61.29</v>
      </c>
      <c r="O6775" s="49">
        <v>44632</v>
      </c>
      <c r="P6775" s="50">
        <v>104.517</v>
      </c>
    </row>
    <row r="6776" spans="4:16" x14ac:dyDescent="0.2">
      <c r="D6776">
        <v>100004034</v>
      </c>
      <c r="E6776" s="49">
        <v>45644</v>
      </c>
      <c r="F6776" t="s">
        <v>5464</v>
      </c>
      <c r="G6776" t="s">
        <v>2112</v>
      </c>
      <c r="H6776">
        <v>6</v>
      </c>
      <c r="I6776">
        <v>112.14</v>
      </c>
      <c r="J6776" s="50">
        <v>672.84</v>
      </c>
      <c r="K6776" t="s">
        <v>1632</v>
      </c>
      <c r="M6776" t="s">
        <v>1627</v>
      </c>
      <c r="N6776">
        <v>59.18</v>
      </c>
      <c r="O6776" s="49">
        <v>45648</v>
      </c>
      <c r="P6776" s="50">
        <v>302.77800000000002</v>
      </c>
    </row>
    <row r="6777" spans="4:16" x14ac:dyDescent="0.2">
      <c r="D6777">
        <v>100004035</v>
      </c>
      <c r="E6777" s="49">
        <v>45352</v>
      </c>
      <c r="F6777" t="s">
        <v>5465</v>
      </c>
      <c r="G6777" t="s">
        <v>2099</v>
      </c>
      <c r="H6777">
        <v>5</v>
      </c>
      <c r="I6777">
        <v>26.84</v>
      </c>
      <c r="J6777" s="50">
        <v>134.19999999999999</v>
      </c>
      <c r="K6777" t="s">
        <v>1618</v>
      </c>
      <c r="M6777" t="s">
        <v>1619</v>
      </c>
      <c r="N6777">
        <v>14.17</v>
      </c>
      <c r="O6777" s="49">
        <v>45357</v>
      </c>
      <c r="P6777" s="50">
        <v>60.389999999999993</v>
      </c>
    </row>
    <row r="6778" spans="4:16" x14ac:dyDescent="0.2">
      <c r="D6778">
        <v>100004035</v>
      </c>
      <c r="E6778" s="49">
        <v>44203</v>
      </c>
      <c r="F6778" t="s">
        <v>5465</v>
      </c>
      <c r="G6778" t="s">
        <v>1910</v>
      </c>
      <c r="H6778">
        <v>9</v>
      </c>
      <c r="I6778">
        <v>91.09</v>
      </c>
      <c r="J6778" s="50">
        <v>819.81000000000006</v>
      </c>
      <c r="K6778" t="s">
        <v>1618</v>
      </c>
      <c r="M6778" t="s">
        <v>1629</v>
      </c>
      <c r="N6778">
        <v>48.07</v>
      </c>
      <c r="O6778" s="49">
        <v>44205</v>
      </c>
      <c r="P6778" s="50">
        <v>368.91450000000003</v>
      </c>
    </row>
    <row r="6779" spans="4:16" x14ac:dyDescent="0.2">
      <c r="D6779">
        <v>100004036</v>
      </c>
      <c r="E6779" s="49">
        <v>44838</v>
      </c>
      <c r="F6779" t="s">
        <v>5466</v>
      </c>
      <c r="G6779" t="s">
        <v>2460</v>
      </c>
      <c r="H6779">
        <v>10</v>
      </c>
      <c r="I6779">
        <v>105.13</v>
      </c>
      <c r="J6779" s="50">
        <v>1051.3</v>
      </c>
      <c r="K6779" t="s">
        <v>1632</v>
      </c>
      <c r="M6779" t="s">
        <v>1621</v>
      </c>
      <c r="N6779">
        <v>55.48</v>
      </c>
      <c r="O6779" s="49">
        <v>44842</v>
      </c>
      <c r="P6779" s="50">
        <v>473.08499999999998</v>
      </c>
    </row>
    <row r="6780" spans="4:16" x14ac:dyDescent="0.2">
      <c r="D6780">
        <v>100004039</v>
      </c>
      <c r="E6780" s="49">
        <v>44910</v>
      </c>
      <c r="F6780" t="s">
        <v>5467</v>
      </c>
      <c r="G6780" t="s">
        <v>2064</v>
      </c>
      <c r="H6780">
        <v>9</v>
      </c>
      <c r="I6780">
        <v>64.62</v>
      </c>
      <c r="J6780" s="50">
        <v>581.58000000000004</v>
      </c>
      <c r="K6780" t="s">
        <v>1618</v>
      </c>
      <c r="L6780" t="s">
        <v>5468</v>
      </c>
      <c r="M6780" t="s">
        <v>1624</v>
      </c>
      <c r="N6780">
        <v>34.1</v>
      </c>
      <c r="O6780" s="49">
        <v>44912</v>
      </c>
      <c r="P6780" s="50">
        <v>261.71100000000001</v>
      </c>
    </row>
    <row r="6781" spans="4:16" x14ac:dyDescent="0.2">
      <c r="D6781">
        <v>100004040</v>
      </c>
      <c r="E6781" s="49">
        <v>44969</v>
      </c>
      <c r="F6781" t="s">
        <v>5469</v>
      </c>
      <c r="G6781" t="s">
        <v>1834</v>
      </c>
      <c r="H6781">
        <v>4</v>
      </c>
      <c r="I6781">
        <v>88</v>
      </c>
      <c r="J6781" s="50">
        <v>352</v>
      </c>
      <c r="K6781" t="s">
        <v>1618</v>
      </c>
      <c r="L6781" t="s">
        <v>5470</v>
      </c>
      <c r="M6781" t="s">
        <v>1619</v>
      </c>
      <c r="N6781">
        <v>46.44</v>
      </c>
      <c r="O6781" s="49">
        <v>44972</v>
      </c>
      <c r="P6781" s="50">
        <v>158.4</v>
      </c>
    </row>
    <row r="6782" spans="4:16" x14ac:dyDescent="0.2">
      <c r="D6782">
        <v>100004040</v>
      </c>
      <c r="E6782" s="49">
        <v>44567</v>
      </c>
      <c r="F6782" t="s">
        <v>5469</v>
      </c>
      <c r="G6782" t="s">
        <v>1807</v>
      </c>
      <c r="H6782">
        <v>10</v>
      </c>
      <c r="I6782">
        <v>70.489999999999995</v>
      </c>
      <c r="J6782" s="50">
        <v>704.9</v>
      </c>
      <c r="K6782" t="s">
        <v>1618</v>
      </c>
      <c r="L6782" t="s">
        <v>5470</v>
      </c>
      <c r="M6782" t="s">
        <v>1624</v>
      </c>
      <c r="N6782">
        <v>37.200000000000003</v>
      </c>
      <c r="O6782" s="49">
        <v>44570</v>
      </c>
      <c r="P6782" s="50">
        <v>317.20499999999998</v>
      </c>
    </row>
    <row r="6783" spans="4:16" x14ac:dyDescent="0.2">
      <c r="D6783">
        <v>100004040</v>
      </c>
      <c r="E6783" s="49">
        <v>44496</v>
      </c>
      <c r="F6783" t="s">
        <v>5469</v>
      </c>
      <c r="G6783" t="s">
        <v>2484</v>
      </c>
      <c r="H6783">
        <v>7</v>
      </c>
      <c r="I6783">
        <v>114.89</v>
      </c>
      <c r="J6783" s="50">
        <v>804.23</v>
      </c>
      <c r="K6783" t="s">
        <v>1618</v>
      </c>
      <c r="L6783" t="s">
        <v>5470</v>
      </c>
      <c r="M6783" t="s">
        <v>1619</v>
      </c>
      <c r="N6783">
        <v>60.64</v>
      </c>
      <c r="O6783" s="49">
        <v>44497</v>
      </c>
      <c r="P6783" s="50">
        <v>361.90350000000001</v>
      </c>
    </row>
    <row r="6784" spans="4:16" x14ac:dyDescent="0.2">
      <c r="D6784">
        <v>100004040</v>
      </c>
      <c r="E6784" s="49">
        <v>44632</v>
      </c>
      <c r="F6784" t="s">
        <v>5469</v>
      </c>
      <c r="G6784" t="s">
        <v>1727</v>
      </c>
      <c r="H6784">
        <v>5</v>
      </c>
      <c r="I6784">
        <v>12.69</v>
      </c>
      <c r="J6784" s="50">
        <v>63.45</v>
      </c>
      <c r="K6784" t="s">
        <v>1618</v>
      </c>
      <c r="L6784" t="s">
        <v>5470</v>
      </c>
      <c r="M6784" t="s">
        <v>1624</v>
      </c>
      <c r="N6784">
        <v>6.7</v>
      </c>
      <c r="O6784" s="49">
        <v>44637</v>
      </c>
      <c r="P6784" s="50">
        <v>28.552500000000002</v>
      </c>
    </row>
    <row r="6785" spans="4:16" x14ac:dyDescent="0.2">
      <c r="D6785">
        <v>100004042</v>
      </c>
      <c r="E6785" s="49">
        <v>44519</v>
      </c>
      <c r="F6785" t="s">
        <v>5471</v>
      </c>
      <c r="G6785" t="s">
        <v>2706</v>
      </c>
      <c r="H6785">
        <v>1</v>
      </c>
      <c r="I6785">
        <v>91.82</v>
      </c>
      <c r="J6785" s="50">
        <v>91.82</v>
      </c>
      <c r="K6785" t="s">
        <v>1618</v>
      </c>
      <c r="M6785" t="s">
        <v>1619</v>
      </c>
      <c r="N6785">
        <v>48.46</v>
      </c>
      <c r="O6785" s="49">
        <v>44524</v>
      </c>
      <c r="P6785" s="50">
        <v>41.318999999999996</v>
      </c>
    </row>
    <row r="6786" spans="4:16" x14ac:dyDescent="0.2">
      <c r="D6786">
        <v>100004043</v>
      </c>
      <c r="E6786" s="49">
        <v>44514</v>
      </c>
      <c r="F6786" t="s">
        <v>4512</v>
      </c>
      <c r="G6786" t="s">
        <v>1783</v>
      </c>
      <c r="H6786">
        <v>1</v>
      </c>
      <c r="I6786">
        <v>74.540000000000006</v>
      </c>
      <c r="J6786" s="50">
        <v>74.540000000000006</v>
      </c>
      <c r="K6786" t="s">
        <v>1618</v>
      </c>
      <c r="L6786" t="s">
        <v>5472</v>
      </c>
      <c r="M6786" t="s">
        <v>1629</v>
      </c>
      <c r="N6786">
        <v>39.340000000000003</v>
      </c>
      <c r="O6786" s="49">
        <v>44519</v>
      </c>
      <c r="P6786" s="50">
        <v>33.543000000000006</v>
      </c>
    </row>
    <row r="6787" spans="4:16" x14ac:dyDescent="0.2">
      <c r="D6787">
        <v>100004044</v>
      </c>
      <c r="E6787" s="49">
        <v>45409</v>
      </c>
      <c r="F6787" t="s">
        <v>5473</v>
      </c>
      <c r="G6787" t="s">
        <v>1658</v>
      </c>
      <c r="H6787">
        <v>8</v>
      </c>
      <c r="I6787">
        <v>47.7</v>
      </c>
      <c r="J6787" s="50">
        <v>381.6</v>
      </c>
      <c r="K6787" t="s">
        <v>1632</v>
      </c>
      <c r="M6787" t="s">
        <v>1629</v>
      </c>
      <c r="N6787">
        <v>25.17</v>
      </c>
      <c r="O6787" s="49">
        <v>45410</v>
      </c>
      <c r="P6787" s="50">
        <v>171.72000000000003</v>
      </c>
    </row>
    <row r="6788" spans="4:16" x14ac:dyDescent="0.2">
      <c r="D6788">
        <v>100004045</v>
      </c>
      <c r="E6788" s="49">
        <v>44551</v>
      </c>
      <c r="F6788" t="s">
        <v>5474</v>
      </c>
      <c r="G6788" t="s">
        <v>2766</v>
      </c>
      <c r="H6788">
        <v>6</v>
      </c>
      <c r="I6788">
        <v>17.760000000000002</v>
      </c>
      <c r="J6788" s="50">
        <v>106.56</v>
      </c>
      <c r="K6788" t="s">
        <v>1632</v>
      </c>
      <c r="L6788" t="s">
        <v>4618</v>
      </c>
      <c r="M6788" t="s">
        <v>1621</v>
      </c>
      <c r="N6788">
        <v>9.3699999999999992</v>
      </c>
      <c r="O6788" s="49">
        <v>44552</v>
      </c>
      <c r="P6788" s="50">
        <v>47.952000000000005</v>
      </c>
    </row>
    <row r="6789" spans="4:16" x14ac:dyDescent="0.2">
      <c r="D6789">
        <v>100004045</v>
      </c>
      <c r="E6789" s="49">
        <v>45487</v>
      </c>
      <c r="F6789" t="s">
        <v>5474</v>
      </c>
      <c r="G6789" t="s">
        <v>1846</v>
      </c>
      <c r="H6789">
        <v>9</v>
      </c>
      <c r="I6789">
        <v>34.74</v>
      </c>
      <c r="J6789" s="50">
        <v>312.66000000000003</v>
      </c>
      <c r="K6789" t="s">
        <v>1632</v>
      </c>
      <c r="L6789" t="s">
        <v>4618</v>
      </c>
      <c r="M6789" t="s">
        <v>1621</v>
      </c>
      <c r="N6789">
        <v>18.329999999999998</v>
      </c>
      <c r="O6789" s="49">
        <v>45488</v>
      </c>
      <c r="P6789" s="50">
        <v>140.697</v>
      </c>
    </row>
    <row r="6790" spans="4:16" x14ac:dyDescent="0.2">
      <c r="D6790">
        <v>100004046</v>
      </c>
      <c r="E6790" s="49">
        <v>44743</v>
      </c>
      <c r="F6790" t="s">
        <v>5475</v>
      </c>
      <c r="G6790" t="s">
        <v>2633</v>
      </c>
      <c r="H6790">
        <v>5</v>
      </c>
      <c r="I6790">
        <v>95.85</v>
      </c>
      <c r="J6790" s="50">
        <v>479.25</v>
      </c>
      <c r="K6790" t="s">
        <v>1632</v>
      </c>
      <c r="M6790" t="s">
        <v>1619</v>
      </c>
      <c r="N6790">
        <v>50.59</v>
      </c>
      <c r="O6790" s="49">
        <v>44745</v>
      </c>
      <c r="P6790" s="50">
        <v>215.66249999999999</v>
      </c>
    </row>
    <row r="6791" spans="4:16" x14ac:dyDescent="0.2">
      <c r="D6791">
        <v>100004046</v>
      </c>
      <c r="E6791" s="49">
        <v>44371</v>
      </c>
      <c r="F6791" t="s">
        <v>5475</v>
      </c>
      <c r="G6791" t="s">
        <v>2707</v>
      </c>
      <c r="H6791">
        <v>8</v>
      </c>
      <c r="I6791">
        <v>70.27</v>
      </c>
      <c r="J6791" s="50">
        <v>562.16</v>
      </c>
      <c r="K6791" t="s">
        <v>1632</v>
      </c>
      <c r="M6791" t="s">
        <v>1627</v>
      </c>
      <c r="N6791">
        <v>37.090000000000003</v>
      </c>
      <c r="O6791" s="49">
        <v>44373</v>
      </c>
      <c r="P6791" s="50">
        <v>252.97199999999998</v>
      </c>
    </row>
    <row r="6792" spans="4:16" x14ac:dyDescent="0.2">
      <c r="D6792">
        <v>100004046</v>
      </c>
      <c r="E6792" s="49">
        <v>44387</v>
      </c>
      <c r="F6792" t="s">
        <v>5475</v>
      </c>
      <c r="G6792" t="s">
        <v>1670</v>
      </c>
      <c r="H6792">
        <v>4</v>
      </c>
      <c r="I6792">
        <v>34.9</v>
      </c>
      <c r="J6792" s="50">
        <v>139.6</v>
      </c>
      <c r="K6792" t="s">
        <v>1632</v>
      </c>
      <c r="M6792" t="s">
        <v>1629</v>
      </c>
      <c r="N6792">
        <v>18.420000000000002</v>
      </c>
      <c r="O6792" s="49">
        <v>44391</v>
      </c>
      <c r="P6792" s="50">
        <v>62.82</v>
      </c>
    </row>
    <row r="6793" spans="4:16" x14ac:dyDescent="0.2">
      <c r="D6793">
        <v>100004046</v>
      </c>
      <c r="E6793" s="49">
        <v>44870</v>
      </c>
      <c r="F6793" t="s">
        <v>5475</v>
      </c>
      <c r="G6793" t="s">
        <v>1679</v>
      </c>
      <c r="H6793">
        <v>6</v>
      </c>
      <c r="I6793">
        <v>92.59</v>
      </c>
      <c r="J6793" s="50">
        <v>555.54</v>
      </c>
      <c r="K6793" t="s">
        <v>1632</v>
      </c>
      <c r="M6793" t="s">
        <v>1619</v>
      </c>
      <c r="N6793">
        <v>48.87</v>
      </c>
      <c r="O6793" s="49">
        <v>44872</v>
      </c>
      <c r="P6793" s="50">
        <v>249.99299999999999</v>
      </c>
    </row>
    <row r="6794" spans="4:16" x14ac:dyDescent="0.2">
      <c r="D6794">
        <v>100004047</v>
      </c>
      <c r="E6794" s="49">
        <v>45430</v>
      </c>
      <c r="F6794" t="s">
        <v>2522</v>
      </c>
      <c r="G6794" t="s">
        <v>2074</v>
      </c>
      <c r="H6794">
        <v>7</v>
      </c>
      <c r="I6794">
        <v>104.39</v>
      </c>
      <c r="J6794" s="50">
        <v>730.73</v>
      </c>
      <c r="K6794" t="s">
        <v>1632</v>
      </c>
      <c r="M6794" t="s">
        <v>1624</v>
      </c>
      <c r="N6794">
        <v>55.09</v>
      </c>
      <c r="O6794" s="49">
        <v>45431</v>
      </c>
      <c r="P6794" s="50">
        <v>328.82850000000002</v>
      </c>
    </row>
    <row r="6795" spans="4:16" x14ac:dyDescent="0.2">
      <c r="D6795">
        <v>100004047</v>
      </c>
      <c r="E6795" s="49">
        <v>45238</v>
      </c>
      <c r="F6795" t="s">
        <v>2522</v>
      </c>
      <c r="G6795" t="s">
        <v>1661</v>
      </c>
      <c r="H6795">
        <v>3</v>
      </c>
      <c r="I6795">
        <v>38.32</v>
      </c>
      <c r="J6795" s="50">
        <v>114.96</v>
      </c>
      <c r="K6795" t="s">
        <v>1632</v>
      </c>
      <c r="M6795" t="s">
        <v>1624</v>
      </c>
      <c r="N6795">
        <v>20.22</v>
      </c>
      <c r="O6795" s="49">
        <v>45240</v>
      </c>
      <c r="P6795" s="50">
        <v>51.731999999999999</v>
      </c>
    </row>
    <row r="6796" spans="4:16" x14ac:dyDescent="0.2">
      <c r="D6796">
        <v>100004048</v>
      </c>
      <c r="E6796" s="49">
        <v>44690</v>
      </c>
      <c r="F6796" t="s">
        <v>5476</v>
      </c>
      <c r="G6796" t="s">
        <v>1690</v>
      </c>
      <c r="H6796">
        <v>7</v>
      </c>
      <c r="I6796">
        <v>115.37</v>
      </c>
      <c r="J6796" s="50">
        <v>807.59</v>
      </c>
      <c r="K6796" t="s">
        <v>1632</v>
      </c>
      <c r="M6796" t="s">
        <v>1621</v>
      </c>
      <c r="N6796">
        <v>60.89</v>
      </c>
      <c r="O6796" s="49">
        <v>44694</v>
      </c>
      <c r="P6796" s="50">
        <v>363.41550000000001</v>
      </c>
    </row>
    <row r="6797" spans="4:16" x14ac:dyDescent="0.2">
      <c r="D6797">
        <v>100004049</v>
      </c>
      <c r="E6797" s="49">
        <v>45173</v>
      </c>
      <c r="F6797" t="s">
        <v>5477</v>
      </c>
      <c r="G6797" t="s">
        <v>1958</v>
      </c>
      <c r="H6797">
        <v>8</v>
      </c>
      <c r="I6797">
        <v>97.3</v>
      </c>
      <c r="J6797" s="50">
        <v>778.4</v>
      </c>
      <c r="K6797" t="s">
        <v>1618</v>
      </c>
      <c r="M6797" t="s">
        <v>1624</v>
      </c>
      <c r="N6797">
        <v>51.35</v>
      </c>
      <c r="O6797" s="49">
        <v>45174</v>
      </c>
      <c r="P6797" s="50">
        <v>350.28</v>
      </c>
    </row>
    <row r="6798" spans="4:16" x14ac:dyDescent="0.2">
      <c r="D6798">
        <v>100004050</v>
      </c>
      <c r="E6798" s="49">
        <v>44651</v>
      </c>
      <c r="F6798" t="s">
        <v>5478</v>
      </c>
      <c r="G6798" t="s">
        <v>1765</v>
      </c>
      <c r="H6798">
        <v>9</v>
      </c>
      <c r="I6798">
        <v>63.26</v>
      </c>
      <c r="J6798" s="50">
        <v>569.34</v>
      </c>
      <c r="K6798" t="s">
        <v>1632</v>
      </c>
      <c r="L6798" t="s">
        <v>5479</v>
      </c>
      <c r="M6798" t="s">
        <v>1619</v>
      </c>
      <c r="N6798">
        <v>33.39</v>
      </c>
      <c r="O6798" s="49">
        <v>44656</v>
      </c>
      <c r="P6798" s="50">
        <v>256.20300000000003</v>
      </c>
    </row>
    <row r="6799" spans="4:16" x14ac:dyDescent="0.2">
      <c r="D6799">
        <v>100004051</v>
      </c>
      <c r="E6799" s="49">
        <v>44310</v>
      </c>
      <c r="F6799" t="s">
        <v>5480</v>
      </c>
      <c r="G6799" t="s">
        <v>2062</v>
      </c>
      <c r="H6799">
        <v>5</v>
      </c>
      <c r="I6799">
        <v>30.05</v>
      </c>
      <c r="J6799" s="50">
        <v>150.25</v>
      </c>
      <c r="K6799" t="s">
        <v>1618</v>
      </c>
      <c r="L6799" t="s">
        <v>3511</v>
      </c>
      <c r="M6799" t="s">
        <v>1621</v>
      </c>
      <c r="N6799">
        <v>15.86</v>
      </c>
      <c r="O6799" s="49">
        <v>44314</v>
      </c>
      <c r="P6799" s="50">
        <v>67.612499999999997</v>
      </c>
    </row>
    <row r="6800" spans="4:16" x14ac:dyDescent="0.2">
      <c r="D6800">
        <v>100004051</v>
      </c>
      <c r="E6800" s="49">
        <v>45641</v>
      </c>
      <c r="F6800" t="s">
        <v>5480</v>
      </c>
      <c r="G6800" t="s">
        <v>1653</v>
      </c>
      <c r="H6800">
        <v>4</v>
      </c>
      <c r="I6800">
        <v>100.09</v>
      </c>
      <c r="J6800" s="50">
        <v>400.36</v>
      </c>
      <c r="K6800" t="s">
        <v>1618</v>
      </c>
      <c r="L6800" t="s">
        <v>3511</v>
      </c>
      <c r="M6800" t="s">
        <v>1619</v>
      </c>
      <c r="N6800">
        <v>52.82</v>
      </c>
      <c r="O6800" s="49">
        <v>45645</v>
      </c>
      <c r="P6800" s="50">
        <v>180.16200000000001</v>
      </c>
    </row>
    <row r="6801" spans="4:16" x14ac:dyDescent="0.2">
      <c r="D6801">
        <v>100004052</v>
      </c>
      <c r="E6801" s="49">
        <v>44239</v>
      </c>
      <c r="F6801" t="s">
        <v>5481</v>
      </c>
      <c r="G6801" t="s">
        <v>1628</v>
      </c>
      <c r="H6801">
        <v>3</v>
      </c>
      <c r="I6801">
        <v>89.34</v>
      </c>
      <c r="J6801" s="50">
        <v>268.02</v>
      </c>
      <c r="K6801" t="s">
        <v>1632</v>
      </c>
      <c r="L6801" t="s">
        <v>2620</v>
      </c>
      <c r="M6801" t="s">
        <v>1629</v>
      </c>
      <c r="N6801">
        <v>47.15</v>
      </c>
      <c r="O6801" s="49">
        <v>44243</v>
      </c>
      <c r="P6801" s="50">
        <v>120.60899999999999</v>
      </c>
    </row>
    <row r="6802" spans="4:16" x14ac:dyDescent="0.2">
      <c r="D6802">
        <v>100004052</v>
      </c>
      <c r="E6802" s="49">
        <v>44993</v>
      </c>
      <c r="F6802" t="s">
        <v>5481</v>
      </c>
      <c r="G6802" t="s">
        <v>1794</v>
      </c>
      <c r="H6802">
        <v>3</v>
      </c>
      <c r="I6802">
        <v>37.82</v>
      </c>
      <c r="J6802" s="50">
        <v>113.46</v>
      </c>
      <c r="K6802" t="s">
        <v>1632</v>
      </c>
      <c r="L6802" t="s">
        <v>2620</v>
      </c>
      <c r="M6802" t="s">
        <v>1629</v>
      </c>
      <c r="N6802">
        <v>19.96</v>
      </c>
      <c r="O6802" s="49">
        <v>44997</v>
      </c>
      <c r="P6802" s="50">
        <v>51.056999999999995</v>
      </c>
    </row>
    <row r="6803" spans="4:16" x14ac:dyDescent="0.2">
      <c r="D6803">
        <v>100004054</v>
      </c>
      <c r="E6803" s="49">
        <v>45613</v>
      </c>
      <c r="F6803" t="s">
        <v>5482</v>
      </c>
      <c r="G6803" t="s">
        <v>1687</v>
      </c>
      <c r="H6803">
        <v>1</v>
      </c>
      <c r="I6803">
        <v>104.95</v>
      </c>
      <c r="J6803" s="50">
        <v>104.95</v>
      </c>
      <c r="K6803" t="s">
        <v>1618</v>
      </c>
      <c r="L6803" t="s">
        <v>4200</v>
      </c>
      <c r="M6803" t="s">
        <v>1619</v>
      </c>
      <c r="N6803">
        <v>55.39</v>
      </c>
      <c r="O6803" s="49">
        <v>45615</v>
      </c>
      <c r="P6803" s="50">
        <v>47.227499999999999</v>
      </c>
    </row>
    <row r="6804" spans="4:16" x14ac:dyDescent="0.2">
      <c r="D6804">
        <v>100004054</v>
      </c>
      <c r="E6804" s="49">
        <v>44496</v>
      </c>
      <c r="F6804" t="s">
        <v>5482</v>
      </c>
      <c r="G6804" t="s">
        <v>1730</v>
      </c>
      <c r="H6804">
        <v>5</v>
      </c>
      <c r="I6804">
        <v>55.73</v>
      </c>
      <c r="J6804" s="50">
        <v>278.64999999999998</v>
      </c>
      <c r="K6804" t="s">
        <v>1618</v>
      </c>
      <c r="L6804" t="s">
        <v>4200</v>
      </c>
      <c r="M6804" t="s">
        <v>1627</v>
      </c>
      <c r="N6804">
        <v>29.41</v>
      </c>
      <c r="O6804" s="49">
        <v>44499</v>
      </c>
      <c r="P6804" s="50">
        <v>125.3925</v>
      </c>
    </row>
    <row r="6805" spans="4:16" x14ac:dyDescent="0.2">
      <c r="D6805">
        <v>100004054</v>
      </c>
      <c r="E6805" s="49">
        <v>44220</v>
      </c>
      <c r="F6805" t="s">
        <v>5482</v>
      </c>
      <c r="G6805" t="s">
        <v>2485</v>
      </c>
      <c r="H6805">
        <v>10</v>
      </c>
      <c r="I6805">
        <v>108.61</v>
      </c>
      <c r="J6805" s="50">
        <v>1086.0999999999999</v>
      </c>
      <c r="K6805" t="s">
        <v>1618</v>
      </c>
      <c r="L6805" t="s">
        <v>4200</v>
      </c>
      <c r="M6805" t="s">
        <v>1629</v>
      </c>
      <c r="N6805">
        <v>57.32</v>
      </c>
      <c r="O6805" s="49">
        <v>44225</v>
      </c>
      <c r="P6805" s="50">
        <v>488.74499999999995</v>
      </c>
    </row>
    <row r="6806" spans="4:16" x14ac:dyDescent="0.2">
      <c r="D6806">
        <v>100004054</v>
      </c>
      <c r="E6806" s="49">
        <v>44249</v>
      </c>
      <c r="F6806" t="s">
        <v>5482</v>
      </c>
      <c r="G6806" t="s">
        <v>2255</v>
      </c>
      <c r="H6806">
        <v>6</v>
      </c>
      <c r="I6806">
        <v>93.02</v>
      </c>
      <c r="J6806" s="50">
        <v>558.12</v>
      </c>
      <c r="K6806" t="s">
        <v>1618</v>
      </c>
      <c r="L6806" t="s">
        <v>4200</v>
      </c>
      <c r="M6806" t="s">
        <v>1629</v>
      </c>
      <c r="N6806">
        <v>49.09</v>
      </c>
      <c r="O6806" s="49">
        <v>44253</v>
      </c>
      <c r="P6806" s="50">
        <v>251.154</v>
      </c>
    </row>
    <row r="6807" spans="4:16" x14ac:dyDescent="0.2">
      <c r="D6807">
        <v>100004055</v>
      </c>
      <c r="E6807" s="49">
        <v>45432</v>
      </c>
      <c r="F6807" t="s">
        <v>4290</v>
      </c>
      <c r="G6807" t="s">
        <v>1783</v>
      </c>
      <c r="H6807">
        <v>2</v>
      </c>
      <c r="I6807">
        <v>97.28</v>
      </c>
      <c r="J6807" s="50">
        <v>194.56</v>
      </c>
      <c r="K6807" t="s">
        <v>1632</v>
      </c>
      <c r="L6807" t="s">
        <v>5483</v>
      </c>
      <c r="M6807" t="s">
        <v>1627</v>
      </c>
      <c r="N6807">
        <v>51.34</v>
      </c>
      <c r="O6807" s="49">
        <v>45434</v>
      </c>
      <c r="P6807" s="50">
        <v>87.552000000000007</v>
      </c>
    </row>
    <row r="6808" spans="4:16" x14ac:dyDescent="0.2">
      <c r="D6808">
        <v>100004055</v>
      </c>
      <c r="E6808" s="49">
        <v>44593</v>
      </c>
      <c r="F6808" t="s">
        <v>4290</v>
      </c>
      <c r="G6808" t="s">
        <v>2465</v>
      </c>
      <c r="H6808">
        <v>1</v>
      </c>
      <c r="I6808">
        <v>26</v>
      </c>
      <c r="J6808" s="50">
        <v>26</v>
      </c>
      <c r="K6808" t="s">
        <v>1632</v>
      </c>
      <c r="L6808" t="s">
        <v>5483</v>
      </c>
      <c r="M6808" t="s">
        <v>1629</v>
      </c>
      <c r="N6808">
        <v>13.72</v>
      </c>
      <c r="O6808" s="49">
        <v>44596</v>
      </c>
      <c r="P6808" s="50">
        <v>11.700000000000001</v>
      </c>
    </row>
    <row r="6809" spans="4:16" x14ac:dyDescent="0.2">
      <c r="D6809">
        <v>100004055</v>
      </c>
      <c r="E6809" s="49">
        <v>44294</v>
      </c>
      <c r="F6809" t="s">
        <v>4290</v>
      </c>
      <c r="G6809" t="s">
        <v>2098</v>
      </c>
      <c r="H6809">
        <v>4</v>
      </c>
      <c r="I6809">
        <v>77.709999999999994</v>
      </c>
      <c r="J6809" s="50">
        <v>310.83999999999997</v>
      </c>
      <c r="K6809" t="s">
        <v>1632</v>
      </c>
      <c r="L6809" t="s">
        <v>5483</v>
      </c>
      <c r="M6809" t="s">
        <v>1621</v>
      </c>
      <c r="N6809">
        <v>41.01</v>
      </c>
      <c r="O6809" s="49">
        <v>44296</v>
      </c>
      <c r="P6809" s="50">
        <v>139.87799999999999</v>
      </c>
    </row>
    <row r="6810" spans="4:16" x14ac:dyDescent="0.2">
      <c r="D6810">
        <v>100004057</v>
      </c>
      <c r="E6810" s="49">
        <v>45557</v>
      </c>
      <c r="F6810" t="s">
        <v>5484</v>
      </c>
      <c r="G6810" t="s">
        <v>1834</v>
      </c>
      <c r="H6810">
        <v>8</v>
      </c>
      <c r="I6810">
        <v>69.44</v>
      </c>
      <c r="J6810" s="50">
        <v>555.52</v>
      </c>
      <c r="K6810" t="s">
        <v>1632</v>
      </c>
      <c r="M6810" t="s">
        <v>1624</v>
      </c>
      <c r="N6810">
        <v>36.65</v>
      </c>
      <c r="O6810" s="49">
        <v>45558</v>
      </c>
      <c r="P6810" s="50">
        <v>249.98400000000001</v>
      </c>
    </row>
    <row r="6811" spans="4:16" x14ac:dyDescent="0.2">
      <c r="D6811">
        <v>100004057</v>
      </c>
      <c r="E6811" s="49">
        <v>44503</v>
      </c>
      <c r="F6811" t="s">
        <v>5484</v>
      </c>
      <c r="G6811" t="s">
        <v>1928</v>
      </c>
      <c r="H6811">
        <v>2</v>
      </c>
      <c r="I6811">
        <v>106.02</v>
      </c>
      <c r="J6811" s="50">
        <v>212.04</v>
      </c>
      <c r="K6811" t="s">
        <v>1632</v>
      </c>
      <c r="M6811" t="s">
        <v>1619</v>
      </c>
      <c r="N6811">
        <v>55.95</v>
      </c>
      <c r="O6811" s="49">
        <v>44505</v>
      </c>
      <c r="P6811" s="50">
        <v>95.417999999999992</v>
      </c>
    </row>
    <row r="6812" spans="4:16" x14ac:dyDescent="0.2">
      <c r="D6812">
        <v>100004058</v>
      </c>
      <c r="E6812" s="49">
        <v>45151</v>
      </c>
      <c r="F6812" t="s">
        <v>3504</v>
      </c>
      <c r="G6812" t="s">
        <v>1874</v>
      </c>
      <c r="H6812">
        <v>8</v>
      </c>
      <c r="I6812">
        <v>106.65</v>
      </c>
      <c r="J6812" s="50">
        <v>853.2</v>
      </c>
      <c r="K6812" t="s">
        <v>1618</v>
      </c>
      <c r="M6812" t="s">
        <v>1621</v>
      </c>
      <c r="N6812">
        <v>56.29</v>
      </c>
      <c r="O6812" s="49">
        <v>45154</v>
      </c>
      <c r="P6812" s="50">
        <v>383.94000000000005</v>
      </c>
    </row>
    <row r="6813" spans="4:16" x14ac:dyDescent="0.2">
      <c r="D6813">
        <v>100004058</v>
      </c>
      <c r="E6813" s="49">
        <v>45280</v>
      </c>
      <c r="F6813" t="s">
        <v>3504</v>
      </c>
      <c r="G6813" t="s">
        <v>1726</v>
      </c>
      <c r="H6813">
        <v>4</v>
      </c>
      <c r="I6813">
        <v>66.47</v>
      </c>
      <c r="J6813" s="50">
        <v>265.88</v>
      </c>
      <c r="K6813" t="s">
        <v>1618</v>
      </c>
      <c r="M6813" t="s">
        <v>1629</v>
      </c>
      <c r="N6813">
        <v>35.08</v>
      </c>
      <c r="O6813" s="49">
        <v>45282</v>
      </c>
      <c r="P6813" s="50">
        <v>119.646</v>
      </c>
    </row>
    <row r="6814" spans="4:16" x14ac:dyDescent="0.2">
      <c r="D6814">
        <v>100004060</v>
      </c>
      <c r="E6814" s="49">
        <v>45131</v>
      </c>
      <c r="F6814" t="s">
        <v>5485</v>
      </c>
      <c r="G6814" t="s">
        <v>2079</v>
      </c>
      <c r="H6814">
        <v>1</v>
      </c>
      <c r="I6814">
        <v>41.45</v>
      </c>
      <c r="J6814" s="50">
        <v>41.45</v>
      </c>
      <c r="K6814" t="s">
        <v>1632</v>
      </c>
      <c r="M6814" t="s">
        <v>1621</v>
      </c>
      <c r="N6814">
        <v>21.88</v>
      </c>
      <c r="O6814" s="49">
        <v>45134</v>
      </c>
      <c r="P6814" s="50">
        <v>18.652500000000003</v>
      </c>
    </row>
    <row r="6815" spans="4:16" x14ac:dyDescent="0.2">
      <c r="D6815">
        <v>100004061</v>
      </c>
      <c r="E6815" s="49">
        <v>45211</v>
      </c>
      <c r="F6815" t="s">
        <v>5486</v>
      </c>
      <c r="G6815" t="s">
        <v>1738</v>
      </c>
      <c r="H6815">
        <v>6</v>
      </c>
      <c r="I6815">
        <v>57.93</v>
      </c>
      <c r="J6815" s="50">
        <v>347.58</v>
      </c>
      <c r="K6815" t="s">
        <v>1632</v>
      </c>
      <c r="M6815" t="s">
        <v>1629</v>
      </c>
      <c r="N6815">
        <v>30.57</v>
      </c>
      <c r="O6815" s="49">
        <v>45214</v>
      </c>
      <c r="P6815" s="50">
        <v>156.411</v>
      </c>
    </row>
    <row r="6816" spans="4:16" x14ac:dyDescent="0.2">
      <c r="D6816">
        <v>100004061</v>
      </c>
      <c r="E6816" s="49">
        <v>45337</v>
      </c>
      <c r="F6816" t="s">
        <v>5486</v>
      </c>
      <c r="G6816" t="s">
        <v>1866</v>
      </c>
      <c r="H6816">
        <v>9</v>
      </c>
      <c r="I6816">
        <v>22.74</v>
      </c>
      <c r="J6816" s="50">
        <v>204.66</v>
      </c>
      <c r="K6816" t="s">
        <v>1632</v>
      </c>
      <c r="M6816" t="s">
        <v>1627</v>
      </c>
      <c r="N6816">
        <v>12</v>
      </c>
      <c r="O6816" s="49">
        <v>45339</v>
      </c>
      <c r="P6816" s="50">
        <v>92.096999999999994</v>
      </c>
    </row>
    <row r="6817" spans="4:16" x14ac:dyDescent="0.2">
      <c r="D6817">
        <v>100004062</v>
      </c>
      <c r="E6817" s="49">
        <v>45257</v>
      </c>
      <c r="F6817" t="s">
        <v>5487</v>
      </c>
      <c r="G6817" t="s">
        <v>2207</v>
      </c>
      <c r="H6817">
        <v>10</v>
      </c>
      <c r="I6817">
        <v>47.35</v>
      </c>
      <c r="J6817" s="50">
        <v>473.5</v>
      </c>
      <c r="K6817" t="s">
        <v>1632</v>
      </c>
      <c r="L6817" t="s">
        <v>3331</v>
      </c>
      <c r="M6817" t="s">
        <v>1619</v>
      </c>
      <c r="N6817">
        <v>24.99</v>
      </c>
      <c r="O6817" s="49">
        <v>45262</v>
      </c>
      <c r="P6817" s="50">
        <v>213.07500000000002</v>
      </c>
    </row>
    <row r="6818" spans="4:16" x14ac:dyDescent="0.2">
      <c r="D6818">
        <v>100004064</v>
      </c>
      <c r="E6818" s="49">
        <v>44804</v>
      </c>
      <c r="F6818" t="s">
        <v>5488</v>
      </c>
      <c r="G6818" t="s">
        <v>2007</v>
      </c>
      <c r="H6818">
        <v>2</v>
      </c>
      <c r="I6818">
        <v>111.11</v>
      </c>
      <c r="J6818" s="50">
        <v>222.22</v>
      </c>
      <c r="K6818" t="s">
        <v>1632</v>
      </c>
      <c r="M6818" t="s">
        <v>1629</v>
      </c>
      <c r="N6818">
        <v>58.64</v>
      </c>
      <c r="O6818" s="49">
        <v>44808</v>
      </c>
      <c r="P6818" s="50">
        <v>99.998999999999995</v>
      </c>
    </row>
    <row r="6819" spans="4:16" x14ac:dyDescent="0.2">
      <c r="D6819">
        <v>100004065</v>
      </c>
      <c r="E6819" s="49">
        <v>44284</v>
      </c>
      <c r="F6819" t="s">
        <v>5489</v>
      </c>
      <c r="G6819" t="s">
        <v>1885</v>
      </c>
      <c r="H6819">
        <v>1</v>
      </c>
      <c r="I6819">
        <v>109.72</v>
      </c>
      <c r="J6819" s="50">
        <v>109.72</v>
      </c>
      <c r="K6819" t="s">
        <v>1618</v>
      </c>
      <c r="M6819" t="s">
        <v>1619</v>
      </c>
      <c r="N6819">
        <v>57.91</v>
      </c>
      <c r="O6819" s="49">
        <v>44285</v>
      </c>
      <c r="P6819" s="50">
        <v>49.374000000000002</v>
      </c>
    </row>
    <row r="6820" spans="4:16" x14ac:dyDescent="0.2">
      <c r="D6820">
        <v>100004065</v>
      </c>
      <c r="E6820" s="49">
        <v>45452</v>
      </c>
      <c r="F6820" t="s">
        <v>5489</v>
      </c>
      <c r="G6820" t="s">
        <v>2255</v>
      </c>
      <c r="H6820">
        <v>5</v>
      </c>
      <c r="I6820">
        <v>96.86</v>
      </c>
      <c r="J6820" s="50">
        <v>484.3</v>
      </c>
      <c r="K6820" t="s">
        <v>1618</v>
      </c>
      <c r="M6820" t="s">
        <v>1624</v>
      </c>
      <c r="N6820">
        <v>51.12</v>
      </c>
      <c r="O6820" s="49">
        <v>45455</v>
      </c>
      <c r="P6820" s="50">
        <v>217.935</v>
      </c>
    </row>
    <row r="6821" spans="4:16" x14ac:dyDescent="0.2">
      <c r="D6821">
        <v>100004066</v>
      </c>
      <c r="E6821" s="49">
        <v>45063</v>
      </c>
      <c r="F6821" t="s">
        <v>3698</v>
      </c>
      <c r="G6821" t="s">
        <v>1728</v>
      </c>
      <c r="H6821">
        <v>6</v>
      </c>
      <c r="I6821">
        <v>50.62</v>
      </c>
      <c r="J6821" s="50">
        <v>303.72000000000003</v>
      </c>
      <c r="K6821" t="s">
        <v>1632</v>
      </c>
      <c r="L6821" t="s">
        <v>5490</v>
      </c>
      <c r="M6821" t="s">
        <v>1627</v>
      </c>
      <c r="N6821">
        <v>26.72</v>
      </c>
      <c r="O6821" s="49">
        <v>45067</v>
      </c>
      <c r="P6821" s="50">
        <v>136.67400000000001</v>
      </c>
    </row>
    <row r="6822" spans="4:16" x14ac:dyDescent="0.2">
      <c r="D6822">
        <v>100004067</v>
      </c>
      <c r="E6822" s="49">
        <v>44287</v>
      </c>
      <c r="F6822" t="s">
        <v>5491</v>
      </c>
      <c r="G6822" t="s">
        <v>1838</v>
      </c>
      <c r="H6822">
        <v>8</v>
      </c>
      <c r="I6822">
        <v>70.86</v>
      </c>
      <c r="J6822" s="50">
        <v>566.88</v>
      </c>
      <c r="K6822" t="s">
        <v>1618</v>
      </c>
      <c r="M6822" t="s">
        <v>1627</v>
      </c>
      <c r="N6822">
        <v>37.4</v>
      </c>
      <c r="O6822" s="49">
        <v>44289</v>
      </c>
      <c r="P6822" s="50">
        <v>255.096</v>
      </c>
    </row>
    <row r="6823" spans="4:16" x14ac:dyDescent="0.2">
      <c r="D6823">
        <v>100004069</v>
      </c>
      <c r="E6823" s="49">
        <v>44573</v>
      </c>
      <c r="F6823" t="s">
        <v>5492</v>
      </c>
      <c r="G6823" t="s">
        <v>1664</v>
      </c>
      <c r="H6823">
        <v>4</v>
      </c>
      <c r="I6823">
        <v>113.95</v>
      </c>
      <c r="J6823" s="50">
        <v>455.8</v>
      </c>
      <c r="K6823" t="s">
        <v>1618</v>
      </c>
      <c r="M6823" t="s">
        <v>1619</v>
      </c>
      <c r="N6823">
        <v>60.14</v>
      </c>
      <c r="O6823" s="49">
        <v>44578</v>
      </c>
      <c r="P6823" s="50">
        <v>205.11</v>
      </c>
    </row>
    <row r="6824" spans="4:16" x14ac:dyDescent="0.2">
      <c r="D6824">
        <v>100004069</v>
      </c>
      <c r="E6824" s="49">
        <v>44533</v>
      </c>
      <c r="F6824" t="s">
        <v>5492</v>
      </c>
      <c r="G6824" t="s">
        <v>2427</v>
      </c>
      <c r="H6824">
        <v>1</v>
      </c>
      <c r="I6824">
        <v>32.43</v>
      </c>
      <c r="J6824" s="50">
        <v>32.43</v>
      </c>
      <c r="K6824" t="s">
        <v>1618</v>
      </c>
      <c r="M6824" t="s">
        <v>1619</v>
      </c>
      <c r="N6824">
        <v>17.12</v>
      </c>
      <c r="O6824" s="49">
        <v>44536</v>
      </c>
      <c r="P6824" s="50">
        <v>14.593500000000001</v>
      </c>
    </row>
    <row r="6825" spans="4:16" x14ac:dyDescent="0.2">
      <c r="D6825">
        <v>100004070</v>
      </c>
      <c r="E6825" s="49">
        <v>45019</v>
      </c>
      <c r="F6825" t="s">
        <v>5493</v>
      </c>
      <c r="G6825" t="s">
        <v>2116</v>
      </c>
      <c r="H6825">
        <v>7</v>
      </c>
      <c r="I6825">
        <v>24.33</v>
      </c>
      <c r="J6825" s="50">
        <v>170.31</v>
      </c>
      <c r="K6825" t="s">
        <v>1618</v>
      </c>
      <c r="L6825" t="s">
        <v>5494</v>
      </c>
      <c r="M6825" t="s">
        <v>1629</v>
      </c>
      <c r="N6825">
        <v>12.84</v>
      </c>
      <c r="O6825" s="49">
        <v>45021</v>
      </c>
      <c r="P6825" s="50">
        <v>76.639499999999998</v>
      </c>
    </row>
    <row r="6826" spans="4:16" x14ac:dyDescent="0.2">
      <c r="D6826">
        <v>100004070</v>
      </c>
      <c r="E6826" s="49">
        <v>44917</v>
      </c>
      <c r="F6826" t="s">
        <v>5493</v>
      </c>
      <c r="G6826" t="s">
        <v>1720</v>
      </c>
      <c r="H6826">
        <v>7</v>
      </c>
      <c r="I6826">
        <v>67.56</v>
      </c>
      <c r="J6826" s="50">
        <v>472.92</v>
      </c>
      <c r="K6826" t="s">
        <v>1618</v>
      </c>
      <c r="L6826" t="s">
        <v>5494</v>
      </c>
      <c r="M6826" t="s">
        <v>1624</v>
      </c>
      <c r="N6826">
        <v>35.659999999999997</v>
      </c>
      <c r="O6826" s="49">
        <v>44918</v>
      </c>
      <c r="P6826" s="50">
        <v>212.81400000000002</v>
      </c>
    </row>
    <row r="6827" spans="4:16" x14ac:dyDescent="0.2">
      <c r="D6827">
        <v>100004070</v>
      </c>
      <c r="E6827" s="49">
        <v>44497</v>
      </c>
      <c r="F6827" t="s">
        <v>5493</v>
      </c>
      <c r="G6827" t="s">
        <v>1877</v>
      </c>
      <c r="H6827">
        <v>4</v>
      </c>
      <c r="I6827">
        <v>35.840000000000003</v>
      </c>
      <c r="J6827" s="50">
        <v>143.36000000000001</v>
      </c>
      <c r="K6827" t="s">
        <v>1618</v>
      </c>
      <c r="L6827" t="s">
        <v>5494</v>
      </c>
      <c r="M6827" t="s">
        <v>1621</v>
      </c>
      <c r="N6827">
        <v>18.920000000000002</v>
      </c>
      <c r="O6827" s="49">
        <v>44498</v>
      </c>
      <c r="P6827" s="50">
        <v>64.512000000000015</v>
      </c>
    </row>
    <row r="6828" spans="4:16" x14ac:dyDescent="0.2">
      <c r="D6828">
        <v>100004071</v>
      </c>
      <c r="E6828" s="49">
        <v>45372</v>
      </c>
      <c r="F6828" t="s">
        <v>3893</v>
      </c>
      <c r="G6828" t="s">
        <v>1715</v>
      </c>
      <c r="H6828">
        <v>6</v>
      </c>
      <c r="I6828">
        <v>41.27</v>
      </c>
      <c r="J6828" s="50">
        <v>247.62</v>
      </c>
      <c r="K6828" t="s">
        <v>1618</v>
      </c>
      <c r="M6828" t="s">
        <v>1629</v>
      </c>
      <c r="N6828">
        <v>21.78</v>
      </c>
      <c r="O6828" s="49">
        <v>45376</v>
      </c>
      <c r="P6828" s="50">
        <v>111.429</v>
      </c>
    </row>
    <row r="6829" spans="4:16" x14ac:dyDescent="0.2">
      <c r="D6829">
        <v>100004071</v>
      </c>
      <c r="E6829" s="49">
        <v>44482</v>
      </c>
      <c r="F6829" t="s">
        <v>3893</v>
      </c>
      <c r="G6829" t="s">
        <v>2628</v>
      </c>
      <c r="H6829">
        <v>5</v>
      </c>
      <c r="I6829">
        <v>110.17</v>
      </c>
      <c r="J6829" s="50">
        <v>550.85</v>
      </c>
      <c r="K6829" t="s">
        <v>1618</v>
      </c>
      <c r="M6829" t="s">
        <v>1621</v>
      </c>
      <c r="N6829">
        <v>58.14</v>
      </c>
      <c r="O6829" s="49">
        <v>44484</v>
      </c>
      <c r="P6829" s="50">
        <v>247.88250000000002</v>
      </c>
    </row>
    <row r="6830" spans="4:16" x14ac:dyDescent="0.2">
      <c r="D6830">
        <v>100004072</v>
      </c>
      <c r="E6830" s="49">
        <v>45431</v>
      </c>
      <c r="F6830" t="s">
        <v>5495</v>
      </c>
      <c r="G6830" t="s">
        <v>1807</v>
      </c>
      <c r="H6830">
        <v>7</v>
      </c>
      <c r="I6830">
        <v>15.56</v>
      </c>
      <c r="J6830" s="50">
        <v>108.92</v>
      </c>
      <c r="K6830" t="s">
        <v>1618</v>
      </c>
      <c r="M6830" t="s">
        <v>1619</v>
      </c>
      <c r="N6830">
        <v>8.2100000000000009</v>
      </c>
      <c r="O6830" s="49">
        <v>45436</v>
      </c>
      <c r="P6830" s="50">
        <v>49.014000000000003</v>
      </c>
    </row>
    <row r="6831" spans="4:16" x14ac:dyDescent="0.2">
      <c r="D6831">
        <v>100004072</v>
      </c>
      <c r="E6831" s="49">
        <v>45029</v>
      </c>
      <c r="F6831" t="s">
        <v>5495</v>
      </c>
      <c r="G6831" t="s">
        <v>2086</v>
      </c>
      <c r="H6831">
        <v>5</v>
      </c>
      <c r="I6831">
        <v>106.95</v>
      </c>
      <c r="J6831" s="50">
        <v>534.75</v>
      </c>
      <c r="K6831" t="s">
        <v>1618</v>
      </c>
      <c r="M6831" t="s">
        <v>1627</v>
      </c>
      <c r="N6831">
        <v>56.45</v>
      </c>
      <c r="O6831" s="49">
        <v>45034</v>
      </c>
      <c r="P6831" s="50">
        <v>240.63750000000002</v>
      </c>
    </row>
    <row r="6832" spans="4:16" x14ac:dyDescent="0.2">
      <c r="D6832">
        <v>100004072</v>
      </c>
      <c r="E6832" s="49">
        <v>45593</v>
      </c>
      <c r="F6832" t="s">
        <v>5495</v>
      </c>
      <c r="G6832" t="s">
        <v>1691</v>
      </c>
      <c r="H6832">
        <v>5</v>
      </c>
      <c r="I6832">
        <v>66.3</v>
      </c>
      <c r="J6832" s="50">
        <v>331.5</v>
      </c>
      <c r="K6832" t="s">
        <v>1618</v>
      </c>
      <c r="M6832" t="s">
        <v>1629</v>
      </c>
      <c r="N6832">
        <v>34.99</v>
      </c>
      <c r="O6832" s="49">
        <v>45597</v>
      </c>
      <c r="P6832" s="50">
        <v>149.17500000000001</v>
      </c>
    </row>
    <row r="6833" spans="4:16" x14ac:dyDescent="0.2">
      <c r="D6833">
        <v>100004072</v>
      </c>
      <c r="E6833" s="49">
        <v>44341</v>
      </c>
      <c r="F6833" t="s">
        <v>5495</v>
      </c>
      <c r="G6833" t="s">
        <v>1913</v>
      </c>
      <c r="H6833">
        <v>2</v>
      </c>
      <c r="I6833">
        <v>28.03</v>
      </c>
      <c r="J6833" s="50">
        <v>56.06</v>
      </c>
      <c r="K6833" t="s">
        <v>1618</v>
      </c>
      <c r="M6833" t="s">
        <v>1624</v>
      </c>
      <c r="N6833">
        <v>14.79</v>
      </c>
      <c r="O6833" s="49">
        <v>44343</v>
      </c>
      <c r="P6833" s="50">
        <v>25.227</v>
      </c>
    </row>
    <row r="6834" spans="4:16" x14ac:dyDescent="0.2">
      <c r="D6834">
        <v>100004072</v>
      </c>
      <c r="E6834" s="49">
        <v>44656</v>
      </c>
      <c r="F6834" t="s">
        <v>5495</v>
      </c>
      <c r="G6834" t="s">
        <v>1726</v>
      </c>
      <c r="H6834">
        <v>1</v>
      </c>
      <c r="I6834">
        <v>42.96</v>
      </c>
      <c r="J6834" s="50">
        <v>42.96</v>
      </c>
      <c r="K6834" t="s">
        <v>1618</v>
      </c>
      <c r="M6834" t="s">
        <v>1621</v>
      </c>
      <c r="N6834">
        <v>22.67</v>
      </c>
      <c r="O6834" s="49">
        <v>44657</v>
      </c>
      <c r="P6834" s="50">
        <v>19.332000000000001</v>
      </c>
    </row>
    <row r="6835" spans="4:16" x14ac:dyDescent="0.2">
      <c r="D6835">
        <v>100004072</v>
      </c>
      <c r="E6835" s="49">
        <v>45340</v>
      </c>
      <c r="F6835" t="s">
        <v>5495</v>
      </c>
      <c r="G6835" t="s">
        <v>2375</v>
      </c>
      <c r="H6835">
        <v>4</v>
      </c>
      <c r="I6835">
        <v>70.209999999999994</v>
      </c>
      <c r="J6835" s="50">
        <v>280.83999999999997</v>
      </c>
      <c r="K6835" t="s">
        <v>1618</v>
      </c>
      <c r="M6835" t="s">
        <v>1627</v>
      </c>
      <c r="N6835">
        <v>37.06</v>
      </c>
      <c r="O6835" s="49">
        <v>45345</v>
      </c>
      <c r="P6835" s="50">
        <v>126.37799999999999</v>
      </c>
    </row>
    <row r="6836" spans="4:16" x14ac:dyDescent="0.2">
      <c r="D6836">
        <v>100004072</v>
      </c>
      <c r="E6836" s="49">
        <v>44282</v>
      </c>
      <c r="F6836" t="s">
        <v>5495</v>
      </c>
      <c r="G6836" t="s">
        <v>2412</v>
      </c>
      <c r="H6836">
        <v>4</v>
      </c>
      <c r="I6836">
        <v>21.95</v>
      </c>
      <c r="J6836" s="50">
        <v>87.8</v>
      </c>
      <c r="K6836" t="s">
        <v>1618</v>
      </c>
      <c r="M6836" t="s">
        <v>1624</v>
      </c>
      <c r="N6836">
        <v>11.58</v>
      </c>
      <c r="O6836" s="49">
        <v>44287</v>
      </c>
      <c r="P6836" s="50">
        <v>39.51</v>
      </c>
    </row>
    <row r="6837" spans="4:16" x14ac:dyDescent="0.2">
      <c r="D6837">
        <v>100004073</v>
      </c>
      <c r="E6837" s="49">
        <v>45309</v>
      </c>
      <c r="F6837" t="s">
        <v>5496</v>
      </c>
      <c r="G6837" t="s">
        <v>2418</v>
      </c>
      <c r="H6837">
        <v>4</v>
      </c>
      <c r="I6837">
        <v>116.75</v>
      </c>
      <c r="J6837" s="50">
        <v>467</v>
      </c>
      <c r="K6837" t="s">
        <v>1618</v>
      </c>
      <c r="M6837" t="s">
        <v>1621</v>
      </c>
      <c r="N6837">
        <v>61.62</v>
      </c>
      <c r="O6837" s="49">
        <v>45314</v>
      </c>
      <c r="P6837" s="50">
        <v>210.15</v>
      </c>
    </row>
    <row r="6838" spans="4:16" x14ac:dyDescent="0.2">
      <c r="D6838">
        <v>100004074</v>
      </c>
      <c r="E6838" s="49">
        <v>45369</v>
      </c>
      <c r="F6838" t="s">
        <v>5497</v>
      </c>
      <c r="G6838" t="s">
        <v>1712</v>
      </c>
      <c r="H6838">
        <v>1</v>
      </c>
      <c r="I6838">
        <v>94.07</v>
      </c>
      <c r="J6838" s="50">
        <v>94.07</v>
      </c>
      <c r="K6838" t="s">
        <v>1632</v>
      </c>
      <c r="M6838" t="s">
        <v>1627</v>
      </c>
      <c r="N6838">
        <v>49.65</v>
      </c>
      <c r="O6838" s="49">
        <v>45372</v>
      </c>
      <c r="P6838" s="50">
        <v>42.331499999999998</v>
      </c>
    </row>
    <row r="6839" spans="4:16" x14ac:dyDescent="0.2">
      <c r="D6839">
        <v>100004075</v>
      </c>
      <c r="E6839" s="49">
        <v>45147</v>
      </c>
      <c r="F6839" t="s">
        <v>5498</v>
      </c>
      <c r="G6839" t="s">
        <v>1808</v>
      </c>
      <c r="H6839">
        <v>5</v>
      </c>
      <c r="I6839">
        <v>53.4</v>
      </c>
      <c r="J6839" s="50">
        <v>267</v>
      </c>
      <c r="K6839" t="s">
        <v>1618</v>
      </c>
      <c r="M6839" t="s">
        <v>1621</v>
      </c>
      <c r="N6839">
        <v>28.18</v>
      </c>
      <c r="O6839" s="49">
        <v>45152</v>
      </c>
      <c r="P6839" s="50">
        <v>120.15</v>
      </c>
    </row>
    <row r="6840" spans="4:16" x14ac:dyDescent="0.2">
      <c r="D6840">
        <v>100004075</v>
      </c>
      <c r="E6840" s="49">
        <v>44609</v>
      </c>
      <c r="F6840" t="s">
        <v>5498</v>
      </c>
      <c r="G6840" t="s">
        <v>1937</v>
      </c>
      <c r="H6840">
        <v>4</v>
      </c>
      <c r="I6840">
        <v>16.78</v>
      </c>
      <c r="J6840" s="50">
        <v>67.12</v>
      </c>
      <c r="K6840" t="s">
        <v>1618</v>
      </c>
      <c r="M6840" t="s">
        <v>1629</v>
      </c>
      <c r="N6840">
        <v>8.86</v>
      </c>
      <c r="O6840" s="49">
        <v>44614</v>
      </c>
      <c r="P6840" s="50">
        <v>30.204000000000004</v>
      </c>
    </row>
    <row r="6841" spans="4:16" x14ac:dyDescent="0.2">
      <c r="D6841">
        <v>100004075</v>
      </c>
      <c r="E6841" s="49">
        <v>44623</v>
      </c>
      <c r="F6841" t="s">
        <v>5498</v>
      </c>
      <c r="G6841" t="s">
        <v>1841</v>
      </c>
      <c r="H6841">
        <v>3</v>
      </c>
      <c r="I6841">
        <v>61.45</v>
      </c>
      <c r="J6841" s="50">
        <v>184.35</v>
      </c>
      <c r="K6841" t="s">
        <v>1618</v>
      </c>
      <c r="M6841" t="s">
        <v>1619</v>
      </c>
      <c r="N6841">
        <v>32.43</v>
      </c>
      <c r="O6841" s="49">
        <v>44627</v>
      </c>
      <c r="P6841" s="50">
        <v>82.957499999999996</v>
      </c>
    </row>
    <row r="6842" spans="4:16" x14ac:dyDescent="0.2">
      <c r="D6842">
        <v>100004076</v>
      </c>
      <c r="E6842" s="49">
        <v>45266</v>
      </c>
      <c r="F6842" t="s">
        <v>5499</v>
      </c>
      <c r="G6842" t="s">
        <v>2380</v>
      </c>
      <c r="H6842">
        <v>10</v>
      </c>
      <c r="I6842">
        <v>81.459999999999994</v>
      </c>
      <c r="J6842" s="50">
        <v>814.59999999999991</v>
      </c>
      <c r="K6842" t="s">
        <v>1618</v>
      </c>
      <c r="L6842" t="s">
        <v>5500</v>
      </c>
      <c r="M6842" t="s">
        <v>1621</v>
      </c>
      <c r="N6842">
        <v>42.99</v>
      </c>
      <c r="O6842" s="49">
        <v>45271</v>
      </c>
      <c r="P6842" s="50">
        <v>366.57</v>
      </c>
    </row>
    <row r="6843" spans="4:16" x14ac:dyDescent="0.2">
      <c r="D6843">
        <v>100004076</v>
      </c>
      <c r="E6843" s="49">
        <v>45289</v>
      </c>
      <c r="F6843" t="s">
        <v>5499</v>
      </c>
      <c r="G6843" t="s">
        <v>1980</v>
      </c>
      <c r="H6843">
        <v>6</v>
      </c>
      <c r="I6843">
        <v>119.37</v>
      </c>
      <c r="J6843" s="50">
        <v>716.22</v>
      </c>
      <c r="K6843" t="s">
        <v>1618</v>
      </c>
      <c r="L6843" t="s">
        <v>5500</v>
      </c>
      <c r="M6843" t="s">
        <v>1627</v>
      </c>
      <c r="N6843">
        <v>63</v>
      </c>
      <c r="O6843" s="49">
        <v>45290</v>
      </c>
      <c r="P6843" s="50">
        <v>322.29900000000004</v>
      </c>
    </row>
    <row r="6844" spans="4:16" x14ac:dyDescent="0.2">
      <c r="D6844">
        <v>100004077</v>
      </c>
      <c r="E6844" s="49">
        <v>44367</v>
      </c>
      <c r="F6844" t="s">
        <v>5501</v>
      </c>
      <c r="G6844" t="s">
        <v>1664</v>
      </c>
      <c r="H6844">
        <v>5</v>
      </c>
      <c r="I6844">
        <v>67.849999999999994</v>
      </c>
      <c r="J6844" s="50">
        <v>339.25</v>
      </c>
      <c r="K6844" t="s">
        <v>1632</v>
      </c>
      <c r="M6844" t="s">
        <v>1621</v>
      </c>
      <c r="N6844">
        <v>35.81</v>
      </c>
      <c r="O6844" s="49">
        <v>44372</v>
      </c>
      <c r="P6844" s="50">
        <v>152.66249999999999</v>
      </c>
    </row>
    <row r="6845" spans="4:16" x14ac:dyDescent="0.2">
      <c r="D6845">
        <v>100004077</v>
      </c>
      <c r="E6845" s="49">
        <v>45104</v>
      </c>
      <c r="F6845" t="s">
        <v>5501</v>
      </c>
      <c r="G6845" t="s">
        <v>1723</v>
      </c>
      <c r="H6845">
        <v>10</v>
      </c>
      <c r="I6845">
        <v>104.02</v>
      </c>
      <c r="J6845" s="50">
        <v>1040.2</v>
      </c>
      <c r="K6845" t="s">
        <v>1632</v>
      </c>
      <c r="M6845" t="s">
        <v>1619</v>
      </c>
      <c r="N6845">
        <v>54.9</v>
      </c>
      <c r="O6845" s="49">
        <v>45107</v>
      </c>
      <c r="P6845" s="50">
        <v>468.09000000000003</v>
      </c>
    </row>
    <row r="6846" spans="4:16" x14ac:dyDescent="0.2">
      <c r="D6846">
        <v>100004077</v>
      </c>
      <c r="E6846" s="49">
        <v>45609</v>
      </c>
      <c r="F6846" t="s">
        <v>5501</v>
      </c>
      <c r="G6846" t="s">
        <v>1641</v>
      </c>
      <c r="H6846">
        <v>7</v>
      </c>
      <c r="I6846">
        <v>60.7</v>
      </c>
      <c r="J6846" s="50">
        <v>424.9</v>
      </c>
      <c r="K6846" t="s">
        <v>1632</v>
      </c>
      <c r="M6846" t="s">
        <v>1619</v>
      </c>
      <c r="N6846">
        <v>32.04</v>
      </c>
      <c r="O6846" s="49">
        <v>45612</v>
      </c>
      <c r="P6846" s="50">
        <v>191.20499999999998</v>
      </c>
    </row>
    <row r="6847" spans="4:16" x14ac:dyDescent="0.2">
      <c r="D6847">
        <v>100004077</v>
      </c>
      <c r="E6847" s="49">
        <v>45069</v>
      </c>
      <c r="F6847" t="s">
        <v>5501</v>
      </c>
      <c r="G6847" t="s">
        <v>1872</v>
      </c>
      <c r="H6847">
        <v>1</v>
      </c>
      <c r="I6847">
        <v>21.16</v>
      </c>
      <c r="J6847" s="50">
        <v>21.16</v>
      </c>
      <c r="K6847" t="s">
        <v>1632</v>
      </c>
      <c r="M6847" t="s">
        <v>1629</v>
      </c>
      <c r="N6847">
        <v>11.17</v>
      </c>
      <c r="O6847" s="49">
        <v>45071</v>
      </c>
      <c r="P6847" s="50">
        <v>9.5220000000000002</v>
      </c>
    </row>
    <row r="6848" spans="4:16" x14ac:dyDescent="0.2">
      <c r="D6848">
        <v>100004077</v>
      </c>
      <c r="E6848" s="49">
        <v>45569</v>
      </c>
      <c r="F6848" t="s">
        <v>5501</v>
      </c>
      <c r="G6848" t="s">
        <v>2733</v>
      </c>
      <c r="H6848">
        <v>3</v>
      </c>
      <c r="I6848">
        <v>68.510000000000005</v>
      </c>
      <c r="J6848" s="50">
        <v>205.53</v>
      </c>
      <c r="K6848" t="s">
        <v>1632</v>
      </c>
      <c r="M6848" t="s">
        <v>1629</v>
      </c>
      <c r="N6848">
        <v>36.159999999999997</v>
      </c>
      <c r="O6848" s="49">
        <v>45573</v>
      </c>
      <c r="P6848" s="50">
        <v>92.488500000000002</v>
      </c>
    </row>
    <row r="6849" spans="4:16" x14ac:dyDescent="0.2">
      <c r="D6849">
        <v>100004080</v>
      </c>
      <c r="E6849" s="49">
        <v>45029</v>
      </c>
      <c r="F6849" t="s">
        <v>5502</v>
      </c>
      <c r="G6849" t="s">
        <v>1897</v>
      </c>
      <c r="H6849">
        <v>5</v>
      </c>
      <c r="I6849">
        <v>111.94</v>
      </c>
      <c r="J6849" s="50">
        <v>559.70000000000005</v>
      </c>
      <c r="K6849" t="s">
        <v>1618</v>
      </c>
      <c r="M6849" t="s">
        <v>1627</v>
      </c>
      <c r="N6849">
        <v>59.08</v>
      </c>
      <c r="O6849" s="49">
        <v>45032</v>
      </c>
      <c r="P6849" s="50">
        <v>251.86500000000004</v>
      </c>
    </row>
    <row r="6850" spans="4:16" x14ac:dyDescent="0.2">
      <c r="D6850">
        <v>100004082</v>
      </c>
      <c r="E6850" s="49">
        <v>44617</v>
      </c>
      <c r="F6850" t="s">
        <v>5503</v>
      </c>
      <c r="G6850" t="s">
        <v>1637</v>
      </c>
      <c r="H6850">
        <v>9</v>
      </c>
      <c r="I6850">
        <v>24.71</v>
      </c>
      <c r="J6850" s="50">
        <v>222.39</v>
      </c>
      <c r="K6850" t="s">
        <v>1618</v>
      </c>
      <c r="M6850" t="s">
        <v>1629</v>
      </c>
      <c r="N6850">
        <v>13.04</v>
      </c>
      <c r="O6850" s="49">
        <v>44618</v>
      </c>
      <c r="P6850" s="50">
        <v>100.07549999999999</v>
      </c>
    </row>
    <row r="6851" spans="4:16" x14ac:dyDescent="0.2">
      <c r="D6851">
        <v>100004082</v>
      </c>
      <c r="E6851" s="49">
        <v>45556</v>
      </c>
      <c r="F6851" t="s">
        <v>5503</v>
      </c>
      <c r="G6851" t="s">
        <v>2192</v>
      </c>
      <c r="H6851">
        <v>8</v>
      </c>
      <c r="I6851">
        <v>39.83</v>
      </c>
      <c r="J6851" s="50">
        <v>318.64</v>
      </c>
      <c r="K6851" t="s">
        <v>1618</v>
      </c>
      <c r="M6851" t="s">
        <v>1619</v>
      </c>
      <c r="N6851">
        <v>21.02</v>
      </c>
      <c r="O6851" s="49">
        <v>45558</v>
      </c>
      <c r="P6851" s="50">
        <v>143.38800000000001</v>
      </c>
    </row>
    <row r="6852" spans="4:16" x14ac:dyDescent="0.2">
      <c r="D6852">
        <v>100004083</v>
      </c>
      <c r="E6852" s="49">
        <v>45457</v>
      </c>
      <c r="F6852" t="s">
        <v>5504</v>
      </c>
      <c r="G6852" t="s">
        <v>1729</v>
      </c>
      <c r="H6852">
        <v>3</v>
      </c>
      <c r="I6852">
        <v>44.58</v>
      </c>
      <c r="J6852" s="50">
        <v>133.74</v>
      </c>
      <c r="K6852" t="s">
        <v>1618</v>
      </c>
      <c r="M6852" t="s">
        <v>1624</v>
      </c>
      <c r="N6852">
        <v>23.53</v>
      </c>
      <c r="O6852" s="49">
        <v>45459</v>
      </c>
      <c r="P6852" s="50">
        <v>60.183000000000007</v>
      </c>
    </row>
    <row r="6853" spans="4:16" x14ac:dyDescent="0.2">
      <c r="D6853">
        <v>100004084</v>
      </c>
      <c r="E6853" s="49">
        <v>45003</v>
      </c>
      <c r="F6853" t="s">
        <v>5505</v>
      </c>
      <c r="G6853" t="s">
        <v>2305</v>
      </c>
      <c r="H6853">
        <v>1</v>
      </c>
      <c r="I6853">
        <v>112.75</v>
      </c>
      <c r="J6853" s="50">
        <v>112.75</v>
      </c>
      <c r="K6853" t="s">
        <v>1618</v>
      </c>
      <c r="L6853" t="s">
        <v>3635</v>
      </c>
      <c r="M6853" t="s">
        <v>1619</v>
      </c>
      <c r="N6853">
        <v>59.51</v>
      </c>
      <c r="O6853" s="49">
        <v>45008</v>
      </c>
      <c r="P6853" s="50">
        <v>50.737500000000004</v>
      </c>
    </row>
    <row r="6854" spans="4:16" x14ac:dyDescent="0.2">
      <c r="D6854">
        <v>100004086</v>
      </c>
      <c r="E6854" s="49">
        <v>44476</v>
      </c>
      <c r="F6854" t="s">
        <v>5506</v>
      </c>
      <c r="G6854" t="s">
        <v>1663</v>
      </c>
      <c r="H6854">
        <v>5</v>
      </c>
      <c r="I6854">
        <v>77.25</v>
      </c>
      <c r="J6854" s="50">
        <v>386.25</v>
      </c>
      <c r="K6854" t="s">
        <v>1618</v>
      </c>
      <c r="L6854" t="s">
        <v>5507</v>
      </c>
      <c r="M6854" t="s">
        <v>1621</v>
      </c>
      <c r="N6854">
        <v>40.770000000000003</v>
      </c>
      <c r="O6854" s="49">
        <v>44481</v>
      </c>
      <c r="P6854" s="50">
        <v>173.8125</v>
      </c>
    </row>
    <row r="6855" spans="4:16" x14ac:dyDescent="0.2">
      <c r="D6855">
        <v>100004086</v>
      </c>
      <c r="E6855" s="49">
        <v>44872</v>
      </c>
      <c r="F6855" t="s">
        <v>5506</v>
      </c>
      <c r="G6855" t="s">
        <v>2633</v>
      </c>
      <c r="H6855">
        <v>2</v>
      </c>
      <c r="I6855">
        <v>38.79</v>
      </c>
      <c r="J6855" s="50">
        <v>77.58</v>
      </c>
      <c r="K6855" t="s">
        <v>1618</v>
      </c>
      <c r="L6855" t="s">
        <v>5507</v>
      </c>
      <c r="M6855" t="s">
        <v>1624</v>
      </c>
      <c r="N6855">
        <v>20.47</v>
      </c>
      <c r="O6855" s="49">
        <v>44873</v>
      </c>
      <c r="P6855" s="50">
        <v>34.911000000000001</v>
      </c>
    </row>
    <row r="6856" spans="4:16" x14ac:dyDescent="0.2">
      <c r="D6856">
        <v>100004089</v>
      </c>
      <c r="E6856" s="49">
        <v>45376</v>
      </c>
      <c r="F6856" t="s">
        <v>5508</v>
      </c>
      <c r="G6856" t="s">
        <v>2071</v>
      </c>
      <c r="H6856">
        <v>1</v>
      </c>
      <c r="I6856">
        <v>69.16</v>
      </c>
      <c r="J6856" s="50">
        <v>69.16</v>
      </c>
      <c r="K6856" t="s">
        <v>1618</v>
      </c>
      <c r="M6856" t="s">
        <v>1627</v>
      </c>
      <c r="N6856">
        <v>36.5</v>
      </c>
      <c r="O6856" s="49">
        <v>45381</v>
      </c>
      <c r="P6856" s="50">
        <v>31.122</v>
      </c>
    </row>
    <row r="6857" spans="4:16" x14ac:dyDescent="0.2">
      <c r="D6857">
        <v>100004089</v>
      </c>
      <c r="E6857" s="49">
        <v>45329</v>
      </c>
      <c r="F6857" t="s">
        <v>5508</v>
      </c>
      <c r="G6857" t="s">
        <v>1848</v>
      </c>
      <c r="H6857">
        <v>1</v>
      </c>
      <c r="I6857">
        <v>105.19</v>
      </c>
      <c r="J6857" s="50">
        <v>105.19</v>
      </c>
      <c r="K6857" t="s">
        <v>1618</v>
      </c>
      <c r="M6857" t="s">
        <v>1621</v>
      </c>
      <c r="N6857">
        <v>55.52</v>
      </c>
      <c r="O6857" s="49">
        <v>45334</v>
      </c>
      <c r="P6857" s="50">
        <v>47.335500000000003</v>
      </c>
    </row>
    <row r="6858" spans="4:16" x14ac:dyDescent="0.2">
      <c r="D6858">
        <v>100004089</v>
      </c>
      <c r="E6858" s="49">
        <v>45611</v>
      </c>
      <c r="F6858" t="s">
        <v>5508</v>
      </c>
      <c r="G6858" t="s">
        <v>1762</v>
      </c>
      <c r="H6858">
        <v>9</v>
      </c>
      <c r="I6858">
        <v>117.17</v>
      </c>
      <c r="J6858" s="50">
        <v>1054.53</v>
      </c>
      <c r="K6858" t="s">
        <v>1618</v>
      </c>
      <c r="M6858" t="s">
        <v>1629</v>
      </c>
      <c r="N6858">
        <v>61.84</v>
      </c>
      <c r="O6858" s="49">
        <v>45614</v>
      </c>
      <c r="P6858" s="50">
        <v>474.5385</v>
      </c>
    </row>
    <row r="6859" spans="4:16" x14ac:dyDescent="0.2">
      <c r="D6859">
        <v>100004090</v>
      </c>
      <c r="E6859" s="49">
        <v>44836</v>
      </c>
      <c r="F6859" t="s">
        <v>5509</v>
      </c>
      <c r="G6859" t="s">
        <v>2159</v>
      </c>
      <c r="H6859">
        <v>2</v>
      </c>
      <c r="I6859">
        <v>13.99</v>
      </c>
      <c r="J6859" s="50">
        <v>27.98</v>
      </c>
      <c r="K6859" t="s">
        <v>1632</v>
      </c>
      <c r="M6859" t="s">
        <v>1624</v>
      </c>
      <c r="N6859">
        <v>7.38</v>
      </c>
      <c r="O6859" s="49">
        <v>44841</v>
      </c>
      <c r="P6859" s="50">
        <v>12.591000000000001</v>
      </c>
    </row>
    <row r="6860" spans="4:16" x14ac:dyDescent="0.2">
      <c r="D6860">
        <v>100004090</v>
      </c>
      <c r="E6860" s="49">
        <v>44715</v>
      </c>
      <c r="F6860" t="s">
        <v>5509</v>
      </c>
      <c r="G6860" t="s">
        <v>1921</v>
      </c>
      <c r="H6860">
        <v>4</v>
      </c>
      <c r="I6860">
        <v>35.22</v>
      </c>
      <c r="J6860" s="50">
        <v>140.88</v>
      </c>
      <c r="K6860" t="s">
        <v>1632</v>
      </c>
      <c r="M6860" t="s">
        <v>1624</v>
      </c>
      <c r="N6860">
        <v>18.59</v>
      </c>
      <c r="O6860" s="49">
        <v>44720</v>
      </c>
      <c r="P6860" s="50">
        <v>63.396000000000001</v>
      </c>
    </row>
    <row r="6861" spans="4:16" x14ac:dyDescent="0.2">
      <c r="D6861">
        <v>100004090</v>
      </c>
      <c r="E6861" s="49">
        <v>45282</v>
      </c>
      <c r="F6861" t="s">
        <v>5509</v>
      </c>
      <c r="G6861" t="s">
        <v>1758</v>
      </c>
      <c r="H6861">
        <v>1</v>
      </c>
      <c r="I6861">
        <v>55.86</v>
      </c>
      <c r="J6861" s="50">
        <v>55.86</v>
      </c>
      <c r="K6861" t="s">
        <v>1632</v>
      </c>
      <c r="M6861" t="s">
        <v>1627</v>
      </c>
      <c r="N6861">
        <v>29.48</v>
      </c>
      <c r="O6861" s="49">
        <v>45285</v>
      </c>
      <c r="P6861" s="50">
        <v>25.137</v>
      </c>
    </row>
    <row r="6862" spans="4:16" x14ac:dyDescent="0.2">
      <c r="D6862">
        <v>100004090</v>
      </c>
      <c r="E6862" s="49">
        <v>44955</v>
      </c>
      <c r="F6862" t="s">
        <v>5509</v>
      </c>
      <c r="G6862" t="s">
        <v>2038</v>
      </c>
      <c r="H6862">
        <v>8</v>
      </c>
      <c r="I6862">
        <v>42.15</v>
      </c>
      <c r="J6862" s="50">
        <v>337.2</v>
      </c>
      <c r="K6862" t="s">
        <v>1632</v>
      </c>
      <c r="M6862" t="s">
        <v>1629</v>
      </c>
      <c r="N6862">
        <v>22.25</v>
      </c>
      <c r="O6862" s="49">
        <v>44959</v>
      </c>
      <c r="P6862" s="50">
        <v>151.74</v>
      </c>
    </row>
    <row r="6863" spans="4:16" x14ac:dyDescent="0.2">
      <c r="D6863">
        <v>100004091</v>
      </c>
      <c r="E6863" s="49">
        <v>45099</v>
      </c>
      <c r="F6863" t="s">
        <v>5510</v>
      </c>
      <c r="G6863" t="s">
        <v>1825</v>
      </c>
      <c r="H6863">
        <v>9</v>
      </c>
      <c r="I6863">
        <v>30.48</v>
      </c>
      <c r="J6863" s="50">
        <v>274.32</v>
      </c>
      <c r="K6863" t="s">
        <v>1618</v>
      </c>
      <c r="M6863" t="s">
        <v>1624</v>
      </c>
      <c r="N6863">
        <v>16.09</v>
      </c>
      <c r="O6863" s="49">
        <v>45101</v>
      </c>
      <c r="P6863" s="50">
        <v>123.444</v>
      </c>
    </row>
    <row r="6864" spans="4:16" x14ac:dyDescent="0.2">
      <c r="D6864">
        <v>100004091</v>
      </c>
      <c r="E6864" s="49">
        <v>44813</v>
      </c>
      <c r="F6864" t="s">
        <v>5510</v>
      </c>
      <c r="G6864" t="s">
        <v>1895</v>
      </c>
      <c r="H6864">
        <v>5</v>
      </c>
      <c r="I6864">
        <v>25.49</v>
      </c>
      <c r="J6864" s="50">
        <v>127.45</v>
      </c>
      <c r="K6864" t="s">
        <v>1618</v>
      </c>
      <c r="M6864" t="s">
        <v>1619</v>
      </c>
      <c r="N6864">
        <v>13.45</v>
      </c>
      <c r="O6864" s="49">
        <v>44817</v>
      </c>
      <c r="P6864" s="50">
        <v>57.352499999999999</v>
      </c>
    </row>
    <row r="6865" spans="4:16" x14ac:dyDescent="0.2">
      <c r="D6865">
        <v>100004092</v>
      </c>
      <c r="E6865" s="49">
        <v>44781</v>
      </c>
      <c r="F6865" t="s">
        <v>5511</v>
      </c>
      <c r="G6865" t="s">
        <v>1880</v>
      </c>
      <c r="H6865">
        <v>8</v>
      </c>
      <c r="I6865">
        <v>86.02</v>
      </c>
      <c r="J6865" s="50">
        <v>688.16</v>
      </c>
      <c r="K6865" t="s">
        <v>1618</v>
      </c>
      <c r="M6865" t="s">
        <v>1619</v>
      </c>
      <c r="N6865">
        <v>45.4</v>
      </c>
      <c r="O6865" s="49">
        <v>44785</v>
      </c>
      <c r="P6865" s="50">
        <v>309.67199999999997</v>
      </c>
    </row>
    <row r="6866" spans="4:16" x14ac:dyDescent="0.2">
      <c r="D6866">
        <v>100004094</v>
      </c>
      <c r="E6866" s="49">
        <v>44760</v>
      </c>
      <c r="F6866" t="s">
        <v>5512</v>
      </c>
      <c r="G6866" t="s">
        <v>1730</v>
      </c>
      <c r="H6866">
        <v>7</v>
      </c>
      <c r="I6866">
        <v>68.36</v>
      </c>
      <c r="J6866" s="50">
        <v>478.52</v>
      </c>
      <c r="K6866" t="s">
        <v>1618</v>
      </c>
      <c r="L6866" t="s">
        <v>2504</v>
      </c>
      <c r="M6866" t="s">
        <v>1621</v>
      </c>
      <c r="N6866">
        <v>36.08</v>
      </c>
      <c r="O6866" s="49">
        <v>44763</v>
      </c>
      <c r="P6866" s="50">
        <v>215.334</v>
      </c>
    </row>
    <row r="6867" spans="4:16" x14ac:dyDescent="0.2">
      <c r="D6867">
        <v>100004094</v>
      </c>
      <c r="E6867" s="49">
        <v>45653</v>
      </c>
      <c r="F6867" t="s">
        <v>5512</v>
      </c>
      <c r="G6867" t="s">
        <v>2210</v>
      </c>
      <c r="H6867">
        <v>9</v>
      </c>
      <c r="I6867">
        <v>38.64</v>
      </c>
      <c r="J6867" s="50">
        <v>347.76</v>
      </c>
      <c r="K6867" t="s">
        <v>1618</v>
      </c>
      <c r="L6867" t="s">
        <v>2504</v>
      </c>
      <c r="M6867" t="s">
        <v>1621</v>
      </c>
      <c r="N6867">
        <v>20.39</v>
      </c>
      <c r="O6867" s="49">
        <v>45654</v>
      </c>
      <c r="P6867" s="50">
        <v>156.49199999999999</v>
      </c>
    </row>
    <row r="6868" spans="4:16" x14ac:dyDescent="0.2">
      <c r="D6868">
        <v>100004094</v>
      </c>
      <c r="E6868" s="49">
        <v>44712</v>
      </c>
      <c r="F6868" t="s">
        <v>5512</v>
      </c>
      <c r="G6868" t="s">
        <v>1900</v>
      </c>
      <c r="H6868">
        <v>8</v>
      </c>
      <c r="I6868">
        <v>107.64</v>
      </c>
      <c r="J6868" s="50">
        <v>861.12</v>
      </c>
      <c r="K6868" t="s">
        <v>1618</v>
      </c>
      <c r="L6868" t="s">
        <v>2504</v>
      </c>
      <c r="M6868" t="s">
        <v>1624</v>
      </c>
      <c r="N6868">
        <v>56.81</v>
      </c>
      <c r="O6868" s="49">
        <v>44714</v>
      </c>
      <c r="P6868" s="50">
        <v>387.50400000000002</v>
      </c>
    </row>
    <row r="6869" spans="4:16" x14ac:dyDescent="0.2">
      <c r="D6869">
        <v>100004094</v>
      </c>
      <c r="E6869" s="49">
        <v>45378</v>
      </c>
      <c r="F6869" t="s">
        <v>5512</v>
      </c>
      <c r="G6869" t="s">
        <v>1665</v>
      </c>
      <c r="H6869">
        <v>2</v>
      </c>
      <c r="I6869">
        <v>100.05</v>
      </c>
      <c r="J6869" s="50">
        <v>200.1</v>
      </c>
      <c r="K6869" t="s">
        <v>1618</v>
      </c>
      <c r="L6869" t="s">
        <v>2504</v>
      </c>
      <c r="M6869" t="s">
        <v>1627</v>
      </c>
      <c r="N6869">
        <v>52.8</v>
      </c>
      <c r="O6869" s="49">
        <v>45381</v>
      </c>
      <c r="P6869" s="50">
        <v>90.045000000000002</v>
      </c>
    </row>
    <row r="6870" spans="4:16" x14ac:dyDescent="0.2">
      <c r="D6870">
        <v>100004095</v>
      </c>
      <c r="E6870" s="49">
        <v>44450</v>
      </c>
      <c r="F6870" t="s">
        <v>5513</v>
      </c>
      <c r="G6870" t="s">
        <v>1978</v>
      </c>
      <c r="H6870">
        <v>4</v>
      </c>
      <c r="I6870">
        <v>57.61</v>
      </c>
      <c r="J6870" s="50">
        <v>230.44</v>
      </c>
      <c r="K6870" t="s">
        <v>1618</v>
      </c>
      <c r="M6870" t="s">
        <v>1627</v>
      </c>
      <c r="N6870">
        <v>30.41</v>
      </c>
      <c r="O6870" s="49">
        <v>44454</v>
      </c>
      <c r="P6870" s="50">
        <v>103.69800000000001</v>
      </c>
    </row>
    <row r="6871" spans="4:16" x14ac:dyDescent="0.2">
      <c r="D6871">
        <v>100004096</v>
      </c>
      <c r="E6871" s="49">
        <v>45165</v>
      </c>
      <c r="F6871" t="s">
        <v>5173</v>
      </c>
      <c r="G6871" t="s">
        <v>1855</v>
      </c>
      <c r="H6871">
        <v>8</v>
      </c>
      <c r="I6871">
        <v>72.64</v>
      </c>
      <c r="J6871" s="50">
        <v>581.12</v>
      </c>
      <c r="K6871" t="s">
        <v>1618</v>
      </c>
      <c r="M6871" t="s">
        <v>1629</v>
      </c>
      <c r="N6871">
        <v>38.340000000000003</v>
      </c>
      <c r="O6871" s="49">
        <v>45166</v>
      </c>
      <c r="P6871" s="50">
        <v>261.50400000000002</v>
      </c>
    </row>
    <row r="6872" spans="4:16" x14ac:dyDescent="0.2">
      <c r="D6872">
        <v>100004097</v>
      </c>
      <c r="E6872" s="49">
        <v>45609</v>
      </c>
      <c r="F6872" t="s">
        <v>5514</v>
      </c>
      <c r="G6872" t="s">
        <v>1705</v>
      </c>
      <c r="H6872">
        <v>6</v>
      </c>
      <c r="I6872">
        <v>60.58</v>
      </c>
      <c r="J6872" s="50">
        <v>363.48</v>
      </c>
      <c r="K6872" t="s">
        <v>1632</v>
      </c>
      <c r="L6872" t="s">
        <v>5515</v>
      </c>
      <c r="M6872" t="s">
        <v>1621</v>
      </c>
      <c r="N6872">
        <v>31.97</v>
      </c>
      <c r="O6872" s="49">
        <v>45610</v>
      </c>
      <c r="P6872" s="50">
        <v>163.566</v>
      </c>
    </row>
    <row r="6873" spans="4:16" x14ac:dyDescent="0.2">
      <c r="D6873">
        <v>100004099</v>
      </c>
      <c r="E6873" s="49">
        <v>44743</v>
      </c>
      <c r="F6873" t="s">
        <v>5516</v>
      </c>
      <c r="G6873" t="s">
        <v>1775</v>
      </c>
      <c r="H6873">
        <v>9</v>
      </c>
      <c r="I6873">
        <v>118.42</v>
      </c>
      <c r="J6873" s="50">
        <v>1065.78</v>
      </c>
      <c r="K6873" t="s">
        <v>1618</v>
      </c>
      <c r="L6873" t="s">
        <v>3199</v>
      </c>
      <c r="M6873" t="s">
        <v>1619</v>
      </c>
      <c r="N6873">
        <v>62.5</v>
      </c>
      <c r="O6873" s="49">
        <v>44746</v>
      </c>
      <c r="P6873" s="50">
        <v>479.601</v>
      </c>
    </row>
    <row r="6874" spans="4:16" x14ac:dyDescent="0.2">
      <c r="D6874">
        <v>100004099</v>
      </c>
      <c r="E6874" s="49">
        <v>45311</v>
      </c>
      <c r="F6874" t="s">
        <v>5516</v>
      </c>
      <c r="G6874" t="s">
        <v>2427</v>
      </c>
      <c r="H6874">
        <v>6</v>
      </c>
      <c r="I6874">
        <v>79.23</v>
      </c>
      <c r="J6874" s="50">
        <v>475.38</v>
      </c>
      <c r="K6874" t="s">
        <v>1618</v>
      </c>
      <c r="L6874" t="s">
        <v>3199</v>
      </c>
      <c r="M6874" t="s">
        <v>1621</v>
      </c>
      <c r="N6874">
        <v>41.82</v>
      </c>
      <c r="O6874" s="49">
        <v>45316</v>
      </c>
      <c r="P6874" s="50">
        <v>213.92099999999999</v>
      </c>
    </row>
    <row r="6875" spans="4:16" x14ac:dyDescent="0.2">
      <c r="D6875">
        <v>100004100</v>
      </c>
      <c r="E6875" s="49">
        <v>45331</v>
      </c>
      <c r="F6875" t="s">
        <v>5517</v>
      </c>
      <c r="G6875" t="s">
        <v>2305</v>
      </c>
      <c r="H6875">
        <v>6</v>
      </c>
      <c r="I6875">
        <v>105.53</v>
      </c>
      <c r="J6875" s="50">
        <v>633.18000000000006</v>
      </c>
      <c r="K6875" t="s">
        <v>1632</v>
      </c>
      <c r="M6875" t="s">
        <v>1621</v>
      </c>
      <c r="N6875">
        <v>55.7</v>
      </c>
      <c r="O6875" s="49">
        <v>45333</v>
      </c>
      <c r="P6875" s="50">
        <v>284.93100000000004</v>
      </c>
    </row>
    <row r="6876" spans="4:16" x14ac:dyDescent="0.2">
      <c r="D6876">
        <v>100004101</v>
      </c>
      <c r="E6876" s="49">
        <v>45637</v>
      </c>
      <c r="F6876" t="s">
        <v>5518</v>
      </c>
      <c r="G6876" t="s">
        <v>1688</v>
      </c>
      <c r="H6876">
        <v>2</v>
      </c>
      <c r="I6876">
        <v>111.15</v>
      </c>
      <c r="J6876" s="50">
        <v>222.3</v>
      </c>
      <c r="K6876" t="s">
        <v>1632</v>
      </c>
      <c r="M6876" t="s">
        <v>1621</v>
      </c>
      <c r="N6876">
        <v>58.66</v>
      </c>
      <c r="O6876" s="49">
        <v>45641</v>
      </c>
      <c r="P6876" s="50">
        <v>100.03500000000001</v>
      </c>
    </row>
    <row r="6877" spans="4:16" x14ac:dyDescent="0.2">
      <c r="D6877">
        <v>100004101</v>
      </c>
      <c r="E6877" s="49">
        <v>45618</v>
      </c>
      <c r="F6877" t="s">
        <v>5518</v>
      </c>
      <c r="G6877" t="s">
        <v>1857</v>
      </c>
      <c r="H6877">
        <v>2</v>
      </c>
      <c r="I6877">
        <v>31.34</v>
      </c>
      <c r="J6877" s="50">
        <v>62.68</v>
      </c>
      <c r="K6877" t="s">
        <v>1632</v>
      </c>
      <c r="M6877" t="s">
        <v>1621</v>
      </c>
      <c r="N6877">
        <v>16.54</v>
      </c>
      <c r="O6877" s="49">
        <v>45619</v>
      </c>
      <c r="P6877" s="50">
        <v>28.206</v>
      </c>
    </row>
    <row r="6878" spans="4:16" x14ac:dyDescent="0.2">
      <c r="D6878">
        <v>100004102</v>
      </c>
      <c r="E6878" s="49">
        <v>45095</v>
      </c>
      <c r="F6878" t="s">
        <v>4339</v>
      </c>
      <c r="G6878" t="s">
        <v>1975</v>
      </c>
      <c r="H6878">
        <v>1</v>
      </c>
      <c r="I6878">
        <v>46.28</v>
      </c>
      <c r="J6878" s="50">
        <v>46.28</v>
      </c>
      <c r="K6878" t="s">
        <v>1618</v>
      </c>
      <c r="L6878" t="s">
        <v>5519</v>
      </c>
      <c r="M6878" t="s">
        <v>1624</v>
      </c>
      <c r="N6878">
        <v>24.43</v>
      </c>
      <c r="O6878" s="49">
        <v>45098</v>
      </c>
      <c r="P6878" s="50">
        <v>20.826000000000001</v>
      </c>
    </row>
    <row r="6879" spans="4:16" x14ac:dyDescent="0.2">
      <c r="D6879">
        <v>100004104</v>
      </c>
      <c r="E6879" s="49">
        <v>45471</v>
      </c>
      <c r="F6879" t="s">
        <v>5520</v>
      </c>
      <c r="G6879" t="s">
        <v>1674</v>
      </c>
      <c r="H6879">
        <v>3</v>
      </c>
      <c r="I6879">
        <v>87.34</v>
      </c>
      <c r="J6879" s="50">
        <v>262.02</v>
      </c>
      <c r="K6879" t="s">
        <v>1618</v>
      </c>
      <c r="M6879" t="s">
        <v>1624</v>
      </c>
      <c r="N6879">
        <v>46.1</v>
      </c>
      <c r="O6879" s="49">
        <v>45473</v>
      </c>
      <c r="P6879" s="50">
        <v>117.90899999999999</v>
      </c>
    </row>
    <row r="6880" spans="4:16" x14ac:dyDescent="0.2">
      <c r="D6880">
        <v>100004104</v>
      </c>
      <c r="E6880" s="49">
        <v>45552</v>
      </c>
      <c r="F6880" t="s">
        <v>5520</v>
      </c>
      <c r="G6880" t="s">
        <v>1688</v>
      </c>
      <c r="H6880">
        <v>10</v>
      </c>
      <c r="I6880">
        <v>88.4</v>
      </c>
      <c r="J6880" s="50">
        <v>884</v>
      </c>
      <c r="K6880" t="s">
        <v>1618</v>
      </c>
      <c r="M6880" t="s">
        <v>1624</v>
      </c>
      <c r="N6880">
        <v>46.66</v>
      </c>
      <c r="O6880" s="49">
        <v>45555</v>
      </c>
      <c r="P6880" s="50">
        <v>397.8</v>
      </c>
    </row>
    <row r="6881" spans="4:16" x14ac:dyDescent="0.2">
      <c r="D6881">
        <v>100004104</v>
      </c>
      <c r="E6881" s="49">
        <v>45283</v>
      </c>
      <c r="F6881" t="s">
        <v>5520</v>
      </c>
      <c r="G6881" t="s">
        <v>1999</v>
      </c>
      <c r="H6881">
        <v>1</v>
      </c>
      <c r="I6881">
        <v>57.23</v>
      </c>
      <c r="J6881" s="50">
        <v>57.23</v>
      </c>
      <c r="K6881" t="s">
        <v>1618</v>
      </c>
      <c r="M6881" t="s">
        <v>1621</v>
      </c>
      <c r="N6881">
        <v>30.2</v>
      </c>
      <c r="O6881" s="49">
        <v>45286</v>
      </c>
      <c r="P6881" s="50">
        <v>25.753499999999999</v>
      </c>
    </row>
    <row r="6882" spans="4:16" x14ac:dyDescent="0.2">
      <c r="D6882">
        <v>100004107</v>
      </c>
      <c r="E6882" s="49">
        <v>44717</v>
      </c>
      <c r="F6882" t="s">
        <v>5521</v>
      </c>
      <c r="G6882" t="s">
        <v>1699</v>
      </c>
      <c r="H6882">
        <v>3</v>
      </c>
      <c r="I6882">
        <v>63.26</v>
      </c>
      <c r="J6882" s="50">
        <v>189.78</v>
      </c>
      <c r="K6882" t="s">
        <v>1618</v>
      </c>
      <c r="M6882" t="s">
        <v>1624</v>
      </c>
      <c r="N6882">
        <v>33.39</v>
      </c>
      <c r="O6882" s="49">
        <v>44721</v>
      </c>
      <c r="P6882" s="50">
        <v>85.400999999999996</v>
      </c>
    </row>
    <row r="6883" spans="4:16" x14ac:dyDescent="0.2">
      <c r="D6883">
        <v>100004109</v>
      </c>
      <c r="E6883" s="49">
        <v>44542</v>
      </c>
      <c r="F6883" t="s">
        <v>5522</v>
      </c>
      <c r="G6883" t="s">
        <v>2202</v>
      </c>
      <c r="H6883">
        <v>9</v>
      </c>
      <c r="I6883">
        <v>107.67</v>
      </c>
      <c r="J6883" s="50">
        <v>969.03</v>
      </c>
      <c r="K6883" t="s">
        <v>1618</v>
      </c>
      <c r="M6883" t="s">
        <v>1624</v>
      </c>
      <c r="N6883">
        <v>56.83</v>
      </c>
      <c r="O6883" s="49">
        <v>44543</v>
      </c>
      <c r="P6883" s="50">
        <v>436.06349999999998</v>
      </c>
    </row>
    <row r="6884" spans="4:16" x14ac:dyDescent="0.2">
      <c r="D6884">
        <v>100004111</v>
      </c>
      <c r="E6884" s="49">
        <v>44197</v>
      </c>
      <c r="F6884" t="s">
        <v>5121</v>
      </c>
      <c r="G6884" t="s">
        <v>1681</v>
      </c>
      <c r="H6884">
        <v>6</v>
      </c>
      <c r="I6884">
        <v>32.33</v>
      </c>
      <c r="J6884" s="50">
        <v>193.98</v>
      </c>
      <c r="K6884" t="s">
        <v>1632</v>
      </c>
      <c r="M6884" t="s">
        <v>1629</v>
      </c>
      <c r="N6884">
        <v>17.059999999999999</v>
      </c>
      <c r="O6884" s="49">
        <v>44200</v>
      </c>
      <c r="P6884" s="50">
        <v>87.290999999999997</v>
      </c>
    </row>
    <row r="6885" spans="4:16" x14ac:dyDescent="0.2">
      <c r="D6885">
        <v>100004111</v>
      </c>
      <c r="E6885" s="49">
        <v>44831</v>
      </c>
      <c r="F6885" t="s">
        <v>5121</v>
      </c>
      <c r="G6885" t="s">
        <v>1987</v>
      </c>
      <c r="H6885">
        <v>5</v>
      </c>
      <c r="I6885">
        <v>114.08</v>
      </c>
      <c r="J6885" s="50">
        <v>570.4</v>
      </c>
      <c r="K6885" t="s">
        <v>1632</v>
      </c>
      <c r="M6885" t="s">
        <v>1624</v>
      </c>
      <c r="N6885">
        <v>60.21</v>
      </c>
      <c r="O6885" s="49">
        <v>44834</v>
      </c>
      <c r="P6885" s="50">
        <v>256.68</v>
      </c>
    </row>
    <row r="6886" spans="4:16" x14ac:dyDescent="0.2">
      <c r="D6886">
        <v>100004113</v>
      </c>
      <c r="E6886" s="49">
        <v>45587</v>
      </c>
      <c r="F6886" t="s">
        <v>5523</v>
      </c>
      <c r="G6886" t="s">
        <v>1639</v>
      </c>
      <c r="H6886">
        <v>4</v>
      </c>
      <c r="I6886">
        <v>79.91</v>
      </c>
      <c r="J6886" s="50">
        <v>319.64</v>
      </c>
      <c r="K6886" t="s">
        <v>1618</v>
      </c>
      <c r="L6886" t="s">
        <v>5524</v>
      </c>
      <c r="M6886" t="s">
        <v>1621</v>
      </c>
      <c r="N6886">
        <v>42.17</v>
      </c>
      <c r="O6886" s="49">
        <v>45592</v>
      </c>
      <c r="P6886" s="50">
        <v>143.83799999999999</v>
      </c>
    </row>
    <row r="6887" spans="4:16" x14ac:dyDescent="0.2">
      <c r="D6887">
        <v>100004114</v>
      </c>
      <c r="E6887" s="49">
        <v>44622</v>
      </c>
      <c r="F6887" t="s">
        <v>5525</v>
      </c>
      <c r="G6887" t="s">
        <v>2357</v>
      </c>
      <c r="H6887">
        <v>8</v>
      </c>
      <c r="I6887">
        <v>88.93</v>
      </c>
      <c r="J6887" s="50">
        <v>711.44</v>
      </c>
      <c r="K6887" t="s">
        <v>1618</v>
      </c>
      <c r="M6887" t="s">
        <v>1627</v>
      </c>
      <c r="N6887">
        <v>46.93</v>
      </c>
      <c r="O6887" s="49">
        <v>44626</v>
      </c>
      <c r="P6887" s="50">
        <v>320.14800000000002</v>
      </c>
    </row>
    <row r="6888" spans="4:16" x14ac:dyDescent="0.2">
      <c r="D6888">
        <v>100004114</v>
      </c>
      <c r="E6888" s="49">
        <v>45637</v>
      </c>
      <c r="F6888" t="s">
        <v>5525</v>
      </c>
      <c r="G6888" t="s">
        <v>1866</v>
      </c>
      <c r="H6888">
        <v>4</v>
      </c>
      <c r="I6888">
        <v>105.82</v>
      </c>
      <c r="J6888" s="50">
        <v>423.28</v>
      </c>
      <c r="K6888" t="s">
        <v>1618</v>
      </c>
      <c r="M6888" t="s">
        <v>1621</v>
      </c>
      <c r="N6888">
        <v>55.85</v>
      </c>
      <c r="O6888" s="49">
        <v>45642</v>
      </c>
      <c r="P6888" s="50">
        <v>190.476</v>
      </c>
    </row>
    <row r="6889" spans="4:16" x14ac:dyDescent="0.2">
      <c r="D6889">
        <v>100004114</v>
      </c>
      <c r="E6889" s="49">
        <v>45508</v>
      </c>
      <c r="F6889" t="s">
        <v>5525</v>
      </c>
      <c r="G6889" t="s">
        <v>1902</v>
      </c>
      <c r="H6889">
        <v>7</v>
      </c>
      <c r="I6889">
        <v>42.64</v>
      </c>
      <c r="J6889" s="50">
        <v>298.48</v>
      </c>
      <c r="K6889" t="s">
        <v>1618</v>
      </c>
      <c r="M6889" t="s">
        <v>1619</v>
      </c>
      <c r="N6889">
        <v>22.5</v>
      </c>
      <c r="O6889" s="49">
        <v>45509</v>
      </c>
      <c r="P6889" s="50">
        <v>134.316</v>
      </c>
    </row>
    <row r="6890" spans="4:16" x14ac:dyDescent="0.2">
      <c r="D6890">
        <v>100004115</v>
      </c>
      <c r="E6890" s="49">
        <v>44332</v>
      </c>
      <c r="F6890" t="s">
        <v>5526</v>
      </c>
      <c r="G6890" t="s">
        <v>2514</v>
      </c>
      <c r="H6890">
        <v>2</v>
      </c>
      <c r="I6890">
        <v>48.85</v>
      </c>
      <c r="J6890" s="50">
        <v>97.7</v>
      </c>
      <c r="K6890" t="s">
        <v>1632</v>
      </c>
      <c r="L6890" t="s">
        <v>5527</v>
      </c>
      <c r="M6890" t="s">
        <v>1629</v>
      </c>
      <c r="N6890">
        <v>25.78</v>
      </c>
      <c r="O6890" s="49">
        <v>44335</v>
      </c>
      <c r="P6890" s="50">
        <v>43.965000000000003</v>
      </c>
    </row>
    <row r="6891" spans="4:16" x14ac:dyDescent="0.2">
      <c r="D6891">
        <v>100004116</v>
      </c>
      <c r="E6891" s="49">
        <v>45295</v>
      </c>
      <c r="F6891" t="s">
        <v>5528</v>
      </c>
      <c r="G6891" t="s">
        <v>1967</v>
      </c>
      <c r="H6891">
        <v>10</v>
      </c>
      <c r="I6891">
        <v>80.489999999999995</v>
      </c>
      <c r="J6891" s="50">
        <v>804.9</v>
      </c>
      <c r="K6891" t="s">
        <v>1632</v>
      </c>
      <c r="M6891" t="s">
        <v>1619</v>
      </c>
      <c r="N6891">
        <v>42.48</v>
      </c>
      <c r="O6891" s="49">
        <v>45296</v>
      </c>
      <c r="P6891" s="50">
        <v>362.20499999999998</v>
      </c>
    </row>
    <row r="6892" spans="4:16" x14ac:dyDescent="0.2">
      <c r="D6892">
        <v>100004116</v>
      </c>
      <c r="E6892" s="49">
        <v>44740</v>
      </c>
      <c r="F6892" t="s">
        <v>5528</v>
      </c>
      <c r="G6892" t="s">
        <v>2603</v>
      </c>
      <c r="H6892">
        <v>3</v>
      </c>
      <c r="I6892">
        <v>34.340000000000003</v>
      </c>
      <c r="J6892" s="50">
        <v>103.02</v>
      </c>
      <c r="K6892" t="s">
        <v>1632</v>
      </c>
      <c r="M6892" t="s">
        <v>1629</v>
      </c>
      <c r="N6892">
        <v>18.12</v>
      </c>
      <c r="O6892" s="49">
        <v>44741</v>
      </c>
      <c r="P6892" s="50">
        <v>46.359000000000002</v>
      </c>
    </row>
    <row r="6893" spans="4:16" x14ac:dyDescent="0.2">
      <c r="D6893">
        <v>100004119</v>
      </c>
      <c r="E6893" s="49">
        <v>45341</v>
      </c>
      <c r="F6893" t="s">
        <v>5529</v>
      </c>
      <c r="G6893" t="s">
        <v>1691</v>
      </c>
      <c r="H6893">
        <v>10</v>
      </c>
      <c r="I6893">
        <v>35.39</v>
      </c>
      <c r="J6893" s="50">
        <v>353.9</v>
      </c>
      <c r="K6893" t="s">
        <v>1618</v>
      </c>
      <c r="M6893" t="s">
        <v>1619</v>
      </c>
      <c r="N6893">
        <v>18.68</v>
      </c>
      <c r="O6893" s="49">
        <v>45345</v>
      </c>
      <c r="P6893" s="50">
        <v>159.255</v>
      </c>
    </row>
    <row r="6894" spans="4:16" x14ac:dyDescent="0.2">
      <c r="D6894">
        <v>100004119</v>
      </c>
      <c r="E6894" s="49">
        <v>45368</v>
      </c>
      <c r="F6894" t="s">
        <v>5529</v>
      </c>
      <c r="G6894" t="s">
        <v>2255</v>
      </c>
      <c r="H6894">
        <v>9</v>
      </c>
      <c r="I6894">
        <v>37.729999999999997</v>
      </c>
      <c r="J6894" s="50">
        <v>339.57</v>
      </c>
      <c r="K6894" t="s">
        <v>1618</v>
      </c>
      <c r="M6894" t="s">
        <v>1624</v>
      </c>
      <c r="N6894">
        <v>19.91</v>
      </c>
      <c r="O6894" s="49">
        <v>45371</v>
      </c>
      <c r="P6894" s="50">
        <v>152.8065</v>
      </c>
    </row>
    <row r="6895" spans="4:16" x14ac:dyDescent="0.2">
      <c r="D6895">
        <v>100004120</v>
      </c>
      <c r="E6895" s="49">
        <v>45407</v>
      </c>
      <c r="F6895" t="s">
        <v>5530</v>
      </c>
      <c r="G6895" t="s">
        <v>2138</v>
      </c>
      <c r="H6895">
        <v>1</v>
      </c>
      <c r="I6895">
        <v>108.34</v>
      </c>
      <c r="J6895" s="50">
        <v>108.34</v>
      </c>
      <c r="K6895" t="s">
        <v>1632</v>
      </c>
      <c r="M6895" t="s">
        <v>1627</v>
      </c>
      <c r="N6895">
        <v>57.18</v>
      </c>
      <c r="O6895" s="49">
        <v>45410</v>
      </c>
      <c r="P6895" s="50">
        <v>48.753</v>
      </c>
    </row>
    <row r="6896" spans="4:16" x14ac:dyDescent="0.2">
      <c r="D6896">
        <v>100004121</v>
      </c>
      <c r="E6896" s="49">
        <v>45642</v>
      </c>
      <c r="F6896" t="s">
        <v>5531</v>
      </c>
      <c r="G6896" t="s">
        <v>2038</v>
      </c>
      <c r="H6896">
        <v>7</v>
      </c>
      <c r="I6896">
        <v>73.94</v>
      </c>
      <c r="J6896" s="50">
        <v>517.57999999999993</v>
      </c>
      <c r="K6896" t="s">
        <v>1632</v>
      </c>
      <c r="L6896" t="s">
        <v>3127</v>
      </c>
      <c r="M6896" t="s">
        <v>1619</v>
      </c>
      <c r="N6896">
        <v>39.020000000000003</v>
      </c>
      <c r="O6896" s="49">
        <v>45643</v>
      </c>
      <c r="P6896" s="50">
        <v>232.91099999999997</v>
      </c>
    </row>
    <row r="6897" spans="4:16" x14ac:dyDescent="0.2">
      <c r="D6897">
        <v>100004123</v>
      </c>
      <c r="E6897" s="49">
        <v>44995</v>
      </c>
      <c r="F6897" t="s">
        <v>5532</v>
      </c>
      <c r="G6897" t="s">
        <v>1770</v>
      </c>
      <c r="H6897">
        <v>5</v>
      </c>
      <c r="I6897">
        <v>63.56</v>
      </c>
      <c r="J6897" s="50">
        <v>317.8</v>
      </c>
      <c r="K6897" t="s">
        <v>1618</v>
      </c>
      <c r="M6897" t="s">
        <v>1619</v>
      </c>
      <c r="N6897">
        <v>33.549999999999997</v>
      </c>
      <c r="O6897" s="49">
        <v>44998</v>
      </c>
      <c r="P6897" s="50">
        <v>143.01000000000002</v>
      </c>
    </row>
    <row r="6898" spans="4:16" x14ac:dyDescent="0.2">
      <c r="D6898">
        <v>100004123</v>
      </c>
      <c r="E6898" s="49">
        <v>44533</v>
      </c>
      <c r="F6898" t="s">
        <v>5532</v>
      </c>
      <c r="G6898" t="s">
        <v>2484</v>
      </c>
      <c r="H6898">
        <v>7</v>
      </c>
      <c r="I6898">
        <v>119.14</v>
      </c>
      <c r="J6898" s="50">
        <v>833.98</v>
      </c>
      <c r="K6898" t="s">
        <v>1618</v>
      </c>
      <c r="M6898" t="s">
        <v>1629</v>
      </c>
      <c r="N6898">
        <v>62.88</v>
      </c>
      <c r="O6898" s="49">
        <v>44534</v>
      </c>
      <c r="P6898" s="50">
        <v>375.291</v>
      </c>
    </row>
    <row r="6899" spans="4:16" x14ac:dyDescent="0.2">
      <c r="D6899">
        <v>100004123</v>
      </c>
      <c r="E6899" s="49">
        <v>45303</v>
      </c>
      <c r="F6899" t="s">
        <v>5532</v>
      </c>
      <c r="G6899" t="s">
        <v>1955</v>
      </c>
      <c r="H6899">
        <v>9</v>
      </c>
      <c r="I6899">
        <v>108.48</v>
      </c>
      <c r="J6899" s="50">
        <v>976.32</v>
      </c>
      <c r="K6899" t="s">
        <v>1618</v>
      </c>
      <c r="M6899" t="s">
        <v>1624</v>
      </c>
      <c r="N6899">
        <v>57.25</v>
      </c>
      <c r="O6899" s="49">
        <v>45305</v>
      </c>
      <c r="P6899" s="50">
        <v>439.34400000000005</v>
      </c>
    </row>
    <row r="6900" spans="4:16" x14ac:dyDescent="0.2">
      <c r="D6900">
        <v>100004125</v>
      </c>
      <c r="E6900" s="49">
        <v>45437</v>
      </c>
      <c r="F6900" t="s">
        <v>5533</v>
      </c>
      <c r="G6900" t="s">
        <v>1663</v>
      </c>
      <c r="H6900">
        <v>4</v>
      </c>
      <c r="I6900">
        <v>46.92</v>
      </c>
      <c r="J6900" s="50">
        <v>187.68</v>
      </c>
      <c r="K6900" t="s">
        <v>1632</v>
      </c>
      <c r="L6900" t="s">
        <v>5534</v>
      </c>
      <c r="M6900" t="s">
        <v>1624</v>
      </c>
      <c r="N6900">
        <v>24.76</v>
      </c>
      <c r="O6900" s="49">
        <v>45441</v>
      </c>
      <c r="P6900" s="50">
        <v>84.456000000000003</v>
      </c>
    </row>
    <row r="6901" spans="4:16" x14ac:dyDescent="0.2">
      <c r="D6901">
        <v>100004125</v>
      </c>
      <c r="E6901" s="49">
        <v>44683</v>
      </c>
      <c r="F6901" t="s">
        <v>5533</v>
      </c>
      <c r="G6901" t="s">
        <v>2145</v>
      </c>
      <c r="H6901">
        <v>2</v>
      </c>
      <c r="I6901">
        <v>100.59</v>
      </c>
      <c r="J6901" s="50">
        <v>201.18</v>
      </c>
      <c r="K6901" t="s">
        <v>1632</v>
      </c>
      <c r="L6901" t="s">
        <v>5534</v>
      </c>
      <c r="M6901" t="s">
        <v>1627</v>
      </c>
      <c r="N6901">
        <v>53.09</v>
      </c>
      <c r="O6901" s="49">
        <v>44685</v>
      </c>
      <c r="P6901" s="50">
        <v>90.531000000000006</v>
      </c>
    </row>
    <row r="6902" spans="4:16" x14ac:dyDescent="0.2">
      <c r="D6902">
        <v>100004125</v>
      </c>
      <c r="E6902" s="49">
        <v>45067</v>
      </c>
      <c r="F6902" t="s">
        <v>5533</v>
      </c>
      <c r="G6902" t="s">
        <v>1932</v>
      </c>
      <c r="H6902">
        <v>4</v>
      </c>
      <c r="I6902">
        <v>96.69</v>
      </c>
      <c r="J6902" s="50">
        <v>386.76</v>
      </c>
      <c r="K6902" t="s">
        <v>1632</v>
      </c>
      <c r="L6902" t="s">
        <v>5534</v>
      </c>
      <c r="M6902" t="s">
        <v>1624</v>
      </c>
      <c r="N6902">
        <v>51.03</v>
      </c>
      <c r="O6902" s="49">
        <v>45072</v>
      </c>
      <c r="P6902" s="50">
        <v>174.042</v>
      </c>
    </row>
    <row r="6903" spans="4:16" x14ac:dyDescent="0.2">
      <c r="D6903">
        <v>100004126</v>
      </c>
      <c r="E6903" s="49">
        <v>44494</v>
      </c>
      <c r="F6903" t="s">
        <v>5535</v>
      </c>
      <c r="G6903" t="s">
        <v>2142</v>
      </c>
      <c r="H6903">
        <v>9</v>
      </c>
      <c r="I6903">
        <v>98.6</v>
      </c>
      <c r="J6903" s="50">
        <v>887.4</v>
      </c>
      <c r="K6903" t="s">
        <v>1618</v>
      </c>
      <c r="M6903" t="s">
        <v>1629</v>
      </c>
      <c r="N6903">
        <v>52.04</v>
      </c>
      <c r="O6903" s="49">
        <v>44496</v>
      </c>
      <c r="P6903" s="50">
        <v>399.33</v>
      </c>
    </row>
    <row r="6904" spans="4:16" x14ac:dyDescent="0.2">
      <c r="D6904">
        <v>100004127</v>
      </c>
      <c r="E6904" s="49">
        <v>45054</v>
      </c>
      <c r="F6904" t="s">
        <v>5536</v>
      </c>
      <c r="G6904" t="s">
        <v>2372</v>
      </c>
      <c r="H6904">
        <v>2</v>
      </c>
      <c r="I6904">
        <v>107.88</v>
      </c>
      <c r="J6904" s="50">
        <v>215.76</v>
      </c>
      <c r="K6904" t="s">
        <v>1618</v>
      </c>
      <c r="M6904" t="s">
        <v>1619</v>
      </c>
      <c r="N6904">
        <v>56.94</v>
      </c>
      <c r="O6904" s="49">
        <v>45057</v>
      </c>
      <c r="P6904" s="50">
        <v>97.091999999999999</v>
      </c>
    </row>
    <row r="6905" spans="4:16" x14ac:dyDescent="0.2">
      <c r="D6905">
        <v>100004127</v>
      </c>
      <c r="E6905" s="49">
        <v>45476</v>
      </c>
      <c r="F6905" t="s">
        <v>5536</v>
      </c>
      <c r="G6905" t="s">
        <v>2038</v>
      </c>
      <c r="H6905">
        <v>5</v>
      </c>
      <c r="I6905">
        <v>104.34</v>
      </c>
      <c r="J6905" s="50">
        <v>521.70000000000005</v>
      </c>
      <c r="K6905" t="s">
        <v>1618</v>
      </c>
      <c r="M6905" t="s">
        <v>1624</v>
      </c>
      <c r="N6905">
        <v>55.07</v>
      </c>
      <c r="O6905" s="49">
        <v>45479</v>
      </c>
      <c r="P6905" s="50">
        <v>234.76500000000001</v>
      </c>
    </row>
    <row r="6906" spans="4:16" x14ac:dyDescent="0.2">
      <c r="D6906">
        <v>100004128</v>
      </c>
      <c r="E6906" s="49">
        <v>45473</v>
      </c>
      <c r="F6906" t="s">
        <v>5537</v>
      </c>
      <c r="G6906" t="s">
        <v>1982</v>
      </c>
      <c r="H6906">
        <v>2</v>
      </c>
      <c r="I6906">
        <v>107.68</v>
      </c>
      <c r="J6906" s="50">
        <v>215.36</v>
      </c>
      <c r="K6906" t="s">
        <v>1618</v>
      </c>
      <c r="L6906" t="s">
        <v>5538</v>
      </c>
      <c r="M6906" t="s">
        <v>1621</v>
      </c>
      <c r="N6906">
        <v>56.83</v>
      </c>
      <c r="O6906" s="49">
        <v>45474</v>
      </c>
      <c r="P6906" s="50">
        <v>96.912000000000006</v>
      </c>
    </row>
    <row r="6907" spans="4:16" x14ac:dyDescent="0.2">
      <c r="D6907">
        <v>100004129</v>
      </c>
      <c r="E6907" s="49">
        <v>45090</v>
      </c>
      <c r="F6907" t="s">
        <v>3519</v>
      </c>
      <c r="G6907" t="s">
        <v>2766</v>
      </c>
      <c r="H6907">
        <v>7</v>
      </c>
      <c r="I6907">
        <v>62.41</v>
      </c>
      <c r="J6907" s="50">
        <v>436.87</v>
      </c>
      <c r="K6907" t="s">
        <v>1618</v>
      </c>
      <c r="L6907" t="s">
        <v>2538</v>
      </c>
      <c r="M6907" t="s">
        <v>1627</v>
      </c>
      <c r="N6907">
        <v>32.94</v>
      </c>
      <c r="O6907" s="49">
        <v>45093</v>
      </c>
      <c r="P6907" s="50">
        <v>196.5915</v>
      </c>
    </row>
    <row r="6908" spans="4:16" x14ac:dyDescent="0.2">
      <c r="D6908">
        <v>100004129</v>
      </c>
      <c r="E6908" s="49">
        <v>44218</v>
      </c>
      <c r="F6908" t="s">
        <v>3519</v>
      </c>
      <c r="G6908" t="s">
        <v>1969</v>
      </c>
      <c r="H6908">
        <v>2</v>
      </c>
      <c r="I6908">
        <v>23.61</v>
      </c>
      <c r="J6908" s="50">
        <v>47.22</v>
      </c>
      <c r="K6908" t="s">
        <v>1618</v>
      </c>
      <c r="L6908" t="s">
        <v>2538</v>
      </c>
      <c r="M6908" t="s">
        <v>1619</v>
      </c>
      <c r="N6908">
        <v>12.46</v>
      </c>
      <c r="O6908" s="49">
        <v>44223</v>
      </c>
      <c r="P6908" s="50">
        <v>21.248999999999999</v>
      </c>
    </row>
    <row r="6909" spans="4:16" x14ac:dyDescent="0.2">
      <c r="D6909">
        <v>100004129</v>
      </c>
      <c r="E6909" s="49">
        <v>44278</v>
      </c>
      <c r="F6909" t="s">
        <v>3519</v>
      </c>
      <c r="G6909" t="s">
        <v>2217</v>
      </c>
      <c r="H6909">
        <v>10</v>
      </c>
      <c r="I6909">
        <v>61.41</v>
      </c>
      <c r="J6909" s="50">
        <v>614.09999999999991</v>
      </c>
      <c r="K6909" t="s">
        <v>1618</v>
      </c>
      <c r="L6909" t="s">
        <v>2538</v>
      </c>
      <c r="M6909" t="s">
        <v>1619</v>
      </c>
      <c r="N6909">
        <v>32.409999999999997</v>
      </c>
      <c r="O6909" s="49">
        <v>44280</v>
      </c>
      <c r="P6909" s="50">
        <v>276.34499999999997</v>
      </c>
    </row>
    <row r="6910" spans="4:16" x14ac:dyDescent="0.2">
      <c r="D6910">
        <v>100004129</v>
      </c>
      <c r="E6910" s="49">
        <v>44807</v>
      </c>
      <c r="F6910" t="s">
        <v>3519</v>
      </c>
      <c r="G6910" t="s">
        <v>2116</v>
      </c>
      <c r="H6910">
        <v>2</v>
      </c>
      <c r="I6910">
        <v>17.8</v>
      </c>
      <c r="J6910" s="50">
        <v>35.6</v>
      </c>
      <c r="K6910" t="s">
        <v>1618</v>
      </c>
      <c r="L6910" t="s">
        <v>2538</v>
      </c>
      <c r="M6910" t="s">
        <v>1619</v>
      </c>
      <c r="N6910">
        <v>9.39</v>
      </c>
      <c r="O6910" s="49">
        <v>44809</v>
      </c>
      <c r="P6910" s="50">
        <v>16.02</v>
      </c>
    </row>
    <row r="6911" spans="4:16" x14ac:dyDescent="0.2">
      <c r="D6911">
        <v>100004130</v>
      </c>
      <c r="E6911" s="49">
        <v>44648</v>
      </c>
      <c r="F6911" t="s">
        <v>5539</v>
      </c>
      <c r="G6911" t="s">
        <v>1626</v>
      </c>
      <c r="H6911">
        <v>8</v>
      </c>
      <c r="I6911">
        <v>113.45</v>
      </c>
      <c r="J6911" s="50">
        <v>907.6</v>
      </c>
      <c r="K6911" t="s">
        <v>1632</v>
      </c>
      <c r="M6911" t="s">
        <v>1629</v>
      </c>
      <c r="N6911">
        <v>59.88</v>
      </c>
      <c r="O6911" s="49">
        <v>44653</v>
      </c>
      <c r="P6911" s="50">
        <v>408.42</v>
      </c>
    </row>
    <row r="6912" spans="4:16" x14ac:dyDescent="0.2">
      <c r="D6912">
        <v>100004131</v>
      </c>
      <c r="E6912" s="49">
        <v>45251</v>
      </c>
      <c r="F6912" t="s">
        <v>5540</v>
      </c>
      <c r="G6912" t="s">
        <v>2023</v>
      </c>
      <c r="H6912">
        <v>1</v>
      </c>
      <c r="I6912">
        <v>19.38</v>
      </c>
      <c r="J6912" s="50">
        <v>19.38</v>
      </c>
      <c r="K6912" t="s">
        <v>1618</v>
      </c>
      <c r="M6912" t="s">
        <v>1624</v>
      </c>
      <c r="N6912">
        <v>10.23</v>
      </c>
      <c r="O6912" s="49">
        <v>45256</v>
      </c>
      <c r="P6912" s="50">
        <v>8.7210000000000001</v>
      </c>
    </row>
    <row r="6913" spans="4:16" x14ac:dyDescent="0.2">
      <c r="D6913">
        <v>100004131</v>
      </c>
      <c r="E6913" s="49">
        <v>44918</v>
      </c>
      <c r="F6913" t="s">
        <v>5540</v>
      </c>
      <c r="G6913" t="s">
        <v>1990</v>
      </c>
      <c r="H6913">
        <v>8</v>
      </c>
      <c r="I6913">
        <v>107.47</v>
      </c>
      <c r="J6913" s="50">
        <v>859.76</v>
      </c>
      <c r="K6913" t="s">
        <v>1618</v>
      </c>
      <c r="M6913" t="s">
        <v>1629</v>
      </c>
      <c r="N6913">
        <v>56.72</v>
      </c>
      <c r="O6913" s="49">
        <v>44920</v>
      </c>
      <c r="P6913" s="50">
        <v>386.892</v>
      </c>
    </row>
    <row r="6914" spans="4:16" x14ac:dyDescent="0.2">
      <c r="D6914">
        <v>100004132</v>
      </c>
      <c r="E6914" s="49">
        <v>44718</v>
      </c>
      <c r="F6914" t="s">
        <v>5541</v>
      </c>
      <c r="G6914" t="s">
        <v>2378</v>
      </c>
      <c r="H6914">
        <v>3</v>
      </c>
      <c r="I6914">
        <v>17.75</v>
      </c>
      <c r="J6914" s="50">
        <v>53.25</v>
      </c>
      <c r="K6914" t="s">
        <v>1618</v>
      </c>
      <c r="M6914" t="s">
        <v>1627</v>
      </c>
      <c r="N6914">
        <v>9.3699999999999992</v>
      </c>
      <c r="O6914" s="49">
        <v>44723</v>
      </c>
      <c r="P6914" s="50">
        <v>23.962500000000002</v>
      </c>
    </row>
    <row r="6915" spans="4:16" x14ac:dyDescent="0.2">
      <c r="D6915">
        <v>100004132</v>
      </c>
      <c r="E6915" s="49">
        <v>45243</v>
      </c>
      <c r="F6915" t="s">
        <v>5541</v>
      </c>
      <c r="G6915" t="s">
        <v>2387</v>
      </c>
      <c r="H6915">
        <v>5</v>
      </c>
      <c r="I6915">
        <v>19.71</v>
      </c>
      <c r="J6915" s="50">
        <v>98.550000000000011</v>
      </c>
      <c r="K6915" t="s">
        <v>1618</v>
      </c>
      <c r="M6915" t="s">
        <v>1627</v>
      </c>
      <c r="N6915">
        <v>10.4</v>
      </c>
      <c r="O6915" s="49">
        <v>45245</v>
      </c>
      <c r="P6915" s="50">
        <v>44.347500000000004</v>
      </c>
    </row>
    <row r="6916" spans="4:16" x14ac:dyDescent="0.2">
      <c r="D6916">
        <v>100004133</v>
      </c>
      <c r="E6916" s="49">
        <v>45542</v>
      </c>
      <c r="F6916" t="s">
        <v>5542</v>
      </c>
      <c r="G6916" t="s">
        <v>2138</v>
      </c>
      <c r="H6916">
        <v>3</v>
      </c>
      <c r="I6916">
        <v>98.71</v>
      </c>
      <c r="J6916" s="50">
        <v>296.13</v>
      </c>
      <c r="K6916" t="s">
        <v>1632</v>
      </c>
      <c r="M6916" t="s">
        <v>1624</v>
      </c>
      <c r="N6916">
        <v>52.1</v>
      </c>
      <c r="O6916" s="49">
        <v>45546</v>
      </c>
      <c r="P6916" s="50">
        <v>133.2585</v>
      </c>
    </row>
    <row r="6917" spans="4:16" x14ac:dyDescent="0.2">
      <c r="D6917">
        <v>100004133</v>
      </c>
      <c r="E6917" s="49">
        <v>45345</v>
      </c>
      <c r="F6917" t="s">
        <v>5542</v>
      </c>
      <c r="G6917" t="s">
        <v>1856</v>
      </c>
      <c r="H6917">
        <v>2</v>
      </c>
      <c r="I6917">
        <v>73.510000000000005</v>
      </c>
      <c r="J6917" s="50">
        <v>147.02000000000001</v>
      </c>
      <c r="K6917" t="s">
        <v>1632</v>
      </c>
      <c r="M6917" t="s">
        <v>1621</v>
      </c>
      <c r="N6917">
        <v>38.799999999999997</v>
      </c>
      <c r="O6917" s="49">
        <v>45346</v>
      </c>
      <c r="P6917" s="50">
        <v>66.159000000000006</v>
      </c>
    </row>
    <row r="6918" spans="4:16" x14ac:dyDescent="0.2">
      <c r="D6918">
        <v>100004133</v>
      </c>
      <c r="E6918" s="49">
        <v>44874</v>
      </c>
      <c r="F6918" t="s">
        <v>5542</v>
      </c>
      <c r="G6918" t="s">
        <v>2581</v>
      </c>
      <c r="H6918">
        <v>6</v>
      </c>
      <c r="I6918">
        <v>119.87</v>
      </c>
      <c r="J6918" s="50">
        <v>719.22</v>
      </c>
      <c r="K6918" t="s">
        <v>1632</v>
      </c>
      <c r="M6918" t="s">
        <v>1627</v>
      </c>
      <c r="N6918">
        <v>63.26</v>
      </c>
      <c r="O6918" s="49">
        <v>44877</v>
      </c>
      <c r="P6918" s="50">
        <v>323.649</v>
      </c>
    </row>
    <row r="6919" spans="4:16" x14ac:dyDescent="0.2">
      <c r="D6919">
        <v>100004133</v>
      </c>
      <c r="E6919" s="49">
        <v>45399</v>
      </c>
      <c r="F6919" t="s">
        <v>5542</v>
      </c>
      <c r="G6919" t="s">
        <v>1975</v>
      </c>
      <c r="H6919">
        <v>9</v>
      </c>
      <c r="I6919">
        <v>73.510000000000005</v>
      </c>
      <c r="J6919" s="50">
        <v>661.59</v>
      </c>
      <c r="K6919" t="s">
        <v>1632</v>
      </c>
      <c r="M6919" t="s">
        <v>1621</v>
      </c>
      <c r="N6919">
        <v>38.799999999999997</v>
      </c>
      <c r="O6919" s="49">
        <v>45400</v>
      </c>
      <c r="P6919" s="50">
        <v>297.71550000000002</v>
      </c>
    </row>
    <row r="6920" spans="4:16" x14ac:dyDescent="0.2">
      <c r="D6920">
        <v>100004134</v>
      </c>
      <c r="E6920" s="49">
        <v>45518</v>
      </c>
      <c r="F6920" t="s">
        <v>5543</v>
      </c>
      <c r="G6920" t="s">
        <v>2024</v>
      </c>
      <c r="H6920">
        <v>7</v>
      </c>
      <c r="I6920">
        <v>43.67</v>
      </c>
      <c r="J6920" s="50">
        <v>305.69</v>
      </c>
      <c r="K6920" t="s">
        <v>1618</v>
      </c>
      <c r="M6920" t="s">
        <v>1629</v>
      </c>
      <c r="N6920">
        <v>23.05</v>
      </c>
      <c r="O6920" s="49">
        <v>45522</v>
      </c>
      <c r="P6920" s="50">
        <v>137.56049999999999</v>
      </c>
    </row>
    <row r="6921" spans="4:16" x14ac:dyDescent="0.2">
      <c r="D6921">
        <v>100004135</v>
      </c>
      <c r="E6921" s="49">
        <v>45642</v>
      </c>
      <c r="F6921" t="s">
        <v>5544</v>
      </c>
      <c r="G6921" t="s">
        <v>2416</v>
      </c>
      <c r="H6921">
        <v>9</v>
      </c>
      <c r="I6921">
        <v>93.84</v>
      </c>
      <c r="J6921" s="50">
        <v>844.56000000000006</v>
      </c>
      <c r="K6921" t="s">
        <v>1618</v>
      </c>
      <c r="L6921" t="s">
        <v>4636</v>
      </c>
      <c r="M6921" t="s">
        <v>1629</v>
      </c>
      <c r="N6921">
        <v>49.53</v>
      </c>
      <c r="O6921" s="49">
        <v>45647</v>
      </c>
      <c r="P6921" s="50">
        <v>380.05200000000002</v>
      </c>
    </row>
    <row r="6922" spans="4:16" x14ac:dyDescent="0.2">
      <c r="D6922">
        <v>100004135</v>
      </c>
      <c r="E6922" s="49">
        <v>45492</v>
      </c>
      <c r="F6922" t="s">
        <v>5544</v>
      </c>
      <c r="G6922" t="s">
        <v>1620</v>
      </c>
      <c r="H6922">
        <v>10</v>
      </c>
      <c r="I6922">
        <v>44.47</v>
      </c>
      <c r="J6922" s="50">
        <v>444.7</v>
      </c>
      <c r="K6922" t="s">
        <v>1618</v>
      </c>
      <c r="L6922" t="s">
        <v>4636</v>
      </c>
      <c r="M6922" t="s">
        <v>1627</v>
      </c>
      <c r="N6922">
        <v>23.47</v>
      </c>
      <c r="O6922" s="49">
        <v>45494</v>
      </c>
      <c r="P6922" s="50">
        <v>200.11500000000001</v>
      </c>
    </row>
    <row r="6923" spans="4:16" x14ac:dyDescent="0.2">
      <c r="D6923">
        <v>100004135</v>
      </c>
      <c r="E6923" s="49">
        <v>45270</v>
      </c>
      <c r="F6923" t="s">
        <v>5544</v>
      </c>
      <c r="G6923" t="s">
        <v>2023</v>
      </c>
      <c r="H6923">
        <v>3</v>
      </c>
      <c r="I6923">
        <v>117.88</v>
      </c>
      <c r="J6923" s="50">
        <v>353.64</v>
      </c>
      <c r="K6923" t="s">
        <v>1618</v>
      </c>
      <c r="L6923" t="s">
        <v>4636</v>
      </c>
      <c r="M6923" t="s">
        <v>1627</v>
      </c>
      <c r="N6923">
        <v>62.21</v>
      </c>
      <c r="O6923" s="49">
        <v>45273</v>
      </c>
      <c r="P6923" s="50">
        <v>159.13800000000001</v>
      </c>
    </row>
    <row r="6924" spans="4:16" x14ac:dyDescent="0.2">
      <c r="D6924">
        <v>100004136</v>
      </c>
      <c r="E6924" s="49">
        <v>45022</v>
      </c>
      <c r="F6924" t="s">
        <v>5545</v>
      </c>
      <c r="G6924" t="s">
        <v>1842</v>
      </c>
      <c r="H6924">
        <v>3</v>
      </c>
      <c r="I6924">
        <v>27.29</v>
      </c>
      <c r="J6924" s="50">
        <v>81.87</v>
      </c>
      <c r="K6924" t="s">
        <v>1618</v>
      </c>
      <c r="M6924" t="s">
        <v>1621</v>
      </c>
      <c r="N6924">
        <v>14.4</v>
      </c>
      <c r="O6924" s="49">
        <v>45023</v>
      </c>
      <c r="P6924" s="50">
        <v>36.841500000000003</v>
      </c>
    </row>
    <row r="6925" spans="4:16" x14ac:dyDescent="0.2">
      <c r="D6925">
        <v>100004136</v>
      </c>
      <c r="E6925" s="49">
        <v>45434</v>
      </c>
      <c r="F6925" t="s">
        <v>5545</v>
      </c>
      <c r="G6925" t="s">
        <v>2090</v>
      </c>
      <c r="H6925">
        <v>3</v>
      </c>
      <c r="I6925">
        <v>87.26</v>
      </c>
      <c r="J6925" s="50">
        <v>261.77999999999997</v>
      </c>
      <c r="K6925" t="s">
        <v>1618</v>
      </c>
      <c r="M6925" t="s">
        <v>1629</v>
      </c>
      <c r="N6925">
        <v>46.05</v>
      </c>
      <c r="O6925" s="49">
        <v>45436</v>
      </c>
      <c r="P6925" s="50">
        <v>117.80099999999999</v>
      </c>
    </row>
    <row r="6926" spans="4:16" x14ac:dyDescent="0.2">
      <c r="D6926">
        <v>100004136</v>
      </c>
      <c r="E6926" s="49">
        <v>45364</v>
      </c>
      <c r="F6926" t="s">
        <v>5545</v>
      </c>
      <c r="G6926" t="s">
        <v>1677</v>
      </c>
      <c r="H6926">
        <v>2</v>
      </c>
      <c r="I6926">
        <v>88.98</v>
      </c>
      <c r="J6926" s="50">
        <v>177.96</v>
      </c>
      <c r="K6926" t="s">
        <v>1618</v>
      </c>
      <c r="M6926" t="s">
        <v>1627</v>
      </c>
      <c r="N6926">
        <v>46.96</v>
      </c>
      <c r="O6926" s="49">
        <v>45369</v>
      </c>
      <c r="P6926" s="50">
        <v>80.082000000000008</v>
      </c>
    </row>
    <row r="6927" spans="4:16" x14ac:dyDescent="0.2">
      <c r="D6927">
        <v>100004138</v>
      </c>
      <c r="E6927" s="49">
        <v>45487</v>
      </c>
      <c r="F6927" t="s">
        <v>5546</v>
      </c>
      <c r="G6927" t="s">
        <v>2263</v>
      </c>
      <c r="H6927">
        <v>2</v>
      </c>
      <c r="I6927">
        <v>96.51</v>
      </c>
      <c r="J6927" s="50">
        <v>193.02</v>
      </c>
      <c r="K6927" t="s">
        <v>1632</v>
      </c>
      <c r="L6927" t="s">
        <v>3403</v>
      </c>
      <c r="M6927" t="s">
        <v>1627</v>
      </c>
      <c r="N6927">
        <v>50.94</v>
      </c>
      <c r="O6927" s="49">
        <v>45492</v>
      </c>
      <c r="P6927" s="50">
        <v>86.859000000000009</v>
      </c>
    </row>
    <row r="6928" spans="4:16" x14ac:dyDescent="0.2">
      <c r="D6928">
        <v>100004138</v>
      </c>
      <c r="E6928" s="49">
        <v>44270</v>
      </c>
      <c r="F6928" t="s">
        <v>5546</v>
      </c>
      <c r="G6928" t="s">
        <v>1921</v>
      </c>
      <c r="H6928">
        <v>5</v>
      </c>
      <c r="I6928">
        <v>87.31</v>
      </c>
      <c r="J6928" s="50">
        <v>436.55</v>
      </c>
      <c r="K6928" t="s">
        <v>1632</v>
      </c>
      <c r="L6928" t="s">
        <v>3403</v>
      </c>
      <c r="M6928" t="s">
        <v>1627</v>
      </c>
      <c r="N6928">
        <v>46.08</v>
      </c>
      <c r="O6928" s="49">
        <v>44272</v>
      </c>
      <c r="P6928" s="50">
        <v>196.44750000000002</v>
      </c>
    </row>
    <row r="6929" spans="4:16" x14ac:dyDescent="0.2">
      <c r="D6929">
        <v>100004140</v>
      </c>
      <c r="E6929" s="49">
        <v>45264</v>
      </c>
      <c r="F6929" t="s">
        <v>4211</v>
      </c>
      <c r="G6929" t="s">
        <v>2093</v>
      </c>
      <c r="H6929">
        <v>7</v>
      </c>
      <c r="I6929">
        <v>46.54</v>
      </c>
      <c r="J6929" s="50">
        <v>325.77999999999997</v>
      </c>
      <c r="K6929" t="s">
        <v>1618</v>
      </c>
      <c r="M6929" t="s">
        <v>1621</v>
      </c>
      <c r="N6929">
        <v>24.56</v>
      </c>
      <c r="O6929" s="49">
        <v>45267</v>
      </c>
      <c r="P6929" s="50">
        <v>146.601</v>
      </c>
    </row>
    <row r="6930" spans="4:16" x14ac:dyDescent="0.2">
      <c r="D6930">
        <v>100004141</v>
      </c>
      <c r="E6930" s="49">
        <v>44260</v>
      </c>
      <c r="F6930" t="s">
        <v>5547</v>
      </c>
      <c r="G6930" t="s">
        <v>2230</v>
      </c>
      <c r="H6930">
        <v>2</v>
      </c>
      <c r="I6930">
        <v>106.48</v>
      </c>
      <c r="J6930" s="50">
        <v>212.96</v>
      </c>
      <c r="K6930" t="s">
        <v>1632</v>
      </c>
      <c r="M6930" t="s">
        <v>1619</v>
      </c>
      <c r="N6930">
        <v>56.2</v>
      </c>
      <c r="O6930" s="49">
        <v>44265</v>
      </c>
      <c r="P6930" s="50">
        <v>95.832000000000008</v>
      </c>
    </row>
    <row r="6931" spans="4:16" x14ac:dyDescent="0.2">
      <c r="D6931">
        <v>100004141</v>
      </c>
      <c r="E6931" s="49">
        <v>44420</v>
      </c>
      <c r="F6931" t="s">
        <v>5547</v>
      </c>
      <c r="G6931" t="s">
        <v>2706</v>
      </c>
      <c r="H6931">
        <v>6</v>
      </c>
      <c r="I6931">
        <v>30.3</v>
      </c>
      <c r="J6931" s="50">
        <v>181.8</v>
      </c>
      <c r="K6931" t="s">
        <v>1632</v>
      </c>
      <c r="M6931" t="s">
        <v>1629</v>
      </c>
      <c r="N6931">
        <v>15.99</v>
      </c>
      <c r="O6931" s="49">
        <v>44425</v>
      </c>
      <c r="P6931" s="50">
        <v>81.81</v>
      </c>
    </row>
    <row r="6932" spans="4:16" x14ac:dyDescent="0.2">
      <c r="D6932">
        <v>100004141</v>
      </c>
      <c r="E6932" s="49">
        <v>45051</v>
      </c>
      <c r="F6932" t="s">
        <v>5547</v>
      </c>
      <c r="G6932" t="s">
        <v>1677</v>
      </c>
      <c r="H6932">
        <v>8</v>
      </c>
      <c r="I6932">
        <v>28.04</v>
      </c>
      <c r="J6932" s="50">
        <v>224.32</v>
      </c>
      <c r="K6932" t="s">
        <v>1632</v>
      </c>
      <c r="M6932" t="s">
        <v>1629</v>
      </c>
      <c r="N6932">
        <v>14.8</v>
      </c>
      <c r="O6932" s="49">
        <v>45055</v>
      </c>
      <c r="P6932" s="50">
        <v>100.944</v>
      </c>
    </row>
    <row r="6933" spans="4:16" x14ac:dyDescent="0.2">
      <c r="D6933">
        <v>100004141</v>
      </c>
      <c r="E6933" s="49">
        <v>45430</v>
      </c>
      <c r="F6933" t="s">
        <v>5547</v>
      </c>
      <c r="G6933" t="s">
        <v>2041</v>
      </c>
      <c r="H6933">
        <v>2</v>
      </c>
      <c r="I6933">
        <v>82.89</v>
      </c>
      <c r="J6933" s="50">
        <v>165.78</v>
      </c>
      <c r="K6933" t="s">
        <v>1632</v>
      </c>
      <c r="M6933" t="s">
        <v>1629</v>
      </c>
      <c r="N6933">
        <v>43.75</v>
      </c>
      <c r="O6933" s="49">
        <v>45433</v>
      </c>
      <c r="P6933" s="50">
        <v>74.600999999999999</v>
      </c>
    </row>
    <row r="6934" spans="4:16" x14ac:dyDescent="0.2">
      <c r="D6934">
        <v>100004141</v>
      </c>
      <c r="E6934" s="49">
        <v>45063</v>
      </c>
      <c r="F6934" t="s">
        <v>5547</v>
      </c>
      <c r="G6934" t="s">
        <v>2068</v>
      </c>
      <c r="H6934">
        <v>3</v>
      </c>
      <c r="I6934">
        <v>23.89</v>
      </c>
      <c r="J6934" s="50">
        <v>71.67</v>
      </c>
      <c r="K6934" t="s">
        <v>1632</v>
      </c>
      <c r="M6934" t="s">
        <v>1621</v>
      </c>
      <c r="N6934">
        <v>12.61</v>
      </c>
      <c r="O6934" s="49">
        <v>45066</v>
      </c>
      <c r="P6934" s="50">
        <v>32.2515</v>
      </c>
    </row>
    <row r="6935" spans="4:16" x14ac:dyDescent="0.2">
      <c r="D6935">
        <v>100004141</v>
      </c>
      <c r="E6935" s="49">
        <v>44827</v>
      </c>
      <c r="F6935" t="s">
        <v>5547</v>
      </c>
      <c r="G6935" t="s">
        <v>1797</v>
      </c>
      <c r="H6935">
        <v>10</v>
      </c>
      <c r="I6935">
        <v>24.75</v>
      </c>
      <c r="J6935" s="50">
        <v>247.5</v>
      </c>
      <c r="K6935" t="s">
        <v>1632</v>
      </c>
      <c r="M6935" t="s">
        <v>1621</v>
      </c>
      <c r="N6935">
        <v>13.06</v>
      </c>
      <c r="O6935" s="49">
        <v>44832</v>
      </c>
      <c r="P6935" s="50">
        <v>111.375</v>
      </c>
    </row>
    <row r="6936" spans="4:16" x14ac:dyDescent="0.2">
      <c r="D6936">
        <v>100004141</v>
      </c>
      <c r="E6936" s="49">
        <v>44692</v>
      </c>
      <c r="F6936" t="s">
        <v>5547</v>
      </c>
      <c r="G6936" t="s">
        <v>2692</v>
      </c>
      <c r="H6936">
        <v>5</v>
      </c>
      <c r="I6936">
        <v>53.02</v>
      </c>
      <c r="J6936" s="50">
        <v>265.10000000000002</v>
      </c>
      <c r="K6936" t="s">
        <v>1632</v>
      </c>
      <c r="M6936" t="s">
        <v>1624</v>
      </c>
      <c r="N6936">
        <v>27.98</v>
      </c>
      <c r="O6936" s="49">
        <v>44695</v>
      </c>
      <c r="P6936" s="50">
        <v>119.29500000000002</v>
      </c>
    </row>
    <row r="6937" spans="4:16" x14ac:dyDescent="0.2">
      <c r="D6937">
        <v>100004142</v>
      </c>
      <c r="E6937" s="49">
        <v>44294</v>
      </c>
      <c r="F6937" t="s">
        <v>5548</v>
      </c>
      <c r="G6937" t="s">
        <v>1941</v>
      </c>
      <c r="H6937">
        <v>5</v>
      </c>
      <c r="I6937">
        <v>79.88</v>
      </c>
      <c r="J6937" s="50">
        <v>399.4</v>
      </c>
      <c r="K6937" t="s">
        <v>1618</v>
      </c>
      <c r="M6937" t="s">
        <v>1621</v>
      </c>
      <c r="N6937">
        <v>42.16</v>
      </c>
      <c r="O6937" s="49">
        <v>44296</v>
      </c>
      <c r="P6937" s="50">
        <v>179.73</v>
      </c>
    </row>
    <row r="6938" spans="4:16" x14ac:dyDescent="0.2">
      <c r="D6938">
        <v>100004142</v>
      </c>
      <c r="E6938" s="49">
        <v>44206</v>
      </c>
      <c r="F6938" t="s">
        <v>5548</v>
      </c>
      <c r="G6938" t="s">
        <v>2071</v>
      </c>
      <c r="H6938">
        <v>5</v>
      </c>
      <c r="I6938">
        <v>111.44</v>
      </c>
      <c r="J6938" s="50">
        <v>557.20000000000005</v>
      </c>
      <c r="K6938" t="s">
        <v>1618</v>
      </c>
      <c r="M6938" t="s">
        <v>1621</v>
      </c>
      <c r="N6938">
        <v>58.82</v>
      </c>
      <c r="O6938" s="49">
        <v>44211</v>
      </c>
      <c r="P6938" s="50">
        <v>250.74000000000004</v>
      </c>
    </row>
    <row r="6939" spans="4:16" x14ac:dyDescent="0.2">
      <c r="D6939">
        <v>100004145</v>
      </c>
      <c r="E6939" s="49">
        <v>44757</v>
      </c>
      <c r="F6939" t="s">
        <v>5549</v>
      </c>
      <c r="G6939" t="s">
        <v>1744</v>
      </c>
      <c r="H6939">
        <v>1</v>
      </c>
      <c r="I6939">
        <v>64.98</v>
      </c>
      <c r="J6939" s="50">
        <v>64.98</v>
      </c>
      <c r="K6939" t="s">
        <v>1618</v>
      </c>
      <c r="L6939" t="s">
        <v>1839</v>
      </c>
      <c r="M6939" t="s">
        <v>1627</v>
      </c>
      <c r="N6939">
        <v>34.29</v>
      </c>
      <c r="O6939" s="49">
        <v>44761</v>
      </c>
      <c r="P6939" s="50">
        <v>29.241000000000003</v>
      </c>
    </row>
    <row r="6940" spans="4:16" x14ac:dyDescent="0.2">
      <c r="D6940">
        <v>100004147</v>
      </c>
      <c r="E6940" s="49">
        <v>44707</v>
      </c>
      <c r="F6940" t="s">
        <v>5550</v>
      </c>
      <c r="G6940" t="s">
        <v>1902</v>
      </c>
      <c r="H6940">
        <v>7</v>
      </c>
      <c r="I6940">
        <v>52.31</v>
      </c>
      <c r="J6940" s="50">
        <v>366.17</v>
      </c>
      <c r="K6940" t="s">
        <v>1618</v>
      </c>
      <c r="M6940" t="s">
        <v>1629</v>
      </c>
      <c r="N6940">
        <v>27.61</v>
      </c>
      <c r="O6940" s="49">
        <v>44711</v>
      </c>
      <c r="P6940" s="50">
        <v>164.7765</v>
      </c>
    </row>
    <row r="6941" spans="4:16" x14ac:dyDescent="0.2">
      <c r="D6941">
        <v>100004147</v>
      </c>
      <c r="E6941" s="49">
        <v>45003</v>
      </c>
      <c r="F6941" t="s">
        <v>5550</v>
      </c>
      <c r="G6941" t="s">
        <v>2692</v>
      </c>
      <c r="H6941">
        <v>3</v>
      </c>
      <c r="I6941">
        <v>61.34</v>
      </c>
      <c r="J6941" s="50">
        <v>184.02</v>
      </c>
      <c r="K6941" t="s">
        <v>1618</v>
      </c>
      <c r="M6941" t="s">
        <v>1629</v>
      </c>
      <c r="N6941">
        <v>32.369999999999997</v>
      </c>
      <c r="O6941" s="49">
        <v>45007</v>
      </c>
      <c r="P6941" s="50">
        <v>82.809000000000012</v>
      </c>
    </row>
    <row r="6942" spans="4:16" x14ac:dyDescent="0.2">
      <c r="D6942">
        <v>100004148</v>
      </c>
      <c r="E6942" s="49">
        <v>44458</v>
      </c>
      <c r="F6942" t="s">
        <v>5551</v>
      </c>
      <c r="G6942" t="s">
        <v>1728</v>
      </c>
      <c r="H6942">
        <v>6</v>
      </c>
      <c r="I6942">
        <v>109.52</v>
      </c>
      <c r="J6942" s="50">
        <v>657.12</v>
      </c>
      <c r="K6942" t="s">
        <v>1618</v>
      </c>
      <c r="M6942" t="s">
        <v>1624</v>
      </c>
      <c r="N6942">
        <v>57.8</v>
      </c>
      <c r="O6942" s="49">
        <v>44461</v>
      </c>
      <c r="P6942" s="50">
        <v>295.70400000000001</v>
      </c>
    </row>
    <row r="6943" spans="4:16" x14ac:dyDescent="0.2">
      <c r="D6943">
        <v>100004148</v>
      </c>
      <c r="E6943" s="49">
        <v>45429</v>
      </c>
      <c r="F6943" t="s">
        <v>5551</v>
      </c>
      <c r="G6943" t="s">
        <v>2348</v>
      </c>
      <c r="H6943">
        <v>9</v>
      </c>
      <c r="I6943">
        <v>108.72</v>
      </c>
      <c r="J6943" s="50">
        <v>978.48</v>
      </c>
      <c r="K6943" t="s">
        <v>1618</v>
      </c>
      <c r="M6943" t="s">
        <v>1621</v>
      </c>
      <c r="N6943">
        <v>57.38</v>
      </c>
      <c r="O6943" s="49">
        <v>45430</v>
      </c>
      <c r="P6943" s="50">
        <v>440.31600000000003</v>
      </c>
    </row>
    <row r="6944" spans="4:16" x14ac:dyDescent="0.2">
      <c r="D6944">
        <v>100004148</v>
      </c>
      <c r="E6944" s="49">
        <v>45376</v>
      </c>
      <c r="F6944" t="s">
        <v>5551</v>
      </c>
      <c r="G6944" t="s">
        <v>1749</v>
      </c>
      <c r="H6944">
        <v>1</v>
      </c>
      <c r="I6944">
        <v>94.98</v>
      </c>
      <c r="J6944" s="50">
        <v>94.98</v>
      </c>
      <c r="K6944" t="s">
        <v>1618</v>
      </c>
      <c r="M6944" t="s">
        <v>1624</v>
      </c>
      <c r="N6944">
        <v>50.13</v>
      </c>
      <c r="O6944" s="49">
        <v>45378</v>
      </c>
      <c r="P6944" s="50">
        <v>42.741</v>
      </c>
    </row>
    <row r="6945" spans="4:16" x14ac:dyDescent="0.2">
      <c r="D6945">
        <v>100004148</v>
      </c>
      <c r="E6945" s="49">
        <v>45028</v>
      </c>
      <c r="F6945" t="s">
        <v>5551</v>
      </c>
      <c r="G6945" t="s">
        <v>2134</v>
      </c>
      <c r="H6945">
        <v>9</v>
      </c>
      <c r="I6945">
        <v>114.29</v>
      </c>
      <c r="J6945" s="50">
        <v>1028.6099999999999</v>
      </c>
      <c r="K6945" t="s">
        <v>1618</v>
      </c>
      <c r="M6945" t="s">
        <v>1619</v>
      </c>
      <c r="N6945">
        <v>60.32</v>
      </c>
      <c r="O6945" s="49">
        <v>45033</v>
      </c>
      <c r="P6945" s="50">
        <v>462.87449999999995</v>
      </c>
    </row>
    <row r="6946" spans="4:16" x14ac:dyDescent="0.2">
      <c r="D6946">
        <v>100004149</v>
      </c>
      <c r="E6946" s="49">
        <v>44638</v>
      </c>
      <c r="F6946" t="s">
        <v>5552</v>
      </c>
      <c r="G6946" t="s">
        <v>2088</v>
      </c>
      <c r="H6946">
        <v>5</v>
      </c>
      <c r="I6946">
        <v>36.46</v>
      </c>
      <c r="J6946" s="50">
        <v>182.3</v>
      </c>
      <c r="K6946" t="s">
        <v>1632</v>
      </c>
      <c r="L6946" t="s">
        <v>5553</v>
      </c>
      <c r="M6946" t="s">
        <v>1624</v>
      </c>
      <c r="N6946">
        <v>19.239999999999998</v>
      </c>
      <c r="O6946" s="49">
        <v>44639</v>
      </c>
      <c r="P6946" s="50">
        <v>82.035000000000011</v>
      </c>
    </row>
    <row r="6947" spans="4:16" x14ac:dyDescent="0.2">
      <c r="D6947">
        <v>100004149</v>
      </c>
      <c r="E6947" s="49">
        <v>44389</v>
      </c>
      <c r="F6947" t="s">
        <v>5552</v>
      </c>
      <c r="G6947" t="s">
        <v>2063</v>
      </c>
      <c r="H6947">
        <v>6</v>
      </c>
      <c r="I6947">
        <v>57.54</v>
      </c>
      <c r="J6947" s="50">
        <v>345.24</v>
      </c>
      <c r="K6947" t="s">
        <v>1632</v>
      </c>
      <c r="L6947" t="s">
        <v>5553</v>
      </c>
      <c r="M6947" t="s">
        <v>1627</v>
      </c>
      <c r="N6947">
        <v>30.37</v>
      </c>
      <c r="O6947" s="49">
        <v>44394</v>
      </c>
      <c r="P6947" s="50">
        <v>155.358</v>
      </c>
    </row>
    <row r="6948" spans="4:16" x14ac:dyDescent="0.2">
      <c r="D6948">
        <v>100004149</v>
      </c>
      <c r="E6948" s="49">
        <v>44451</v>
      </c>
      <c r="F6948" t="s">
        <v>5552</v>
      </c>
      <c r="G6948" t="s">
        <v>2372</v>
      </c>
      <c r="H6948">
        <v>6</v>
      </c>
      <c r="I6948">
        <v>40</v>
      </c>
      <c r="J6948" s="50">
        <v>240</v>
      </c>
      <c r="K6948" t="s">
        <v>1632</v>
      </c>
      <c r="L6948" t="s">
        <v>5553</v>
      </c>
      <c r="M6948" t="s">
        <v>1621</v>
      </c>
      <c r="N6948">
        <v>21.11</v>
      </c>
      <c r="O6948" s="49">
        <v>44456</v>
      </c>
      <c r="P6948" s="50">
        <v>108</v>
      </c>
    </row>
    <row r="6949" spans="4:16" x14ac:dyDescent="0.2">
      <c r="D6949">
        <v>100004149</v>
      </c>
      <c r="E6949" s="49">
        <v>44679</v>
      </c>
      <c r="F6949" t="s">
        <v>5552</v>
      </c>
      <c r="G6949" t="s">
        <v>1650</v>
      </c>
      <c r="H6949">
        <v>8</v>
      </c>
      <c r="I6949">
        <v>94.12</v>
      </c>
      <c r="J6949" s="50">
        <v>752.96</v>
      </c>
      <c r="K6949" t="s">
        <v>1632</v>
      </c>
      <c r="L6949" t="s">
        <v>5553</v>
      </c>
      <c r="M6949" t="s">
        <v>1629</v>
      </c>
      <c r="N6949">
        <v>49.67</v>
      </c>
      <c r="O6949" s="49">
        <v>44683</v>
      </c>
      <c r="P6949" s="50">
        <v>338.83200000000005</v>
      </c>
    </row>
    <row r="6950" spans="4:16" x14ac:dyDescent="0.2">
      <c r="D6950">
        <v>100004149</v>
      </c>
      <c r="E6950" s="49">
        <v>45429</v>
      </c>
      <c r="F6950" t="s">
        <v>5552</v>
      </c>
      <c r="G6950" t="s">
        <v>1859</v>
      </c>
      <c r="H6950">
        <v>7</v>
      </c>
      <c r="I6950">
        <v>81.45</v>
      </c>
      <c r="J6950" s="50">
        <v>570.15</v>
      </c>
      <c r="K6950" t="s">
        <v>1632</v>
      </c>
      <c r="L6950" t="s">
        <v>5553</v>
      </c>
      <c r="M6950" t="s">
        <v>1621</v>
      </c>
      <c r="N6950">
        <v>42.99</v>
      </c>
      <c r="O6950" s="49">
        <v>45433</v>
      </c>
      <c r="P6950" s="50">
        <v>256.5675</v>
      </c>
    </row>
    <row r="6951" spans="4:16" x14ac:dyDescent="0.2">
      <c r="D6951">
        <v>100004149</v>
      </c>
      <c r="E6951" s="49">
        <v>44976</v>
      </c>
      <c r="F6951" t="s">
        <v>5552</v>
      </c>
      <c r="G6951" t="s">
        <v>1880</v>
      </c>
      <c r="H6951">
        <v>7</v>
      </c>
      <c r="I6951">
        <v>29.96</v>
      </c>
      <c r="J6951" s="50">
        <v>209.72</v>
      </c>
      <c r="K6951" t="s">
        <v>1632</v>
      </c>
      <c r="L6951" t="s">
        <v>5553</v>
      </c>
      <c r="M6951" t="s">
        <v>1621</v>
      </c>
      <c r="N6951">
        <v>15.81</v>
      </c>
      <c r="O6951" s="49">
        <v>44980</v>
      </c>
      <c r="P6951" s="50">
        <v>94.373999999999995</v>
      </c>
    </row>
    <row r="6952" spans="4:16" x14ac:dyDescent="0.2">
      <c r="D6952">
        <v>100004151</v>
      </c>
      <c r="E6952" s="49">
        <v>44834</v>
      </c>
      <c r="F6952" t="s">
        <v>5554</v>
      </c>
      <c r="G6952" t="s">
        <v>1723</v>
      </c>
      <c r="H6952">
        <v>1</v>
      </c>
      <c r="I6952">
        <v>106.84</v>
      </c>
      <c r="J6952" s="50">
        <v>106.84</v>
      </c>
      <c r="K6952" t="s">
        <v>1632</v>
      </c>
      <c r="M6952" t="s">
        <v>1624</v>
      </c>
      <c r="N6952">
        <v>56.39</v>
      </c>
      <c r="O6952" s="49">
        <v>44839</v>
      </c>
      <c r="P6952" s="50">
        <v>48.078000000000003</v>
      </c>
    </row>
    <row r="6953" spans="4:16" x14ac:dyDescent="0.2">
      <c r="D6953">
        <v>100004152</v>
      </c>
      <c r="E6953" s="49">
        <v>45300</v>
      </c>
      <c r="F6953" t="s">
        <v>5555</v>
      </c>
      <c r="G6953" t="s">
        <v>2023</v>
      </c>
      <c r="H6953">
        <v>5</v>
      </c>
      <c r="I6953">
        <v>25.62</v>
      </c>
      <c r="J6953" s="50">
        <v>128.1</v>
      </c>
      <c r="K6953" t="s">
        <v>1618</v>
      </c>
      <c r="M6953" t="s">
        <v>1629</v>
      </c>
      <c r="N6953">
        <v>13.52</v>
      </c>
      <c r="O6953" s="49">
        <v>45305</v>
      </c>
      <c r="P6953" s="50">
        <v>57.644999999999996</v>
      </c>
    </row>
    <row r="6954" spans="4:16" x14ac:dyDescent="0.2">
      <c r="D6954">
        <v>100004153</v>
      </c>
      <c r="E6954" s="49">
        <v>45248</v>
      </c>
      <c r="F6954" t="s">
        <v>5556</v>
      </c>
      <c r="G6954" t="s">
        <v>2147</v>
      </c>
      <c r="H6954">
        <v>7</v>
      </c>
      <c r="I6954">
        <v>117.87</v>
      </c>
      <c r="J6954" s="50">
        <v>825.09</v>
      </c>
      <c r="K6954" t="s">
        <v>1632</v>
      </c>
      <c r="L6954" t="s">
        <v>5318</v>
      </c>
      <c r="M6954" t="s">
        <v>1629</v>
      </c>
      <c r="N6954">
        <v>62.21</v>
      </c>
      <c r="O6954" s="49">
        <v>45251</v>
      </c>
      <c r="P6954" s="50">
        <v>371.29050000000001</v>
      </c>
    </row>
    <row r="6955" spans="4:16" x14ac:dyDescent="0.2">
      <c r="D6955">
        <v>100004154</v>
      </c>
      <c r="E6955" s="49">
        <v>44243</v>
      </c>
      <c r="F6955" t="s">
        <v>1706</v>
      </c>
      <c r="G6955" t="s">
        <v>1973</v>
      </c>
      <c r="H6955">
        <v>10</v>
      </c>
      <c r="I6955">
        <v>116.58</v>
      </c>
      <c r="J6955" s="50">
        <v>1165.8</v>
      </c>
      <c r="K6955" t="s">
        <v>1618</v>
      </c>
      <c r="M6955" t="s">
        <v>1629</v>
      </c>
      <c r="N6955">
        <v>61.53</v>
      </c>
      <c r="O6955" s="49">
        <v>44244</v>
      </c>
      <c r="P6955" s="50">
        <v>524.61</v>
      </c>
    </row>
    <row r="6956" spans="4:16" x14ac:dyDescent="0.2">
      <c r="D6956">
        <v>100004154</v>
      </c>
      <c r="E6956" s="49">
        <v>44566</v>
      </c>
      <c r="F6956" t="s">
        <v>1706</v>
      </c>
      <c r="G6956" t="s">
        <v>1751</v>
      </c>
      <c r="H6956">
        <v>1</v>
      </c>
      <c r="I6956">
        <v>87.98</v>
      </c>
      <c r="J6956" s="50">
        <v>87.98</v>
      </c>
      <c r="K6956" t="s">
        <v>1618</v>
      </c>
      <c r="M6956" t="s">
        <v>1621</v>
      </c>
      <c r="N6956">
        <v>46.43</v>
      </c>
      <c r="O6956" s="49">
        <v>44569</v>
      </c>
      <c r="P6956" s="50">
        <v>39.591000000000001</v>
      </c>
    </row>
    <row r="6957" spans="4:16" x14ac:dyDescent="0.2">
      <c r="D6957">
        <v>100004154</v>
      </c>
      <c r="E6957" s="49">
        <v>45504</v>
      </c>
      <c r="F6957" t="s">
        <v>1706</v>
      </c>
      <c r="G6957" t="s">
        <v>2050</v>
      </c>
      <c r="H6957">
        <v>8</v>
      </c>
      <c r="I6957">
        <v>45.42</v>
      </c>
      <c r="J6957" s="50">
        <v>363.36</v>
      </c>
      <c r="K6957" t="s">
        <v>1618</v>
      </c>
      <c r="M6957" t="s">
        <v>1621</v>
      </c>
      <c r="N6957">
        <v>23.97</v>
      </c>
      <c r="O6957" s="49">
        <v>45507</v>
      </c>
      <c r="P6957" s="50">
        <v>163.512</v>
      </c>
    </row>
    <row r="6958" spans="4:16" x14ac:dyDescent="0.2">
      <c r="D6958">
        <v>100004156</v>
      </c>
      <c r="E6958" s="49">
        <v>45529</v>
      </c>
      <c r="F6958" t="s">
        <v>5557</v>
      </c>
      <c r="G6958" t="s">
        <v>2306</v>
      </c>
      <c r="H6958">
        <v>5</v>
      </c>
      <c r="I6958">
        <v>38.85</v>
      </c>
      <c r="J6958" s="50">
        <v>194.25</v>
      </c>
      <c r="K6958" t="s">
        <v>1618</v>
      </c>
      <c r="M6958" t="s">
        <v>1621</v>
      </c>
      <c r="N6958">
        <v>20.5</v>
      </c>
      <c r="O6958" s="49">
        <v>45530</v>
      </c>
      <c r="P6958" s="50">
        <v>87.412500000000009</v>
      </c>
    </row>
    <row r="6959" spans="4:16" x14ac:dyDescent="0.2">
      <c r="D6959">
        <v>100004156</v>
      </c>
      <c r="E6959" s="49">
        <v>44737</v>
      </c>
      <c r="F6959" t="s">
        <v>5557</v>
      </c>
      <c r="G6959" t="s">
        <v>2698</v>
      </c>
      <c r="H6959">
        <v>4</v>
      </c>
      <c r="I6959">
        <v>107.27</v>
      </c>
      <c r="J6959" s="50">
        <v>429.08</v>
      </c>
      <c r="K6959" t="s">
        <v>1618</v>
      </c>
      <c r="M6959" t="s">
        <v>1624</v>
      </c>
      <c r="N6959">
        <v>56.61</v>
      </c>
      <c r="O6959" s="49">
        <v>44741</v>
      </c>
      <c r="P6959" s="50">
        <v>193.08599999999998</v>
      </c>
    </row>
    <row r="6960" spans="4:16" x14ac:dyDescent="0.2">
      <c r="D6960">
        <v>100004157</v>
      </c>
      <c r="E6960" s="49">
        <v>44234</v>
      </c>
      <c r="F6960" t="s">
        <v>5558</v>
      </c>
      <c r="G6960" t="s">
        <v>1777</v>
      </c>
      <c r="H6960">
        <v>8</v>
      </c>
      <c r="I6960">
        <v>24.69</v>
      </c>
      <c r="J6960" s="50">
        <v>197.52</v>
      </c>
      <c r="K6960" t="s">
        <v>1632</v>
      </c>
      <c r="L6960" t="s">
        <v>2932</v>
      </c>
      <c r="M6960" t="s">
        <v>1629</v>
      </c>
      <c r="N6960">
        <v>13.03</v>
      </c>
      <c r="O6960" s="49">
        <v>44238</v>
      </c>
      <c r="P6960" s="50">
        <v>88.884</v>
      </c>
    </row>
    <row r="6961" spans="4:16" x14ac:dyDescent="0.2">
      <c r="D6961">
        <v>100004158</v>
      </c>
      <c r="E6961" s="49">
        <v>45534</v>
      </c>
      <c r="F6961" t="s">
        <v>5559</v>
      </c>
      <c r="G6961" t="s">
        <v>3135</v>
      </c>
      <c r="H6961">
        <v>6</v>
      </c>
      <c r="I6961">
        <v>45.79</v>
      </c>
      <c r="J6961" s="50">
        <v>274.74</v>
      </c>
      <c r="K6961" t="s">
        <v>1632</v>
      </c>
      <c r="M6961" t="s">
        <v>1621</v>
      </c>
      <c r="N6961">
        <v>24.17</v>
      </c>
      <c r="O6961" s="49">
        <v>45537</v>
      </c>
      <c r="P6961" s="50">
        <v>123.63300000000001</v>
      </c>
    </row>
    <row r="6962" spans="4:16" x14ac:dyDescent="0.2">
      <c r="D6962">
        <v>100004158</v>
      </c>
      <c r="E6962" s="49">
        <v>44387</v>
      </c>
      <c r="F6962" t="s">
        <v>5559</v>
      </c>
      <c r="G6962" t="s">
        <v>2412</v>
      </c>
      <c r="H6962">
        <v>10</v>
      </c>
      <c r="I6962">
        <v>54.65</v>
      </c>
      <c r="J6962" s="50">
        <v>546.5</v>
      </c>
      <c r="K6962" t="s">
        <v>1632</v>
      </c>
      <c r="M6962" t="s">
        <v>1624</v>
      </c>
      <c r="N6962">
        <v>28.84</v>
      </c>
      <c r="O6962" s="49">
        <v>44391</v>
      </c>
      <c r="P6962" s="50">
        <v>245.92500000000001</v>
      </c>
    </row>
    <row r="6963" spans="4:16" x14ac:dyDescent="0.2">
      <c r="D6963">
        <v>100004158</v>
      </c>
      <c r="E6963" s="49">
        <v>44776</v>
      </c>
      <c r="F6963" t="s">
        <v>5559</v>
      </c>
      <c r="G6963" t="s">
        <v>1663</v>
      </c>
      <c r="H6963">
        <v>7</v>
      </c>
      <c r="I6963">
        <v>97.37</v>
      </c>
      <c r="J6963" s="50">
        <v>681.59</v>
      </c>
      <c r="K6963" t="s">
        <v>1632</v>
      </c>
      <c r="M6963" t="s">
        <v>1619</v>
      </c>
      <c r="N6963">
        <v>51.39</v>
      </c>
      <c r="O6963" s="49">
        <v>44777</v>
      </c>
      <c r="P6963" s="50">
        <v>306.71550000000002</v>
      </c>
    </row>
    <row r="6964" spans="4:16" x14ac:dyDescent="0.2">
      <c r="D6964">
        <v>100004159</v>
      </c>
      <c r="E6964" s="49">
        <v>44270</v>
      </c>
      <c r="F6964" t="s">
        <v>5560</v>
      </c>
      <c r="G6964" t="s">
        <v>2416</v>
      </c>
      <c r="H6964">
        <v>7</v>
      </c>
      <c r="I6964">
        <v>112.94</v>
      </c>
      <c r="J6964" s="50">
        <v>790.57999999999993</v>
      </c>
      <c r="K6964" t="s">
        <v>1618</v>
      </c>
      <c r="M6964" t="s">
        <v>1627</v>
      </c>
      <c r="N6964">
        <v>59.61</v>
      </c>
      <c r="O6964" s="49">
        <v>44274</v>
      </c>
      <c r="P6964" s="50">
        <v>355.76099999999997</v>
      </c>
    </row>
    <row r="6965" spans="4:16" x14ac:dyDescent="0.2">
      <c r="D6965">
        <v>100004159</v>
      </c>
      <c r="E6965" s="49">
        <v>45643</v>
      </c>
      <c r="F6965" t="s">
        <v>5560</v>
      </c>
      <c r="G6965" t="s">
        <v>2084</v>
      </c>
      <c r="H6965">
        <v>8</v>
      </c>
      <c r="I6965">
        <v>23.69</v>
      </c>
      <c r="J6965" s="50">
        <v>189.52</v>
      </c>
      <c r="K6965" t="s">
        <v>1618</v>
      </c>
      <c r="M6965" t="s">
        <v>1621</v>
      </c>
      <c r="N6965">
        <v>12.5</v>
      </c>
      <c r="O6965" s="49">
        <v>45644</v>
      </c>
      <c r="P6965" s="50">
        <v>85.284000000000006</v>
      </c>
    </row>
    <row r="6966" spans="4:16" x14ac:dyDescent="0.2">
      <c r="D6966">
        <v>100004160</v>
      </c>
      <c r="E6966" s="49">
        <v>45482</v>
      </c>
      <c r="F6966" t="s">
        <v>5561</v>
      </c>
      <c r="G6966" t="s">
        <v>1831</v>
      </c>
      <c r="H6966">
        <v>7</v>
      </c>
      <c r="I6966">
        <v>63.47</v>
      </c>
      <c r="J6966" s="50">
        <v>444.29</v>
      </c>
      <c r="K6966" t="s">
        <v>1632</v>
      </c>
      <c r="M6966" t="s">
        <v>1627</v>
      </c>
      <c r="N6966">
        <v>33.5</v>
      </c>
      <c r="O6966" s="49">
        <v>45485</v>
      </c>
      <c r="P6966" s="50">
        <v>199.93050000000002</v>
      </c>
    </row>
    <row r="6967" spans="4:16" x14ac:dyDescent="0.2">
      <c r="D6967">
        <v>100004160</v>
      </c>
      <c r="E6967" s="49">
        <v>44323</v>
      </c>
      <c r="F6967" t="s">
        <v>5561</v>
      </c>
      <c r="G6967" t="s">
        <v>2151</v>
      </c>
      <c r="H6967">
        <v>6</v>
      </c>
      <c r="I6967">
        <v>35.75</v>
      </c>
      <c r="J6967" s="50">
        <v>214.5</v>
      </c>
      <c r="K6967" t="s">
        <v>1632</v>
      </c>
      <c r="M6967" t="s">
        <v>1627</v>
      </c>
      <c r="N6967">
        <v>18.87</v>
      </c>
      <c r="O6967" s="49">
        <v>44327</v>
      </c>
      <c r="P6967" s="50">
        <v>96.525000000000006</v>
      </c>
    </row>
    <row r="6968" spans="4:16" x14ac:dyDescent="0.2">
      <c r="D6968">
        <v>100004161</v>
      </c>
      <c r="E6968" s="49">
        <v>45178</v>
      </c>
      <c r="F6968" t="s">
        <v>5562</v>
      </c>
      <c r="G6968" t="s">
        <v>1967</v>
      </c>
      <c r="H6968">
        <v>9</v>
      </c>
      <c r="I6968">
        <v>83.59</v>
      </c>
      <c r="J6968" s="50">
        <v>752.31000000000006</v>
      </c>
      <c r="K6968" t="s">
        <v>1618</v>
      </c>
      <c r="L6968" t="s">
        <v>3392</v>
      </c>
      <c r="M6968" t="s">
        <v>1619</v>
      </c>
      <c r="N6968">
        <v>44.12</v>
      </c>
      <c r="O6968" s="49">
        <v>45180</v>
      </c>
      <c r="P6968" s="50">
        <v>338.53950000000003</v>
      </c>
    </row>
    <row r="6969" spans="4:16" x14ac:dyDescent="0.2">
      <c r="D6969">
        <v>100004162</v>
      </c>
      <c r="E6969" s="49">
        <v>44501</v>
      </c>
      <c r="F6969" t="s">
        <v>5563</v>
      </c>
      <c r="G6969" t="s">
        <v>2762</v>
      </c>
      <c r="H6969">
        <v>1</v>
      </c>
      <c r="I6969">
        <v>81.739999999999995</v>
      </c>
      <c r="J6969" s="50">
        <v>81.739999999999995</v>
      </c>
      <c r="K6969" t="s">
        <v>1618</v>
      </c>
      <c r="M6969" t="s">
        <v>1627</v>
      </c>
      <c r="N6969">
        <v>43.14</v>
      </c>
      <c r="O6969" s="49">
        <v>44502</v>
      </c>
      <c r="P6969" s="50">
        <v>36.783000000000001</v>
      </c>
    </row>
    <row r="6970" spans="4:16" x14ac:dyDescent="0.2">
      <c r="D6970">
        <v>100004164</v>
      </c>
      <c r="E6970" s="49">
        <v>45444</v>
      </c>
      <c r="F6970" t="s">
        <v>5564</v>
      </c>
      <c r="G6970" t="s">
        <v>1688</v>
      </c>
      <c r="H6970">
        <v>10</v>
      </c>
      <c r="I6970">
        <v>109.82</v>
      </c>
      <c r="J6970" s="50">
        <v>1098.2</v>
      </c>
      <c r="K6970" t="s">
        <v>1632</v>
      </c>
      <c r="M6970" t="s">
        <v>1621</v>
      </c>
      <c r="N6970">
        <v>57.96</v>
      </c>
      <c r="O6970" s="49">
        <v>45448</v>
      </c>
      <c r="P6970" s="50">
        <v>494.19000000000005</v>
      </c>
    </row>
    <row r="6971" spans="4:16" x14ac:dyDescent="0.2">
      <c r="D6971">
        <v>100004165</v>
      </c>
      <c r="E6971" s="49">
        <v>45183</v>
      </c>
      <c r="F6971" t="s">
        <v>2590</v>
      </c>
      <c r="G6971" t="s">
        <v>1687</v>
      </c>
      <c r="H6971">
        <v>7</v>
      </c>
      <c r="I6971">
        <v>94.33</v>
      </c>
      <c r="J6971" s="50">
        <v>660.31</v>
      </c>
      <c r="K6971" t="s">
        <v>1618</v>
      </c>
      <c r="M6971" t="s">
        <v>1621</v>
      </c>
      <c r="N6971">
        <v>49.78</v>
      </c>
      <c r="O6971" s="49">
        <v>45186</v>
      </c>
      <c r="P6971" s="50">
        <v>297.1395</v>
      </c>
    </row>
    <row r="6972" spans="4:16" x14ac:dyDescent="0.2">
      <c r="D6972">
        <v>100004165</v>
      </c>
      <c r="E6972" s="49">
        <v>45560</v>
      </c>
      <c r="F6972" t="s">
        <v>2590</v>
      </c>
      <c r="G6972" t="s">
        <v>1928</v>
      </c>
      <c r="H6972">
        <v>10</v>
      </c>
      <c r="I6972">
        <v>35.85</v>
      </c>
      <c r="J6972" s="50">
        <v>358.5</v>
      </c>
      <c r="K6972" t="s">
        <v>1618</v>
      </c>
      <c r="M6972" t="s">
        <v>1619</v>
      </c>
      <c r="N6972">
        <v>18.920000000000002</v>
      </c>
      <c r="O6972" s="49">
        <v>45561</v>
      </c>
      <c r="P6972" s="50">
        <v>161.32500000000002</v>
      </c>
    </row>
    <row r="6973" spans="4:16" x14ac:dyDescent="0.2">
      <c r="D6973">
        <v>100004165</v>
      </c>
      <c r="E6973" s="49">
        <v>45502</v>
      </c>
      <c r="F6973" t="s">
        <v>2590</v>
      </c>
      <c r="G6973" t="s">
        <v>2019</v>
      </c>
      <c r="H6973">
        <v>6</v>
      </c>
      <c r="I6973">
        <v>81.55</v>
      </c>
      <c r="J6973" s="50">
        <v>489.3</v>
      </c>
      <c r="K6973" t="s">
        <v>1618</v>
      </c>
      <c r="M6973" t="s">
        <v>1619</v>
      </c>
      <c r="N6973">
        <v>43.04</v>
      </c>
      <c r="O6973" s="49">
        <v>45503</v>
      </c>
      <c r="P6973" s="50">
        <v>220.185</v>
      </c>
    </row>
    <row r="6974" spans="4:16" x14ac:dyDescent="0.2">
      <c r="D6974">
        <v>100004165</v>
      </c>
      <c r="E6974" s="49">
        <v>44775</v>
      </c>
      <c r="F6974" t="s">
        <v>2590</v>
      </c>
      <c r="G6974" t="s">
        <v>1733</v>
      </c>
      <c r="H6974">
        <v>4</v>
      </c>
      <c r="I6974">
        <v>59.2</v>
      </c>
      <c r="J6974" s="50">
        <v>236.8</v>
      </c>
      <c r="K6974" t="s">
        <v>1618</v>
      </c>
      <c r="M6974" t="s">
        <v>1627</v>
      </c>
      <c r="N6974">
        <v>31.24</v>
      </c>
      <c r="O6974" s="49">
        <v>44776</v>
      </c>
      <c r="P6974" s="50">
        <v>106.56</v>
      </c>
    </row>
    <row r="6975" spans="4:16" x14ac:dyDescent="0.2">
      <c r="D6975">
        <v>100004166</v>
      </c>
      <c r="E6975" s="49">
        <v>45202</v>
      </c>
      <c r="F6975" t="s">
        <v>5565</v>
      </c>
      <c r="G6975" t="s">
        <v>2261</v>
      </c>
      <c r="H6975">
        <v>8</v>
      </c>
      <c r="I6975">
        <v>68.87</v>
      </c>
      <c r="J6975" s="50">
        <v>550.96</v>
      </c>
      <c r="K6975" t="s">
        <v>1618</v>
      </c>
      <c r="M6975" t="s">
        <v>1629</v>
      </c>
      <c r="N6975">
        <v>36.35</v>
      </c>
      <c r="O6975" s="49">
        <v>45207</v>
      </c>
      <c r="P6975" s="50">
        <v>247.93200000000002</v>
      </c>
    </row>
    <row r="6976" spans="4:16" x14ac:dyDescent="0.2">
      <c r="D6976">
        <v>100004167</v>
      </c>
      <c r="E6976" s="49">
        <v>45078</v>
      </c>
      <c r="F6976" t="s">
        <v>5566</v>
      </c>
      <c r="G6976" t="s">
        <v>2025</v>
      </c>
      <c r="H6976">
        <v>6</v>
      </c>
      <c r="I6976">
        <v>108.29</v>
      </c>
      <c r="J6976" s="50">
        <v>649.74</v>
      </c>
      <c r="K6976" t="s">
        <v>1618</v>
      </c>
      <c r="M6976" t="s">
        <v>1624</v>
      </c>
      <c r="N6976">
        <v>57.15</v>
      </c>
      <c r="O6976" s="49">
        <v>45079</v>
      </c>
      <c r="P6976" s="50">
        <v>292.38300000000004</v>
      </c>
    </row>
    <row r="6977" spans="4:16" x14ac:dyDescent="0.2">
      <c r="D6977">
        <v>100004167</v>
      </c>
      <c r="E6977" s="49">
        <v>44487</v>
      </c>
      <c r="F6977" t="s">
        <v>5566</v>
      </c>
      <c r="G6977" t="s">
        <v>1817</v>
      </c>
      <c r="H6977">
        <v>4</v>
      </c>
      <c r="I6977">
        <v>22.58</v>
      </c>
      <c r="J6977" s="50">
        <v>90.32</v>
      </c>
      <c r="K6977" t="s">
        <v>1618</v>
      </c>
      <c r="M6977" t="s">
        <v>1627</v>
      </c>
      <c r="N6977">
        <v>11.92</v>
      </c>
      <c r="O6977" s="49">
        <v>44490</v>
      </c>
      <c r="P6977" s="50">
        <v>40.643999999999998</v>
      </c>
    </row>
    <row r="6978" spans="4:16" x14ac:dyDescent="0.2">
      <c r="D6978">
        <v>100004167</v>
      </c>
      <c r="E6978" s="49">
        <v>45124</v>
      </c>
      <c r="F6978" t="s">
        <v>5566</v>
      </c>
      <c r="G6978" t="s">
        <v>2024</v>
      </c>
      <c r="H6978">
        <v>10</v>
      </c>
      <c r="I6978">
        <v>37.25</v>
      </c>
      <c r="J6978" s="50">
        <v>372.5</v>
      </c>
      <c r="K6978" t="s">
        <v>1618</v>
      </c>
      <c r="M6978" t="s">
        <v>1619</v>
      </c>
      <c r="N6978">
        <v>19.66</v>
      </c>
      <c r="O6978" s="49">
        <v>45127</v>
      </c>
      <c r="P6978" s="50">
        <v>167.625</v>
      </c>
    </row>
    <row r="6979" spans="4:16" x14ac:dyDescent="0.2">
      <c r="D6979">
        <v>100004168</v>
      </c>
      <c r="E6979" s="49">
        <v>44274</v>
      </c>
      <c r="F6979" t="s">
        <v>5567</v>
      </c>
      <c r="G6979" t="s">
        <v>1969</v>
      </c>
      <c r="H6979">
        <v>8</v>
      </c>
      <c r="I6979">
        <v>35.46</v>
      </c>
      <c r="J6979" s="50">
        <v>283.68</v>
      </c>
      <c r="K6979" t="s">
        <v>1632</v>
      </c>
      <c r="L6979" t="s">
        <v>2260</v>
      </c>
      <c r="M6979" t="s">
        <v>1627</v>
      </c>
      <c r="N6979">
        <v>18.71</v>
      </c>
      <c r="O6979" s="49">
        <v>44276</v>
      </c>
      <c r="P6979" s="50">
        <v>127.65600000000001</v>
      </c>
    </row>
    <row r="6980" spans="4:16" x14ac:dyDescent="0.2">
      <c r="D6980">
        <v>100004169</v>
      </c>
      <c r="E6980" s="49">
        <v>44755</v>
      </c>
      <c r="F6980" t="s">
        <v>5568</v>
      </c>
      <c r="G6980" t="s">
        <v>2447</v>
      </c>
      <c r="H6980">
        <v>7</v>
      </c>
      <c r="I6980">
        <v>41.27</v>
      </c>
      <c r="J6980" s="50">
        <v>288.89</v>
      </c>
      <c r="K6980" t="s">
        <v>1632</v>
      </c>
      <c r="M6980" t="s">
        <v>1619</v>
      </c>
      <c r="N6980">
        <v>21.78</v>
      </c>
      <c r="O6980" s="49">
        <v>44756</v>
      </c>
      <c r="P6980" s="50">
        <v>130.00049999999999</v>
      </c>
    </row>
    <row r="6981" spans="4:16" x14ac:dyDescent="0.2">
      <c r="D6981">
        <v>100004170</v>
      </c>
      <c r="E6981" s="49">
        <v>44414</v>
      </c>
      <c r="F6981" t="s">
        <v>5569</v>
      </c>
      <c r="G6981" t="s">
        <v>2613</v>
      </c>
      <c r="H6981">
        <v>7</v>
      </c>
      <c r="I6981">
        <v>23.13</v>
      </c>
      <c r="J6981" s="50">
        <v>161.91</v>
      </c>
      <c r="K6981" t="s">
        <v>1618</v>
      </c>
      <c r="M6981" t="s">
        <v>1624</v>
      </c>
      <c r="N6981">
        <v>12.21</v>
      </c>
      <c r="O6981" s="49">
        <v>44416</v>
      </c>
      <c r="P6981" s="50">
        <v>72.859499999999997</v>
      </c>
    </row>
    <row r="6982" spans="4:16" x14ac:dyDescent="0.2">
      <c r="D6982">
        <v>100004171</v>
      </c>
      <c r="E6982" s="49">
        <v>44466</v>
      </c>
      <c r="F6982" t="s">
        <v>5570</v>
      </c>
      <c r="G6982" t="s">
        <v>1695</v>
      </c>
      <c r="H6982">
        <v>3</v>
      </c>
      <c r="I6982">
        <v>31.51</v>
      </c>
      <c r="J6982" s="50">
        <v>94.53</v>
      </c>
      <c r="K6982" t="s">
        <v>1618</v>
      </c>
      <c r="M6982" t="s">
        <v>1619</v>
      </c>
      <c r="N6982">
        <v>16.63</v>
      </c>
      <c r="O6982" s="49">
        <v>44467</v>
      </c>
      <c r="P6982" s="50">
        <v>42.538499999999999</v>
      </c>
    </row>
    <row r="6983" spans="4:16" x14ac:dyDescent="0.2">
      <c r="D6983">
        <v>100004171</v>
      </c>
      <c r="E6983" s="49">
        <v>45316</v>
      </c>
      <c r="F6983" t="s">
        <v>5570</v>
      </c>
      <c r="G6983" t="s">
        <v>2136</v>
      </c>
      <c r="H6983">
        <v>1</v>
      </c>
      <c r="I6983">
        <v>60.09</v>
      </c>
      <c r="J6983" s="50">
        <v>60.09</v>
      </c>
      <c r="K6983" t="s">
        <v>1618</v>
      </c>
      <c r="M6983" t="s">
        <v>1627</v>
      </c>
      <c r="N6983">
        <v>31.71</v>
      </c>
      <c r="O6983" s="49">
        <v>45320</v>
      </c>
      <c r="P6983" s="50">
        <v>27.040500000000002</v>
      </c>
    </row>
    <row r="6984" spans="4:16" x14ac:dyDescent="0.2">
      <c r="D6984">
        <v>100004172</v>
      </c>
      <c r="E6984" s="49">
        <v>45584</v>
      </c>
      <c r="F6984" t="s">
        <v>5571</v>
      </c>
      <c r="G6984" t="s">
        <v>1877</v>
      </c>
      <c r="H6984">
        <v>10</v>
      </c>
      <c r="I6984">
        <v>13.92</v>
      </c>
      <c r="J6984" s="50">
        <v>139.19999999999999</v>
      </c>
      <c r="K6984" t="s">
        <v>1632</v>
      </c>
      <c r="M6984" t="s">
        <v>1624</v>
      </c>
      <c r="N6984">
        <v>7.35</v>
      </c>
      <c r="O6984" s="49">
        <v>45587</v>
      </c>
      <c r="P6984" s="50">
        <v>62.639999999999993</v>
      </c>
    </row>
    <row r="6985" spans="4:16" x14ac:dyDescent="0.2">
      <c r="D6985">
        <v>100004174</v>
      </c>
      <c r="E6985" s="49">
        <v>44977</v>
      </c>
      <c r="F6985" t="s">
        <v>5572</v>
      </c>
      <c r="G6985" t="s">
        <v>1642</v>
      </c>
      <c r="H6985">
        <v>10</v>
      </c>
      <c r="I6985">
        <v>30.04</v>
      </c>
      <c r="J6985" s="50">
        <v>300.39999999999998</v>
      </c>
      <c r="K6985" t="s">
        <v>1618</v>
      </c>
      <c r="M6985" t="s">
        <v>1624</v>
      </c>
      <c r="N6985">
        <v>15.85</v>
      </c>
      <c r="O6985" s="49">
        <v>44981</v>
      </c>
      <c r="P6985" s="50">
        <v>135.18</v>
      </c>
    </row>
    <row r="6986" spans="4:16" x14ac:dyDescent="0.2">
      <c r="D6986">
        <v>100004174</v>
      </c>
      <c r="E6986" s="49">
        <v>44512</v>
      </c>
      <c r="F6986" t="s">
        <v>5572</v>
      </c>
      <c r="G6986" t="s">
        <v>1865</v>
      </c>
      <c r="H6986">
        <v>1</v>
      </c>
      <c r="I6986">
        <v>104.72</v>
      </c>
      <c r="J6986" s="50">
        <v>104.72</v>
      </c>
      <c r="K6986" t="s">
        <v>1618</v>
      </c>
      <c r="M6986" t="s">
        <v>1629</v>
      </c>
      <c r="N6986">
        <v>55.27</v>
      </c>
      <c r="O6986" s="49">
        <v>44515</v>
      </c>
      <c r="P6986" s="50">
        <v>47.124000000000002</v>
      </c>
    </row>
    <row r="6987" spans="4:16" x14ac:dyDescent="0.2">
      <c r="D6987">
        <v>100004174</v>
      </c>
      <c r="E6987" s="49">
        <v>44903</v>
      </c>
      <c r="F6987" t="s">
        <v>5572</v>
      </c>
      <c r="G6987" t="s">
        <v>1929</v>
      </c>
      <c r="H6987">
        <v>8</v>
      </c>
      <c r="I6987">
        <v>96.69</v>
      </c>
      <c r="J6987" s="50">
        <v>773.52</v>
      </c>
      <c r="K6987" t="s">
        <v>1618</v>
      </c>
      <c r="M6987" t="s">
        <v>1619</v>
      </c>
      <c r="N6987">
        <v>51.03</v>
      </c>
      <c r="O6987" s="49">
        <v>44907</v>
      </c>
      <c r="P6987" s="50">
        <v>348.084</v>
      </c>
    </row>
    <row r="6988" spans="4:16" x14ac:dyDescent="0.2">
      <c r="D6988">
        <v>100004174</v>
      </c>
      <c r="E6988" s="49">
        <v>44395</v>
      </c>
      <c r="F6988" t="s">
        <v>5572</v>
      </c>
      <c r="G6988" t="s">
        <v>1718</v>
      </c>
      <c r="H6988">
        <v>1</v>
      </c>
      <c r="I6988">
        <v>82.57</v>
      </c>
      <c r="J6988" s="50">
        <v>82.57</v>
      </c>
      <c r="K6988" t="s">
        <v>1618</v>
      </c>
      <c r="M6988" t="s">
        <v>1621</v>
      </c>
      <c r="N6988">
        <v>43.58</v>
      </c>
      <c r="O6988" s="49">
        <v>44400</v>
      </c>
      <c r="P6988" s="50">
        <v>37.156500000000001</v>
      </c>
    </row>
    <row r="6989" spans="4:16" x14ac:dyDescent="0.2">
      <c r="D6989">
        <v>100004174</v>
      </c>
      <c r="E6989" s="49">
        <v>44724</v>
      </c>
      <c r="F6989" t="s">
        <v>5572</v>
      </c>
      <c r="G6989" t="s">
        <v>1893</v>
      </c>
      <c r="H6989">
        <v>2</v>
      </c>
      <c r="I6989">
        <v>49.48</v>
      </c>
      <c r="J6989" s="50">
        <v>98.96</v>
      </c>
      <c r="K6989" t="s">
        <v>1618</v>
      </c>
      <c r="M6989" t="s">
        <v>1629</v>
      </c>
      <c r="N6989">
        <v>26.11</v>
      </c>
      <c r="O6989" s="49">
        <v>44729</v>
      </c>
      <c r="P6989" s="50">
        <v>44.531999999999996</v>
      </c>
    </row>
    <row r="6990" spans="4:16" x14ac:dyDescent="0.2">
      <c r="D6990">
        <v>100004175</v>
      </c>
      <c r="E6990" s="49">
        <v>45008</v>
      </c>
      <c r="F6990" t="s">
        <v>5573</v>
      </c>
      <c r="G6990" t="s">
        <v>2762</v>
      </c>
      <c r="H6990">
        <v>1</v>
      </c>
      <c r="I6990">
        <v>46.2</v>
      </c>
      <c r="J6990" s="50">
        <v>46.2</v>
      </c>
      <c r="K6990" t="s">
        <v>1618</v>
      </c>
      <c r="L6990" t="s">
        <v>4008</v>
      </c>
      <c r="M6990" t="s">
        <v>1621</v>
      </c>
      <c r="N6990">
        <v>24.38</v>
      </c>
      <c r="O6990" s="49">
        <v>45011</v>
      </c>
      <c r="P6990" s="50">
        <v>20.790000000000003</v>
      </c>
    </row>
    <row r="6991" spans="4:16" x14ac:dyDescent="0.2">
      <c r="D6991">
        <v>100004175</v>
      </c>
      <c r="E6991" s="49">
        <v>44743</v>
      </c>
      <c r="F6991" t="s">
        <v>5573</v>
      </c>
      <c r="G6991" t="s">
        <v>1740</v>
      </c>
      <c r="H6991">
        <v>6</v>
      </c>
      <c r="I6991">
        <v>26.77</v>
      </c>
      <c r="J6991" s="50">
        <v>160.62</v>
      </c>
      <c r="K6991" t="s">
        <v>1618</v>
      </c>
      <c r="L6991" t="s">
        <v>4008</v>
      </c>
      <c r="M6991" t="s">
        <v>1629</v>
      </c>
      <c r="N6991">
        <v>14.13</v>
      </c>
      <c r="O6991" s="49">
        <v>44747</v>
      </c>
      <c r="P6991" s="50">
        <v>72.279000000000011</v>
      </c>
    </row>
    <row r="6992" spans="4:16" x14ac:dyDescent="0.2">
      <c r="D6992">
        <v>100004176</v>
      </c>
      <c r="E6992" s="49">
        <v>45162</v>
      </c>
      <c r="F6992" t="s">
        <v>5574</v>
      </c>
      <c r="G6992" t="s">
        <v>2125</v>
      </c>
      <c r="H6992">
        <v>6</v>
      </c>
      <c r="I6992">
        <v>62.43</v>
      </c>
      <c r="J6992" s="50">
        <v>374.58</v>
      </c>
      <c r="K6992" t="s">
        <v>1618</v>
      </c>
      <c r="L6992" t="s">
        <v>4629</v>
      </c>
      <c r="M6992" t="s">
        <v>1627</v>
      </c>
      <c r="N6992">
        <v>32.950000000000003</v>
      </c>
      <c r="O6992" s="49">
        <v>45167</v>
      </c>
      <c r="P6992" s="50">
        <v>168.56100000000001</v>
      </c>
    </row>
    <row r="6993" spans="4:16" x14ac:dyDescent="0.2">
      <c r="D6993">
        <v>100004176</v>
      </c>
      <c r="E6993" s="49">
        <v>44258</v>
      </c>
      <c r="F6993" t="s">
        <v>5574</v>
      </c>
      <c r="G6993" t="s">
        <v>1971</v>
      </c>
      <c r="H6993">
        <v>8</v>
      </c>
      <c r="I6993">
        <v>106.63</v>
      </c>
      <c r="J6993" s="50">
        <v>853.04</v>
      </c>
      <c r="K6993" t="s">
        <v>1618</v>
      </c>
      <c r="L6993" t="s">
        <v>4629</v>
      </c>
      <c r="M6993" t="s">
        <v>1621</v>
      </c>
      <c r="N6993">
        <v>56.28</v>
      </c>
      <c r="O6993" s="49">
        <v>44262</v>
      </c>
      <c r="P6993" s="50">
        <v>383.86799999999999</v>
      </c>
    </row>
    <row r="6994" spans="4:16" x14ac:dyDescent="0.2">
      <c r="D6994">
        <v>100004176</v>
      </c>
      <c r="E6994" s="49">
        <v>44530</v>
      </c>
      <c r="F6994" t="s">
        <v>5574</v>
      </c>
      <c r="G6994" t="s">
        <v>2025</v>
      </c>
      <c r="H6994">
        <v>4</v>
      </c>
      <c r="I6994">
        <v>26.46</v>
      </c>
      <c r="J6994" s="50">
        <v>105.84</v>
      </c>
      <c r="K6994" t="s">
        <v>1618</v>
      </c>
      <c r="L6994" t="s">
        <v>4629</v>
      </c>
      <c r="M6994" t="s">
        <v>1619</v>
      </c>
      <c r="N6994">
        <v>13.96</v>
      </c>
      <c r="O6994" s="49">
        <v>44531</v>
      </c>
      <c r="P6994" s="50">
        <v>47.628</v>
      </c>
    </row>
    <row r="6995" spans="4:16" x14ac:dyDescent="0.2">
      <c r="D6995">
        <v>100004178</v>
      </c>
      <c r="E6995" s="49">
        <v>44356</v>
      </c>
      <c r="F6995" t="s">
        <v>5575</v>
      </c>
      <c r="G6995" t="s">
        <v>1921</v>
      </c>
      <c r="H6995">
        <v>8</v>
      </c>
      <c r="I6995">
        <v>47.07</v>
      </c>
      <c r="J6995" s="50">
        <v>376.56</v>
      </c>
      <c r="K6995" t="s">
        <v>1618</v>
      </c>
      <c r="L6995" t="s">
        <v>5576</v>
      </c>
      <c r="M6995" t="s">
        <v>1629</v>
      </c>
      <c r="N6995">
        <v>24.84</v>
      </c>
      <c r="O6995" s="49">
        <v>44358</v>
      </c>
      <c r="P6995" s="50">
        <v>169.452</v>
      </c>
    </row>
    <row r="6996" spans="4:16" x14ac:dyDescent="0.2">
      <c r="D6996">
        <v>100004178</v>
      </c>
      <c r="E6996" s="49">
        <v>45299</v>
      </c>
      <c r="F6996" t="s">
        <v>5575</v>
      </c>
      <c r="G6996" t="s">
        <v>2088</v>
      </c>
      <c r="H6996">
        <v>1</v>
      </c>
      <c r="I6996">
        <v>89.09</v>
      </c>
      <c r="J6996" s="50">
        <v>89.09</v>
      </c>
      <c r="K6996" t="s">
        <v>1618</v>
      </c>
      <c r="L6996" t="s">
        <v>5576</v>
      </c>
      <c r="M6996" t="s">
        <v>1624</v>
      </c>
      <c r="N6996">
        <v>47.02</v>
      </c>
      <c r="O6996" s="49">
        <v>45302</v>
      </c>
      <c r="P6996" s="50">
        <v>40.090500000000006</v>
      </c>
    </row>
    <row r="6997" spans="4:16" x14ac:dyDescent="0.2">
      <c r="D6997">
        <v>100004178</v>
      </c>
      <c r="E6997" s="49">
        <v>45417</v>
      </c>
      <c r="F6997" t="s">
        <v>5575</v>
      </c>
      <c r="G6997" t="s">
        <v>2086</v>
      </c>
      <c r="H6997">
        <v>5</v>
      </c>
      <c r="I6997">
        <v>109.24</v>
      </c>
      <c r="J6997" s="50">
        <v>546.19999999999993</v>
      </c>
      <c r="K6997" t="s">
        <v>1618</v>
      </c>
      <c r="L6997" t="s">
        <v>5576</v>
      </c>
      <c r="M6997" t="s">
        <v>1627</v>
      </c>
      <c r="N6997">
        <v>57.65</v>
      </c>
      <c r="O6997" s="49">
        <v>45418</v>
      </c>
      <c r="P6997" s="50">
        <v>245.78999999999996</v>
      </c>
    </row>
    <row r="6998" spans="4:16" x14ac:dyDescent="0.2">
      <c r="D6998">
        <v>100004178</v>
      </c>
      <c r="E6998" s="49">
        <v>44276</v>
      </c>
      <c r="F6998" t="s">
        <v>5575</v>
      </c>
      <c r="G6998" t="s">
        <v>2571</v>
      </c>
      <c r="H6998">
        <v>6</v>
      </c>
      <c r="I6998">
        <v>44.02</v>
      </c>
      <c r="J6998" s="50">
        <v>264.12</v>
      </c>
      <c r="K6998" t="s">
        <v>1618</v>
      </c>
      <c r="L6998" t="s">
        <v>5576</v>
      </c>
      <c r="M6998" t="s">
        <v>1621</v>
      </c>
      <c r="N6998">
        <v>23.23</v>
      </c>
      <c r="O6998" s="49">
        <v>44279</v>
      </c>
      <c r="P6998" s="50">
        <v>118.854</v>
      </c>
    </row>
    <row r="6999" spans="4:16" x14ac:dyDescent="0.2">
      <c r="D6999">
        <v>100004179</v>
      </c>
      <c r="E6999" s="49">
        <v>45191</v>
      </c>
      <c r="F6999" t="s">
        <v>5577</v>
      </c>
      <c r="G6999" t="s">
        <v>1916</v>
      </c>
      <c r="H6999">
        <v>6</v>
      </c>
      <c r="I6999">
        <v>48.02</v>
      </c>
      <c r="J6999" s="50">
        <v>288.12</v>
      </c>
      <c r="K6999" t="s">
        <v>1618</v>
      </c>
      <c r="M6999" t="s">
        <v>1619</v>
      </c>
      <c r="N6999">
        <v>25.34</v>
      </c>
      <c r="O6999" s="49">
        <v>45196</v>
      </c>
      <c r="P6999" s="50">
        <v>129.654</v>
      </c>
    </row>
    <row r="7000" spans="4:16" x14ac:dyDescent="0.2">
      <c r="D7000">
        <v>100004179</v>
      </c>
      <c r="E7000" s="49">
        <v>45005</v>
      </c>
      <c r="F7000" t="s">
        <v>5577</v>
      </c>
      <c r="G7000" t="s">
        <v>1877</v>
      </c>
      <c r="H7000">
        <v>1</v>
      </c>
      <c r="I7000">
        <v>19.11</v>
      </c>
      <c r="J7000" s="50">
        <v>19.11</v>
      </c>
      <c r="K7000" t="s">
        <v>1618</v>
      </c>
      <c r="M7000" t="s">
        <v>1624</v>
      </c>
      <c r="N7000">
        <v>10.09</v>
      </c>
      <c r="O7000" s="49">
        <v>45007</v>
      </c>
      <c r="P7000" s="50">
        <v>8.5995000000000008</v>
      </c>
    </row>
    <row r="7001" spans="4:16" x14ac:dyDescent="0.2">
      <c r="D7001">
        <v>100004181</v>
      </c>
      <c r="E7001" s="49">
        <v>44322</v>
      </c>
      <c r="F7001" t="s">
        <v>5578</v>
      </c>
      <c r="G7001" t="s">
        <v>1777</v>
      </c>
      <c r="H7001">
        <v>7</v>
      </c>
      <c r="I7001">
        <v>72.319999999999993</v>
      </c>
      <c r="J7001" s="50">
        <v>506.24</v>
      </c>
      <c r="K7001" t="s">
        <v>1618</v>
      </c>
      <c r="M7001" t="s">
        <v>1624</v>
      </c>
      <c r="N7001">
        <v>38.17</v>
      </c>
      <c r="O7001" s="49">
        <v>44326</v>
      </c>
      <c r="P7001" s="50">
        <v>227.80800000000002</v>
      </c>
    </row>
    <row r="7002" spans="4:16" x14ac:dyDescent="0.2">
      <c r="D7002">
        <v>100004182</v>
      </c>
      <c r="E7002" s="49">
        <v>45376</v>
      </c>
      <c r="F7002" t="s">
        <v>5579</v>
      </c>
      <c r="G7002" t="s">
        <v>1999</v>
      </c>
      <c r="H7002">
        <v>6</v>
      </c>
      <c r="I7002">
        <v>82.23</v>
      </c>
      <c r="J7002" s="50">
        <v>493.38</v>
      </c>
      <c r="K7002" t="s">
        <v>1632</v>
      </c>
      <c r="M7002" t="s">
        <v>1627</v>
      </c>
      <c r="N7002">
        <v>43.4</v>
      </c>
      <c r="O7002" s="49">
        <v>45380</v>
      </c>
      <c r="P7002" s="50">
        <v>222.02100000000002</v>
      </c>
    </row>
    <row r="7003" spans="4:16" x14ac:dyDescent="0.2">
      <c r="D7003">
        <v>100004184</v>
      </c>
      <c r="E7003" s="49">
        <v>44205</v>
      </c>
      <c r="F7003" t="s">
        <v>5580</v>
      </c>
      <c r="G7003" t="s">
        <v>1782</v>
      </c>
      <c r="H7003">
        <v>5</v>
      </c>
      <c r="I7003">
        <v>36.68</v>
      </c>
      <c r="J7003" s="50">
        <v>183.4</v>
      </c>
      <c r="K7003" t="s">
        <v>1618</v>
      </c>
      <c r="L7003" t="s">
        <v>5581</v>
      </c>
      <c r="M7003" t="s">
        <v>1629</v>
      </c>
      <c r="N7003">
        <v>19.36</v>
      </c>
      <c r="O7003" s="49">
        <v>44207</v>
      </c>
      <c r="P7003" s="50">
        <v>82.53</v>
      </c>
    </row>
    <row r="7004" spans="4:16" x14ac:dyDescent="0.2">
      <c r="D7004">
        <v>100004184</v>
      </c>
      <c r="E7004" s="49">
        <v>44518</v>
      </c>
      <c r="F7004" t="s">
        <v>5580</v>
      </c>
      <c r="G7004" t="s">
        <v>2328</v>
      </c>
      <c r="H7004">
        <v>2</v>
      </c>
      <c r="I7004">
        <v>94.07</v>
      </c>
      <c r="J7004" s="50">
        <v>188.14</v>
      </c>
      <c r="K7004" t="s">
        <v>1618</v>
      </c>
      <c r="L7004" t="s">
        <v>5581</v>
      </c>
      <c r="M7004" t="s">
        <v>1624</v>
      </c>
      <c r="N7004">
        <v>49.65</v>
      </c>
      <c r="O7004" s="49">
        <v>44523</v>
      </c>
      <c r="P7004" s="50">
        <v>84.662999999999997</v>
      </c>
    </row>
    <row r="7005" spans="4:16" x14ac:dyDescent="0.2">
      <c r="D7005">
        <v>100004184</v>
      </c>
      <c r="E7005" s="49">
        <v>44357</v>
      </c>
      <c r="F7005" t="s">
        <v>5580</v>
      </c>
      <c r="G7005" t="s">
        <v>2136</v>
      </c>
      <c r="H7005">
        <v>6</v>
      </c>
      <c r="I7005">
        <v>95.59</v>
      </c>
      <c r="J7005" s="50">
        <v>573.54</v>
      </c>
      <c r="K7005" t="s">
        <v>1618</v>
      </c>
      <c r="L7005" t="s">
        <v>5581</v>
      </c>
      <c r="M7005" t="s">
        <v>1627</v>
      </c>
      <c r="N7005">
        <v>50.45</v>
      </c>
      <c r="O7005" s="49">
        <v>44358</v>
      </c>
      <c r="P7005" s="50">
        <v>258.09300000000002</v>
      </c>
    </row>
    <row r="7006" spans="4:16" x14ac:dyDescent="0.2">
      <c r="D7006">
        <v>100004185</v>
      </c>
      <c r="E7006" s="49">
        <v>45139</v>
      </c>
      <c r="F7006" t="s">
        <v>5582</v>
      </c>
      <c r="G7006" t="s">
        <v>1676</v>
      </c>
      <c r="H7006">
        <v>1</v>
      </c>
      <c r="I7006">
        <v>29.64</v>
      </c>
      <c r="J7006" s="50">
        <v>29.64</v>
      </c>
      <c r="K7006" t="s">
        <v>1632</v>
      </c>
      <c r="M7006" t="s">
        <v>1624</v>
      </c>
      <c r="N7006">
        <v>15.64</v>
      </c>
      <c r="O7006" s="49">
        <v>45144</v>
      </c>
      <c r="P7006" s="50">
        <v>13.338000000000001</v>
      </c>
    </row>
    <row r="7007" spans="4:16" x14ac:dyDescent="0.2">
      <c r="D7007">
        <v>100004185</v>
      </c>
      <c r="E7007" s="49">
        <v>44996</v>
      </c>
      <c r="F7007" t="s">
        <v>5582</v>
      </c>
      <c r="G7007" t="s">
        <v>1828</v>
      </c>
      <c r="H7007">
        <v>2</v>
      </c>
      <c r="I7007">
        <v>111.19</v>
      </c>
      <c r="J7007" s="50">
        <v>222.38</v>
      </c>
      <c r="K7007" t="s">
        <v>1632</v>
      </c>
      <c r="M7007" t="s">
        <v>1629</v>
      </c>
      <c r="N7007">
        <v>58.68</v>
      </c>
      <c r="O7007" s="49">
        <v>44999</v>
      </c>
      <c r="P7007" s="50">
        <v>100.071</v>
      </c>
    </row>
    <row r="7008" spans="4:16" x14ac:dyDescent="0.2">
      <c r="D7008">
        <v>100004186</v>
      </c>
      <c r="E7008" s="49">
        <v>44925</v>
      </c>
      <c r="F7008" t="s">
        <v>5583</v>
      </c>
      <c r="G7008" t="s">
        <v>1628</v>
      </c>
      <c r="H7008">
        <v>10</v>
      </c>
      <c r="I7008">
        <v>19.059999999999999</v>
      </c>
      <c r="J7008" s="50">
        <v>190.6</v>
      </c>
      <c r="K7008" t="s">
        <v>1618</v>
      </c>
      <c r="M7008" t="s">
        <v>1624</v>
      </c>
      <c r="N7008">
        <v>10.06</v>
      </c>
      <c r="O7008" s="49">
        <v>44926</v>
      </c>
      <c r="P7008" s="50">
        <v>85.77</v>
      </c>
    </row>
    <row r="7009" spans="4:16" x14ac:dyDescent="0.2">
      <c r="D7009">
        <v>100004187</v>
      </c>
      <c r="E7009" s="49">
        <v>45079</v>
      </c>
      <c r="F7009" t="s">
        <v>5584</v>
      </c>
      <c r="G7009" t="s">
        <v>1642</v>
      </c>
      <c r="H7009">
        <v>1</v>
      </c>
      <c r="I7009">
        <v>107.87</v>
      </c>
      <c r="J7009" s="50">
        <v>107.87</v>
      </c>
      <c r="K7009" t="s">
        <v>1618</v>
      </c>
      <c r="M7009" t="s">
        <v>1621</v>
      </c>
      <c r="N7009">
        <v>56.93</v>
      </c>
      <c r="O7009" s="49">
        <v>45082</v>
      </c>
      <c r="P7009" s="50">
        <v>48.541500000000006</v>
      </c>
    </row>
    <row r="7010" spans="4:16" x14ac:dyDescent="0.2">
      <c r="D7010">
        <v>100004188</v>
      </c>
      <c r="E7010" s="49">
        <v>44487</v>
      </c>
      <c r="F7010" t="s">
        <v>5054</v>
      </c>
      <c r="G7010" t="s">
        <v>2418</v>
      </c>
      <c r="H7010">
        <v>9</v>
      </c>
      <c r="I7010">
        <v>83.29</v>
      </c>
      <c r="J7010" s="50">
        <v>749.61</v>
      </c>
      <c r="K7010" t="s">
        <v>1618</v>
      </c>
      <c r="M7010" t="s">
        <v>1621</v>
      </c>
      <c r="N7010">
        <v>43.96</v>
      </c>
      <c r="O7010" s="49">
        <v>44489</v>
      </c>
      <c r="P7010" s="50">
        <v>337.3245</v>
      </c>
    </row>
    <row r="7011" spans="4:16" x14ac:dyDescent="0.2">
      <c r="D7011">
        <v>100004188</v>
      </c>
      <c r="E7011" s="49">
        <v>45432</v>
      </c>
      <c r="F7011" t="s">
        <v>5054</v>
      </c>
      <c r="G7011" t="s">
        <v>1765</v>
      </c>
      <c r="H7011">
        <v>9</v>
      </c>
      <c r="I7011">
        <v>111.13</v>
      </c>
      <c r="J7011" s="50">
        <v>1000.17</v>
      </c>
      <c r="K7011" t="s">
        <v>1618</v>
      </c>
      <c r="M7011" t="s">
        <v>1627</v>
      </c>
      <c r="N7011">
        <v>58.65</v>
      </c>
      <c r="O7011" s="49">
        <v>45437</v>
      </c>
      <c r="P7011" s="50">
        <v>450.07650000000001</v>
      </c>
    </row>
    <row r="7012" spans="4:16" x14ac:dyDescent="0.2">
      <c r="D7012">
        <v>100004189</v>
      </c>
      <c r="E7012" s="49">
        <v>45310</v>
      </c>
      <c r="F7012" t="s">
        <v>5585</v>
      </c>
      <c r="G7012" t="s">
        <v>1929</v>
      </c>
      <c r="H7012">
        <v>7</v>
      </c>
      <c r="I7012">
        <v>69.61</v>
      </c>
      <c r="J7012" s="50">
        <v>487.27</v>
      </c>
      <c r="K7012" t="s">
        <v>1618</v>
      </c>
      <c r="M7012" t="s">
        <v>1627</v>
      </c>
      <c r="N7012">
        <v>36.74</v>
      </c>
      <c r="O7012" s="49">
        <v>45311</v>
      </c>
      <c r="P7012" s="50">
        <v>219.2715</v>
      </c>
    </row>
    <row r="7013" spans="4:16" x14ac:dyDescent="0.2">
      <c r="D7013">
        <v>100004190</v>
      </c>
      <c r="E7013" s="49">
        <v>44970</v>
      </c>
      <c r="F7013" t="s">
        <v>4575</v>
      </c>
      <c r="G7013" t="s">
        <v>1688</v>
      </c>
      <c r="H7013">
        <v>8</v>
      </c>
      <c r="I7013">
        <v>15.78</v>
      </c>
      <c r="J7013" s="50">
        <v>126.24</v>
      </c>
      <c r="K7013" t="s">
        <v>1632</v>
      </c>
      <c r="M7013" t="s">
        <v>1624</v>
      </c>
      <c r="N7013">
        <v>8.33</v>
      </c>
      <c r="O7013" s="49">
        <v>44973</v>
      </c>
      <c r="P7013" s="50">
        <v>56.808</v>
      </c>
    </row>
    <row r="7014" spans="4:16" x14ac:dyDescent="0.2">
      <c r="D7014">
        <v>100004192</v>
      </c>
      <c r="E7014" s="49">
        <v>44202</v>
      </c>
      <c r="F7014" t="s">
        <v>5586</v>
      </c>
      <c r="G7014" t="s">
        <v>1955</v>
      </c>
      <c r="H7014">
        <v>5</v>
      </c>
      <c r="I7014">
        <v>13.39</v>
      </c>
      <c r="J7014" s="50">
        <v>66.95</v>
      </c>
      <c r="K7014" t="s">
        <v>1618</v>
      </c>
      <c r="M7014" t="s">
        <v>1629</v>
      </c>
      <c r="N7014">
        <v>7.07</v>
      </c>
      <c r="O7014" s="49">
        <v>44207</v>
      </c>
      <c r="P7014" s="50">
        <v>30.127500000000001</v>
      </c>
    </row>
    <row r="7015" spans="4:16" x14ac:dyDescent="0.2">
      <c r="D7015">
        <v>100004194</v>
      </c>
      <c r="E7015" s="49">
        <v>44529</v>
      </c>
      <c r="F7015" t="s">
        <v>5587</v>
      </c>
      <c r="G7015" t="s">
        <v>1718</v>
      </c>
      <c r="H7015">
        <v>8</v>
      </c>
      <c r="I7015">
        <v>98.7</v>
      </c>
      <c r="J7015" s="50">
        <v>789.6</v>
      </c>
      <c r="K7015" t="s">
        <v>1618</v>
      </c>
      <c r="M7015" t="s">
        <v>1621</v>
      </c>
      <c r="N7015">
        <v>52.09</v>
      </c>
      <c r="O7015" s="49">
        <v>44530</v>
      </c>
      <c r="P7015" s="50">
        <v>355.32</v>
      </c>
    </row>
    <row r="7016" spans="4:16" x14ac:dyDescent="0.2">
      <c r="D7016">
        <v>100004195</v>
      </c>
      <c r="E7016" s="49">
        <v>44736</v>
      </c>
      <c r="F7016" t="s">
        <v>5588</v>
      </c>
      <c r="G7016" t="s">
        <v>3135</v>
      </c>
      <c r="H7016">
        <v>4</v>
      </c>
      <c r="I7016">
        <v>13.83</v>
      </c>
      <c r="J7016" s="50">
        <v>55.32</v>
      </c>
      <c r="K7016" t="s">
        <v>1618</v>
      </c>
      <c r="M7016" t="s">
        <v>1629</v>
      </c>
      <c r="N7016">
        <v>7.3</v>
      </c>
      <c r="O7016" s="49">
        <v>44740</v>
      </c>
      <c r="P7016" s="50">
        <v>24.894000000000002</v>
      </c>
    </row>
    <row r="7017" spans="4:16" x14ac:dyDescent="0.2">
      <c r="D7017">
        <v>100004195</v>
      </c>
      <c r="E7017" s="49">
        <v>45137</v>
      </c>
      <c r="F7017" t="s">
        <v>5588</v>
      </c>
      <c r="G7017" t="s">
        <v>1637</v>
      </c>
      <c r="H7017">
        <v>2</v>
      </c>
      <c r="I7017">
        <v>73.849999999999994</v>
      </c>
      <c r="J7017" s="50">
        <v>147.69999999999999</v>
      </c>
      <c r="K7017" t="s">
        <v>1618</v>
      </c>
      <c r="M7017" t="s">
        <v>1629</v>
      </c>
      <c r="N7017">
        <v>38.979999999999997</v>
      </c>
      <c r="O7017" s="49">
        <v>45141</v>
      </c>
      <c r="P7017" s="50">
        <v>66.465000000000003</v>
      </c>
    </row>
    <row r="7018" spans="4:16" x14ac:dyDescent="0.2">
      <c r="D7018">
        <v>100004195</v>
      </c>
      <c r="E7018" s="49">
        <v>45121</v>
      </c>
      <c r="F7018" t="s">
        <v>5588</v>
      </c>
      <c r="G7018" t="s">
        <v>2050</v>
      </c>
      <c r="H7018">
        <v>3</v>
      </c>
      <c r="I7018">
        <v>89.48</v>
      </c>
      <c r="J7018" s="50">
        <v>268.44</v>
      </c>
      <c r="K7018" t="s">
        <v>1618</v>
      </c>
      <c r="M7018" t="s">
        <v>1624</v>
      </c>
      <c r="N7018">
        <v>47.23</v>
      </c>
      <c r="O7018" s="49">
        <v>45124</v>
      </c>
      <c r="P7018" s="50">
        <v>120.798</v>
      </c>
    </row>
    <row r="7019" spans="4:16" x14ac:dyDescent="0.2">
      <c r="D7019">
        <v>100004195</v>
      </c>
      <c r="E7019" s="49">
        <v>45150</v>
      </c>
      <c r="F7019" t="s">
        <v>5588</v>
      </c>
      <c r="G7019" t="s">
        <v>1648</v>
      </c>
      <c r="H7019">
        <v>7</v>
      </c>
      <c r="I7019">
        <v>38.33</v>
      </c>
      <c r="J7019" s="50">
        <v>268.31</v>
      </c>
      <c r="K7019" t="s">
        <v>1618</v>
      </c>
      <c r="M7019" t="s">
        <v>1619</v>
      </c>
      <c r="N7019">
        <v>20.23</v>
      </c>
      <c r="O7019" s="49">
        <v>45152</v>
      </c>
      <c r="P7019" s="50">
        <v>120.73950000000001</v>
      </c>
    </row>
    <row r="7020" spans="4:16" x14ac:dyDescent="0.2">
      <c r="D7020">
        <v>100004196</v>
      </c>
      <c r="E7020" s="49">
        <v>45063</v>
      </c>
      <c r="F7020" t="s">
        <v>5589</v>
      </c>
      <c r="G7020" t="s">
        <v>1802</v>
      </c>
      <c r="H7020">
        <v>8</v>
      </c>
      <c r="I7020">
        <v>66.75</v>
      </c>
      <c r="J7020" s="50">
        <v>534</v>
      </c>
      <c r="K7020" t="s">
        <v>1632</v>
      </c>
      <c r="M7020" t="s">
        <v>1627</v>
      </c>
      <c r="N7020">
        <v>35.229999999999997</v>
      </c>
      <c r="O7020" s="49">
        <v>45066</v>
      </c>
      <c r="P7020" s="50">
        <v>240.3</v>
      </c>
    </row>
    <row r="7021" spans="4:16" x14ac:dyDescent="0.2">
      <c r="D7021">
        <v>100004199</v>
      </c>
      <c r="E7021" s="49">
        <v>45004</v>
      </c>
      <c r="F7021" t="s">
        <v>5590</v>
      </c>
      <c r="G7021" t="s">
        <v>1910</v>
      </c>
      <c r="H7021">
        <v>5</v>
      </c>
      <c r="I7021">
        <v>24.45</v>
      </c>
      <c r="J7021" s="50">
        <v>122.25</v>
      </c>
      <c r="K7021" t="s">
        <v>1632</v>
      </c>
      <c r="L7021" t="s">
        <v>3868</v>
      </c>
      <c r="M7021" t="s">
        <v>1624</v>
      </c>
      <c r="N7021">
        <v>12.9</v>
      </c>
      <c r="O7021" s="49">
        <v>45007</v>
      </c>
      <c r="P7021" s="50">
        <v>55.012500000000003</v>
      </c>
    </row>
    <row r="7022" spans="4:16" x14ac:dyDescent="0.2">
      <c r="D7022">
        <v>100004203</v>
      </c>
      <c r="E7022" s="49">
        <v>44748</v>
      </c>
      <c r="F7022" t="s">
        <v>5591</v>
      </c>
      <c r="G7022" t="s">
        <v>2331</v>
      </c>
      <c r="H7022">
        <v>10</v>
      </c>
      <c r="I7022">
        <v>114.12</v>
      </c>
      <c r="J7022" s="50">
        <v>1141.2</v>
      </c>
      <c r="K7022" t="s">
        <v>1618</v>
      </c>
      <c r="M7022" t="s">
        <v>1619</v>
      </c>
      <c r="N7022">
        <v>60.23</v>
      </c>
      <c r="O7022" s="49">
        <v>44749</v>
      </c>
      <c r="P7022" s="50">
        <v>513.54000000000008</v>
      </c>
    </row>
    <row r="7023" spans="4:16" x14ac:dyDescent="0.2">
      <c r="D7023">
        <v>100004204</v>
      </c>
      <c r="E7023" s="49">
        <v>44633</v>
      </c>
      <c r="F7023" t="s">
        <v>5592</v>
      </c>
      <c r="G7023" t="s">
        <v>2192</v>
      </c>
      <c r="H7023">
        <v>5</v>
      </c>
      <c r="I7023">
        <v>80.17</v>
      </c>
      <c r="J7023" s="50">
        <v>400.85</v>
      </c>
      <c r="K7023" t="s">
        <v>1618</v>
      </c>
      <c r="M7023" t="s">
        <v>1619</v>
      </c>
      <c r="N7023">
        <v>42.31</v>
      </c>
      <c r="O7023" s="49">
        <v>44637</v>
      </c>
      <c r="P7023" s="50">
        <v>180.38250000000002</v>
      </c>
    </row>
    <row r="7024" spans="4:16" x14ac:dyDescent="0.2">
      <c r="D7024">
        <v>100004205</v>
      </c>
      <c r="E7024" s="49">
        <v>45104</v>
      </c>
      <c r="F7024" t="s">
        <v>5593</v>
      </c>
      <c r="G7024" t="s">
        <v>1802</v>
      </c>
      <c r="H7024">
        <v>3</v>
      </c>
      <c r="I7024">
        <v>49.61</v>
      </c>
      <c r="J7024" s="50">
        <v>148.83000000000001</v>
      </c>
      <c r="K7024" t="s">
        <v>1632</v>
      </c>
      <c r="M7024" t="s">
        <v>1629</v>
      </c>
      <c r="N7024">
        <v>26.18</v>
      </c>
      <c r="O7024" s="49">
        <v>45107</v>
      </c>
      <c r="P7024" s="50">
        <v>66.973500000000001</v>
      </c>
    </row>
    <row r="7025" spans="4:16" x14ac:dyDescent="0.2">
      <c r="D7025">
        <v>100004205</v>
      </c>
      <c r="E7025" s="49">
        <v>44457</v>
      </c>
      <c r="F7025" t="s">
        <v>5593</v>
      </c>
      <c r="G7025" t="s">
        <v>2745</v>
      </c>
      <c r="H7025">
        <v>6</v>
      </c>
      <c r="I7025">
        <v>106.21</v>
      </c>
      <c r="J7025" s="50">
        <v>637.26</v>
      </c>
      <c r="K7025" t="s">
        <v>1632</v>
      </c>
      <c r="M7025" t="s">
        <v>1621</v>
      </c>
      <c r="N7025">
        <v>56.05</v>
      </c>
      <c r="O7025" s="49">
        <v>44462</v>
      </c>
      <c r="P7025" s="50">
        <v>286.767</v>
      </c>
    </row>
    <row r="7026" spans="4:16" x14ac:dyDescent="0.2">
      <c r="D7026">
        <v>100004206</v>
      </c>
      <c r="E7026" s="49">
        <v>45372</v>
      </c>
      <c r="F7026" t="s">
        <v>3223</v>
      </c>
      <c r="G7026" t="s">
        <v>2065</v>
      </c>
      <c r="H7026">
        <v>6</v>
      </c>
      <c r="I7026">
        <v>95.78</v>
      </c>
      <c r="J7026" s="50">
        <v>574.68000000000006</v>
      </c>
      <c r="K7026" t="s">
        <v>1618</v>
      </c>
      <c r="M7026" t="s">
        <v>1629</v>
      </c>
      <c r="N7026">
        <v>50.55</v>
      </c>
      <c r="O7026" s="49">
        <v>45376</v>
      </c>
      <c r="P7026" s="50">
        <v>258.60600000000005</v>
      </c>
    </row>
    <row r="7027" spans="4:16" x14ac:dyDescent="0.2">
      <c r="D7027">
        <v>100004207</v>
      </c>
      <c r="E7027" s="49">
        <v>45181</v>
      </c>
      <c r="F7027" t="s">
        <v>5594</v>
      </c>
      <c r="G7027" t="s">
        <v>2485</v>
      </c>
      <c r="H7027">
        <v>3</v>
      </c>
      <c r="I7027">
        <v>49.49</v>
      </c>
      <c r="J7027" s="50">
        <v>148.47</v>
      </c>
      <c r="K7027" t="s">
        <v>1632</v>
      </c>
      <c r="M7027" t="s">
        <v>1627</v>
      </c>
      <c r="N7027">
        <v>26.12</v>
      </c>
      <c r="O7027" s="49">
        <v>45183</v>
      </c>
      <c r="P7027" s="50">
        <v>66.811499999999995</v>
      </c>
    </row>
    <row r="7028" spans="4:16" x14ac:dyDescent="0.2">
      <c r="D7028">
        <v>100004207</v>
      </c>
      <c r="E7028" s="49">
        <v>44325</v>
      </c>
      <c r="F7028" t="s">
        <v>5594</v>
      </c>
      <c r="G7028" t="s">
        <v>1728</v>
      </c>
      <c r="H7028">
        <v>1</v>
      </c>
      <c r="I7028">
        <v>37.65</v>
      </c>
      <c r="J7028" s="50">
        <v>37.65</v>
      </c>
      <c r="K7028" t="s">
        <v>1632</v>
      </c>
      <c r="M7028" t="s">
        <v>1627</v>
      </c>
      <c r="N7028">
        <v>19.87</v>
      </c>
      <c r="O7028" s="49">
        <v>44329</v>
      </c>
      <c r="P7028" s="50">
        <v>16.942499999999999</v>
      </c>
    </row>
    <row r="7029" spans="4:16" x14ac:dyDescent="0.2">
      <c r="D7029">
        <v>100004207</v>
      </c>
      <c r="E7029" s="49">
        <v>45639</v>
      </c>
      <c r="F7029" t="s">
        <v>5594</v>
      </c>
      <c r="G7029" t="s">
        <v>1651</v>
      </c>
      <c r="H7029">
        <v>2</v>
      </c>
      <c r="I7029">
        <v>105.38</v>
      </c>
      <c r="J7029" s="50">
        <v>210.76</v>
      </c>
      <c r="K7029" t="s">
        <v>1632</v>
      </c>
      <c r="M7029" t="s">
        <v>1629</v>
      </c>
      <c r="N7029">
        <v>55.62</v>
      </c>
      <c r="O7029" s="49">
        <v>45641</v>
      </c>
      <c r="P7029" s="50">
        <v>94.841999999999999</v>
      </c>
    </row>
    <row r="7030" spans="4:16" x14ac:dyDescent="0.2">
      <c r="D7030">
        <v>100004208</v>
      </c>
      <c r="E7030" s="49">
        <v>45419</v>
      </c>
      <c r="F7030" t="s">
        <v>5595</v>
      </c>
      <c r="G7030" t="s">
        <v>1833</v>
      </c>
      <c r="H7030">
        <v>8</v>
      </c>
      <c r="I7030">
        <v>27.16</v>
      </c>
      <c r="J7030" s="50">
        <v>217.28</v>
      </c>
      <c r="K7030" t="s">
        <v>1618</v>
      </c>
      <c r="M7030" t="s">
        <v>1619</v>
      </c>
      <c r="N7030">
        <v>14.33</v>
      </c>
      <c r="O7030" s="49">
        <v>45421</v>
      </c>
      <c r="P7030" s="50">
        <v>97.775999999999996</v>
      </c>
    </row>
    <row r="7031" spans="4:16" x14ac:dyDescent="0.2">
      <c r="D7031">
        <v>100004209</v>
      </c>
      <c r="E7031" s="49">
        <v>44401</v>
      </c>
      <c r="F7031" t="s">
        <v>5596</v>
      </c>
      <c r="G7031" t="s">
        <v>1712</v>
      </c>
      <c r="H7031">
        <v>4</v>
      </c>
      <c r="I7031">
        <v>48.04</v>
      </c>
      <c r="J7031" s="50">
        <v>192.16</v>
      </c>
      <c r="K7031" t="s">
        <v>1632</v>
      </c>
      <c r="M7031" t="s">
        <v>1629</v>
      </c>
      <c r="N7031">
        <v>25.35</v>
      </c>
      <c r="O7031" s="49">
        <v>44405</v>
      </c>
      <c r="P7031" s="50">
        <v>86.471999999999994</v>
      </c>
    </row>
    <row r="7032" spans="4:16" x14ac:dyDescent="0.2">
      <c r="D7032">
        <v>100004209</v>
      </c>
      <c r="E7032" s="49">
        <v>44362</v>
      </c>
      <c r="F7032" t="s">
        <v>5596</v>
      </c>
      <c r="G7032" t="s">
        <v>1758</v>
      </c>
      <c r="H7032">
        <v>3</v>
      </c>
      <c r="I7032">
        <v>91.08</v>
      </c>
      <c r="J7032" s="50">
        <v>273.24</v>
      </c>
      <c r="K7032" t="s">
        <v>1632</v>
      </c>
      <c r="M7032" t="s">
        <v>1619</v>
      </c>
      <c r="N7032">
        <v>48.07</v>
      </c>
      <c r="O7032" s="49">
        <v>44366</v>
      </c>
      <c r="P7032" s="50">
        <v>122.95800000000001</v>
      </c>
    </row>
    <row r="7033" spans="4:16" x14ac:dyDescent="0.2">
      <c r="D7033">
        <v>100004209</v>
      </c>
      <c r="E7033" s="49">
        <v>45481</v>
      </c>
      <c r="F7033" t="s">
        <v>5596</v>
      </c>
      <c r="G7033" t="s">
        <v>2550</v>
      </c>
      <c r="H7033">
        <v>7</v>
      </c>
      <c r="I7033">
        <v>112.22</v>
      </c>
      <c r="J7033" s="50">
        <v>785.54</v>
      </c>
      <c r="K7033" t="s">
        <v>1632</v>
      </c>
      <c r="M7033" t="s">
        <v>1619</v>
      </c>
      <c r="N7033">
        <v>59.23</v>
      </c>
      <c r="O7033" s="49">
        <v>45483</v>
      </c>
      <c r="P7033" s="50">
        <v>353.49299999999999</v>
      </c>
    </row>
    <row r="7034" spans="4:16" x14ac:dyDescent="0.2">
      <c r="D7034">
        <v>100004211</v>
      </c>
      <c r="E7034" s="49">
        <v>45566</v>
      </c>
      <c r="F7034" t="s">
        <v>5597</v>
      </c>
      <c r="G7034" t="s">
        <v>1782</v>
      </c>
      <c r="H7034">
        <v>7</v>
      </c>
      <c r="I7034">
        <v>17.22</v>
      </c>
      <c r="J7034" s="50">
        <v>120.54</v>
      </c>
      <c r="K7034" t="s">
        <v>1618</v>
      </c>
      <c r="L7034" t="s">
        <v>5598</v>
      </c>
      <c r="M7034" t="s">
        <v>1619</v>
      </c>
      <c r="N7034">
        <v>9.09</v>
      </c>
      <c r="O7034" s="49">
        <v>45571</v>
      </c>
      <c r="P7034" s="50">
        <v>54.243000000000002</v>
      </c>
    </row>
    <row r="7035" spans="4:16" x14ac:dyDescent="0.2">
      <c r="D7035">
        <v>100004212</v>
      </c>
      <c r="E7035" s="49">
        <v>45039</v>
      </c>
      <c r="F7035" t="s">
        <v>5599</v>
      </c>
      <c r="G7035" t="s">
        <v>1760</v>
      </c>
      <c r="H7035">
        <v>5</v>
      </c>
      <c r="I7035">
        <v>53.08</v>
      </c>
      <c r="J7035" s="50">
        <v>265.39999999999998</v>
      </c>
      <c r="K7035" t="s">
        <v>1618</v>
      </c>
      <c r="L7035" t="s">
        <v>3436</v>
      </c>
      <c r="M7035" t="s">
        <v>1619</v>
      </c>
      <c r="N7035">
        <v>28.01</v>
      </c>
      <c r="O7035" s="49">
        <v>45040</v>
      </c>
      <c r="P7035" s="50">
        <v>119.42999999999999</v>
      </c>
    </row>
    <row r="7036" spans="4:16" x14ac:dyDescent="0.2">
      <c r="D7036">
        <v>100004213</v>
      </c>
      <c r="E7036" s="49">
        <v>44299</v>
      </c>
      <c r="F7036" t="s">
        <v>5600</v>
      </c>
      <c r="G7036" t="s">
        <v>2337</v>
      </c>
      <c r="H7036">
        <v>5</v>
      </c>
      <c r="I7036">
        <v>33.22</v>
      </c>
      <c r="J7036" s="50">
        <v>166.1</v>
      </c>
      <c r="K7036" t="s">
        <v>1618</v>
      </c>
      <c r="M7036" t="s">
        <v>1619</v>
      </c>
      <c r="N7036">
        <v>17.53</v>
      </c>
      <c r="O7036" s="49">
        <v>44304</v>
      </c>
      <c r="P7036" s="50">
        <v>74.745000000000005</v>
      </c>
    </row>
    <row r="7037" spans="4:16" x14ac:dyDescent="0.2">
      <c r="D7037">
        <v>100004214</v>
      </c>
      <c r="E7037" s="49">
        <v>44717</v>
      </c>
      <c r="F7037" t="s">
        <v>5601</v>
      </c>
      <c r="G7037" t="s">
        <v>1802</v>
      </c>
      <c r="H7037">
        <v>7</v>
      </c>
      <c r="I7037">
        <v>44.55</v>
      </c>
      <c r="J7037" s="50">
        <v>311.85000000000002</v>
      </c>
      <c r="K7037" t="s">
        <v>1618</v>
      </c>
      <c r="M7037" t="s">
        <v>1621</v>
      </c>
      <c r="N7037">
        <v>23.51</v>
      </c>
      <c r="O7037" s="49">
        <v>44721</v>
      </c>
      <c r="P7037" s="50">
        <v>140.33250000000001</v>
      </c>
    </row>
    <row r="7038" spans="4:16" x14ac:dyDescent="0.2">
      <c r="D7038">
        <v>100004214</v>
      </c>
      <c r="E7038" s="49">
        <v>44783</v>
      </c>
      <c r="F7038" t="s">
        <v>5601</v>
      </c>
      <c r="G7038" t="s">
        <v>2348</v>
      </c>
      <c r="H7038">
        <v>5</v>
      </c>
      <c r="I7038">
        <v>70.11</v>
      </c>
      <c r="J7038" s="50">
        <v>350.55</v>
      </c>
      <c r="K7038" t="s">
        <v>1618</v>
      </c>
      <c r="M7038" t="s">
        <v>1629</v>
      </c>
      <c r="N7038">
        <v>37</v>
      </c>
      <c r="O7038" s="49">
        <v>44788</v>
      </c>
      <c r="P7038" s="50">
        <v>157.7475</v>
      </c>
    </row>
    <row r="7039" spans="4:16" x14ac:dyDescent="0.2">
      <c r="D7039">
        <v>100004214</v>
      </c>
      <c r="E7039" s="49">
        <v>45559</v>
      </c>
      <c r="F7039" t="s">
        <v>5601</v>
      </c>
      <c r="G7039" t="s">
        <v>1710</v>
      </c>
      <c r="H7039">
        <v>3</v>
      </c>
      <c r="I7039">
        <v>61.14</v>
      </c>
      <c r="J7039" s="50">
        <v>183.42</v>
      </c>
      <c r="K7039" t="s">
        <v>1618</v>
      </c>
      <c r="M7039" t="s">
        <v>1624</v>
      </c>
      <c r="N7039">
        <v>32.270000000000003</v>
      </c>
      <c r="O7039" s="49">
        <v>45563</v>
      </c>
      <c r="P7039" s="50">
        <v>82.539000000000001</v>
      </c>
    </row>
    <row r="7040" spans="4:16" x14ac:dyDescent="0.2">
      <c r="D7040">
        <v>100004215</v>
      </c>
      <c r="E7040" s="49">
        <v>45260</v>
      </c>
      <c r="F7040" t="s">
        <v>5602</v>
      </c>
      <c r="G7040" t="s">
        <v>2016</v>
      </c>
      <c r="H7040">
        <v>5</v>
      </c>
      <c r="I7040">
        <v>32.64</v>
      </c>
      <c r="J7040" s="50">
        <v>163.19999999999999</v>
      </c>
      <c r="K7040" t="s">
        <v>1618</v>
      </c>
      <c r="M7040" t="s">
        <v>1619</v>
      </c>
      <c r="N7040">
        <v>17.23</v>
      </c>
      <c r="O7040" s="49">
        <v>45265</v>
      </c>
      <c r="P7040" s="50">
        <v>73.44</v>
      </c>
    </row>
    <row r="7041" spans="4:16" x14ac:dyDescent="0.2">
      <c r="D7041">
        <v>100004215</v>
      </c>
      <c r="E7041" s="49">
        <v>44971</v>
      </c>
      <c r="F7041" t="s">
        <v>5602</v>
      </c>
      <c r="G7041" t="s">
        <v>1918</v>
      </c>
      <c r="H7041">
        <v>2</v>
      </c>
      <c r="I7041">
        <v>11.07</v>
      </c>
      <c r="J7041" s="50">
        <v>22.14</v>
      </c>
      <c r="K7041" t="s">
        <v>1618</v>
      </c>
      <c r="M7041" t="s">
        <v>1627</v>
      </c>
      <c r="N7041">
        <v>5.84</v>
      </c>
      <c r="O7041" s="49">
        <v>44976</v>
      </c>
      <c r="P7041" s="50">
        <v>9.963000000000001</v>
      </c>
    </row>
    <row r="7042" spans="4:16" x14ac:dyDescent="0.2">
      <c r="D7042">
        <v>100004215</v>
      </c>
      <c r="E7042" s="49">
        <v>45281</v>
      </c>
      <c r="F7042" t="s">
        <v>5602</v>
      </c>
      <c r="G7042" t="s">
        <v>2017</v>
      </c>
      <c r="H7042">
        <v>4</v>
      </c>
      <c r="I7042">
        <v>73.27</v>
      </c>
      <c r="J7042" s="50">
        <v>293.08</v>
      </c>
      <c r="K7042" t="s">
        <v>1618</v>
      </c>
      <c r="M7042" t="s">
        <v>1619</v>
      </c>
      <c r="N7042">
        <v>38.67</v>
      </c>
      <c r="O7042" s="49">
        <v>45285</v>
      </c>
      <c r="P7042" s="50">
        <v>131.886</v>
      </c>
    </row>
    <row r="7043" spans="4:16" x14ac:dyDescent="0.2">
      <c r="D7043">
        <v>100004216</v>
      </c>
      <c r="E7043" s="49">
        <v>45182</v>
      </c>
      <c r="F7043" t="s">
        <v>5603</v>
      </c>
      <c r="G7043" t="s">
        <v>1831</v>
      </c>
      <c r="H7043">
        <v>10</v>
      </c>
      <c r="I7043">
        <v>50.33</v>
      </c>
      <c r="J7043" s="50">
        <v>503.3</v>
      </c>
      <c r="K7043" t="s">
        <v>1618</v>
      </c>
      <c r="M7043" t="s">
        <v>1624</v>
      </c>
      <c r="N7043">
        <v>26.56</v>
      </c>
      <c r="O7043" s="49">
        <v>45185</v>
      </c>
      <c r="P7043" s="50">
        <v>226.48500000000001</v>
      </c>
    </row>
    <row r="7044" spans="4:16" x14ac:dyDescent="0.2">
      <c r="D7044">
        <v>100004216</v>
      </c>
      <c r="E7044" s="49">
        <v>45025</v>
      </c>
      <c r="F7044" t="s">
        <v>5603</v>
      </c>
      <c r="G7044" t="s">
        <v>1827</v>
      </c>
      <c r="H7044">
        <v>8</v>
      </c>
      <c r="I7044">
        <v>111.31</v>
      </c>
      <c r="J7044" s="50">
        <v>890.48</v>
      </c>
      <c r="K7044" t="s">
        <v>1618</v>
      </c>
      <c r="M7044" t="s">
        <v>1627</v>
      </c>
      <c r="N7044">
        <v>58.75</v>
      </c>
      <c r="O7044" s="49">
        <v>45029</v>
      </c>
      <c r="P7044" s="50">
        <v>400.71600000000001</v>
      </c>
    </row>
    <row r="7045" spans="4:16" x14ac:dyDescent="0.2">
      <c r="D7045">
        <v>100004217</v>
      </c>
      <c r="E7045" s="49">
        <v>45214</v>
      </c>
      <c r="F7045" t="s">
        <v>5604</v>
      </c>
      <c r="G7045" t="s">
        <v>2707</v>
      </c>
      <c r="H7045">
        <v>6</v>
      </c>
      <c r="I7045">
        <v>15.16</v>
      </c>
      <c r="J7045" s="50">
        <v>90.960000000000008</v>
      </c>
      <c r="K7045" t="s">
        <v>1618</v>
      </c>
      <c r="M7045" t="s">
        <v>1621</v>
      </c>
      <c r="N7045">
        <v>8</v>
      </c>
      <c r="O7045" s="49">
        <v>45215</v>
      </c>
      <c r="P7045" s="50">
        <v>40.932000000000002</v>
      </c>
    </row>
    <row r="7046" spans="4:16" x14ac:dyDescent="0.2">
      <c r="D7046">
        <v>100004218</v>
      </c>
      <c r="E7046" s="49">
        <v>44786</v>
      </c>
      <c r="F7046" t="s">
        <v>5605</v>
      </c>
      <c r="G7046" t="s">
        <v>2099</v>
      </c>
      <c r="H7046">
        <v>6</v>
      </c>
      <c r="I7046">
        <v>37.94</v>
      </c>
      <c r="J7046" s="50">
        <v>227.64</v>
      </c>
      <c r="K7046" t="s">
        <v>1632</v>
      </c>
      <c r="M7046" t="s">
        <v>1619</v>
      </c>
      <c r="N7046">
        <v>20.02</v>
      </c>
      <c r="O7046" s="49">
        <v>44787</v>
      </c>
      <c r="P7046" s="50">
        <v>102.438</v>
      </c>
    </row>
    <row r="7047" spans="4:16" x14ac:dyDescent="0.2">
      <c r="D7047">
        <v>100004220</v>
      </c>
      <c r="E7047" s="49">
        <v>44486</v>
      </c>
      <c r="F7047" t="s">
        <v>5606</v>
      </c>
      <c r="G7047" t="s">
        <v>1696</v>
      </c>
      <c r="H7047">
        <v>7</v>
      </c>
      <c r="I7047">
        <v>96.32</v>
      </c>
      <c r="J7047" s="50">
        <v>674.24</v>
      </c>
      <c r="K7047" t="s">
        <v>1618</v>
      </c>
      <c r="L7047" t="s">
        <v>5607</v>
      </c>
      <c r="M7047" t="s">
        <v>1624</v>
      </c>
      <c r="N7047">
        <v>50.84</v>
      </c>
      <c r="O7047" s="49">
        <v>44490</v>
      </c>
      <c r="P7047" s="50">
        <v>303.40800000000002</v>
      </c>
    </row>
    <row r="7048" spans="4:16" x14ac:dyDescent="0.2">
      <c r="D7048">
        <v>100004221</v>
      </c>
      <c r="E7048" s="49">
        <v>44964</v>
      </c>
      <c r="F7048" t="s">
        <v>5608</v>
      </c>
      <c r="G7048" t="s">
        <v>2412</v>
      </c>
      <c r="H7048">
        <v>1</v>
      </c>
      <c r="I7048">
        <v>50.44</v>
      </c>
      <c r="J7048" s="50">
        <v>50.44</v>
      </c>
      <c r="K7048" t="s">
        <v>1632</v>
      </c>
      <c r="M7048" t="s">
        <v>1629</v>
      </c>
      <c r="N7048">
        <v>26.62</v>
      </c>
      <c r="O7048" s="49">
        <v>44968</v>
      </c>
      <c r="P7048" s="50">
        <v>22.698</v>
      </c>
    </row>
    <row r="7049" spans="4:16" x14ac:dyDescent="0.2">
      <c r="D7049">
        <v>100004222</v>
      </c>
      <c r="E7049" s="49">
        <v>45411</v>
      </c>
      <c r="F7049" t="s">
        <v>5609</v>
      </c>
      <c r="G7049" t="s">
        <v>2372</v>
      </c>
      <c r="H7049">
        <v>4</v>
      </c>
      <c r="I7049">
        <v>35.26</v>
      </c>
      <c r="J7049" s="50">
        <v>141.04</v>
      </c>
      <c r="K7049" t="s">
        <v>1618</v>
      </c>
      <c r="M7049" t="s">
        <v>1627</v>
      </c>
      <c r="N7049">
        <v>18.61</v>
      </c>
      <c r="O7049" s="49">
        <v>45412</v>
      </c>
      <c r="P7049" s="50">
        <v>63.467999999999996</v>
      </c>
    </row>
    <row r="7050" spans="4:16" x14ac:dyDescent="0.2">
      <c r="D7050">
        <v>100004223</v>
      </c>
      <c r="E7050" s="49">
        <v>44767</v>
      </c>
      <c r="F7050" t="s">
        <v>5610</v>
      </c>
      <c r="G7050" t="s">
        <v>1664</v>
      </c>
      <c r="H7050">
        <v>9</v>
      </c>
      <c r="I7050">
        <v>65.88</v>
      </c>
      <c r="J7050" s="50">
        <v>592.91999999999996</v>
      </c>
      <c r="K7050" t="s">
        <v>1632</v>
      </c>
      <c r="M7050" t="s">
        <v>1629</v>
      </c>
      <c r="N7050">
        <v>34.770000000000003</v>
      </c>
      <c r="O7050" s="49">
        <v>44769</v>
      </c>
      <c r="P7050" s="50">
        <v>266.81399999999996</v>
      </c>
    </row>
    <row r="7051" spans="4:16" x14ac:dyDescent="0.2">
      <c r="D7051">
        <v>100004223</v>
      </c>
      <c r="E7051" s="49">
        <v>44246</v>
      </c>
      <c r="F7051" t="s">
        <v>5610</v>
      </c>
      <c r="G7051" t="s">
        <v>1975</v>
      </c>
      <c r="H7051">
        <v>10</v>
      </c>
      <c r="I7051">
        <v>92.81</v>
      </c>
      <c r="J7051" s="50">
        <v>928.1</v>
      </c>
      <c r="K7051" t="s">
        <v>1632</v>
      </c>
      <c r="M7051" t="s">
        <v>1621</v>
      </c>
      <c r="N7051">
        <v>48.98</v>
      </c>
      <c r="O7051" s="49">
        <v>44247</v>
      </c>
      <c r="P7051" s="50">
        <v>417.64500000000004</v>
      </c>
    </row>
    <row r="7052" spans="4:16" x14ac:dyDescent="0.2">
      <c r="D7052">
        <v>100004223</v>
      </c>
      <c r="E7052" s="49">
        <v>45513</v>
      </c>
      <c r="F7052" t="s">
        <v>5610</v>
      </c>
      <c r="G7052" t="s">
        <v>2427</v>
      </c>
      <c r="H7052">
        <v>1</v>
      </c>
      <c r="I7052">
        <v>19.399999999999999</v>
      </c>
      <c r="J7052" s="50">
        <v>19.399999999999999</v>
      </c>
      <c r="K7052" t="s">
        <v>1632</v>
      </c>
      <c r="M7052" t="s">
        <v>1624</v>
      </c>
      <c r="N7052">
        <v>10.24</v>
      </c>
      <c r="O7052" s="49">
        <v>45517</v>
      </c>
      <c r="P7052" s="50">
        <v>8.73</v>
      </c>
    </row>
    <row r="7053" spans="4:16" x14ac:dyDescent="0.2">
      <c r="D7053">
        <v>100004224</v>
      </c>
      <c r="E7053" s="49">
        <v>45585</v>
      </c>
      <c r="F7053" t="s">
        <v>5611</v>
      </c>
      <c r="G7053" t="s">
        <v>2348</v>
      </c>
      <c r="H7053">
        <v>2</v>
      </c>
      <c r="I7053">
        <v>21.39</v>
      </c>
      <c r="J7053" s="50">
        <v>42.78</v>
      </c>
      <c r="K7053" t="s">
        <v>1618</v>
      </c>
      <c r="M7053" t="s">
        <v>1621</v>
      </c>
      <c r="N7053">
        <v>11.29</v>
      </c>
      <c r="O7053" s="49">
        <v>45590</v>
      </c>
      <c r="P7053" s="50">
        <v>19.251000000000001</v>
      </c>
    </row>
    <row r="7054" spans="4:16" x14ac:dyDescent="0.2">
      <c r="D7054">
        <v>100004224</v>
      </c>
      <c r="E7054" s="49">
        <v>44361</v>
      </c>
      <c r="F7054" t="s">
        <v>5611</v>
      </c>
      <c r="G7054" t="s">
        <v>1681</v>
      </c>
      <c r="H7054">
        <v>2</v>
      </c>
      <c r="I7054">
        <v>45.17</v>
      </c>
      <c r="J7054" s="50">
        <v>90.34</v>
      </c>
      <c r="K7054" t="s">
        <v>1618</v>
      </c>
      <c r="M7054" t="s">
        <v>1621</v>
      </c>
      <c r="N7054">
        <v>23.84</v>
      </c>
      <c r="O7054" s="49">
        <v>44363</v>
      </c>
      <c r="P7054" s="50">
        <v>40.653000000000006</v>
      </c>
    </row>
    <row r="7055" spans="4:16" x14ac:dyDescent="0.2">
      <c r="D7055">
        <v>100004224</v>
      </c>
      <c r="E7055" s="49">
        <v>45273</v>
      </c>
      <c r="F7055" t="s">
        <v>5611</v>
      </c>
      <c r="G7055" t="s">
        <v>1754</v>
      </c>
      <c r="H7055">
        <v>7</v>
      </c>
      <c r="I7055">
        <v>11.04</v>
      </c>
      <c r="J7055" s="50">
        <v>77.28</v>
      </c>
      <c r="K7055" t="s">
        <v>1618</v>
      </c>
      <c r="M7055" t="s">
        <v>1621</v>
      </c>
      <c r="N7055">
        <v>5.83</v>
      </c>
      <c r="O7055" s="49">
        <v>45278</v>
      </c>
      <c r="P7055" s="50">
        <v>34.776000000000003</v>
      </c>
    </row>
    <row r="7056" spans="4:16" x14ac:dyDescent="0.2">
      <c r="D7056">
        <v>100004224</v>
      </c>
      <c r="E7056" s="49">
        <v>45611</v>
      </c>
      <c r="F7056" t="s">
        <v>5611</v>
      </c>
      <c r="G7056" t="s">
        <v>2217</v>
      </c>
      <c r="H7056">
        <v>3</v>
      </c>
      <c r="I7056">
        <v>110.58</v>
      </c>
      <c r="J7056" s="50">
        <v>331.74</v>
      </c>
      <c r="K7056" t="s">
        <v>1618</v>
      </c>
      <c r="M7056" t="s">
        <v>1619</v>
      </c>
      <c r="N7056">
        <v>58.36</v>
      </c>
      <c r="O7056" s="49">
        <v>45612</v>
      </c>
      <c r="P7056" s="50">
        <v>149.28300000000002</v>
      </c>
    </row>
    <row r="7057" spans="4:16" x14ac:dyDescent="0.2">
      <c r="D7057">
        <v>100004224</v>
      </c>
      <c r="E7057" s="49">
        <v>44396</v>
      </c>
      <c r="F7057" t="s">
        <v>5611</v>
      </c>
      <c r="G7057" t="s">
        <v>2050</v>
      </c>
      <c r="H7057">
        <v>9</v>
      </c>
      <c r="I7057">
        <v>17.46</v>
      </c>
      <c r="J7057" s="50">
        <v>157.13999999999999</v>
      </c>
      <c r="K7057" t="s">
        <v>1618</v>
      </c>
      <c r="M7057" t="s">
        <v>1629</v>
      </c>
      <c r="N7057">
        <v>9.2100000000000009</v>
      </c>
      <c r="O7057" s="49">
        <v>44397</v>
      </c>
      <c r="P7057" s="50">
        <v>70.712999999999994</v>
      </c>
    </row>
    <row r="7058" spans="4:16" x14ac:dyDescent="0.2">
      <c r="D7058">
        <v>100004224</v>
      </c>
      <c r="E7058" s="49">
        <v>44266</v>
      </c>
      <c r="F7058" t="s">
        <v>5611</v>
      </c>
      <c r="G7058" t="s">
        <v>1754</v>
      </c>
      <c r="H7058">
        <v>1</v>
      </c>
      <c r="I7058">
        <v>62.18</v>
      </c>
      <c r="J7058" s="50">
        <v>62.18</v>
      </c>
      <c r="K7058" t="s">
        <v>1618</v>
      </c>
      <c r="M7058" t="s">
        <v>1627</v>
      </c>
      <c r="N7058">
        <v>32.82</v>
      </c>
      <c r="O7058" s="49">
        <v>44271</v>
      </c>
      <c r="P7058" s="50">
        <v>27.981000000000002</v>
      </c>
    </row>
    <row r="7059" spans="4:16" x14ac:dyDescent="0.2">
      <c r="D7059">
        <v>100004224</v>
      </c>
      <c r="E7059" s="49">
        <v>44986</v>
      </c>
      <c r="F7059" t="s">
        <v>5611</v>
      </c>
      <c r="G7059" t="s">
        <v>2063</v>
      </c>
      <c r="H7059">
        <v>9</v>
      </c>
      <c r="I7059">
        <v>63.51</v>
      </c>
      <c r="J7059" s="50">
        <v>571.59</v>
      </c>
      <c r="K7059" t="s">
        <v>1618</v>
      </c>
      <c r="M7059" t="s">
        <v>1629</v>
      </c>
      <c r="N7059">
        <v>33.520000000000003</v>
      </c>
      <c r="O7059" s="49">
        <v>44988</v>
      </c>
      <c r="P7059" s="50">
        <v>257.21550000000002</v>
      </c>
    </row>
    <row r="7060" spans="4:16" x14ac:dyDescent="0.2">
      <c r="D7060">
        <v>100004224</v>
      </c>
      <c r="E7060" s="49">
        <v>45523</v>
      </c>
      <c r="F7060" t="s">
        <v>5611</v>
      </c>
      <c r="G7060" t="s">
        <v>1921</v>
      </c>
      <c r="H7060">
        <v>8</v>
      </c>
      <c r="I7060">
        <v>30.41</v>
      </c>
      <c r="J7060" s="50">
        <v>243.28</v>
      </c>
      <c r="K7060" t="s">
        <v>1618</v>
      </c>
      <c r="M7060" t="s">
        <v>1629</v>
      </c>
      <c r="N7060">
        <v>16.05</v>
      </c>
      <c r="O7060" s="49">
        <v>45528</v>
      </c>
      <c r="P7060" s="50">
        <v>109.476</v>
      </c>
    </row>
    <row r="7061" spans="4:16" x14ac:dyDescent="0.2">
      <c r="D7061">
        <v>100004224</v>
      </c>
      <c r="E7061" s="49">
        <v>44684</v>
      </c>
      <c r="F7061" t="s">
        <v>5611</v>
      </c>
      <c r="G7061" t="s">
        <v>2291</v>
      </c>
      <c r="H7061">
        <v>5</v>
      </c>
      <c r="I7061">
        <v>56.34</v>
      </c>
      <c r="J7061" s="50">
        <v>281.7</v>
      </c>
      <c r="K7061" t="s">
        <v>1618</v>
      </c>
      <c r="M7061" t="s">
        <v>1619</v>
      </c>
      <c r="N7061">
        <v>29.73</v>
      </c>
      <c r="O7061" s="49">
        <v>44685</v>
      </c>
      <c r="P7061" s="50">
        <v>126.765</v>
      </c>
    </row>
    <row r="7062" spans="4:16" x14ac:dyDescent="0.2">
      <c r="D7062">
        <v>100004225</v>
      </c>
      <c r="E7062" s="49">
        <v>45547</v>
      </c>
      <c r="F7062" t="s">
        <v>1654</v>
      </c>
      <c r="G7062" t="s">
        <v>2116</v>
      </c>
      <c r="H7062">
        <v>10</v>
      </c>
      <c r="I7062">
        <v>111.8</v>
      </c>
      <c r="J7062" s="50">
        <v>1118</v>
      </c>
      <c r="K7062" t="s">
        <v>1618</v>
      </c>
      <c r="M7062" t="s">
        <v>1621</v>
      </c>
      <c r="N7062">
        <v>59.01</v>
      </c>
      <c r="O7062" s="49">
        <v>45550</v>
      </c>
      <c r="P7062" s="50">
        <v>503.1</v>
      </c>
    </row>
    <row r="7063" spans="4:16" x14ac:dyDescent="0.2">
      <c r="D7063">
        <v>100004226</v>
      </c>
      <c r="E7063" s="49">
        <v>45654</v>
      </c>
      <c r="F7063" t="s">
        <v>5612</v>
      </c>
      <c r="G7063" t="s">
        <v>1795</v>
      </c>
      <c r="H7063">
        <v>6</v>
      </c>
      <c r="I7063">
        <v>99.97</v>
      </c>
      <c r="J7063" s="50">
        <v>599.81999999999994</v>
      </c>
      <c r="K7063" t="s">
        <v>1632</v>
      </c>
      <c r="M7063" t="s">
        <v>1621</v>
      </c>
      <c r="N7063">
        <v>52.76</v>
      </c>
      <c r="O7063" s="49">
        <v>45658</v>
      </c>
      <c r="P7063" s="50">
        <v>269.91899999999998</v>
      </c>
    </row>
    <row r="7064" spans="4:16" x14ac:dyDescent="0.2">
      <c r="D7064">
        <v>100004226</v>
      </c>
      <c r="E7064" s="49">
        <v>44922</v>
      </c>
      <c r="F7064" t="s">
        <v>5612</v>
      </c>
      <c r="G7064" t="s">
        <v>1955</v>
      </c>
      <c r="H7064">
        <v>5</v>
      </c>
      <c r="I7064">
        <v>50.6</v>
      </c>
      <c r="J7064" s="50">
        <v>253</v>
      </c>
      <c r="K7064" t="s">
        <v>1632</v>
      </c>
      <c r="M7064" t="s">
        <v>1624</v>
      </c>
      <c r="N7064">
        <v>26.71</v>
      </c>
      <c r="O7064" s="49">
        <v>44927</v>
      </c>
      <c r="P7064" s="50">
        <v>113.85000000000001</v>
      </c>
    </row>
    <row r="7065" spans="4:16" x14ac:dyDescent="0.2">
      <c r="D7065">
        <v>100004226</v>
      </c>
      <c r="E7065" s="49">
        <v>44281</v>
      </c>
      <c r="F7065" t="s">
        <v>5612</v>
      </c>
      <c r="G7065" t="s">
        <v>2762</v>
      </c>
      <c r="H7065">
        <v>6</v>
      </c>
      <c r="I7065">
        <v>101.92</v>
      </c>
      <c r="J7065" s="50">
        <v>611.52</v>
      </c>
      <c r="K7065" t="s">
        <v>1632</v>
      </c>
      <c r="M7065" t="s">
        <v>1619</v>
      </c>
      <c r="N7065">
        <v>53.79</v>
      </c>
      <c r="O7065" s="49">
        <v>44284</v>
      </c>
      <c r="P7065" s="50">
        <v>275.18400000000003</v>
      </c>
    </row>
    <row r="7066" spans="4:16" x14ac:dyDescent="0.2">
      <c r="D7066">
        <v>100004226</v>
      </c>
      <c r="E7066" s="49">
        <v>45648</v>
      </c>
      <c r="F7066" t="s">
        <v>5612</v>
      </c>
      <c r="G7066" t="s">
        <v>2269</v>
      </c>
      <c r="H7066">
        <v>4</v>
      </c>
      <c r="I7066">
        <v>35.14</v>
      </c>
      <c r="J7066" s="50">
        <v>140.56</v>
      </c>
      <c r="K7066" t="s">
        <v>1632</v>
      </c>
      <c r="M7066" t="s">
        <v>1627</v>
      </c>
      <c r="N7066">
        <v>18.55</v>
      </c>
      <c r="O7066" s="49">
        <v>45652</v>
      </c>
      <c r="P7066" s="50">
        <v>63.252000000000002</v>
      </c>
    </row>
    <row r="7067" spans="4:16" x14ac:dyDescent="0.2">
      <c r="D7067">
        <v>100004226</v>
      </c>
      <c r="E7067" s="49">
        <v>45508</v>
      </c>
      <c r="F7067" t="s">
        <v>5612</v>
      </c>
      <c r="G7067" t="s">
        <v>1937</v>
      </c>
      <c r="H7067">
        <v>4</v>
      </c>
      <c r="I7067">
        <v>47.97</v>
      </c>
      <c r="J7067" s="50">
        <v>191.88</v>
      </c>
      <c r="K7067" t="s">
        <v>1632</v>
      </c>
      <c r="M7067" t="s">
        <v>1629</v>
      </c>
      <c r="N7067">
        <v>25.32</v>
      </c>
      <c r="O7067" s="49">
        <v>45509</v>
      </c>
      <c r="P7067" s="50">
        <v>86.346000000000004</v>
      </c>
    </row>
    <row r="7068" spans="4:16" x14ac:dyDescent="0.2">
      <c r="D7068">
        <v>100004226</v>
      </c>
      <c r="E7068" s="49">
        <v>44296</v>
      </c>
      <c r="F7068" t="s">
        <v>5612</v>
      </c>
      <c r="G7068" t="s">
        <v>2090</v>
      </c>
      <c r="H7068">
        <v>4</v>
      </c>
      <c r="I7068">
        <v>52.77</v>
      </c>
      <c r="J7068" s="50">
        <v>211.08</v>
      </c>
      <c r="K7068" t="s">
        <v>1632</v>
      </c>
      <c r="M7068" t="s">
        <v>1624</v>
      </c>
      <c r="N7068">
        <v>27.85</v>
      </c>
      <c r="O7068" s="49">
        <v>44301</v>
      </c>
      <c r="P7068" s="50">
        <v>94.986000000000004</v>
      </c>
    </row>
    <row r="7069" spans="4:16" x14ac:dyDescent="0.2">
      <c r="D7069">
        <v>100004227</v>
      </c>
      <c r="E7069" s="49">
        <v>44776</v>
      </c>
      <c r="F7069" t="s">
        <v>5613</v>
      </c>
      <c r="G7069" t="s">
        <v>1700</v>
      </c>
      <c r="H7069">
        <v>7</v>
      </c>
      <c r="I7069">
        <v>101.25</v>
      </c>
      <c r="J7069" s="50">
        <v>708.75</v>
      </c>
      <c r="K7069" t="s">
        <v>1618</v>
      </c>
      <c r="M7069" t="s">
        <v>1621</v>
      </c>
      <c r="N7069">
        <v>53.44</v>
      </c>
      <c r="O7069" s="49">
        <v>44778</v>
      </c>
      <c r="P7069" s="50">
        <v>318.9375</v>
      </c>
    </row>
    <row r="7070" spans="4:16" x14ac:dyDescent="0.2">
      <c r="D7070">
        <v>100004229</v>
      </c>
      <c r="E7070" s="49">
        <v>45477</v>
      </c>
      <c r="F7070" t="s">
        <v>5614</v>
      </c>
      <c r="G7070" t="s">
        <v>1739</v>
      </c>
      <c r="H7070">
        <v>7</v>
      </c>
      <c r="I7070">
        <v>78.37</v>
      </c>
      <c r="J7070" s="50">
        <v>548.59</v>
      </c>
      <c r="K7070" t="s">
        <v>1618</v>
      </c>
      <c r="M7070" t="s">
        <v>1624</v>
      </c>
      <c r="N7070">
        <v>41.36</v>
      </c>
      <c r="O7070" s="49">
        <v>45479</v>
      </c>
      <c r="P7070" s="50">
        <v>246.86550000000003</v>
      </c>
    </row>
    <row r="7071" spans="4:16" x14ac:dyDescent="0.2">
      <c r="D7071">
        <v>100004229</v>
      </c>
      <c r="E7071" s="49">
        <v>44878</v>
      </c>
      <c r="F7071" t="s">
        <v>5614</v>
      </c>
      <c r="G7071" t="s">
        <v>2057</v>
      </c>
      <c r="H7071">
        <v>5</v>
      </c>
      <c r="I7071">
        <v>34.6</v>
      </c>
      <c r="J7071" s="50">
        <v>173</v>
      </c>
      <c r="K7071" t="s">
        <v>1618</v>
      </c>
      <c r="M7071" t="s">
        <v>1627</v>
      </c>
      <c r="N7071">
        <v>18.260000000000002</v>
      </c>
      <c r="O7071" s="49">
        <v>44882</v>
      </c>
      <c r="P7071" s="50">
        <v>77.850000000000009</v>
      </c>
    </row>
    <row r="7072" spans="4:16" x14ac:dyDescent="0.2">
      <c r="D7072">
        <v>100004229</v>
      </c>
      <c r="E7072" s="49">
        <v>44720</v>
      </c>
      <c r="F7072" t="s">
        <v>5614</v>
      </c>
      <c r="G7072" t="s">
        <v>1665</v>
      </c>
      <c r="H7072">
        <v>3</v>
      </c>
      <c r="I7072">
        <v>22.2</v>
      </c>
      <c r="J7072" s="50">
        <v>66.599999999999994</v>
      </c>
      <c r="K7072" t="s">
        <v>1618</v>
      </c>
      <c r="M7072" t="s">
        <v>1621</v>
      </c>
      <c r="N7072">
        <v>11.72</v>
      </c>
      <c r="O7072" s="49">
        <v>44725</v>
      </c>
      <c r="P7072" s="50">
        <v>29.97</v>
      </c>
    </row>
    <row r="7073" spans="4:16" x14ac:dyDescent="0.2">
      <c r="D7073">
        <v>100004229</v>
      </c>
      <c r="E7073" s="49">
        <v>45517</v>
      </c>
      <c r="F7073" t="s">
        <v>5614</v>
      </c>
      <c r="G7073" t="s">
        <v>2074</v>
      </c>
      <c r="H7073">
        <v>10</v>
      </c>
      <c r="I7073">
        <v>12.33</v>
      </c>
      <c r="J7073" s="50">
        <v>123.3</v>
      </c>
      <c r="K7073" t="s">
        <v>1618</v>
      </c>
      <c r="M7073" t="s">
        <v>1627</v>
      </c>
      <c r="N7073">
        <v>6.51</v>
      </c>
      <c r="O7073" s="49">
        <v>45522</v>
      </c>
      <c r="P7073" s="50">
        <v>55.484999999999999</v>
      </c>
    </row>
    <row r="7074" spans="4:16" x14ac:dyDescent="0.2">
      <c r="D7074">
        <v>100004230</v>
      </c>
      <c r="E7074" s="49">
        <v>45654</v>
      </c>
      <c r="F7074" t="s">
        <v>5615</v>
      </c>
      <c r="G7074" t="s">
        <v>1710</v>
      </c>
      <c r="H7074">
        <v>5</v>
      </c>
      <c r="I7074">
        <v>10.76</v>
      </c>
      <c r="J7074" s="50">
        <v>53.8</v>
      </c>
      <c r="K7074" t="s">
        <v>1618</v>
      </c>
      <c r="M7074" t="s">
        <v>1619</v>
      </c>
      <c r="N7074">
        <v>5.68</v>
      </c>
      <c r="O7074" s="49">
        <v>45659</v>
      </c>
      <c r="P7074" s="50">
        <v>24.21</v>
      </c>
    </row>
    <row r="7075" spans="4:16" x14ac:dyDescent="0.2">
      <c r="D7075">
        <v>100004230</v>
      </c>
      <c r="E7075" s="49">
        <v>45138</v>
      </c>
      <c r="F7075" t="s">
        <v>5615</v>
      </c>
      <c r="G7075" t="s">
        <v>1700</v>
      </c>
      <c r="H7075">
        <v>3</v>
      </c>
      <c r="I7075">
        <v>82.73</v>
      </c>
      <c r="J7075" s="50">
        <v>248.19</v>
      </c>
      <c r="K7075" t="s">
        <v>1618</v>
      </c>
      <c r="M7075" t="s">
        <v>1627</v>
      </c>
      <c r="N7075">
        <v>43.66</v>
      </c>
      <c r="O7075" s="49">
        <v>45142</v>
      </c>
      <c r="P7075" s="50">
        <v>111.6855</v>
      </c>
    </row>
    <row r="7076" spans="4:16" x14ac:dyDescent="0.2">
      <c r="D7076">
        <v>100004230</v>
      </c>
      <c r="E7076" s="49">
        <v>45347</v>
      </c>
      <c r="F7076" t="s">
        <v>5615</v>
      </c>
      <c r="G7076" t="s">
        <v>1742</v>
      </c>
      <c r="H7076">
        <v>4</v>
      </c>
      <c r="I7076">
        <v>73.599999999999994</v>
      </c>
      <c r="J7076" s="50">
        <v>294.39999999999998</v>
      </c>
      <c r="K7076" t="s">
        <v>1618</v>
      </c>
      <c r="M7076" t="s">
        <v>1629</v>
      </c>
      <c r="N7076">
        <v>38.840000000000003</v>
      </c>
      <c r="O7076" s="49">
        <v>45350</v>
      </c>
      <c r="P7076" s="50">
        <v>132.47999999999999</v>
      </c>
    </row>
    <row r="7077" spans="4:16" x14ac:dyDescent="0.2">
      <c r="D7077">
        <v>100004230</v>
      </c>
      <c r="E7077" s="49">
        <v>45162</v>
      </c>
      <c r="F7077" t="s">
        <v>5615</v>
      </c>
      <c r="G7077" t="s">
        <v>2099</v>
      </c>
      <c r="H7077">
        <v>10</v>
      </c>
      <c r="I7077">
        <v>62.82</v>
      </c>
      <c r="J7077" s="50">
        <v>628.20000000000005</v>
      </c>
      <c r="K7077" t="s">
        <v>1618</v>
      </c>
      <c r="M7077" t="s">
        <v>1621</v>
      </c>
      <c r="N7077">
        <v>33.15</v>
      </c>
      <c r="O7077" s="49">
        <v>45163</v>
      </c>
      <c r="P7077" s="50">
        <v>282.69000000000005</v>
      </c>
    </row>
    <row r="7078" spans="4:16" x14ac:dyDescent="0.2">
      <c r="D7078">
        <v>100004230</v>
      </c>
      <c r="E7078" s="49">
        <v>45039</v>
      </c>
      <c r="F7078" t="s">
        <v>5615</v>
      </c>
      <c r="G7078" t="s">
        <v>1943</v>
      </c>
      <c r="H7078">
        <v>6</v>
      </c>
      <c r="I7078">
        <v>34.17</v>
      </c>
      <c r="J7078" s="50">
        <v>205.02</v>
      </c>
      <c r="K7078" t="s">
        <v>1618</v>
      </c>
      <c r="M7078" t="s">
        <v>1624</v>
      </c>
      <c r="N7078">
        <v>18.03</v>
      </c>
      <c r="O7078" s="49">
        <v>45044</v>
      </c>
      <c r="P7078" s="50">
        <v>92.259</v>
      </c>
    </row>
    <row r="7079" spans="4:16" x14ac:dyDescent="0.2">
      <c r="D7079">
        <v>100004230</v>
      </c>
      <c r="E7079" s="49">
        <v>44222</v>
      </c>
      <c r="F7079" t="s">
        <v>5615</v>
      </c>
      <c r="G7079" t="s">
        <v>1691</v>
      </c>
      <c r="H7079">
        <v>4</v>
      </c>
      <c r="I7079">
        <v>90.88</v>
      </c>
      <c r="J7079" s="50">
        <v>363.52</v>
      </c>
      <c r="K7079" t="s">
        <v>1618</v>
      </c>
      <c r="M7079" t="s">
        <v>1629</v>
      </c>
      <c r="N7079">
        <v>47.96</v>
      </c>
      <c r="O7079" s="49">
        <v>44225</v>
      </c>
      <c r="P7079" s="50">
        <v>163.584</v>
      </c>
    </row>
    <row r="7080" spans="4:16" x14ac:dyDescent="0.2">
      <c r="D7080">
        <v>100004230</v>
      </c>
      <c r="E7080" s="49">
        <v>44334</v>
      </c>
      <c r="F7080" t="s">
        <v>5615</v>
      </c>
      <c r="G7080" t="s">
        <v>2427</v>
      </c>
      <c r="H7080">
        <v>4</v>
      </c>
      <c r="I7080">
        <v>106.13</v>
      </c>
      <c r="J7080" s="50">
        <v>424.52</v>
      </c>
      <c r="K7080" t="s">
        <v>1618</v>
      </c>
      <c r="M7080" t="s">
        <v>1621</v>
      </c>
      <c r="N7080">
        <v>56.01</v>
      </c>
      <c r="O7080" s="49">
        <v>44339</v>
      </c>
      <c r="P7080" s="50">
        <v>191.03399999999999</v>
      </c>
    </row>
    <row r="7081" spans="4:16" x14ac:dyDescent="0.2">
      <c r="D7081">
        <v>100004230</v>
      </c>
      <c r="E7081" s="49">
        <v>44633</v>
      </c>
      <c r="F7081" t="s">
        <v>5615</v>
      </c>
      <c r="G7081" t="s">
        <v>1754</v>
      </c>
      <c r="H7081">
        <v>3</v>
      </c>
      <c r="I7081">
        <v>68.95</v>
      </c>
      <c r="J7081" s="50">
        <v>206.85</v>
      </c>
      <c r="K7081" t="s">
        <v>1618</v>
      </c>
      <c r="M7081" t="s">
        <v>1629</v>
      </c>
      <c r="N7081">
        <v>36.39</v>
      </c>
      <c r="O7081" s="49">
        <v>44637</v>
      </c>
      <c r="P7081" s="50">
        <v>93.082499999999996</v>
      </c>
    </row>
    <row r="7082" spans="4:16" x14ac:dyDescent="0.2">
      <c r="D7082">
        <v>100004231</v>
      </c>
      <c r="E7082" s="49">
        <v>44843</v>
      </c>
      <c r="F7082" t="s">
        <v>5616</v>
      </c>
      <c r="G7082" t="s">
        <v>1736</v>
      </c>
      <c r="H7082">
        <v>1</v>
      </c>
      <c r="I7082">
        <v>100.43</v>
      </c>
      <c r="J7082" s="50">
        <v>100.43</v>
      </c>
      <c r="K7082" t="s">
        <v>1618</v>
      </c>
      <c r="M7082" t="s">
        <v>1621</v>
      </c>
      <c r="N7082">
        <v>53</v>
      </c>
      <c r="O7082" s="49">
        <v>44844</v>
      </c>
      <c r="P7082" s="50">
        <v>45.193500000000007</v>
      </c>
    </row>
    <row r="7083" spans="4:16" x14ac:dyDescent="0.2">
      <c r="D7083">
        <v>100004232</v>
      </c>
      <c r="E7083" s="49">
        <v>45433</v>
      </c>
      <c r="F7083" t="s">
        <v>5617</v>
      </c>
      <c r="G7083" t="s">
        <v>1781</v>
      </c>
      <c r="H7083">
        <v>2</v>
      </c>
      <c r="I7083">
        <v>23.82</v>
      </c>
      <c r="J7083" s="50">
        <v>47.64</v>
      </c>
      <c r="K7083" t="s">
        <v>1618</v>
      </c>
      <c r="L7083" t="s">
        <v>2444</v>
      </c>
      <c r="M7083" t="s">
        <v>1624</v>
      </c>
      <c r="N7083">
        <v>12.57</v>
      </c>
      <c r="O7083" s="49">
        <v>45434</v>
      </c>
      <c r="P7083" s="50">
        <v>21.438000000000002</v>
      </c>
    </row>
    <row r="7084" spans="4:16" x14ac:dyDescent="0.2">
      <c r="D7084">
        <v>100004233</v>
      </c>
      <c r="E7084" s="49">
        <v>44215</v>
      </c>
      <c r="F7084" t="s">
        <v>5618</v>
      </c>
      <c r="G7084" t="s">
        <v>1645</v>
      </c>
      <c r="H7084">
        <v>10</v>
      </c>
      <c r="I7084">
        <v>117.95</v>
      </c>
      <c r="J7084" s="50">
        <v>1179.5</v>
      </c>
      <c r="K7084" t="s">
        <v>1632</v>
      </c>
      <c r="M7084" t="s">
        <v>1629</v>
      </c>
      <c r="N7084">
        <v>62.25</v>
      </c>
      <c r="O7084" s="49">
        <v>44219</v>
      </c>
      <c r="P7084" s="50">
        <v>530.77499999999998</v>
      </c>
    </row>
    <row r="7085" spans="4:16" x14ac:dyDescent="0.2">
      <c r="D7085">
        <v>100004234</v>
      </c>
      <c r="E7085" s="49">
        <v>45271</v>
      </c>
      <c r="F7085" t="s">
        <v>5619</v>
      </c>
      <c r="G7085" t="s">
        <v>1857</v>
      </c>
      <c r="H7085">
        <v>2</v>
      </c>
      <c r="I7085">
        <v>97.86</v>
      </c>
      <c r="J7085" s="50">
        <v>195.72</v>
      </c>
      <c r="K7085" t="s">
        <v>1632</v>
      </c>
      <c r="M7085" t="s">
        <v>1629</v>
      </c>
      <c r="N7085">
        <v>51.65</v>
      </c>
      <c r="O7085" s="49">
        <v>45272</v>
      </c>
      <c r="P7085" s="50">
        <v>88.073999999999998</v>
      </c>
    </row>
    <row r="7086" spans="4:16" x14ac:dyDescent="0.2">
      <c r="D7086">
        <v>100004236</v>
      </c>
      <c r="E7086" s="49">
        <v>44833</v>
      </c>
      <c r="F7086" t="s">
        <v>5620</v>
      </c>
      <c r="G7086" t="s">
        <v>1973</v>
      </c>
      <c r="H7086">
        <v>9</v>
      </c>
      <c r="I7086">
        <v>57.5</v>
      </c>
      <c r="J7086" s="50">
        <v>517.5</v>
      </c>
      <c r="K7086" t="s">
        <v>1632</v>
      </c>
      <c r="M7086" t="s">
        <v>1629</v>
      </c>
      <c r="N7086">
        <v>30.35</v>
      </c>
      <c r="O7086" s="49">
        <v>44835</v>
      </c>
      <c r="P7086" s="50">
        <v>232.875</v>
      </c>
    </row>
    <row r="7087" spans="4:16" x14ac:dyDescent="0.2">
      <c r="D7087">
        <v>100004236</v>
      </c>
      <c r="E7087" s="49">
        <v>45507</v>
      </c>
      <c r="F7087" t="s">
        <v>5620</v>
      </c>
      <c r="G7087" t="s">
        <v>2088</v>
      </c>
      <c r="H7087">
        <v>2</v>
      </c>
      <c r="I7087">
        <v>34.82</v>
      </c>
      <c r="J7087" s="50">
        <v>69.64</v>
      </c>
      <c r="K7087" t="s">
        <v>1632</v>
      </c>
      <c r="M7087" t="s">
        <v>1619</v>
      </c>
      <c r="N7087">
        <v>18.38</v>
      </c>
      <c r="O7087" s="49">
        <v>45512</v>
      </c>
      <c r="P7087" s="50">
        <v>31.338000000000001</v>
      </c>
    </row>
    <row r="7088" spans="4:16" x14ac:dyDescent="0.2">
      <c r="D7088">
        <v>100004236</v>
      </c>
      <c r="E7088" s="49">
        <v>45482</v>
      </c>
      <c r="F7088" t="s">
        <v>5620</v>
      </c>
      <c r="G7088" t="s">
        <v>2042</v>
      </c>
      <c r="H7088">
        <v>3</v>
      </c>
      <c r="I7088">
        <v>105.14</v>
      </c>
      <c r="J7088" s="50">
        <v>315.42</v>
      </c>
      <c r="K7088" t="s">
        <v>1632</v>
      </c>
      <c r="M7088" t="s">
        <v>1624</v>
      </c>
      <c r="N7088">
        <v>55.49</v>
      </c>
      <c r="O7088" s="49">
        <v>45487</v>
      </c>
      <c r="P7088" s="50">
        <v>141.93900000000002</v>
      </c>
    </row>
    <row r="7089" spans="4:16" x14ac:dyDescent="0.2">
      <c r="D7089">
        <v>100004236</v>
      </c>
      <c r="E7089" s="49">
        <v>45610</v>
      </c>
      <c r="F7089" t="s">
        <v>5620</v>
      </c>
      <c r="G7089" t="s">
        <v>1650</v>
      </c>
      <c r="H7089">
        <v>2</v>
      </c>
      <c r="I7089">
        <v>90.73</v>
      </c>
      <c r="J7089" s="50">
        <v>181.46</v>
      </c>
      <c r="K7089" t="s">
        <v>1632</v>
      </c>
      <c r="M7089" t="s">
        <v>1624</v>
      </c>
      <c r="N7089">
        <v>47.88</v>
      </c>
      <c r="O7089" s="49">
        <v>45613</v>
      </c>
      <c r="P7089" s="50">
        <v>81.657000000000011</v>
      </c>
    </row>
    <row r="7090" spans="4:16" x14ac:dyDescent="0.2">
      <c r="D7090">
        <v>100004237</v>
      </c>
      <c r="E7090" s="49">
        <v>44601</v>
      </c>
      <c r="F7090" t="s">
        <v>5621</v>
      </c>
      <c r="G7090" t="s">
        <v>1945</v>
      </c>
      <c r="H7090">
        <v>4</v>
      </c>
      <c r="I7090">
        <v>102.12</v>
      </c>
      <c r="J7090" s="50">
        <v>408.48</v>
      </c>
      <c r="K7090" t="s">
        <v>1618</v>
      </c>
      <c r="M7090" t="s">
        <v>1619</v>
      </c>
      <c r="N7090">
        <v>53.9</v>
      </c>
      <c r="O7090" s="49">
        <v>44604</v>
      </c>
      <c r="P7090" s="50">
        <v>183.816</v>
      </c>
    </row>
    <row r="7091" spans="4:16" x14ac:dyDescent="0.2">
      <c r="D7091">
        <v>100004237</v>
      </c>
      <c r="E7091" s="49">
        <v>45531</v>
      </c>
      <c r="F7091" t="s">
        <v>5621</v>
      </c>
      <c r="G7091" t="s">
        <v>1628</v>
      </c>
      <c r="H7091">
        <v>9</v>
      </c>
      <c r="I7091">
        <v>55.05</v>
      </c>
      <c r="J7091" s="50">
        <v>495.45</v>
      </c>
      <c r="K7091" t="s">
        <v>1618</v>
      </c>
      <c r="M7091" t="s">
        <v>1624</v>
      </c>
      <c r="N7091">
        <v>29.05</v>
      </c>
      <c r="O7091" s="49">
        <v>45533</v>
      </c>
      <c r="P7091" s="50">
        <v>222.95249999999999</v>
      </c>
    </row>
    <row r="7092" spans="4:16" x14ac:dyDescent="0.2">
      <c r="D7092">
        <v>100004237</v>
      </c>
      <c r="E7092" s="49">
        <v>44824</v>
      </c>
      <c r="F7092" t="s">
        <v>5621</v>
      </c>
      <c r="G7092" t="s">
        <v>1783</v>
      </c>
      <c r="H7092">
        <v>7</v>
      </c>
      <c r="I7092">
        <v>112.27</v>
      </c>
      <c r="J7092" s="50">
        <v>785.89</v>
      </c>
      <c r="K7092" t="s">
        <v>1618</v>
      </c>
      <c r="M7092" t="s">
        <v>1629</v>
      </c>
      <c r="N7092">
        <v>59.25</v>
      </c>
      <c r="O7092" s="49">
        <v>44829</v>
      </c>
      <c r="P7092" s="50">
        <v>353.65050000000002</v>
      </c>
    </row>
    <row r="7093" spans="4:16" x14ac:dyDescent="0.2">
      <c r="D7093">
        <v>100004237</v>
      </c>
      <c r="E7093" s="49">
        <v>44967</v>
      </c>
      <c r="F7093" t="s">
        <v>5621</v>
      </c>
      <c r="G7093" t="s">
        <v>2484</v>
      </c>
      <c r="H7093">
        <v>9</v>
      </c>
      <c r="I7093">
        <v>98.57</v>
      </c>
      <c r="J7093" s="50">
        <v>887.12999999999988</v>
      </c>
      <c r="K7093" t="s">
        <v>1618</v>
      </c>
      <c r="M7093" t="s">
        <v>1619</v>
      </c>
      <c r="N7093">
        <v>52.02</v>
      </c>
      <c r="O7093" s="49">
        <v>44971</v>
      </c>
      <c r="P7093" s="50">
        <v>399.20849999999996</v>
      </c>
    </row>
    <row r="7094" spans="4:16" x14ac:dyDescent="0.2">
      <c r="D7094">
        <v>100004238</v>
      </c>
      <c r="E7094" s="49">
        <v>45609</v>
      </c>
      <c r="F7094" t="s">
        <v>5622</v>
      </c>
      <c r="G7094" t="s">
        <v>1820</v>
      </c>
      <c r="H7094">
        <v>9</v>
      </c>
      <c r="I7094">
        <v>80.040000000000006</v>
      </c>
      <c r="J7094" s="50">
        <v>720.36</v>
      </c>
      <c r="K7094" t="s">
        <v>1618</v>
      </c>
      <c r="M7094" t="s">
        <v>1624</v>
      </c>
      <c r="N7094">
        <v>42.24</v>
      </c>
      <c r="O7094" s="49">
        <v>45610</v>
      </c>
      <c r="P7094" s="50">
        <v>324.16200000000003</v>
      </c>
    </row>
    <row r="7095" spans="4:16" x14ac:dyDescent="0.2">
      <c r="D7095">
        <v>100004239</v>
      </c>
      <c r="E7095" s="49">
        <v>45073</v>
      </c>
      <c r="F7095" t="s">
        <v>5532</v>
      </c>
      <c r="G7095" t="s">
        <v>1872</v>
      </c>
      <c r="H7095">
        <v>10</v>
      </c>
      <c r="I7095">
        <v>76.239999999999995</v>
      </c>
      <c r="J7095" s="50">
        <v>762.4</v>
      </c>
      <c r="K7095" t="s">
        <v>1618</v>
      </c>
      <c r="M7095" t="s">
        <v>1629</v>
      </c>
      <c r="N7095">
        <v>40.24</v>
      </c>
      <c r="O7095" s="49">
        <v>45077</v>
      </c>
      <c r="P7095" s="50">
        <v>343.08</v>
      </c>
    </row>
    <row r="7096" spans="4:16" x14ac:dyDescent="0.2">
      <c r="D7096">
        <v>100004239</v>
      </c>
      <c r="E7096" s="49">
        <v>44410</v>
      </c>
      <c r="F7096" t="s">
        <v>5532</v>
      </c>
      <c r="G7096" t="s">
        <v>1792</v>
      </c>
      <c r="H7096">
        <v>6</v>
      </c>
      <c r="I7096">
        <v>51.4</v>
      </c>
      <c r="J7096" s="50">
        <v>308.39999999999998</v>
      </c>
      <c r="K7096" t="s">
        <v>1618</v>
      </c>
      <c r="M7096" t="s">
        <v>1624</v>
      </c>
      <c r="N7096">
        <v>27.13</v>
      </c>
      <c r="O7096" s="49">
        <v>44412</v>
      </c>
      <c r="P7096" s="50">
        <v>138.78</v>
      </c>
    </row>
    <row r="7097" spans="4:16" x14ac:dyDescent="0.2">
      <c r="D7097">
        <v>100004239</v>
      </c>
      <c r="E7097" s="49">
        <v>45336</v>
      </c>
      <c r="F7097" t="s">
        <v>5532</v>
      </c>
      <c r="G7097" t="s">
        <v>2240</v>
      </c>
      <c r="H7097">
        <v>3</v>
      </c>
      <c r="I7097">
        <v>114.06</v>
      </c>
      <c r="J7097" s="50">
        <v>342.18</v>
      </c>
      <c r="K7097" t="s">
        <v>1618</v>
      </c>
      <c r="M7097" t="s">
        <v>1621</v>
      </c>
      <c r="N7097">
        <v>60.2</v>
      </c>
      <c r="O7097" s="49">
        <v>45339</v>
      </c>
      <c r="P7097" s="50">
        <v>153.98099999999999</v>
      </c>
    </row>
    <row r="7098" spans="4:16" x14ac:dyDescent="0.2">
      <c r="D7098">
        <v>100004240</v>
      </c>
      <c r="E7098" s="49">
        <v>45428</v>
      </c>
      <c r="F7098" t="s">
        <v>5623</v>
      </c>
      <c r="G7098" t="s">
        <v>1704</v>
      </c>
      <c r="H7098">
        <v>9</v>
      </c>
      <c r="I7098">
        <v>23.69</v>
      </c>
      <c r="J7098" s="50">
        <v>213.21</v>
      </c>
      <c r="K7098" t="s">
        <v>1618</v>
      </c>
      <c r="M7098" t="s">
        <v>1627</v>
      </c>
      <c r="N7098">
        <v>12.5</v>
      </c>
      <c r="O7098" s="49">
        <v>45431</v>
      </c>
      <c r="P7098" s="50">
        <v>95.944500000000005</v>
      </c>
    </row>
    <row r="7099" spans="4:16" x14ac:dyDescent="0.2">
      <c r="D7099">
        <v>100004241</v>
      </c>
      <c r="E7099" s="49">
        <v>44332</v>
      </c>
      <c r="F7099" t="s">
        <v>5624</v>
      </c>
      <c r="G7099" t="s">
        <v>1967</v>
      </c>
      <c r="H7099">
        <v>8</v>
      </c>
      <c r="I7099">
        <v>10.039999999999999</v>
      </c>
      <c r="J7099" s="50">
        <v>80.319999999999993</v>
      </c>
      <c r="K7099" t="s">
        <v>1632</v>
      </c>
      <c r="M7099" t="s">
        <v>1619</v>
      </c>
      <c r="N7099">
        <v>5.3</v>
      </c>
      <c r="O7099" s="49">
        <v>44335</v>
      </c>
      <c r="P7099" s="50">
        <v>36.143999999999998</v>
      </c>
    </row>
    <row r="7100" spans="4:16" x14ac:dyDescent="0.2">
      <c r="D7100">
        <v>100004241</v>
      </c>
      <c r="E7100" s="49">
        <v>44903</v>
      </c>
      <c r="F7100" t="s">
        <v>5624</v>
      </c>
      <c r="G7100" t="s">
        <v>2048</v>
      </c>
      <c r="H7100">
        <v>3</v>
      </c>
      <c r="I7100">
        <v>53.76</v>
      </c>
      <c r="J7100" s="50">
        <v>161.28</v>
      </c>
      <c r="K7100" t="s">
        <v>1632</v>
      </c>
      <c r="M7100" t="s">
        <v>1627</v>
      </c>
      <c r="N7100">
        <v>28.37</v>
      </c>
      <c r="O7100" s="49">
        <v>44906</v>
      </c>
      <c r="P7100" s="50">
        <v>72.576000000000008</v>
      </c>
    </row>
    <row r="7101" spans="4:16" x14ac:dyDescent="0.2">
      <c r="D7101">
        <v>100004242</v>
      </c>
      <c r="E7101" s="49">
        <v>45343</v>
      </c>
      <c r="F7101" t="s">
        <v>5625</v>
      </c>
      <c r="G7101" t="s">
        <v>1754</v>
      </c>
      <c r="H7101">
        <v>7</v>
      </c>
      <c r="I7101">
        <v>29.29</v>
      </c>
      <c r="J7101" s="50">
        <v>205.03</v>
      </c>
      <c r="K7101" t="s">
        <v>1618</v>
      </c>
      <c r="L7101" t="s">
        <v>5626</v>
      </c>
      <c r="M7101" t="s">
        <v>1627</v>
      </c>
      <c r="N7101">
        <v>15.46</v>
      </c>
      <c r="O7101" s="49">
        <v>45344</v>
      </c>
      <c r="P7101" s="50">
        <v>92.263500000000008</v>
      </c>
    </row>
    <row r="7102" spans="4:16" x14ac:dyDescent="0.2">
      <c r="D7102">
        <v>100004242</v>
      </c>
      <c r="E7102" s="49">
        <v>44381</v>
      </c>
      <c r="F7102" t="s">
        <v>5625</v>
      </c>
      <c r="G7102" t="s">
        <v>1890</v>
      </c>
      <c r="H7102">
        <v>6</v>
      </c>
      <c r="I7102">
        <v>76.260000000000005</v>
      </c>
      <c r="J7102" s="50">
        <v>457.56000000000012</v>
      </c>
      <c r="K7102" t="s">
        <v>1618</v>
      </c>
      <c r="L7102" t="s">
        <v>5626</v>
      </c>
      <c r="M7102" t="s">
        <v>1629</v>
      </c>
      <c r="N7102">
        <v>40.25</v>
      </c>
      <c r="O7102" s="49">
        <v>44384</v>
      </c>
      <c r="P7102" s="50">
        <v>205.90200000000004</v>
      </c>
    </row>
    <row r="7103" spans="4:16" x14ac:dyDescent="0.2">
      <c r="D7103">
        <v>100004242</v>
      </c>
      <c r="E7103" s="49">
        <v>45500</v>
      </c>
      <c r="F7103" t="s">
        <v>5625</v>
      </c>
      <c r="G7103" t="s">
        <v>2158</v>
      </c>
      <c r="H7103">
        <v>1</v>
      </c>
      <c r="I7103">
        <v>114.94</v>
      </c>
      <c r="J7103" s="50">
        <v>114.94</v>
      </c>
      <c r="K7103" t="s">
        <v>1618</v>
      </c>
      <c r="L7103" t="s">
        <v>5626</v>
      </c>
      <c r="M7103" t="s">
        <v>1624</v>
      </c>
      <c r="N7103">
        <v>60.66</v>
      </c>
      <c r="O7103" s="49">
        <v>45503</v>
      </c>
      <c r="P7103" s="50">
        <v>51.722999999999999</v>
      </c>
    </row>
    <row r="7104" spans="4:16" x14ac:dyDescent="0.2">
      <c r="D7104">
        <v>100004242</v>
      </c>
      <c r="E7104" s="49">
        <v>44632</v>
      </c>
      <c r="F7104" t="s">
        <v>5625</v>
      </c>
      <c r="G7104" t="s">
        <v>2302</v>
      </c>
      <c r="H7104">
        <v>9</v>
      </c>
      <c r="I7104">
        <v>89.04</v>
      </c>
      <c r="J7104" s="50">
        <v>801.36</v>
      </c>
      <c r="K7104" t="s">
        <v>1618</v>
      </c>
      <c r="L7104" t="s">
        <v>5626</v>
      </c>
      <c r="M7104" t="s">
        <v>1629</v>
      </c>
      <c r="N7104">
        <v>46.99</v>
      </c>
      <c r="O7104" s="49">
        <v>44635</v>
      </c>
      <c r="P7104" s="50">
        <v>360.61200000000002</v>
      </c>
    </row>
    <row r="7105" spans="4:16" x14ac:dyDescent="0.2">
      <c r="D7105">
        <v>100004243</v>
      </c>
      <c r="E7105" s="49">
        <v>44679</v>
      </c>
      <c r="F7105" t="s">
        <v>5627</v>
      </c>
      <c r="G7105" t="s">
        <v>2213</v>
      </c>
      <c r="H7105">
        <v>8</v>
      </c>
      <c r="I7105">
        <v>101.88</v>
      </c>
      <c r="J7105" s="50">
        <v>815.04</v>
      </c>
      <c r="K7105" t="s">
        <v>1632</v>
      </c>
      <c r="M7105" t="s">
        <v>1627</v>
      </c>
      <c r="N7105">
        <v>53.77</v>
      </c>
      <c r="O7105" s="49">
        <v>44682</v>
      </c>
      <c r="P7105" s="50">
        <v>366.76799999999997</v>
      </c>
    </row>
    <row r="7106" spans="4:16" x14ac:dyDescent="0.2">
      <c r="D7106">
        <v>100004243</v>
      </c>
      <c r="E7106" s="49">
        <v>45649</v>
      </c>
      <c r="F7106" t="s">
        <v>5627</v>
      </c>
      <c r="G7106" t="s">
        <v>1868</v>
      </c>
      <c r="H7106">
        <v>1</v>
      </c>
      <c r="I7106">
        <v>100.25</v>
      </c>
      <c r="J7106" s="50">
        <v>100.25</v>
      </c>
      <c r="K7106" t="s">
        <v>1632</v>
      </c>
      <c r="M7106" t="s">
        <v>1621</v>
      </c>
      <c r="N7106">
        <v>52.91</v>
      </c>
      <c r="O7106" s="49">
        <v>45651</v>
      </c>
      <c r="P7106" s="50">
        <v>45.112500000000004</v>
      </c>
    </row>
    <row r="7107" spans="4:16" x14ac:dyDescent="0.2">
      <c r="D7107">
        <v>100004244</v>
      </c>
      <c r="E7107" s="49">
        <v>45082</v>
      </c>
      <c r="F7107" t="s">
        <v>5628</v>
      </c>
      <c r="G7107" t="s">
        <v>2025</v>
      </c>
      <c r="H7107">
        <v>3</v>
      </c>
      <c r="I7107">
        <v>85.63</v>
      </c>
      <c r="J7107" s="50">
        <v>256.89</v>
      </c>
      <c r="K7107" t="s">
        <v>1618</v>
      </c>
      <c r="L7107" t="s">
        <v>5629</v>
      </c>
      <c r="M7107" t="s">
        <v>1621</v>
      </c>
      <c r="N7107">
        <v>45.19</v>
      </c>
      <c r="O7107" s="49">
        <v>45083</v>
      </c>
      <c r="P7107" s="50">
        <v>115.6005</v>
      </c>
    </row>
    <row r="7108" spans="4:16" x14ac:dyDescent="0.2">
      <c r="D7108">
        <v>100004244</v>
      </c>
      <c r="E7108" s="49">
        <v>45320</v>
      </c>
      <c r="F7108" t="s">
        <v>5628</v>
      </c>
      <c r="G7108" t="s">
        <v>1893</v>
      </c>
      <c r="H7108">
        <v>2</v>
      </c>
      <c r="I7108">
        <v>87.49</v>
      </c>
      <c r="J7108" s="50">
        <v>174.98</v>
      </c>
      <c r="K7108" t="s">
        <v>1618</v>
      </c>
      <c r="L7108" t="s">
        <v>5629</v>
      </c>
      <c r="M7108" t="s">
        <v>1621</v>
      </c>
      <c r="N7108">
        <v>46.17</v>
      </c>
      <c r="O7108" s="49">
        <v>45324</v>
      </c>
      <c r="P7108" s="50">
        <v>78.741</v>
      </c>
    </row>
    <row r="7109" spans="4:16" x14ac:dyDescent="0.2">
      <c r="D7109">
        <v>100004244</v>
      </c>
      <c r="E7109" s="49">
        <v>45268</v>
      </c>
      <c r="F7109" t="s">
        <v>5628</v>
      </c>
      <c r="G7109" t="s">
        <v>1969</v>
      </c>
      <c r="H7109">
        <v>8</v>
      </c>
      <c r="I7109">
        <v>44.01</v>
      </c>
      <c r="J7109" s="50">
        <v>352.08</v>
      </c>
      <c r="K7109" t="s">
        <v>1618</v>
      </c>
      <c r="L7109" t="s">
        <v>5629</v>
      </c>
      <c r="M7109" t="s">
        <v>1619</v>
      </c>
      <c r="N7109">
        <v>23.23</v>
      </c>
      <c r="O7109" s="49">
        <v>45272</v>
      </c>
      <c r="P7109" s="50">
        <v>158.43600000000001</v>
      </c>
    </row>
    <row r="7110" spans="4:16" x14ac:dyDescent="0.2">
      <c r="D7110">
        <v>100004244</v>
      </c>
      <c r="E7110" s="49">
        <v>45550</v>
      </c>
      <c r="F7110" t="s">
        <v>5628</v>
      </c>
      <c r="G7110" t="s">
        <v>1802</v>
      </c>
      <c r="H7110">
        <v>1</v>
      </c>
      <c r="I7110">
        <v>32.92</v>
      </c>
      <c r="J7110" s="50">
        <v>32.92</v>
      </c>
      <c r="K7110" t="s">
        <v>1618</v>
      </c>
      <c r="L7110" t="s">
        <v>5629</v>
      </c>
      <c r="M7110" t="s">
        <v>1621</v>
      </c>
      <c r="N7110">
        <v>17.37</v>
      </c>
      <c r="O7110" s="49">
        <v>45553</v>
      </c>
      <c r="P7110" s="50">
        <v>14.814000000000002</v>
      </c>
    </row>
    <row r="7111" spans="4:16" x14ac:dyDescent="0.2">
      <c r="D7111">
        <v>100004244</v>
      </c>
      <c r="E7111" s="49">
        <v>44370</v>
      </c>
      <c r="F7111" t="s">
        <v>5628</v>
      </c>
      <c r="G7111" t="s">
        <v>1717</v>
      </c>
      <c r="H7111">
        <v>8</v>
      </c>
      <c r="I7111">
        <v>110.27</v>
      </c>
      <c r="J7111" s="50">
        <v>882.16</v>
      </c>
      <c r="K7111" t="s">
        <v>1618</v>
      </c>
      <c r="L7111" t="s">
        <v>5629</v>
      </c>
      <c r="M7111" t="s">
        <v>1629</v>
      </c>
      <c r="N7111">
        <v>58.2</v>
      </c>
      <c r="O7111" s="49">
        <v>44371</v>
      </c>
      <c r="P7111" s="50">
        <v>396.97199999999998</v>
      </c>
    </row>
    <row r="7112" spans="4:16" x14ac:dyDescent="0.2">
      <c r="D7112">
        <v>100004244</v>
      </c>
      <c r="E7112" s="49">
        <v>44819</v>
      </c>
      <c r="F7112" t="s">
        <v>5628</v>
      </c>
      <c r="G7112" t="s">
        <v>2581</v>
      </c>
      <c r="H7112">
        <v>3</v>
      </c>
      <c r="I7112">
        <v>90.28</v>
      </c>
      <c r="J7112" s="50">
        <v>270.83999999999997</v>
      </c>
      <c r="K7112" t="s">
        <v>1618</v>
      </c>
      <c r="L7112" t="s">
        <v>5629</v>
      </c>
      <c r="M7112" t="s">
        <v>1627</v>
      </c>
      <c r="N7112">
        <v>47.65</v>
      </c>
      <c r="O7112" s="49">
        <v>44824</v>
      </c>
      <c r="P7112" s="50">
        <v>121.87799999999999</v>
      </c>
    </row>
    <row r="7113" spans="4:16" x14ac:dyDescent="0.2">
      <c r="D7113">
        <v>100004244</v>
      </c>
      <c r="E7113" s="49">
        <v>44793</v>
      </c>
      <c r="F7113" t="s">
        <v>5628</v>
      </c>
      <c r="G7113" t="s">
        <v>1695</v>
      </c>
      <c r="H7113">
        <v>10</v>
      </c>
      <c r="I7113">
        <v>38.369999999999997</v>
      </c>
      <c r="J7113" s="50">
        <v>383.7</v>
      </c>
      <c r="K7113" t="s">
        <v>1618</v>
      </c>
      <c r="L7113" t="s">
        <v>5629</v>
      </c>
      <c r="M7113" t="s">
        <v>1627</v>
      </c>
      <c r="N7113">
        <v>20.25</v>
      </c>
      <c r="O7113" s="49">
        <v>44794</v>
      </c>
      <c r="P7113" s="50">
        <v>172.66499999999999</v>
      </c>
    </row>
    <row r="7114" spans="4:16" x14ac:dyDescent="0.2">
      <c r="D7114">
        <v>100004245</v>
      </c>
      <c r="E7114" s="49">
        <v>45291</v>
      </c>
      <c r="F7114" t="s">
        <v>5630</v>
      </c>
      <c r="G7114" t="s">
        <v>2096</v>
      </c>
      <c r="H7114">
        <v>9</v>
      </c>
      <c r="I7114">
        <v>69.78</v>
      </c>
      <c r="J7114" s="50">
        <v>628.02</v>
      </c>
      <c r="K7114" t="s">
        <v>1618</v>
      </c>
      <c r="L7114" t="s">
        <v>5631</v>
      </c>
      <c r="M7114" t="s">
        <v>1619</v>
      </c>
      <c r="N7114">
        <v>36.83</v>
      </c>
      <c r="O7114" s="49">
        <v>45293</v>
      </c>
      <c r="P7114" s="50">
        <v>282.60899999999998</v>
      </c>
    </row>
    <row r="7115" spans="4:16" x14ac:dyDescent="0.2">
      <c r="D7115">
        <v>100004245</v>
      </c>
      <c r="E7115" s="49">
        <v>44674</v>
      </c>
      <c r="F7115" t="s">
        <v>5630</v>
      </c>
      <c r="G7115" t="s">
        <v>1752</v>
      </c>
      <c r="H7115">
        <v>2</v>
      </c>
      <c r="I7115">
        <v>70.709999999999994</v>
      </c>
      <c r="J7115" s="50">
        <v>141.41999999999999</v>
      </c>
      <c r="K7115" t="s">
        <v>1618</v>
      </c>
      <c r="L7115" t="s">
        <v>5631</v>
      </c>
      <c r="M7115" t="s">
        <v>1621</v>
      </c>
      <c r="N7115">
        <v>37.32</v>
      </c>
      <c r="O7115" s="49">
        <v>44678</v>
      </c>
      <c r="P7115" s="50">
        <v>63.638999999999996</v>
      </c>
    </row>
    <row r="7116" spans="4:16" x14ac:dyDescent="0.2">
      <c r="D7116">
        <v>100004245</v>
      </c>
      <c r="E7116" s="49">
        <v>45463</v>
      </c>
      <c r="F7116" t="s">
        <v>5630</v>
      </c>
      <c r="G7116" t="s">
        <v>2210</v>
      </c>
      <c r="H7116">
        <v>3</v>
      </c>
      <c r="I7116">
        <v>30.36</v>
      </c>
      <c r="J7116" s="50">
        <v>91.08</v>
      </c>
      <c r="K7116" t="s">
        <v>1618</v>
      </c>
      <c r="L7116" t="s">
        <v>5631</v>
      </c>
      <c r="M7116" t="s">
        <v>1621</v>
      </c>
      <c r="N7116">
        <v>16.02</v>
      </c>
      <c r="O7116" s="49">
        <v>45466</v>
      </c>
      <c r="P7116" s="50">
        <v>40.985999999999997</v>
      </c>
    </row>
    <row r="7117" spans="4:16" x14ac:dyDescent="0.2">
      <c r="D7117">
        <v>100004245</v>
      </c>
      <c r="E7117" s="49">
        <v>45600</v>
      </c>
      <c r="F7117" t="s">
        <v>5630</v>
      </c>
      <c r="G7117" t="s">
        <v>1801</v>
      </c>
      <c r="H7117">
        <v>9</v>
      </c>
      <c r="I7117">
        <v>101.74</v>
      </c>
      <c r="J7117" s="50">
        <v>915.66</v>
      </c>
      <c r="K7117" t="s">
        <v>1618</v>
      </c>
      <c r="L7117" t="s">
        <v>5631</v>
      </c>
      <c r="M7117" t="s">
        <v>1624</v>
      </c>
      <c r="N7117">
        <v>53.7</v>
      </c>
      <c r="O7117" s="49">
        <v>45601</v>
      </c>
      <c r="P7117" s="50">
        <v>412.04699999999997</v>
      </c>
    </row>
    <row r="7118" spans="4:16" x14ac:dyDescent="0.2">
      <c r="D7118">
        <v>100004245</v>
      </c>
      <c r="E7118" s="49">
        <v>45298</v>
      </c>
      <c r="F7118" t="s">
        <v>5630</v>
      </c>
      <c r="G7118" t="s">
        <v>1663</v>
      </c>
      <c r="H7118">
        <v>1</v>
      </c>
      <c r="I7118">
        <v>12.35</v>
      </c>
      <c r="J7118" s="50">
        <v>12.35</v>
      </c>
      <c r="K7118" t="s">
        <v>1618</v>
      </c>
      <c r="L7118" t="s">
        <v>5631</v>
      </c>
      <c r="M7118" t="s">
        <v>1627</v>
      </c>
      <c r="N7118">
        <v>6.52</v>
      </c>
      <c r="O7118" s="49">
        <v>45302</v>
      </c>
      <c r="P7118" s="50">
        <v>5.5575000000000001</v>
      </c>
    </row>
    <row r="7119" spans="4:16" x14ac:dyDescent="0.2">
      <c r="D7119">
        <v>100004245</v>
      </c>
      <c r="E7119" s="49">
        <v>44779</v>
      </c>
      <c r="F7119" t="s">
        <v>5630</v>
      </c>
      <c r="G7119" t="s">
        <v>2125</v>
      </c>
      <c r="H7119">
        <v>5</v>
      </c>
      <c r="I7119">
        <v>41.05</v>
      </c>
      <c r="J7119" s="50">
        <v>205.25</v>
      </c>
      <c r="K7119" t="s">
        <v>1618</v>
      </c>
      <c r="L7119" t="s">
        <v>5631</v>
      </c>
      <c r="M7119" t="s">
        <v>1629</v>
      </c>
      <c r="N7119">
        <v>21.67</v>
      </c>
      <c r="O7119" s="49">
        <v>44783</v>
      </c>
      <c r="P7119" s="50">
        <v>92.362499999999997</v>
      </c>
    </row>
    <row r="7120" spans="4:16" x14ac:dyDescent="0.2">
      <c r="D7120">
        <v>100004245</v>
      </c>
      <c r="E7120" s="49">
        <v>45558</v>
      </c>
      <c r="F7120" t="s">
        <v>5630</v>
      </c>
      <c r="G7120" t="s">
        <v>1727</v>
      </c>
      <c r="H7120">
        <v>2</v>
      </c>
      <c r="I7120">
        <v>15.27</v>
      </c>
      <c r="J7120" s="50">
        <v>30.54</v>
      </c>
      <c r="K7120" t="s">
        <v>1618</v>
      </c>
      <c r="L7120" t="s">
        <v>5631</v>
      </c>
      <c r="M7120" t="s">
        <v>1624</v>
      </c>
      <c r="N7120">
        <v>8.06</v>
      </c>
      <c r="O7120" s="49">
        <v>45562</v>
      </c>
      <c r="P7120" s="50">
        <v>13.743</v>
      </c>
    </row>
    <row r="7121" spans="4:16" x14ac:dyDescent="0.2">
      <c r="D7121">
        <v>100004245</v>
      </c>
      <c r="E7121" s="49">
        <v>45313</v>
      </c>
      <c r="F7121" t="s">
        <v>5630</v>
      </c>
      <c r="G7121" t="s">
        <v>2016</v>
      </c>
      <c r="H7121">
        <v>2</v>
      </c>
      <c r="I7121">
        <v>97.55</v>
      </c>
      <c r="J7121" s="50">
        <v>195.1</v>
      </c>
      <c r="K7121" t="s">
        <v>1618</v>
      </c>
      <c r="L7121" t="s">
        <v>5631</v>
      </c>
      <c r="M7121" t="s">
        <v>1621</v>
      </c>
      <c r="N7121">
        <v>51.48</v>
      </c>
      <c r="O7121" s="49">
        <v>45315</v>
      </c>
      <c r="P7121" s="50">
        <v>87.795000000000002</v>
      </c>
    </row>
    <row r="7122" spans="4:16" x14ac:dyDescent="0.2">
      <c r="D7122">
        <v>100004246</v>
      </c>
      <c r="E7122" s="49">
        <v>45243</v>
      </c>
      <c r="F7122" t="s">
        <v>5632</v>
      </c>
      <c r="G7122" t="s">
        <v>1982</v>
      </c>
      <c r="H7122">
        <v>10</v>
      </c>
      <c r="I7122">
        <v>105.06</v>
      </c>
      <c r="J7122" s="50">
        <v>1050.5999999999999</v>
      </c>
      <c r="K7122" t="s">
        <v>1618</v>
      </c>
      <c r="M7122" t="s">
        <v>1629</v>
      </c>
      <c r="N7122">
        <v>55.45</v>
      </c>
      <c r="O7122" s="49">
        <v>45246</v>
      </c>
      <c r="P7122" s="50">
        <v>472.77</v>
      </c>
    </row>
    <row r="7123" spans="4:16" x14ac:dyDescent="0.2">
      <c r="D7123">
        <v>100004247</v>
      </c>
      <c r="E7123" s="49">
        <v>45544</v>
      </c>
      <c r="F7123" t="s">
        <v>5633</v>
      </c>
      <c r="G7123" t="s">
        <v>1749</v>
      </c>
      <c r="H7123">
        <v>5</v>
      </c>
      <c r="I7123">
        <v>101.98</v>
      </c>
      <c r="J7123" s="50">
        <v>509.9</v>
      </c>
      <c r="K7123" t="s">
        <v>1618</v>
      </c>
      <c r="L7123" t="s">
        <v>5634</v>
      </c>
      <c r="M7123" t="s">
        <v>1624</v>
      </c>
      <c r="N7123">
        <v>53.82</v>
      </c>
      <c r="O7123" s="49">
        <v>45545</v>
      </c>
      <c r="P7123" s="50">
        <v>229.45499999999998</v>
      </c>
    </row>
    <row r="7124" spans="4:16" x14ac:dyDescent="0.2">
      <c r="D7124">
        <v>100004247</v>
      </c>
      <c r="E7124" s="49">
        <v>44569</v>
      </c>
      <c r="F7124" t="s">
        <v>5633</v>
      </c>
      <c r="G7124" t="s">
        <v>2042</v>
      </c>
      <c r="H7124">
        <v>8</v>
      </c>
      <c r="I7124">
        <v>63.94</v>
      </c>
      <c r="J7124" s="50">
        <v>511.52</v>
      </c>
      <c r="K7124" t="s">
        <v>1618</v>
      </c>
      <c r="L7124" t="s">
        <v>5634</v>
      </c>
      <c r="M7124" t="s">
        <v>1629</v>
      </c>
      <c r="N7124">
        <v>33.75</v>
      </c>
      <c r="O7124" s="49">
        <v>44573</v>
      </c>
      <c r="P7124" s="50">
        <v>230.184</v>
      </c>
    </row>
    <row r="7125" spans="4:16" x14ac:dyDescent="0.2">
      <c r="D7125">
        <v>100004247</v>
      </c>
      <c r="E7125" s="49">
        <v>44483</v>
      </c>
      <c r="F7125" t="s">
        <v>5633</v>
      </c>
      <c r="G7125" t="s">
        <v>1857</v>
      </c>
      <c r="H7125">
        <v>7</v>
      </c>
      <c r="I7125">
        <v>118.6</v>
      </c>
      <c r="J7125" s="50">
        <v>830.19999999999993</v>
      </c>
      <c r="K7125" t="s">
        <v>1618</v>
      </c>
      <c r="L7125" t="s">
        <v>5634</v>
      </c>
      <c r="M7125" t="s">
        <v>1629</v>
      </c>
      <c r="N7125">
        <v>62.59</v>
      </c>
      <c r="O7125" s="49">
        <v>44485</v>
      </c>
      <c r="P7125" s="50">
        <v>373.59</v>
      </c>
    </row>
    <row r="7126" spans="4:16" x14ac:dyDescent="0.2">
      <c r="D7126">
        <v>100004248</v>
      </c>
      <c r="E7126" s="49">
        <v>44538</v>
      </c>
      <c r="F7126" t="s">
        <v>5635</v>
      </c>
      <c r="G7126" t="s">
        <v>1641</v>
      </c>
      <c r="H7126">
        <v>7</v>
      </c>
      <c r="I7126">
        <v>40.74</v>
      </c>
      <c r="J7126" s="50">
        <v>285.18</v>
      </c>
      <c r="K7126" t="s">
        <v>1632</v>
      </c>
      <c r="M7126" t="s">
        <v>1619</v>
      </c>
      <c r="N7126">
        <v>21.5</v>
      </c>
      <c r="O7126" s="49">
        <v>44539</v>
      </c>
      <c r="P7126" s="50">
        <v>128.33100000000002</v>
      </c>
    </row>
    <row r="7127" spans="4:16" x14ac:dyDescent="0.2">
      <c r="D7127">
        <v>100004249</v>
      </c>
      <c r="E7127" s="49">
        <v>44231</v>
      </c>
      <c r="F7127" t="s">
        <v>5636</v>
      </c>
      <c r="G7127" t="s">
        <v>1669</v>
      </c>
      <c r="H7127">
        <v>10</v>
      </c>
      <c r="I7127">
        <v>112.6</v>
      </c>
      <c r="J7127" s="50">
        <v>1126</v>
      </c>
      <c r="K7127" t="s">
        <v>1618</v>
      </c>
      <c r="M7127" t="s">
        <v>1619</v>
      </c>
      <c r="N7127">
        <v>59.43</v>
      </c>
      <c r="O7127" s="49">
        <v>44232</v>
      </c>
      <c r="P7127" s="50">
        <v>506.7</v>
      </c>
    </row>
    <row r="7128" spans="4:16" x14ac:dyDescent="0.2">
      <c r="D7128">
        <v>100004249</v>
      </c>
      <c r="E7128" s="49">
        <v>45351</v>
      </c>
      <c r="F7128" t="s">
        <v>5636</v>
      </c>
      <c r="G7128" t="s">
        <v>1699</v>
      </c>
      <c r="H7128">
        <v>2</v>
      </c>
      <c r="I7128">
        <v>76.040000000000006</v>
      </c>
      <c r="J7128" s="50">
        <v>152.08000000000001</v>
      </c>
      <c r="K7128" t="s">
        <v>1618</v>
      </c>
      <c r="M7128" t="s">
        <v>1621</v>
      </c>
      <c r="N7128">
        <v>40.130000000000003</v>
      </c>
      <c r="O7128" s="49">
        <v>45355</v>
      </c>
      <c r="P7128" s="50">
        <v>68.436000000000007</v>
      </c>
    </row>
    <row r="7129" spans="4:16" x14ac:dyDescent="0.2">
      <c r="D7129">
        <v>100004249</v>
      </c>
      <c r="E7129" s="49">
        <v>45647</v>
      </c>
      <c r="F7129" t="s">
        <v>5636</v>
      </c>
      <c r="G7129" t="s">
        <v>2050</v>
      </c>
      <c r="H7129">
        <v>4</v>
      </c>
      <c r="I7129">
        <v>56.74</v>
      </c>
      <c r="J7129" s="50">
        <v>226.96</v>
      </c>
      <c r="K7129" t="s">
        <v>1618</v>
      </c>
      <c r="M7129" t="s">
        <v>1624</v>
      </c>
      <c r="N7129">
        <v>29.95</v>
      </c>
      <c r="O7129" s="49">
        <v>45650</v>
      </c>
      <c r="P7129" s="50">
        <v>102.13200000000001</v>
      </c>
    </row>
    <row r="7130" spans="4:16" x14ac:dyDescent="0.2">
      <c r="D7130">
        <v>100004250</v>
      </c>
      <c r="E7130" s="49">
        <v>44648</v>
      </c>
      <c r="F7130" t="s">
        <v>5637</v>
      </c>
      <c r="G7130" t="s">
        <v>1770</v>
      </c>
      <c r="H7130">
        <v>10</v>
      </c>
      <c r="I7130">
        <v>23.28</v>
      </c>
      <c r="J7130" s="50">
        <v>232.8</v>
      </c>
      <c r="K7130" t="s">
        <v>1618</v>
      </c>
      <c r="M7130" t="s">
        <v>1619</v>
      </c>
      <c r="N7130">
        <v>12.29</v>
      </c>
      <c r="O7130" s="49">
        <v>44653</v>
      </c>
      <c r="P7130" s="50">
        <v>104.76</v>
      </c>
    </row>
    <row r="7131" spans="4:16" x14ac:dyDescent="0.2">
      <c r="D7131">
        <v>100004250</v>
      </c>
      <c r="E7131" s="49">
        <v>44432</v>
      </c>
      <c r="F7131" t="s">
        <v>5637</v>
      </c>
      <c r="G7131" t="s">
        <v>1636</v>
      </c>
      <c r="H7131">
        <v>7</v>
      </c>
      <c r="I7131">
        <v>97.85</v>
      </c>
      <c r="J7131" s="50">
        <v>684.94999999999993</v>
      </c>
      <c r="K7131" t="s">
        <v>1618</v>
      </c>
      <c r="M7131" t="s">
        <v>1621</v>
      </c>
      <c r="N7131">
        <v>51.64</v>
      </c>
      <c r="O7131" s="49">
        <v>44433</v>
      </c>
      <c r="P7131" s="50">
        <v>308.22749999999996</v>
      </c>
    </row>
    <row r="7132" spans="4:16" x14ac:dyDescent="0.2">
      <c r="D7132">
        <v>100004251</v>
      </c>
      <c r="E7132" s="49">
        <v>44940</v>
      </c>
      <c r="F7132" t="s">
        <v>5638</v>
      </c>
      <c r="G7132" t="s">
        <v>1885</v>
      </c>
      <c r="H7132">
        <v>8</v>
      </c>
      <c r="I7132">
        <v>46.26</v>
      </c>
      <c r="J7132" s="50">
        <v>370.08</v>
      </c>
      <c r="K7132" t="s">
        <v>1632</v>
      </c>
      <c r="M7132" t="s">
        <v>1624</v>
      </c>
      <c r="N7132">
        <v>24.41</v>
      </c>
      <c r="O7132" s="49">
        <v>44943</v>
      </c>
      <c r="P7132" s="50">
        <v>166.536</v>
      </c>
    </row>
    <row r="7133" spans="4:16" x14ac:dyDescent="0.2">
      <c r="D7133">
        <v>100004251</v>
      </c>
      <c r="E7133" s="49">
        <v>45486</v>
      </c>
      <c r="F7133" t="s">
        <v>5638</v>
      </c>
      <c r="G7133" t="s">
        <v>1982</v>
      </c>
      <c r="H7133">
        <v>8</v>
      </c>
      <c r="I7133">
        <v>113.74</v>
      </c>
      <c r="J7133" s="50">
        <v>909.92</v>
      </c>
      <c r="K7133" t="s">
        <v>1632</v>
      </c>
      <c r="M7133" t="s">
        <v>1629</v>
      </c>
      <c r="N7133">
        <v>60.03</v>
      </c>
      <c r="O7133" s="49">
        <v>45487</v>
      </c>
      <c r="P7133" s="50">
        <v>409.464</v>
      </c>
    </row>
    <row r="7134" spans="4:16" x14ac:dyDescent="0.2">
      <c r="D7134">
        <v>100004251</v>
      </c>
      <c r="E7134" s="49">
        <v>44685</v>
      </c>
      <c r="F7134" t="s">
        <v>5638</v>
      </c>
      <c r="G7134" t="s">
        <v>1943</v>
      </c>
      <c r="H7134">
        <v>8</v>
      </c>
      <c r="I7134">
        <v>74.92</v>
      </c>
      <c r="J7134" s="50">
        <v>599.36</v>
      </c>
      <c r="K7134" t="s">
        <v>1632</v>
      </c>
      <c r="M7134" t="s">
        <v>1627</v>
      </c>
      <c r="N7134">
        <v>39.54</v>
      </c>
      <c r="O7134" s="49">
        <v>44690</v>
      </c>
      <c r="P7134" s="50">
        <v>269.71199999999999</v>
      </c>
    </row>
    <row r="7135" spans="4:16" x14ac:dyDescent="0.2">
      <c r="D7135">
        <v>100004251</v>
      </c>
      <c r="E7135" s="49">
        <v>45213</v>
      </c>
      <c r="F7135" t="s">
        <v>5638</v>
      </c>
      <c r="G7135" t="s">
        <v>2017</v>
      </c>
      <c r="H7135">
        <v>4</v>
      </c>
      <c r="I7135">
        <v>31.91</v>
      </c>
      <c r="J7135" s="50">
        <v>127.64</v>
      </c>
      <c r="K7135" t="s">
        <v>1632</v>
      </c>
      <c r="M7135" t="s">
        <v>1621</v>
      </c>
      <c r="N7135">
        <v>16.84</v>
      </c>
      <c r="O7135" s="49">
        <v>45216</v>
      </c>
      <c r="P7135" s="50">
        <v>57.438000000000002</v>
      </c>
    </row>
    <row r="7136" spans="4:16" x14ac:dyDescent="0.2">
      <c r="D7136">
        <v>100004251</v>
      </c>
      <c r="E7136" s="49">
        <v>44423</v>
      </c>
      <c r="F7136" t="s">
        <v>5638</v>
      </c>
      <c r="G7136" t="s">
        <v>1855</v>
      </c>
      <c r="H7136">
        <v>8</v>
      </c>
      <c r="I7136">
        <v>88.98</v>
      </c>
      <c r="J7136" s="50">
        <v>711.84</v>
      </c>
      <c r="K7136" t="s">
        <v>1632</v>
      </c>
      <c r="M7136" t="s">
        <v>1621</v>
      </c>
      <c r="N7136">
        <v>46.96</v>
      </c>
      <c r="O7136" s="49">
        <v>44424</v>
      </c>
      <c r="P7136" s="50">
        <v>320.32800000000003</v>
      </c>
    </row>
    <row r="7137" spans="4:16" x14ac:dyDescent="0.2">
      <c r="D7137">
        <v>100004252</v>
      </c>
      <c r="E7137" s="49">
        <v>45383</v>
      </c>
      <c r="F7137" t="s">
        <v>5639</v>
      </c>
      <c r="G7137" t="s">
        <v>2305</v>
      </c>
      <c r="H7137">
        <v>7</v>
      </c>
      <c r="I7137">
        <v>100.08</v>
      </c>
      <c r="J7137" s="50">
        <v>700.56</v>
      </c>
      <c r="K7137" t="s">
        <v>1618</v>
      </c>
      <c r="M7137" t="s">
        <v>1619</v>
      </c>
      <c r="N7137">
        <v>52.82</v>
      </c>
      <c r="O7137" s="49">
        <v>45385</v>
      </c>
      <c r="P7137" s="50">
        <v>315.25200000000001</v>
      </c>
    </row>
    <row r="7138" spans="4:16" x14ac:dyDescent="0.2">
      <c r="D7138">
        <v>100004253</v>
      </c>
      <c r="E7138" s="49">
        <v>45110</v>
      </c>
      <c r="F7138" t="s">
        <v>5640</v>
      </c>
      <c r="G7138" t="s">
        <v>1890</v>
      </c>
      <c r="H7138">
        <v>10</v>
      </c>
      <c r="I7138">
        <v>18.690000000000001</v>
      </c>
      <c r="J7138" s="50">
        <v>186.9</v>
      </c>
      <c r="K7138" t="s">
        <v>1618</v>
      </c>
      <c r="L7138" t="s">
        <v>5641</v>
      </c>
      <c r="M7138" t="s">
        <v>1621</v>
      </c>
      <c r="N7138">
        <v>9.86</v>
      </c>
      <c r="O7138" s="49">
        <v>45115</v>
      </c>
      <c r="P7138" s="50">
        <v>84.105000000000004</v>
      </c>
    </row>
    <row r="7139" spans="4:16" x14ac:dyDescent="0.2">
      <c r="D7139">
        <v>100004253</v>
      </c>
      <c r="E7139" s="49">
        <v>45458</v>
      </c>
      <c r="F7139" t="s">
        <v>5640</v>
      </c>
      <c r="G7139" t="s">
        <v>2017</v>
      </c>
      <c r="H7139">
        <v>7</v>
      </c>
      <c r="I7139">
        <v>101.62</v>
      </c>
      <c r="J7139" s="50">
        <v>711.34</v>
      </c>
      <c r="K7139" t="s">
        <v>1618</v>
      </c>
      <c r="L7139" t="s">
        <v>5641</v>
      </c>
      <c r="M7139" t="s">
        <v>1627</v>
      </c>
      <c r="N7139">
        <v>53.63</v>
      </c>
      <c r="O7139" s="49">
        <v>45462</v>
      </c>
      <c r="P7139" s="50">
        <v>320.10300000000001</v>
      </c>
    </row>
    <row r="7140" spans="4:16" x14ac:dyDescent="0.2">
      <c r="D7140">
        <v>100004253</v>
      </c>
      <c r="E7140" s="49">
        <v>44955</v>
      </c>
      <c r="F7140" t="s">
        <v>5640</v>
      </c>
      <c r="G7140" t="s">
        <v>1848</v>
      </c>
      <c r="H7140">
        <v>5</v>
      </c>
      <c r="I7140">
        <v>28.74</v>
      </c>
      <c r="J7140" s="50">
        <v>143.69999999999999</v>
      </c>
      <c r="K7140" t="s">
        <v>1618</v>
      </c>
      <c r="L7140" t="s">
        <v>5641</v>
      </c>
      <c r="M7140" t="s">
        <v>1621</v>
      </c>
      <c r="N7140">
        <v>15.17</v>
      </c>
      <c r="O7140" s="49">
        <v>44957</v>
      </c>
      <c r="P7140" s="50">
        <v>64.664999999999992</v>
      </c>
    </row>
    <row r="7141" spans="4:16" x14ac:dyDescent="0.2">
      <c r="D7141">
        <v>100004253</v>
      </c>
      <c r="E7141" s="49">
        <v>44968</v>
      </c>
      <c r="F7141" t="s">
        <v>5640</v>
      </c>
      <c r="G7141" t="s">
        <v>1781</v>
      </c>
      <c r="H7141">
        <v>9</v>
      </c>
      <c r="I7141">
        <v>64.989999999999995</v>
      </c>
      <c r="J7141" s="50">
        <v>584.91</v>
      </c>
      <c r="K7141" t="s">
        <v>1618</v>
      </c>
      <c r="L7141" t="s">
        <v>5641</v>
      </c>
      <c r="M7141" t="s">
        <v>1627</v>
      </c>
      <c r="N7141">
        <v>34.299999999999997</v>
      </c>
      <c r="O7141" s="49">
        <v>44973</v>
      </c>
      <c r="P7141" s="50">
        <v>263.20949999999999</v>
      </c>
    </row>
    <row r="7142" spans="4:16" x14ac:dyDescent="0.2">
      <c r="D7142">
        <v>100004253</v>
      </c>
      <c r="E7142" s="49">
        <v>44930</v>
      </c>
      <c r="F7142" t="s">
        <v>5640</v>
      </c>
      <c r="G7142" t="s">
        <v>2004</v>
      </c>
      <c r="H7142">
        <v>7</v>
      </c>
      <c r="I7142">
        <v>96.89</v>
      </c>
      <c r="J7142" s="50">
        <v>678.23</v>
      </c>
      <c r="K7142" t="s">
        <v>1618</v>
      </c>
      <c r="L7142" t="s">
        <v>5641</v>
      </c>
      <c r="M7142" t="s">
        <v>1629</v>
      </c>
      <c r="N7142">
        <v>51.14</v>
      </c>
      <c r="O7142" s="49">
        <v>44933</v>
      </c>
      <c r="P7142" s="50">
        <v>305.20350000000002</v>
      </c>
    </row>
    <row r="7143" spans="4:16" x14ac:dyDescent="0.2">
      <c r="D7143">
        <v>100004253</v>
      </c>
      <c r="E7143" s="49">
        <v>44300</v>
      </c>
      <c r="F7143" t="s">
        <v>5640</v>
      </c>
      <c r="G7143" t="s">
        <v>1827</v>
      </c>
      <c r="H7143">
        <v>1</v>
      </c>
      <c r="I7143">
        <v>52.46</v>
      </c>
      <c r="J7143" s="50">
        <v>52.46</v>
      </c>
      <c r="K7143" t="s">
        <v>1618</v>
      </c>
      <c r="L7143" t="s">
        <v>5641</v>
      </c>
      <c r="M7143" t="s">
        <v>1619</v>
      </c>
      <c r="N7143">
        <v>27.69</v>
      </c>
      <c r="O7143" s="49">
        <v>44304</v>
      </c>
      <c r="P7143" s="50">
        <v>23.606999999999999</v>
      </c>
    </row>
    <row r="7144" spans="4:16" x14ac:dyDescent="0.2">
      <c r="D7144">
        <v>100004253</v>
      </c>
      <c r="E7144" s="49">
        <v>44706</v>
      </c>
      <c r="F7144" t="s">
        <v>5640</v>
      </c>
      <c r="G7144" t="s">
        <v>2007</v>
      </c>
      <c r="H7144">
        <v>6</v>
      </c>
      <c r="I7144">
        <v>99.9</v>
      </c>
      <c r="J7144" s="50">
        <v>599.40000000000009</v>
      </c>
      <c r="K7144" t="s">
        <v>1618</v>
      </c>
      <c r="L7144" t="s">
        <v>5641</v>
      </c>
      <c r="M7144" t="s">
        <v>1624</v>
      </c>
      <c r="N7144">
        <v>52.72</v>
      </c>
      <c r="O7144" s="49">
        <v>44711</v>
      </c>
      <c r="P7144" s="50">
        <v>269.73000000000008</v>
      </c>
    </row>
    <row r="7145" spans="4:16" x14ac:dyDescent="0.2">
      <c r="D7145">
        <v>100004254</v>
      </c>
      <c r="E7145" s="49">
        <v>45319</v>
      </c>
      <c r="F7145" t="s">
        <v>5642</v>
      </c>
      <c r="G7145" t="s">
        <v>1973</v>
      </c>
      <c r="H7145">
        <v>5</v>
      </c>
      <c r="I7145">
        <v>48.2</v>
      </c>
      <c r="J7145" s="50">
        <v>241</v>
      </c>
      <c r="K7145" t="s">
        <v>1632</v>
      </c>
      <c r="L7145" t="s">
        <v>5442</v>
      </c>
      <c r="M7145" t="s">
        <v>1629</v>
      </c>
      <c r="N7145">
        <v>25.44</v>
      </c>
      <c r="O7145" s="49">
        <v>45320</v>
      </c>
      <c r="P7145" s="50">
        <v>108.45</v>
      </c>
    </row>
    <row r="7146" spans="4:16" x14ac:dyDescent="0.2">
      <c r="D7146">
        <v>100004254</v>
      </c>
      <c r="E7146" s="49">
        <v>44616</v>
      </c>
      <c r="F7146" t="s">
        <v>5642</v>
      </c>
      <c r="G7146" t="s">
        <v>2357</v>
      </c>
      <c r="H7146">
        <v>2</v>
      </c>
      <c r="I7146">
        <v>41.77</v>
      </c>
      <c r="J7146" s="50">
        <v>83.54</v>
      </c>
      <c r="K7146" t="s">
        <v>1632</v>
      </c>
      <c r="L7146" t="s">
        <v>5442</v>
      </c>
      <c r="M7146" t="s">
        <v>1619</v>
      </c>
      <c r="N7146">
        <v>22.05</v>
      </c>
      <c r="O7146" s="49">
        <v>44618</v>
      </c>
      <c r="P7146" s="50">
        <v>37.593000000000004</v>
      </c>
    </row>
    <row r="7147" spans="4:16" x14ac:dyDescent="0.2">
      <c r="D7147">
        <v>100004254</v>
      </c>
      <c r="E7147" s="49">
        <v>44523</v>
      </c>
      <c r="F7147" t="s">
        <v>5642</v>
      </c>
      <c r="G7147" t="s">
        <v>1901</v>
      </c>
      <c r="H7147">
        <v>2</v>
      </c>
      <c r="I7147">
        <v>21.56</v>
      </c>
      <c r="J7147" s="50">
        <v>43.12</v>
      </c>
      <c r="K7147" t="s">
        <v>1632</v>
      </c>
      <c r="L7147" t="s">
        <v>5442</v>
      </c>
      <c r="M7147" t="s">
        <v>1624</v>
      </c>
      <c r="N7147">
        <v>11.38</v>
      </c>
      <c r="O7147" s="49">
        <v>44524</v>
      </c>
      <c r="P7147" s="50">
        <v>19.404</v>
      </c>
    </row>
    <row r="7148" spans="4:16" x14ac:dyDescent="0.2">
      <c r="D7148">
        <v>100004254</v>
      </c>
      <c r="E7148" s="49">
        <v>44237</v>
      </c>
      <c r="F7148" t="s">
        <v>5642</v>
      </c>
      <c r="G7148" t="s">
        <v>1754</v>
      </c>
      <c r="H7148">
        <v>9</v>
      </c>
      <c r="I7148">
        <v>98.38</v>
      </c>
      <c r="J7148" s="50">
        <v>885.42</v>
      </c>
      <c r="K7148" t="s">
        <v>1632</v>
      </c>
      <c r="L7148" t="s">
        <v>5442</v>
      </c>
      <c r="M7148" t="s">
        <v>1627</v>
      </c>
      <c r="N7148">
        <v>51.92</v>
      </c>
      <c r="O7148" s="49">
        <v>44241</v>
      </c>
      <c r="P7148" s="50">
        <v>398.43899999999996</v>
      </c>
    </row>
    <row r="7149" spans="4:16" x14ac:dyDescent="0.2">
      <c r="D7149">
        <v>100004254</v>
      </c>
      <c r="E7149" s="49">
        <v>44339</v>
      </c>
      <c r="F7149" t="s">
        <v>5642</v>
      </c>
      <c r="G7149" t="s">
        <v>1637</v>
      </c>
      <c r="H7149">
        <v>10</v>
      </c>
      <c r="I7149">
        <v>85.7</v>
      </c>
      <c r="J7149" s="50">
        <v>857</v>
      </c>
      <c r="K7149" t="s">
        <v>1632</v>
      </c>
      <c r="L7149" t="s">
        <v>5442</v>
      </c>
      <c r="M7149" t="s">
        <v>1629</v>
      </c>
      <c r="N7149">
        <v>45.23</v>
      </c>
      <c r="O7149" s="49">
        <v>44341</v>
      </c>
      <c r="P7149" s="50">
        <v>385.65000000000003</v>
      </c>
    </row>
    <row r="7150" spans="4:16" x14ac:dyDescent="0.2">
      <c r="D7150">
        <v>100004255</v>
      </c>
      <c r="E7150" s="49">
        <v>45252</v>
      </c>
      <c r="F7150" t="s">
        <v>5643</v>
      </c>
      <c r="G7150" t="s">
        <v>2168</v>
      </c>
      <c r="H7150">
        <v>8</v>
      </c>
      <c r="I7150">
        <v>80.959999999999994</v>
      </c>
      <c r="J7150" s="50">
        <v>647.67999999999995</v>
      </c>
      <c r="K7150" t="s">
        <v>1632</v>
      </c>
      <c r="L7150" t="s">
        <v>5644</v>
      </c>
      <c r="M7150" t="s">
        <v>1621</v>
      </c>
      <c r="N7150">
        <v>42.73</v>
      </c>
      <c r="O7150" s="49">
        <v>45254</v>
      </c>
      <c r="P7150" s="50">
        <v>291.45599999999996</v>
      </c>
    </row>
    <row r="7151" spans="4:16" x14ac:dyDescent="0.2">
      <c r="D7151">
        <v>100004255</v>
      </c>
      <c r="E7151" s="49">
        <v>44317</v>
      </c>
      <c r="F7151" t="s">
        <v>5643</v>
      </c>
      <c r="G7151" t="s">
        <v>1830</v>
      </c>
      <c r="H7151">
        <v>7</v>
      </c>
      <c r="I7151">
        <v>58.55</v>
      </c>
      <c r="J7151" s="50">
        <v>409.85</v>
      </c>
      <c r="K7151" t="s">
        <v>1632</v>
      </c>
      <c r="L7151" t="s">
        <v>5644</v>
      </c>
      <c r="M7151" t="s">
        <v>1621</v>
      </c>
      <c r="N7151">
        <v>30.9</v>
      </c>
      <c r="O7151" s="49">
        <v>44322</v>
      </c>
      <c r="P7151" s="50">
        <v>184.4325</v>
      </c>
    </row>
    <row r="7152" spans="4:16" x14ac:dyDescent="0.2">
      <c r="D7152">
        <v>100004256</v>
      </c>
      <c r="E7152" s="49">
        <v>45098</v>
      </c>
      <c r="F7152" t="s">
        <v>5645</v>
      </c>
      <c r="G7152" t="s">
        <v>1783</v>
      </c>
      <c r="H7152">
        <v>8</v>
      </c>
      <c r="I7152">
        <v>77.849999999999994</v>
      </c>
      <c r="J7152" s="50">
        <v>622.79999999999995</v>
      </c>
      <c r="K7152" t="s">
        <v>1618</v>
      </c>
      <c r="L7152" t="s">
        <v>5383</v>
      </c>
      <c r="M7152" t="s">
        <v>1629</v>
      </c>
      <c r="N7152">
        <v>41.09</v>
      </c>
      <c r="O7152" s="49">
        <v>45101</v>
      </c>
      <c r="P7152" s="50">
        <v>280.26</v>
      </c>
    </row>
    <row r="7153" spans="4:16" x14ac:dyDescent="0.2">
      <c r="D7153">
        <v>100004256</v>
      </c>
      <c r="E7153" s="49">
        <v>44718</v>
      </c>
      <c r="F7153" t="s">
        <v>5645</v>
      </c>
      <c r="G7153" t="s">
        <v>2331</v>
      </c>
      <c r="H7153">
        <v>6</v>
      </c>
      <c r="I7153">
        <v>15.43</v>
      </c>
      <c r="J7153" s="50">
        <v>92.58</v>
      </c>
      <c r="K7153" t="s">
        <v>1618</v>
      </c>
      <c r="L7153" t="s">
        <v>5383</v>
      </c>
      <c r="M7153" t="s">
        <v>1619</v>
      </c>
      <c r="N7153">
        <v>8.14</v>
      </c>
      <c r="O7153" s="49">
        <v>44723</v>
      </c>
      <c r="P7153" s="50">
        <v>41.661000000000001</v>
      </c>
    </row>
    <row r="7154" spans="4:16" x14ac:dyDescent="0.2">
      <c r="D7154">
        <v>100004257</v>
      </c>
      <c r="E7154" s="49">
        <v>45618</v>
      </c>
      <c r="F7154" t="s">
        <v>5646</v>
      </c>
      <c r="G7154" t="s">
        <v>1955</v>
      </c>
      <c r="H7154">
        <v>7</v>
      </c>
      <c r="I7154">
        <v>50.39</v>
      </c>
      <c r="J7154" s="50">
        <v>352.73</v>
      </c>
      <c r="K7154" t="s">
        <v>1632</v>
      </c>
      <c r="M7154" t="s">
        <v>1629</v>
      </c>
      <c r="N7154">
        <v>26.59</v>
      </c>
      <c r="O7154" s="49">
        <v>45621</v>
      </c>
      <c r="P7154" s="50">
        <v>158.72850000000003</v>
      </c>
    </row>
    <row r="7155" spans="4:16" x14ac:dyDescent="0.2">
      <c r="D7155">
        <v>100004258</v>
      </c>
      <c r="E7155" s="49">
        <v>44632</v>
      </c>
      <c r="F7155" t="s">
        <v>5647</v>
      </c>
      <c r="G7155" t="s">
        <v>2412</v>
      </c>
      <c r="H7155">
        <v>8</v>
      </c>
      <c r="I7155">
        <v>114.71</v>
      </c>
      <c r="J7155" s="50">
        <v>917.68</v>
      </c>
      <c r="K7155" t="s">
        <v>1618</v>
      </c>
      <c r="L7155" t="s">
        <v>5648</v>
      </c>
      <c r="M7155" t="s">
        <v>1627</v>
      </c>
      <c r="N7155">
        <v>60.54</v>
      </c>
      <c r="O7155" s="49">
        <v>44635</v>
      </c>
      <c r="P7155" s="50">
        <v>412.95599999999996</v>
      </c>
    </row>
    <row r="7156" spans="4:16" x14ac:dyDescent="0.2">
      <c r="D7156">
        <v>100004258</v>
      </c>
      <c r="E7156" s="49">
        <v>45202</v>
      </c>
      <c r="F7156" t="s">
        <v>5647</v>
      </c>
      <c r="G7156" t="s">
        <v>1704</v>
      </c>
      <c r="H7156">
        <v>5</v>
      </c>
      <c r="I7156">
        <v>62.6</v>
      </c>
      <c r="J7156" s="50">
        <v>313</v>
      </c>
      <c r="K7156" t="s">
        <v>1618</v>
      </c>
      <c r="L7156" t="s">
        <v>5648</v>
      </c>
      <c r="M7156" t="s">
        <v>1619</v>
      </c>
      <c r="N7156">
        <v>33.04</v>
      </c>
      <c r="O7156" s="49">
        <v>45207</v>
      </c>
      <c r="P7156" s="50">
        <v>140.85</v>
      </c>
    </row>
    <row r="7157" spans="4:16" x14ac:dyDescent="0.2">
      <c r="D7157">
        <v>100004258</v>
      </c>
      <c r="E7157" s="49">
        <v>44776</v>
      </c>
      <c r="F7157" t="s">
        <v>5647</v>
      </c>
      <c r="G7157" t="s">
        <v>1688</v>
      </c>
      <c r="H7157">
        <v>5</v>
      </c>
      <c r="I7157">
        <v>67.14</v>
      </c>
      <c r="J7157" s="50">
        <v>335.7</v>
      </c>
      <c r="K7157" t="s">
        <v>1618</v>
      </c>
      <c r="L7157" t="s">
        <v>5648</v>
      </c>
      <c r="M7157" t="s">
        <v>1619</v>
      </c>
      <c r="N7157">
        <v>35.43</v>
      </c>
      <c r="O7157" s="49">
        <v>44780</v>
      </c>
      <c r="P7157" s="50">
        <v>151.065</v>
      </c>
    </row>
    <row r="7158" spans="4:16" x14ac:dyDescent="0.2">
      <c r="D7158">
        <v>100004259</v>
      </c>
      <c r="E7158" s="49">
        <v>45316</v>
      </c>
      <c r="F7158" t="s">
        <v>5649</v>
      </c>
      <c r="G7158" t="s">
        <v>1688</v>
      </c>
      <c r="H7158">
        <v>4</v>
      </c>
      <c r="I7158">
        <v>101.19</v>
      </c>
      <c r="J7158" s="50">
        <v>404.76</v>
      </c>
      <c r="K7158" t="s">
        <v>1632</v>
      </c>
      <c r="M7158" t="s">
        <v>1619</v>
      </c>
      <c r="N7158">
        <v>53.41</v>
      </c>
      <c r="O7158" s="49">
        <v>45317</v>
      </c>
      <c r="P7158" s="50">
        <v>182.142</v>
      </c>
    </row>
    <row r="7159" spans="4:16" x14ac:dyDescent="0.2">
      <c r="D7159">
        <v>100004259</v>
      </c>
      <c r="E7159" s="49">
        <v>45100</v>
      </c>
      <c r="F7159" t="s">
        <v>5649</v>
      </c>
      <c r="G7159" t="s">
        <v>1670</v>
      </c>
      <c r="H7159">
        <v>3</v>
      </c>
      <c r="I7159">
        <v>104.12</v>
      </c>
      <c r="J7159" s="50">
        <v>312.36</v>
      </c>
      <c r="K7159" t="s">
        <v>1632</v>
      </c>
      <c r="M7159" t="s">
        <v>1627</v>
      </c>
      <c r="N7159">
        <v>54.95</v>
      </c>
      <c r="O7159" s="49">
        <v>45102</v>
      </c>
      <c r="P7159" s="50">
        <v>140.56200000000001</v>
      </c>
    </row>
    <row r="7160" spans="4:16" x14ac:dyDescent="0.2">
      <c r="D7160">
        <v>100004259</v>
      </c>
      <c r="E7160" s="49">
        <v>45495</v>
      </c>
      <c r="F7160" t="s">
        <v>5649</v>
      </c>
      <c r="G7160" t="s">
        <v>1626</v>
      </c>
      <c r="H7160">
        <v>1</v>
      </c>
      <c r="I7160">
        <v>24.89</v>
      </c>
      <c r="J7160" s="50">
        <v>24.89</v>
      </c>
      <c r="K7160" t="s">
        <v>1632</v>
      </c>
      <c r="M7160" t="s">
        <v>1629</v>
      </c>
      <c r="N7160">
        <v>13.14</v>
      </c>
      <c r="O7160" s="49">
        <v>45498</v>
      </c>
      <c r="P7160" s="50">
        <v>11.2005</v>
      </c>
    </row>
    <row r="7161" spans="4:16" x14ac:dyDescent="0.2">
      <c r="D7161">
        <v>100004259</v>
      </c>
      <c r="E7161" s="49">
        <v>45001</v>
      </c>
      <c r="F7161" t="s">
        <v>5649</v>
      </c>
      <c r="G7161" t="s">
        <v>2017</v>
      </c>
      <c r="H7161">
        <v>5</v>
      </c>
      <c r="I7161">
        <v>38.130000000000003</v>
      </c>
      <c r="J7161" s="50">
        <v>190.65</v>
      </c>
      <c r="K7161" t="s">
        <v>1632</v>
      </c>
      <c r="M7161" t="s">
        <v>1624</v>
      </c>
      <c r="N7161">
        <v>20.12</v>
      </c>
      <c r="O7161" s="49">
        <v>45006</v>
      </c>
      <c r="P7161" s="50">
        <v>85.792500000000004</v>
      </c>
    </row>
    <row r="7162" spans="4:16" x14ac:dyDescent="0.2">
      <c r="D7162">
        <v>100004259</v>
      </c>
      <c r="E7162" s="49">
        <v>44422</v>
      </c>
      <c r="F7162" t="s">
        <v>5649</v>
      </c>
      <c r="G7162" t="s">
        <v>2447</v>
      </c>
      <c r="H7162">
        <v>7</v>
      </c>
      <c r="I7162">
        <v>92.23</v>
      </c>
      <c r="J7162" s="50">
        <v>645.61</v>
      </c>
      <c r="K7162" t="s">
        <v>1632</v>
      </c>
      <c r="M7162" t="s">
        <v>1629</v>
      </c>
      <c r="N7162">
        <v>48.68</v>
      </c>
      <c r="O7162" s="49">
        <v>44423</v>
      </c>
      <c r="P7162" s="50">
        <v>290.52449999999999</v>
      </c>
    </row>
    <row r="7163" spans="4:16" x14ac:dyDescent="0.2">
      <c r="D7163">
        <v>100004260</v>
      </c>
      <c r="E7163" s="49">
        <v>44993</v>
      </c>
      <c r="F7163" t="s">
        <v>5650</v>
      </c>
      <c r="G7163" t="s">
        <v>1865</v>
      </c>
      <c r="H7163">
        <v>10</v>
      </c>
      <c r="I7163">
        <v>44.46</v>
      </c>
      <c r="J7163" s="50">
        <v>444.6</v>
      </c>
      <c r="K7163" t="s">
        <v>1618</v>
      </c>
      <c r="M7163" t="s">
        <v>1619</v>
      </c>
      <c r="N7163">
        <v>23.46</v>
      </c>
      <c r="O7163" s="49">
        <v>44996</v>
      </c>
      <c r="P7163" s="50">
        <v>200.07000000000002</v>
      </c>
    </row>
    <row r="7164" spans="4:16" x14ac:dyDescent="0.2">
      <c r="D7164">
        <v>100004260</v>
      </c>
      <c r="E7164" s="49">
        <v>44351</v>
      </c>
      <c r="F7164" t="s">
        <v>5650</v>
      </c>
      <c r="G7164" t="s">
        <v>2431</v>
      </c>
      <c r="H7164">
        <v>9</v>
      </c>
      <c r="I7164">
        <v>21.96</v>
      </c>
      <c r="J7164" s="50">
        <v>197.64</v>
      </c>
      <c r="K7164" t="s">
        <v>1618</v>
      </c>
      <c r="M7164" t="s">
        <v>1624</v>
      </c>
      <c r="N7164">
        <v>11.59</v>
      </c>
      <c r="O7164" s="49">
        <v>44356</v>
      </c>
      <c r="P7164" s="50">
        <v>88.938000000000002</v>
      </c>
    </row>
    <row r="7165" spans="4:16" x14ac:dyDescent="0.2">
      <c r="D7165">
        <v>100004260</v>
      </c>
      <c r="E7165" s="49">
        <v>45309</v>
      </c>
      <c r="F7165" t="s">
        <v>5650</v>
      </c>
      <c r="G7165" t="s">
        <v>1901</v>
      </c>
      <c r="H7165">
        <v>9</v>
      </c>
      <c r="I7165">
        <v>89.42</v>
      </c>
      <c r="J7165" s="50">
        <v>804.78</v>
      </c>
      <c r="K7165" t="s">
        <v>1618</v>
      </c>
      <c r="M7165" t="s">
        <v>1624</v>
      </c>
      <c r="N7165">
        <v>47.19</v>
      </c>
      <c r="O7165" s="49">
        <v>45313</v>
      </c>
      <c r="P7165" s="50">
        <v>362.15100000000001</v>
      </c>
    </row>
    <row r="7166" spans="4:16" x14ac:dyDescent="0.2">
      <c r="D7166">
        <v>100004261</v>
      </c>
      <c r="E7166" s="49">
        <v>44722</v>
      </c>
      <c r="F7166" t="s">
        <v>5651</v>
      </c>
      <c r="G7166" t="s">
        <v>2574</v>
      </c>
      <c r="H7166">
        <v>7</v>
      </c>
      <c r="I7166">
        <v>90.7</v>
      </c>
      <c r="J7166" s="50">
        <v>634.9</v>
      </c>
      <c r="K7166" t="s">
        <v>1618</v>
      </c>
      <c r="M7166" t="s">
        <v>1627</v>
      </c>
      <c r="N7166">
        <v>47.87</v>
      </c>
      <c r="O7166" s="49">
        <v>44725</v>
      </c>
      <c r="P7166" s="50">
        <v>285.70499999999998</v>
      </c>
    </row>
    <row r="7167" spans="4:16" x14ac:dyDescent="0.2">
      <c r="D7167">
        <v>100004262</v>
      </c>
      <c r="E7167" s="49">
        <v>44406</v>
      </c>
      <c r="F7167" t="s">
        <v>5652</v>
      </c>
      <c r="G7167" t="s">
        <v>2168</v>
      </c>
      <c r="H7167">
        <v>1</v>
      </c>
      <c r="I7167">
        <v>109.23</v>
      </c>
      <c r="J7167" s="50">
        <v>109.23</v>
      </c>
      <c r="K7167" t="s">
        <v>1618</v>
      </c>
      <c r="L7167" t="s">
        <v>5653</v>
      </c>
      <c r="M7167" t="s">
        <v>1619</v>
      </c>
      <c r="N7167">
        <v>57.65</v>
      </c>
      <c r="O7167" s="49">
        <v>44407</v>
      </c>
      <c r="P7167" s="50">
        <v>49.153500000000001</v>
      </c>
    </row>
    <row r="7168" spans="4:16" x14ac:dyDescent="0.2">
      <c r="D7168">
        <v>100004263</v>
      </c>
      <c r="E7168" s="49">
        <v>44705</v>
      </c>
      <c r="F7168" t="s">
        <v>3081</v>
      </c>
      <c r="G7168" t="s">
        <v>2613</v>
      </c>
      <c r="H7168">
        <v>6</v>
      </c>
      <c r="I7168">
        <v>114.14</v>
      </c>
      <c r="J7168" s="50">
        <v>684.84</v>
      </c>
      <c r="K7168" t="s">
        <v>1618</v>
      </c>
      <c r="M7168" t="s">
        <v>1621</v>
      </c>
      <c r="N7168">
        <v>60.24</v>
      </c>
      <c r="O7168" s="49">
        <v>44706</v>
      </c>
      <c r="P7168" s="50">
        <v>308.178</v>
      </c>
    </row>
    <row r="7169" spans="4:16" x14ac:dyDescent="0.2">
      <c r="D7169">
        <v>100004263</v>
      </c>
      <c r="E7169" s="49">
        <v>45180</v>
      </c>
      <c r="F7169" t="s">
        <v>3081</v>
      </c>
      <c r="G7169" t="s">
        <v>1766</v>
      </c>
      <c r="H7169">
        <v>10</v>
      </c>
      <c r="I7169">
        <v>57.94</v>
      </c>
      <c r="J7169" s="50">
        <v>579.4</v>
      </c>
      <c r="K7169" t="s">
        <v>1618</v>
      </c>
      <c r="M7169" t="s">
        <v>1624</v>
      </c>
      <c r="N7169">
        <v>30.58</v>
      </c>
      <c r="O7169" s="49">
        <v>45181</v>
      </c>
      <c r="P7169" s="50">
        <v>260.73</v>
      </c>
    </row>
    <row r="7170" spans="4:16" x14ac:dyDescent="0.2">
      <c r="D7170">
        <v>100004263</v>
      </c>
      <c r="E7170" s="49">
        <v>44392</v>
      </c>
      <c r="F7170" t="s">
        <v>3081</v>
      </c>
      <c r="G7170" t="s">
        <v>2042</v>
      </c>
      <c r="H7170">
        <v>10</v>
      </c>
      <c r="I7170">
        <v>86.66</v>
      </c>
      <c r="J7170" s="50">
        <v>866.59999999999991</v>
      </c>
      <c r="K7170" t="s">
        <v>1618</v>
      </c>
      <c r="M7170" t="s">
        <v>1627</v>
      </c>
      <c r="N7170">
        <v>45.74</v>
      </c>
      <c r="O7170" s="49">
        <v>44397</v>
      </c>
      <c r="P7170" s="50">
        <v>389.96999999999997</v>
      </c>
    </row>
    <row r="7171" spans="4:16" x14ac:dyDescent="0.2">
      <c r="D7171">
        <v>100004263</v>
      </c>
      <c r="E7171" s="49">
        <v>44259</v>
      </c>
      <c r="F7171" t="s">
        <v>3081</v>
      </c>
      <c r="G7171" t="s">
        <v>1831</v>
      </c>
      <c r="H7171">
        <v>3</v>
      </c>
      <c r="I7171">
        <v>116.03</v>
      </c>
      <c r="J7171" s="50">
        <v>348.09</v>
      </c>
      <c r="K7171" t="s">
        <v>1618</v>
      </c>
      <c r="M7171" t="s">
        <v>1619</v>
      </c>
      <c r="N7171">
        <v>61.24</v>
      </c>
      <c r="O7171" s="49">
        <v>44264</v>
      </c>
      <c r="P7171" s="50">
        <v>156.6405</v>
      </c>
    </row>
    <row r="7172" spans="4:16" x14ac:dyDescent="0.2">
      <c r="D7172">
        <v>100004263</v>
      </c>
      <c r="E7172" s="49">
        <v>44654</v>
      </c>
      <c r="F7172" t="s">
        <v>3081</v>
      </c>
      <c r="G7172" t="s">
        <v>1648</v>
      </c>
      <c r="H7172">
        <v>8</v>
      </c>
      <c r="I7172">
        <v>76.61</v>
      </c>
      <c r="J7172" s="50">
        <v>612.88</v>
      </c>
      <c r="K7172" t="s">
        <v>1618</v>
      </c>
      <c r="M7172" t="s">
        <v>1627</v>
      </c>
      <c r="N7172">
        <v>40.43</v>
      </c>
      <c r="O7172" s="49">
        <v>44656</v>
      </c>
      <c r="P7172" s="50">
        <v>275.79599999999999</v>
      </c>
    </row>
    <row r="7173" spans="4:16" x14ac:dyDescent="0.2">
      <c r="D7173">
        <v>100004263</v>
      </c>
      <c r="E7173" s="49">
        <v>44721</v>
      </c>
      <c r="F7173" t="s">
        <v>3081</v>
      </c>
      <c r="G7173" t="s">
        <v>1658</v>
      </c>
      <c r="H7173">
        <v>4</v>
      </c>
      <c r="I7173">
        <v>17.22</v>
      </c>
      <c r="J7173" s="50">
        <v>68.88</v>
      </c>
      <c r="K7173" t="s">
        <v>1618</v>
      </c>
      <c r="M7173" t="s">
        <v>1627</v>
      </c>
      <c r="N7173">
        <v>9.09</v>
      </c>
      <c r="O7173" s="49">
        <v>44724</v>
      </c>
      <c r="P7173" s="50">
        <v>30.995999999999999</v>
      </c>
    </row>
    <row r="7174" spans="4:16" x14ac:dyDescent="0.2">
      <c r="D7174">
        <v>100004263</v>
      </c>
      <c r="E7174" s="49">
        <v>44596</v>
      </c>
      <c r="F7174" t="s">
        <v>3081</v>
      </c>
      <c r="G7174" t="s">
        <v>2204</v>
      </c>
      <c r="H7174">
        <v>6</v>
      </c>
      <c r="I7174">
        <v>107.3</v>
      </c>
      <c r="J7174" s="50">
        <v>643.79999999999995</v>
      </c>
      <c r="K7174" t="s">
        <v>1618</v>
      </c>
      <c r="M7174" t="s">
        <v>1621</v>
      </c>
      <c r="N7174">
        <v>56.63</v>
      </c>
      <c r="O7174" s="49">
        <v>44599</v>
      </c>
      <c r="P7174" s="50">
        <v>289.70999999999998</v>
      </c>
    </row>
    <row r="7175" spans="4:16" x14ac:dyDescent="0.2">
      <c r="D7175">
        <v>100004263</v>
      </c>
      <c r="E7175" s="49">
        <v>45190</v>
      </c>
      <c r="F7175" t="s">
        <v>3081</v>
      </c>
      <c r="G7175" t="s">
        <v>1948</v>
      </c>
      <c r="H7175">
        <v>4</v>
      </c>
      <c r="I7175">
        <v>61.71</v>
      </c>
      <c r="J7175" s="50">
        <v>246.84</v>
      </c>
      <c r="K7175" t="s">
        <v>1618</v>
      </c>
      <c r="M7175" t="s">
        <v>1621</v>
      </c>
      <c r="N7175">
        <v>32.57</v>
      </c>
      <c r="O7175" s="49">
        <v>45194</v>
      </c>
      <c r="P7175" s="50">
        <v>111.078</v>
      </c>
    </row>
    <row r="7176" spans="4:16" x14ac:dyDescent="0.2">
      <c r="D7176">
        <v>100004263</v>
      </c>
      <c r="E7176" s="49">
        <v>45458</v>
      </c>
      <c r="F7176" t="s">
        <v>3081</v>
      </c>
      <c r="G7176" t="s">
        <v>2514</v>
      </c>
      <c r="H7176">
        <v>3</v>
      </c>
      <c r="I7176">
        <v>56.75</v>
      </c>
      <c r="J7176" s="50">
        <v>170.25</v>
      </c>
      <c r="K7176" t="s">
        <v>1618</v>
      </c>
      <c r="M7176" t="s">
        <v>1627</v>
      </c>
      <c r="N7176">
        <v>29.95</v>
      </c>
      <c r="O7176" s="49">
        <v>45462</v>
      </c>
      <c r="P7176" s="50">
        <v>76.612499999999997</v>
      </c>
    </row>
    <row r="7177" spans="4:16" x14ac:dyDescent="0.2">
      <c r="D7177">
        <v>100004266</v>
      </c>
      <c r="E7177" s="49">
        <v>44567</v>
      </c>
      <c r="F7177" t="s">
        <v>5654</v>
      </c>
      <c r="G7177" t="s">
        <v>2132</v>
      </c>
      <c r="H7177">
        <v>9</v>
      </c>
      <c r="I7177">
        <v>87.88</v>
      </c>
      <c r="J7177" s="50">
        <v>790.92</v>
      </c>
      <c r="K7177" t="s">
        <v>1618</v>
      </c>
      <c r="L7177" t="s">
        <v>3914</v>
      </c>
      <c r="M7177" t="s">
        <v>1624</v>
      </c>
      <c r="N7177">
        <v>46.38</v>
      </c>
      <c r="O7177" s="49">
        <v>44568</v>
      </c>
      <c r="P7177" s="50">
        <v>355.91399999999999</v>
      </c>
    </row>
    <row r="7178" spans="4:16" x14ac:dyDescent="0.2">
      <c r="D7178">
        <v>100004268</v>
      </c>
      <c r="E7178" s="49">
        <v>45171</v>
      </c>
      <c r="F7178" t="s">
        <v>5655</v>
      </c>
      <c r="G7178" t="s">
        <v>2078</v>
      </c>
      <c r="H7178">
        <v>8</v>
      </c>
      <c r="I7178">
        <v>42.84</v>
      </c>
      <c r="J7178" s="50">
        <v>342.72</v>
      </c>
      <c r="K7178" t="s">
        <v>1618</v>
      </c>
      <c r="M7178" t="s">
        <v>1619</v>
      </c>
      <c r="N7178">
        <v>22.61</v>
      </c>
      <c r="O7178" s="49">
        <v>45173</v>
      </c>
      <c r="P7178" s="50">
        <v>154.22400000000002</v>
      </c>
    </row>
    <row r="7179" spans="4:16" x14ac:dyDescent="0.2">
      <c r="D7179">
        <v>100004268</v>
      </c>
      <c r="E7179" s="49">
        <v>44968</v>
      </c>
      <c r="F7179" t="s">
        <v>5655</v>
      </c>
      <c r="G7179" t="s">
        <v>1777</v>
      </c>
      <c r="H7179">
        <v>10</v>
      </c>
      <c r="I7179">
        <v>31.88</v>
      </c>
      <c r="J7179" s="50">
        <v>318.8</v>
      </c>
      <c r="K7179" t="s">
        <v>1618</v>
      </c>
      <c r="M7179" t="s">
        <v>1624</v>
      </c>
      <c r="N7179">
        <v>16.829999999999998</v>
      </c>
      <c r="O7179" s="49">
        <v>44973</v>
      </c>
      <c r="P7179" s="50">
        <v>143.46</v>
      </c>
    </row>
    <row r="7180" spans="4:16" x14ac:dyDescent="0.2">
      <c r="D7180">
        <v>100004269</v>
      </c>
      <c r="E7180" s="49">
        <v>45093</v>
      </c>
      <c r="F7180" t="s">
        <v>2483</v>
      </c>
      <c r="G7180" t="s">
        <v>2514</v>
      </c>
      <c r="H7180">
        <v>9</v>
      </c>
      <c r="I7180">
        <v>113.95</v>
      </c>
      <c r="J7180" s="50">
        <v>1025.55</v>
      </c>
      <c r="K7180" t="s">
        <v>1632</v>
      </c>
      <c r="M7180" t="s">
        <v>1619</v>
      </c>
      <c r="N7180">
        <v>60.14</v>
      </c>
      <c r="O7180" s="49">
        <v>45095</v>
      </c>
      <c r="P7180" s="50">
        <v>461.4975</v>
      </c>
    </row>
    <row r="7181" spans="4:16" x14ac:dyDescent="0.2">
      <c r="D7181">
        <v>100004269</v>
      </c>
      <c r="E7181" s="49">
        <v>45103</v>
      </c>
      <c r="F7181" t="s">
        <v>2483</v>
      </c>
      <c r="G7181" t="s">
        <v>1686</v>
      </c>
      <c r="H7181">
        <v>6</v>
      </c>
      <c r="I7181">
        <v>53.02</v>
      </c>
      <c r="J7181" s="50">
        <v>318.12</v>
      </c>
      <c r="K7181" t="s">
        <v>1632</v>
      </c>
      <c r="M7181" t="s">
        <v>1629</v>
      </c>
      <c r="N7181">
        <v>27.98</v>
      </c>
      <c r="O7181" s="49">
        <v>45107</v>
      </c>
      <c r="P7181" s="50">
        <v>143.154</v>
      </c>
    </row>
    <row r="7182" spans="4:16" x14ac:dyDescent="0.2">
      <c r="D7182">
        <v>100004271</v>
      </c>
      <c r="E7182" s="49">
        <v>44261</v>
      </c>
      <c r="F7182" t="s">
        <v>5656</v>
      </c>
      <c r="G7182" t="s">
        <v>2116</v>
      </c>
      <c r="H7182">
        <v>4</v>
      </c>
      <c r="I7182">
        <v>34.39</v>
      </c>
      <c r="J7182" s="50">
        <v>137.56</v>
      </c>
      <c r="K7182" t="s">
        <v>1618</v>
      </c>
      <c r="M7182" t="s">
        <v>1627</v>
      </c>
      <c r="N7182">
        <v>18.149999999999999</v>
      </c>
      <c r="O7182" s="49">
        <v>44263</v>
      </c>
      <c r="P7182" s="50">
        <v>61.902000000000001</v>
      </c>
    </row>
    <row r="7183" spans="4:16" x14ac:dyDescent="0.2">
      <c r="D7183">
        <v>100004271</v>
      </c>
      <c r="E7183" s="49">
        <v>44302</v>
      </c>
      <c r="F7183" t="s">
        <v>5656</v>
      </c>
      <c r="G7183" t="s">
        <v>1817</v>
      </c>
      <c r="H7183">
        <v>5</v>
      </c>
      <c r="I7183">
        <v>94.9</v>
      </c>
      <c r="J7183" s="50">
        <v>474.5</v>
      </c>
      <c r="K7183" t="s">
        <v>1618</v>
      </c>
      <c r="M7183" t="s">
        <v>1629</v>
      </c>
      <c r="N7183">
        <v>50.09</v>
      </c>
      <c r="O7183" s="49">
        <v>44305</v>
      </c>
      <c r="P7183" s="50">
        <v>213.52500000000001</v>
      </c>
    </row>
    <row r="7184" spans="4:16" x14ac:dyDescent="0.2">
      <c r="D7184">
        <v>100004271</v>
      </c>
      <c r="E7184" s="49">
        <v>44549</v>
      </c>
      <c r="F7184" t="s">
        <v>5656</v>
      </c>
      <c r="G7184" t="s">
        <v>1825</v>
      </c>
      <c r="H7184">
        <v>1</v>
      </c>
      <c r="I7184">
        <v>111.8</v>
      </c>
      <c r="J7184" s="50">
        <v>111.8</v>
      </c>
      <c r="K7184" t="s">
        <v>1618</v>
      </c>
      <c r="M7184" t="s">
        <v>1627</v>
      </c>
      <c r="N7184">
        <v>59.01</v>
      </c>
      <c r="O7184" s="49">
        <v>44550</v>
      </c>
      <c r="P7184" s="50">
        <v>50.31</v>
      </c>
    </row>
    <row r="7185" spans="4:16" x14ac:dyDescent="0.2">
      <c r="D7185">
        <v>100004273</v>
      </c>
      <c r="E7185" s="49">
        <v>45418</v>
      </c>
      <c r="F7185" t="s">
        <v>5657</v>
      </c>
      <c r="G7185" t="s">
        <v>1882</v>
      </c>
      <c r="H7185">
        <v>4</v>
      </c>
      <c r="I7185">
        <v>118.91</v>
      </c>
      <c r="J7185" s="50">
        <v>475.64</v>
      </c>
      <c r="K7185" t="s">
        <v>1618</v>
      </c>
      <c r="M7185" t="s">
        <v>1619</v>
      </c>
      <c r="N7185">
        <v>62.76</v>
      </c>
      <c r="O7185" s="49">
        <v>45419</v>
      </c>
      <c r="P7185" s="50">
        <v>214.03800000000001</v>
      </c>
    </row>
    <row r="7186" spans="4:16" x14ac:dyDescent="0.2">
      <c r="D7186">
        <v>100004273</v>
      </c>
      <c r="E7186" s="49">
        <v>45278</v>
      </c>
      <c r="F7186" t="s">
        <v>5657</v>
      </c>
      <c r="G7186" t="s">
        <v>1726</v>
      </c>
      <c r="H7186">
        <v>10</v>
      </c>
      <c r="I7186">
        <v>68.67</v>
      </c>
      <c r="J7186" s="50">
        <v>686.7</v>
      </c>
      <c r="K7186" t="s">
        <v>1618</v>
      </c>
      <c r="M7186" t="s">
        <v>1629</v>
      </c>
      <c r="N7186">
        <v>36.24</v>
      </c>
      <c r="O7186" s="49">
        <v>45280</v>
      </c>
      <c r="P7186" s="50">
        <v>309.01500000000004</v>
      </c>
    </row>
    <row r="7187" spans="4:16" x14ac:dyDescent="0.2">
      <c r="D7187">
        <v>100004274</v>
      </c>
      <c r="E7187" s="49">
        <v>45541</v>
      </c>
      <c r="F7187" t="s">
        <v>5658</v>
      </c>
      <c r="G7187" t="s">
        <v>2016</v>
      </c>
      <c r="H7187">
        <v>4</v>
      </c>
      <c r="I7187">
        <v>25.1</v>
      </c>
      <c r="J7187" s="50">
        <v>100.4</v>
      </c>
      <c r="K7187" t="s">
        <v>1618</v>
      </c>
      <c r="L7187" t="s">
        <v>4489</v>
      </c>
      <c r="M7187" t="s">
        <v>1621</v>
      </c>
      <c r="N7187">
        <v>13.25</v>
      </c>
      <c r="O7187" s="49">
        <v>45545</v>
      </c>
      <c r="P7187" s="50">
        <v>45.180000000000007</v>
      </c>
    </row>
    <row r="7188" spans="4:16" x14ac:dyDescent="0.2">
      <c r="D7188">
        <v>100004275</v>
      </c>
      <c r="E7188" s="49">
        <v>44552</v>
      </c>
      <c r="F7188" t="s">
        <v>5659</v>
      </c>
      <c r="G7188" t="s">
        <v>1792</v>
      </c>
      <c r="H7188">
        <v>4</v>
      </c>
      <c r="I7188">
        <v>15.16</v>
      </c>
      <c r="J7188" s="50">
        <v>60.64</v>
      </c>
      <c r="K7188" t="s">
        <v>1618</v>
      </c>
      <c r="L7188" t="s">
        <v>5660</v>
      </c>
      <c r="M7188" t="s">
        <v>1627</v>
      </c>
      <c r="N7188">
        <v>8</v>
      </c>
      <c r="O7188" s="49">
        <v>44557</v>
      </c>
      <c r="P7188" s="50">
        <v>27.288</v>
      </c>
    </row>
    <row r="7189" spans="4:16" x14ac:dyDescent="0.2">
      <c r="D7189">
        <v>100004276</v>
      </c>
      <c r="E7189" s="49">
        <v>45511</v>
      </c>
      <c r="F7189" t="s">
        <v>5661</v>
      </c>
      <c r="G7189" t="s">
        <v>1653</v>
      </c>
      <c r="H7189">
        <v>7</v>
      </c>
      <c r="I7189">
        <v>54.37</v>
      </c>
      <c r="J7189" s="50">
        <v>380.59</v>
      </c>
      <c r="K7189" t="s">
        <v>1618</v>
      </c>
      <c r="M7189" t="s">
        <v>1621</v>
      </c>
      <c r="N7189">
        <v>28.7</v>
      </c>
      <c r="O7189" s="49">
        <v>45513</v>
      </c>
      <c r="P7189" s="50">
        <v>171.2655</v>
      </c>
    </row>
    <row r="7190" spans="4:16" x14ac:dyDescent="0.2">
      <c r="D7190">
        <v>100004279</v>
      </c>
      <c r="E7190" s="49">
        <v>45252</v>
      </c>
      <c r="F7190" t="s">
        <v>5662</v>
      </c>
      <c r="G7190" t="s">
        <v>2390</v>
      </c>
      <c r="H7190">
        <v>5</v>
      </c>
      <c r="I7190">
        <v>63.98</v>
      </c>
      <c r="J7190" s="50">
        <v>319.89999999999998</v>
      </c>
      <c r="K7190" t="s">
        <v>1618</v>
      </c>
      <c r="M7190" t="s">
        <v>1624</v>
      </c>
      <c r="N7190">
        <v>33.770000000000003</v>
      </c>
      <c r="O7190" s="49">
        <v>45253</v>
      </c>
      <c r="P7190" s="50">
        <v>143.95499999999998</v>
      </c>
    </row>
    <row r="7191" spans="4:16" x14ac:dyDescent="0.2">
      <c r="D7191">
        <v>100004280</v>
      </c>
      <c r="E7191" s="49">
        <v>44930</v>
      </c>
      <c r="F7191" t="s">
        <v>5663</v>
      </c>
      <c r="G7191" t="s">
        <v>1937</v>
      </c>
      <c r="H7191">
        <v>2</v>
      </c>
      <c r="I7191">
        <v>10.67</v>
      </c>
      <c r="J7191" s="50">
        <v>21.34</v>
      </c>
      <c r="K7191" t="s">
        <v>1618</v>
      </c>
      <c r="M7191" t="s">
        <v>1621</v>
      </c>
      <c r="N7191">
        <v>5.63</v>
      </c>
      <c r="O7191" s="49">
        <v>44932</v>
      </c>
      <c r="P7191" s="50">
        <v>9.6029999999999998</v>
      </c>
    </row>
    <row r="7192" spans="4:16" x14ac:dyDescent="0.2">
      <c r="D7192">
        <v>100004280</v>
      </c>
      <c r="E7192" s="49">
        <v>44707</v>
      </c>
      <c r="F7192" t="s">
        <v>5663</v>
      </c>
      <c r="G7192" t="s">
        <v>1758</v>
      </c>
      <c r="H7192">
        <v>2</v>
      </c>
      <c r="I7192">
        <v>116.12</v>
      </c>
      <c r="J7192" s="50">
        <v>232.24</v>
      </c>
      <c r="K7192" t="s">
        <v>1618</v>
      </c>
      <c r="M7192" t="s">
        <v>1621</v>
      </c>
      <c r="N7192">
        <v>61.29</v>
      </c>
      <c r="O7192" s="49">
        <v>44711</v>
      </c>
      <c r="P7192" s="50">
        <v>104.50800000000001</v>
      </c>
    </row>
    <row r="7193" spans="4:16" x14ac:dyDescent="0.2">
      <c r="D7193">
        <v>100004280</v>
      </c>
      <c r="E7193" s="49">
        <v>45582</v>
      </c>
      <c r="F7193" t="s">
        <v>5663</v>
      </c>
      <c r="G7193" t="s">
        <v>1643</v>
      </c>
      <c r="H7193">
        <v>4</v>
      </c>
      <c r="I7193">
        <v>52.47</v>
      </c>
      <c r="J7193" s="50">
        <v>209.88</v>
      </c>
      <c r="K7193" t="s">
        <v>1618</v>
      </c>
      <c r="M7193" t="s">
        <v>1619</v>
      </c>
      <c r="N7193">
        <v>27.69</v>
      </c>
      <c r="O7193" s="49">
        <v>45584</v>
      </c>
      <c r="P7193" s="50">
        <v>94.445999999999998</v>
      </c>
    </row>
    <row r="7194" spans="4:16" x14ac:dyDescent="0.2">
      <c r="D7194">
        <v>100004280</v>
      </c>
      <c r="E7194" s="49">
        <v>44231</v>
      </c>
      <c r="F7194" t="s">
        <v>5663</v>
      </c>
      <c r="G7194" t="s">
        <v>1681</v>
      </c>
      <c r="H7194">
        <v>7</v>
      </c>
      <c r="I7194">
        <v>105.89</v>
      </c>
      <c r="J7194" s="50">
        <v>741.23</v>
      </c>
      <c r="K7194" t="s">
        <v>1618</v>
      </c>
      <c r="M7194" t="s">
        <v>1621</v>
      </c>
      <c r="N7194">
        <v>55.89</v>
      </c>
      <c r="O7194" s="49">
        <v>44236</v>
      </c>
      <c r="P7194" s="50">
        <v>333.55350000000004</v>
      </c>
    </row>
    <row r="7195" spans="4:16" x14ac:dyDescent="0.2">
      <c r="D7195">
        <v>100004280</v>
      </c>
      <c r="E7195" s="49">
        <v>44578</v>
      </c>
      <c r="F7195" t="s">
        <v>5663</v>
      </c>
      <c r="G7195" t="s">
        <v>2158</v>
      </c>
      <c r="H7195">
        <v>5</v>
      </c>
      <c r="I7195">
        <v>41.64</v>
      </c>
      <c r="J7195" s="50">
        <v>208.2</v>
      </c>
      <c r="K7195" t="s">
        <v>1618</v>
      </c>
      <c r="M7195" t="s">
        <v>1627</v>
      </c>
      <c r="N7195">
        <v>21.98</v>
      </c>
      <c r="O7195" s="49">
        <v>44582</v>
      </c>
      <c r="P7195" s="50">
        <v>93.69</v>
      </c>
    </row>
    <row r="7196" spans="4:16" x14ac:dyDescent="0.2">
      <c r="D7196">
        <v>100004280</v>
      </c>
      <c r="E7196" s="49">
        <v>45066</v>
      </c>
      <c r="F7196" t="s">
        <v>5663</v>
      </c>
      <c r="G7196" t="s">
        <v>1646</v>
      </c>
      <c r="H7196">
        <v>1</v>
      </c>
      <c r="I7196">
        <v>96.11</v>
      </c>
      <c r="J7196" s="50">
        <v>96.11</v>
      </c>
      <c r="K7196" t="s">
        <v>1618</v>
      </c>
      <c r="M7196" t="s">
        <v>1629</v>
      </c>
      <c r="N7196">
        <v>50.72</v>
      </c>
      <c r="O7196" s="49">
        <v>45071</v>
      </c>
      <c r="P7196" s="50">
        <v>43.249499999999998</v>
      </c>
    </row>
    <row r="7197" spans="4:16" x14ac:dyDescent="0.2">
      <c r="D7197">
        <v>100004280</v>
      </c>
      <c r="E7197" s="49">
        <v>45195</v>
      </c>
      <c r="F7197" t="s">
        <v>5663</v>
      </c>
      <c r="G7197" t="s">
        <v>2136</v>
      </c>
      <c r="H7197">
        <v>4</v>
      </c>
      <c r="I7197">
        <v>70.7</v>
      </c>
      <c r="J7197" s="50">
        <v>282.8</v>
      </c>
      <c r="K7197" t="s">
        <v>1618</v>
      </c>
      <c r="M7197" t="s">
        <v>1627</v>
      </c>
      <c r="N7197">
        <v>37.31</v>
      </c>
      <c r="O7197" s="49">
        <v>45200</v>
      </c>
      <c r="P7197" s="50">
        <v>127.26</v>
      </c>
    </row>
    <row r="7198" spans="4:16" x14ac:dyDescent="0.2">
      <c r="D7198">
        <v>100004280</v>
      </c>
      <c r="E7198" s="49">
        <v>45206</v>
      </c>
      <c r="F7198" t="s">
        <v>5663</v>
      </c>
      <c r="G7198" t="s">
        <v>1733</v>
      </c>
      <c r="H7198">
        <v>1</v>
      </c>
      <c r="I7198">
        <v>52.41</v>
      </c>
      <c r="J7198" s="50">
        <v>52.41</v>
      </c>
      <c r="K7198" t="s">
        <v>1618</v>
      </c>
      <c r="M7198" t="s">
        <v>1624</v>
      </c>
      <c r="N7198">
        <v>27.66</v>
      </c>
      <c r="O7198" s="49">
        <v>45207</v>
      </c>
      <c r="P7198" s="50">
        <v>23.584499999999998</v>
      </c>
    </row>
    <row r="7199" spans="4:16" x14ac:dyDescent="0.2">
      <c r="D7199">
        <v>100004281</v>
      </c>
      <c r="E7199" s="49">
        <v>44619</v>
      </c>
      <c r="F7199" t="s">
        <v>5664</v>
      </c>
      <c r="G7199" t="s">
        <v>1783</v>
      </c>
      <c r="H7199">
        <v>1</v>
      </c>
      <c r="I7199">
        <v>119.07</v>
      </c>
      <c r="J7199" s="50">
        <v>119.07</v>
      </c>
      <c r="K7199" t="s">
        <v>1632</v>
      </c>
      <c r="M7199" t="s">
        <v>1624</v>
      </c>
      <c r="N7199">
        <v>62.84</v>
      </c>
      <c r="O7199" s="49">
        <v>44624</v>
      </c>
      <c r="P7199" s="50">
        <v>53.581499999999998</v>
      </c>
    </row>
    <row r="7200" spans="4:16" x14ac:dyDescent="0.2">
      <c r="D7200">
        <v>100004282</v>
      </c>
      <c r="E7200" s="49">
        <v>44737</v>
      </c>
      <c r="F7200" t="s">
        <v>5665</v>
      </c>
      <c r="G7200" t="s">
        <v>1643</v>
      </c>
      <c r="H7200">
        <v>9</v>
      </c>
      <c r="I7200">
        <v>92.18</v>
      </c>
      <c r="J7200" s="50">
        <v>829.62000000000012</v>
      </c>
      <c r="K7200" t="s">
        <v>1632</v>
      </c>
      <c r="L7200" t="s">
        <v>5666</v>
      </c>
      <c r="M7200" t="s">
        <v>1629</v>
      </c>
      <c r="N7200">
        <v>48.65</v>
      </c>
      <c r="O7200" s="49">
        <v>44739</v>
      </c>
      <c r="P7200" s="50">
        <v>373.32900000000006</v>
      </c>
    </row>
    <row r="7201" spans="4:16" x14ac:dyDescent="0.2">
      <c r="D7201">
        <v>100004284</v>
      </c>
      <c r="E7201" s="49">
        <v>45433</v>
      </c>
      <c r="F7201" t="s">
        <v>5667</v>
      </c>
      <c r="G7201" t="s">
        <v>1663</v>
      </c>
      <c r="H7201">
        <v>4</v>
      </c>
      <c r="I7201">
        <v>16.28</v>
      </c>
      <c r="J7201" s="50">
        <v>65.12</v>
      </c>
      <c r="K7201" t="s">
        <v>1632</v>
      </c>
      <c r="M7201" t="s">
        <v>1624</v>
      </c>
      <c r="N7201">
        <v>8.59</v>
      </c>
      <c r="O7201" s="49">
        <v>45437</v>
      </c>
      <c r="P7201" s="50">
        <v>29.304000000000002</v>
      </c>
    </row>
    <row r="7202" spans="4:16" x14ac:dyDescent="0.2">
      <c r="D7202">
        <v>100004285</v>
      </c>
      <c r="E7202" s="49">
        <v>45247</v>
      </c>
      <c r="F7202" t="s">
        <v>5668</v>
      </c>
      <c r="G7202" t="s">
        <v>2613</v>
      </c>
      <c r="H7202">
        <v>10</v>
      </c>
      <c r="I7202">
        <v>105.14</v>
      </c>
      <c r="J7202" s="50">
        <v>1051.4000000000001</v>
      </c>
      <c r="K7202" t="s">
        <v>1618</v>
      </c>
      <c r="M7202" t="s">
        <v>1621</v>
      </c>
      <c r="N7202">
        <v>55.49</v>
      </c>
      <c r="O7202" s="49">
        <v>45251</v>
      </c>
      <c r="P7202" s="50">
        <v>473.13000000000005</v>
      </c>
    </row>
    <row r="7203" spans="4:16" x14ac:dyDescent="0.2">
      <c r="D7203">
        <v>100004287</v>
      </c>
      <c r="E7203" s="49">
        <v>44826</v>
      </c>
      <c r="F7203" t="s">
        <v>3940</v>
      </c>
      <c r="G7203" t="s">
        <v>2047</v>
      </c>
      <c r="H7203">
        <v>6</v>
      </c>
      <c r="I7203">
        <v>20.65</v>
      </c>
      <c r="J7203" s="50">
        <v>123.9</v>
      </c>
      <c r="K7203" t="s">
        <v>1618</v>
      </c>
      <c r="L7203" t="s">
        <v>2939</v>
      </c>
      <c r="M7203" t="s">
        <v>1619</v>
      </c>
      <c r="N7203">
        <v>10.9</v>
      </c>
      <c r="O7203" s="49">
        <v>44829</v>
      </c>
      <c r="P7203" s="50">
        <v>55.755000000000003</v>
      </c>
    </row>
    <row r="7204" spans="4:16" x14ac:dyDescent="0.2">
      <c r="D7204">
        <v>100004289</v>
      </c>
      <c r="E7204" s="49">
        <v>45263</v>
      </c>
      <c r="F7204" t="s">
        <v>5669</v>
      </c>
      <c r="G7204" t="s">
        <v>1775</v>
      </c>
      <c r="H7204">
        <v>5</v>
      </c>
      <c r="I7204">
        <v>115.55</v>
      </c>
      <c r="J7204" s="50">
        <v>577.75</v>
      </c>
      <c r="K7204" t="s">
        <v>1618</v>
      </c>
      <c r="M7204" t="s">
        <v>1621</v>
      </c>
      <c r="N7204">
        <v>60.98</v>
      </c>
      <c r="O7204" s="49">
        <v>45266</v>
      </c>
      <c r="P7204" s="50">
        <v>259.98750000000001</v>
      </c>
    </row>
    <row r="7205" spans="4:16" x14ac:dyDescent="0.2">
      <c r="D7205">
        <v>100004289</v>
      </c>
      <c r="E7205" s="49">
        <v>44622</v>
      </c>
      <c r="F7205" t="s">
        <v>5669</v>
      </c>
      <c r="G7205" t="s">
        <v>1901</v>
      </c>
      <c r="H7205">
        <v>5</v>
      </c>
      <c r="I7205">
        <v>12.79</v>
      </c>
      <c r="J7205" s="50">
        <v>63.95</v>
      </c>
      <c r="K7205" t="s">
        <v>1618</v>
      </c>
      <c r="M7205" t="s">
        <v>1619</v>
      </c>
      <c r="N7205">
        <v>6.75</v>
      </c>
      <c r="O7205" s="49">
        <v>44626</v>
      </c>
      <c r="P7205" s="50">
        <v>28.777500000000003</v>
      </c>
    </row>
    <row r="7206" spans="4:16" x14ac:dyDescent="0.2">
      <c r="D7206">
        <v>100004290</v>
      </c>
      <c r="E7206" s="49">
        <v>45530</v>
      </c>
      <c r="F7206" t="s">
        <v>5670</v>
      </c>
      <c r="G7206" t="s">
        <v>2574</v>
      </c>
      <c r="H7206">
        <v>1</v>
      </c>
      <c r="I7206">
        <v>21.07</v>
      </c>
      <c r="J7206" s="50">
        <v>21.07</v>
      </c>
      <c r="K7206" t="s">
        <v>1618</v>
      </c>
      <c r="M7206" t="s">
        <v>1627</v>
      </c>
      <c r="N7206">
        <v>11.12</v>
      </c>
      <c r="O7206" s="49">
        <v>45533</v>
      </c>
      <c r="P7206" s="50">
        <v>9.4815000000000005</v>
      </c>
    </row>
    <row r="7207" spans="4:16" x14ac:dyDescent="0.2">
      <c r="D7207">
        <v>100004290</v>
      </c>
      <c r="E7207" s="49">
        <v>45233</v>
      </c>
      <c r="F7207" t="s">
        <v>5670</v>
      </c>
      <c r="G7207" t="s">
        <v>2142</v>
      </c>
      <c r="H7207">
        <v>6</v>
      </c>
      <c r="I7207">
        <v>27.18</v>
      </c>
      <c r="J7207" s="50">
        <v>163.08000000000001</v>
      </c>
      <c r="K7207" t="s">
        <v>1618</v>
      </c>
      <c r="M7207" t="s">
        <v>1624</v>
      </c>
      <c r="N7207">
        <v>14.34</v>
      </c>
      <c r="O7207" s="49">
        <v>45236</v>
      </c>
      <c r="P7207" s="50">
        <v>73.38600000000001</v>
      </c>
    </row>
    <row r="7208" spans="4:16" x14ac:dyDescent="0.2">
      <c r="D7208">
        <v>100004290</v>
      </c>
      <c r="E7208" s="49">
        <v>45263</v>
      </c>
      <c r="F7208" t="s">
        <v>5670</v>
      </c>
      <c r="G7208" t="s">
        <v>2111</v>
      </c>
      <c r="H7208">
        <v>1</v>
      </c>
      <c r="I7208">
        <v>105.69</v>
      </c>
      <c r="J7208" s="50">
        <v>105.69</v>
      </c>
      <c r="K7208" t="s">
        <v>1618</v>
      </c>
      <c r="M7208" t="s">
        <v>1621</v>
      </c>
      <c r="N7208">
        <v>55.78</v>
      </c>
      <c r="O7208" s="49">
        <v>45266</v>
      </c>
      <c r="P7208" s="50">
        <v>47.560499999999998</v>
      </c>
    </row>
    <row r="7209" spans="4:16" x14ac:dyDescent="0.2">
      <c r="D7209">
        <v>100004290</v>
      </c>
      <c r="E7209" s="49">
        <v>45259</v>
      </c>
      <c r="F7209" t="s">
        <v>5670</v>
      </c>
      <c r="G7209" t="s">
        <v>1652</v>
      </c>
      <c r="H7209">
        <v>8</v>
      </c>
      <c r="I7209">
        <v>64.11</v>
      </c>
      <c r="J7209" s="50">
        <v>512.88</v>
      </c>
      <c r="K7209" t="s">
        <v>1618</v>
      </c>
      <c r="M7209" t="s">
        <v>1629</v>
      </c>
      <c r="N7209">
        <v>33.840000000000003</v>
      </c>
      <c r="O7209" s="49">
        <v>45260</v>
      </c>
      <c r="P7209" s="50">
        <v>230.79599999999999</v>
      </c>
    </row>
    <row r="7210" spans="4:16" x14ac:dyDescent="0.2">
      <c r="D7210">
        <v>100004290</v>
      </c>
      <c r="E7210" s="49">
        <v>44516</v>
      </c>
      <c r="F7210" t="s">
        <v>5670</v>
      </c>
      <c r="G7210" t="s">
        <v>2431</v>
      </c>
      <c r="H7210">
        <v>1</v>
      </c>
      <c r="I7210">
        <v>111.16</v>
      </c>
      <c r="J7210" s="50">
        <v>111.16</v>
      </c>
      <c r="K7210" t="s">
        <v>1618</v>
      </c>
      <c r="M7210" t="s">
        <v>1629</v>
      </c>
      <c r="N7210">
        <v>58.67</v>
      </c>
      <c r="O7210" s="49">
        <v>44517</v>
      </c>
      <c r="P7210" s="50">
        <v>50.021999999999998</v>
      </c>
    </row>
    <row r="7211" spans="4:16" x14ac:dyDescent="0.2">
      <c r="D7211">
        <v>100004291</v>
      </c>
      <c r="E7211" s="49">
        <v>45185</v>
      </c>
      <c r="F7211" t="s">
        <v>5671</v>
      </c>
      <c r="G7211" t="s">
        <v>1859</v>
      </c>
      <c r="H7211">
        <v>6</v>
      </c>
      <c r="I7211">
        <v>75.7</v>
      </c>
      <c r="J7211" s="50">
        <v>454.2</v>
      </c>
      <c r="K7211" t="s">
        <v>1632</v>
      </c>
      <c r="L7211" t="s">
        <v>2219</v>
      </c>
      <c r="M7211" t="s">
        <v>1621</v>
      </c>
      <c r="N7211">
        <v>39.950000000000003</v>
      </c>
      <c r="O7211" s="49">
        <v>45187</v>
      </c>
      <c r="P7211" s="50">
        <v>204.39</v>
      </c>
    </row>
    <row r="7212" spans="4:16" x14ac:dyDescent="0.2">
      <c r="D7212">
        <v>100004291</v>
      </c>
      <c r="E7212" s="49">
        <v>44587</v>
      </c>
      <c r="F7212" t="s">
        <v>5671</v>
      </c>
      <c r="G7212" t="s">
        <v>2145</v>
      </c>
      <c r="H7212">
        <v>8</v>
      </c>
      <c r="I7212">
        <v>116.63</v>
      </c>
      <c r="J7212" s="50">
        <v>933.04</v>
      </c>
      <c r="K7212" t="s">
        <v>1632</v>
      </c>
      <c r="L7212" t="s">
        <v>2219</v>
      </c>
      <c r="M7212" t="s">
        <v>1619</v>
      </c>
      <c r="N7212">
        <v>61.55</v>
      </c>
      <c r="O7212" s="49">
        <v>44591</v>
      </c>
      <c r="P7212" s="50">
        <v>419.86799999999999</v>
      </c>
    </row>
    <row r="7213" spans="4:16" x14ac:dyDescent="0.2">
      <c r="D7213">
        <v>100004292</v>
      </c>
      <c r="E7213" s="49">
        <v>44674</v>
      </c>
      <c r="F7213" t="s">
        <v>5672</v>
      </c>
      <c r="G7213" t="s">
        <v>2079</v>
      </c>
      <c r="H7213">
        <v>5</v>
      </c>
      <c r="I7213">
        <v>81.510000000000005</v>
      </c>
      <c r="J7213" s="50">
        <v>407.55</v>
      </c>
      <c r="K7213" t="s">
        <v>1618</v>
      </c>
      <c r="M7213" t="s">
        <v>1629</v>
      </c>
      <c r="N7213">
        <v>43.02</v>
      </c>
      <c r="O7213" s="49">
        <v>44676</v>
      </c>
      <c r="P7213" s="50">
        <v>183.39750000000001</v>
      </c>
    </row>
    <row r="7214" spans="4:16" x14ac:dyDescent="0.2">
      <c r="D7214">
        <v>100004292</v>
      </c>
      <c r="E7214" s="49">
        <v>45465</v>
      </c>
      <c r="F7214" t="s">
        <v>5672</v>
      </c>
      <c r="G7214" t="s">
        <v>1733</v>
      </c>
      <c r="H7214">
        <v>10</v>
      </c>
      <c r="I7214">
        <v>78.41</v>
      </c>
      <c r="J7214" s="50">
        <v>784.09999999999991</v>
      </c>
      <c r="K7214" t="s">
        <v>1618</v>
      </c>
      <c r="M7214" t="s">
        <v>1629</v>
      </c>
      <c r="N7214">
        <v>41.38</v>
      </c>
      <c r="O7214" s="49">
        <v>45466</v>
      </c>
      <c r="P7214" s="50">
        <v>352.84499999999997</v>
      </c>
    </row>
    <row r="7215" spans="4:16" x14ac:dyDescent="0.2">
      <c r="D7215">
        <v>100004292</v>
      </c>
      <c r="E7215" s="49">
        <v>44773</v>
      </c>
      <c r="F7215" t="s">
        <v>5672</v>
      </c>
      <c r="G7215" t="s">
        <v>2079</v>
      </c>
      <c r="H7215">
        <v>8</v>
      </c>
      <c r="I7215">
        <v>51.87</v>
      </c>
      <c r="J7215" s="50">
        <v>414.96</v>
      </c>
      <c r="K7215" t="s">
        <v>1618</v>
      </c>
      <c r="M7215" t="s">
        <v>1624</v>
      </c>
      <c r="N7215">
        <v>27.38</v>
      </c>
      <c r="O7215" s="49">
        <v>44776</v>
      </c>
      <c r="P7215" s="50">
        <v>186.732</v>
      </c>
    </row>
    <row r="7216" spans="4:16" x14ac:dyDescent="0.2">
      <c r="D7216">
        <v>100004292</v>
      </c>
      <c r="E7216" s="49">
        <v>44315</v>
      </c>
      <c r="F7216" t="s">
        <v>5672</v>
      </c>
      <c r="G7216" t="s">
        <v>2207</v>
      </c>
      <c r="H7216">
        <v>8</v>
      </c>
      <c r="I7216">
        <v>101.72</v>
      </c>
      <c r="J7216" s="50">
        <v>813.76</v>
      </c>
      <c r="K7216" t="s">
        <v>1618</v>
      </c>
      <c r="M7216" t="s">
        <v>1621</v>
      </c>
      <c r="N7216">
        <v>53.69</v>
      </c>
      <c r="O7216" s="49">
        <v>44318</v>
      </c>
      <c r="P7216" s="50">
        <v>366.19200000000001</v>
      </c>
    </row>
    <row r="7217" spans="4:16" x14ac:dyDescent="0.2">
      <c r="D7217">
        <v>100004293</v>
      </c>
      <c r="E7217" s="49">
        <v>45646</v>
      </c>
      <c r="F7217" t="s">
        <v>5673</v>
      </c>
      <c r="G7217" t="s">
        <v>1650</v>
      </c>
      <c r="H7217">
        <v>3</v>
      </c>
      <c r="I7217">
        <v>107.63</v>
      </c>
      <c r="J7217" s="50">
        <v>322.89</v>
      </c>
      <c r="K7217" t="s">
        <v>1618</v>
      </c>
      <c r="L7217" t="s">
        <v>5674</v>
      </c>
      <c r="M7217" t="s">
        <v>1621</v>
      </c>
      <c r="N7217">
        <v>56.8</v>
      </c>
      <c r="O7217" s="49">
        <v>45648</v>
      </c>
      <c r="P7217" s="50">
        <v>145.3005</v>
      </c>
    </row>
    <row r="7218" spans="4:16" x14ac:dyDescent="0.2">
      <c r="D7218">
        <v>100004294</v>
      </c>
      <c r="E7218" s="49">
        <v>44708</v>
      </c>
      <c r="F7218" t="s">
        <v>5675</v>
      </c>
      <c r="G7218" t="s">
        <v>1727</v>
      </c>
      <c r="H7218">
        <v>1</v>
      </c>
      <c r="I7218">
        <v>59.3</v>
      </c>
      <c r="J7218" s="50">
        <v>59.3</v>
      </c>
      <c r="K7218" t="s">
        <v>1618</v>
      </c>
      <c r="M7218" t="s">
        <v>1627</v>
      </c>
      <c r="N7218">
        <v>31.3</v>
      </c>
      <c r="O7218" s="49">
        <v>44710</v>
      </c>
      <c r="P7218" s="50">
        <v>26.684999999999999</v>
      </c>
    </row>
    <row r="7219" spans="4:16" x14ac:dyDescent="0.2">
      <c r="D7219">
        <v>100004295</v>
      </c>
      <c r="E7219" s="49">
        <v>45352</v>
      </c>
      <c r="F7219" t="s">
        <v>5676</v>
      </c>
      <c r="G7219" t="s">
        <v>2048</v>
      </c>
      <c r="H7219">
        <v>5</v>
      </c>
      <c r="I7219">
        <v>17.07</v>
      </c>
      <c r="J7219" s="50">
        <v>85.35</v>
      </c>
      <c r="K7219" t="s">
        <v>1618</v>
      </c>
      <c r="M7219" t="s">
        <v>1627</v>
      </c>
      <c r="N7219">
        <v>9.01</v>
      </c>
      <c r="O7219" s="49">
        <v>45353</v>
      </c>
      <c r="P7219" s="50">
        <v>38.407499999999999</v>
      </c>
    </row>
    <row r="7220" spans="4:16" x14ac:dyDescent="0.2">
      <c r="D7220">
        <v>100004295</v>
      </c>
      <c r="E7220" s="49">
        <v>45344</v>
      </c>
      <c r="F7220" t="s">
        <v>5676</v>
      </c>
      <c r="G7220" t="s">
        <v>1675</v>
      </c>
      <c r="H7220">
        <v>10</v>
      </c>
      <c r="I7220">
        <v>21.77</v>
      </c>
      <c r="J7220" s="50">
        <v>217.7</v>
      </c>
      <c r="K7220" t="s">
        <v>1618</v>
      </c>
      <c r="M7220" t="s">
        <v>1621</v>
      </c>
      <c r="N7220">
        <v>11.49</v>
      </c>
      <c r="O7220" s="49">
        <v>45346</v>
      </c>
      <c r="P7220" s="50">
        <v>97.965000000000003</v>
      </c>
    </row>
    <row r="7221" spans="4:16" x14ac:dyDescent="0.2">
      <c r="D7221">
        <v>100004295</v>
      </c>
      <c r="E7221" s="49">
        <v>44480</v>
      </c>
      <c r="F7221" t="s">
        <v>5676</v>
      </c>
      <c r="G7221" t="s">
        <v>1766</v>
      </c>
      <c r="H7221">
        <v>9</v>
      </c>
      <c r="I7221">
        <v>78.02</v>
      </c>
      <c r="J7221" s="50">
        <v>702.18</v>
      </c>
      <c r="K7221" t="s">
        <v>1618</v>
      </c>
      <c r="M7221" t="s">
        <v>1627</v>
      </c>
      <c r="N7221">
        <v>41.18</v>
      </c>
      <c r="O7221" s="49">
        <v>44482</v>
      </c>
      <c r="P7221" s="50">
        <v>315.98099999999999</v>
      </c>
    </row>
    <row r="7222" spans="4:16" x14ac:dyDescent="0.2">
      <c r="D7222">
        <v>100004296</v>
      </c>
      <c r="E7222" s="49">
        <v>45231</v>
      </c>
      <c r="F7222" t="s">
        <v>5677</v>
      </c>
      <c r="G7222" t="s">
        <v>2278</v>
      </c>
      <c r="H7222">
        <v>6</v>
      </c>
      <c r="I7222">
        <v>39.9</v>
      </c>
      <c r="J7222" s="50">
        <v>239.4</v>
      </c>
      <c r="K7222" t="s">
        <v>1618</v>
      </c>
      <c r="M7222" t="s">
        <v>1619</v>
      </c>
      <c r="N7222">
        <v>21.06</v>
      </c>
      <c r="O7222" s="49">
        <v>45234</v>
      </c>
      <c r="P7222" s="50">
        <v>107.73</v>
      </c>
    </row>
    <row r="7223" spans="4:16" x14ac:dyDescent="0.2">
      <c r="D7223">
        <v>100004299</v>
      </c>
      <c r="E7223" s="49">
        <v>45333</v>
      </c>
      <c r="F7223" t="s">
        <v>5678</v>
      </c>
      <c r="G7223" t="s">
        <v>1658</v>
      </c>
      <c r="H7223">
        <v>10</v>
      </c>
      <c r="I7223">
        <v>52.22</v>
      </c>
      <c r="J7223" s="50">
        <v>522.20000000000005</v>
      </c>
      <c r="K7223" t="s">
        <v>1618</v>
      </c>
      <c r="L7223" t="s">
        <v>4170</v>
      </c>
      <c r="M7223" t="s">
        <v>1629</v>
      </c>
      <c r="N7223">
        <v>27.56</v>
      </c>
      <c r="O7223" s="49">
        <v>45338</v>
      </c>
      <c r="P7223" s="50">
        <v>234.99000000000004</v>
      </c>
    </row>
    <row r="7224" spans="4:16" x14ac:dyDescent="0.2">
      <c r="D7224">
        <v>100004301</v>
      </c>
      <c r="E7224" s="49">
        <v>44353</v>
      </c>
      <c r="F7224" t="s">
        <v>5679</v>
      </c>
      <c r="G7224" t="s">
        <v>1902</v>
      </c>
      <c r="H7224">
        <v>8</v>
      </c>
      <c r="I7224">
        <v>66.430000000000007</v>
      </c>
      <c r="J7224" s="50">
        <v>531.44000000000005</v>
      </c>
      <c r="K7224" t="s">
        <v>1618</v>
      </c>
      <c r="L7224" t="s">
        <v>5490</v>
      </c>
      <c r="M7224" t="s">
        <v>1627</v>
      </c>
      <c r="N7224">
        <v>35.06</v>
      </c>
      <c r="O7224" s="49">
        <v>44356</v>
      </c>
      <c r="P7224" s="50">
        <v>239.14800000000002</v>
      </c>
    </row>
    <row r="7225" spans="4:16" x14ac:dyDescent="0.2">
      <c r="D7225">
        <v>100004301</v>
      </c>
      <c r="E7225" s="49">
        <v>45624</v>
      </c>
      <c r="F7225" t="s">
        <v>5679</v>
      </c>
      <c r="G7225" t="s">
        <v>1999</v>
      </c>
      <c r="H7225">
        <v>8</v>
      </c>
      <c r="I7225">
        <v>42.5</v>
      </c>
      <c r="J7225" s="50">
        <v>340</v>
      </c>
      <c r="K7225" t="s">
        <v>1618</v>
      </c>
      <c r="L7225" t="s">
        <v>5490</v>
      </c>
      <c r="M7225" t="s">
        <v>1624</v>
      </c>
      <c r="N7225">
        <v>22.43</v>
      </c>
      <c r="O7225" s="49">
        <v>45629</v>
      </c>
      <c r="P7225" s="50">
        <v>153</v>
      </c>
    </row>
    <row r="7226" spans="4:16" x14ac:dyDescent="0.2">
      <c r="D7226">
        <v>100004301</v>
      </c>
      <c r="E7226" s="49">
        <v>45484</v>
      </c>
      <c r="F7226" t="s">
        <v>5679</v>
      </c>
      <c r="G7226" t="s">
        <v>2174</v>
      </c>
      <c r="H7226">
        <v>2</v>
      </c>
      <c r="I7226">
        <v>94.57</v>
      </c>
      <c r="J7226" s="50">
        <v>189.14</v>
      </c>
      <c r="K7226" t="s">
        <v>1618</v>
      </c>
      <c r="L7226" t="s">
        <v>5490</v>
      </c>
      <c r="M7226" t="s">
        <v>1629</v>
      </c>
      <c r="N7226">
        <v>49.91</v>
      </c>
      <c r="O7226" s="49">
        <v>45485</v>
      </c>
      <c r="P7226" s="50">
        <v>85.113</v>
      </c>
    </row>
    <row r="7227" spans="4:16" x14ac:dyDescent="0.2">
      <c r="D7227">
        <v>100004302</v>
      </c>
      <c r="E7227" s="49">
        <v>45513</v>
      </c>
      <c r="F7227" t="s">
        <v>5680</v>
      </c>
      <c r="G7227" t="s">
        <v>2125</v>
      </c>
      <c r="H7227">
        <v>10</v>
      </c>
      <c r="I7227">
        <v>119.48</v>
      </c>
      <c r="J7227" s="50">
        <v>1194.8</v>
      </c>
      <c r="K7227" t="s">
        <v>1618</v>
      </c>
      <c r="M7227" t="s">
        <v>1624</v>
      </c>
      <c r="N7227">
        <v>63.06</v>
      </c>
      <c r="O7227" s="49">
        <v>45516</v>
      </c>
      <c r="P7227" s="50">
        <v>537.66</v>
      </c>
    </row>
    <row r="7228" spans="4:16" x14ac:dyDescent="0.2">
      <c r="D7228">
        <v>100004303</v>
      </c>
      <c r="E7228" s="49">
        <v>44977</v>
      </c>
      <c r="F7228" t="s">
        <v>5681</v>
      </c>
      <c r="G7228" t="s">
        <v>2132</v>
      </c>
      <c r="H7228">
        <v>9</v>
      </c>
      <c r="I7228">
        <v>100.19</v>
      </c>
      <c r="J7228" s="50">
        <v>901.71</v>
      </c>
      <c r="K7228" t="s">
        <v>1618</v>
      </c>
      <c r="M7228" t="s">
        <v>1621</v>
      </c>
      <c r="N7228">
        <v>52.88</v>
      </c>
      <c r="O7228" s="49">
        <v>44981</v>
      </c>
      <c r="P7228" s="50">
        <v>405.76950000000005</v>
      </c>
    </row>
    <row r="7229" spans="4:16" x14ac:dyDescent="0.2">
      <c r="D7229">
        <v>100004303</v>
      </c>
      <c r="E7229" s="49">
        <v>45369</v>
      </c>
      <c r="F7229" t="s">
        <v>5681</v>
      </c>
      <c r="G7229" t="s">
        <v>2305</v>
      </c>
      <c r="H7229">
        <v>1</v>
      </c>
      <c r="I7229">
        <v>83.53</v>
      </c>
      <c r="J7229" s="50">
        <v>83.53</v>
      </c>
      <c r="K7229" t="s">
        <v>1618</v>
      </c>
      <c r="M7229" t="s">
        <v>1619</v>
      </c>
      <c r="N7229">
        <v>44.08</v>
      </c>
      <c r="O7229" s="49">
        <v>45374</v>
      </c>
      <c r="P7229" s="50">
        <v>37.588500000000003</v>
      </c>
    </row>
    <row r="7230" spans="4:16" x14ac:dyDescent="0.2">
      <c r="D7230">
        <v>100004305</v>
      </c>
      <c r="E7230" s="49">
        <v>44474</v>
      </c>
      <c r="F7230" t="s">
        <v>5682</v>
      </c>
      <c r="G7230" t="s">
        <v>2202</v>
      </c>
      <c r="H7230">
        <v>2</v>
      </c>
      <c r="I7230">
        <v>76.84</v>
      </c>
      <c r="J7230" s="50">
        <v>153.68</v>
      </c>
      <c r="K7230" t="s">
        <v>1618</v>
      </c>
      <c r="L7230" t="s">
        <v>5629</v>
      </c>
      <c r="M7230" t="s">
        <v>1629</v>
      </c>
      <c r="N7230">
        <v>40.549999999999997</v>
      </c>
      <c r="O7230" s="49">
        <v>44477</v>
      </c>
      <c r="P7230" s="50">
        <v>69.156000000000006</v>
      </c>
    </row>
    <row r="7231" spans="4:16" x14ac:dyDescent="0.2">
      <c r="D7231">
        <v>100004306</v>
      </c>
      <c r="E7231" s="49">
        <v>45126</v>
      </c>
      <c r="F7231" t="s">
        <v>5683</v>
      </c>
      <c r="G7231" t="s">
        <v>2261</v>
      </c>
      <c r="H7231">
        <v>3</v>
      </c>
      <c r="I7231">
        <v>90.77</v>
      </c>
      <c r="J7231" s="50">
        <v>272.31</v>
      </c>
      <c r="K7231" t="s">
        <v>1618</v>
      </c>
      <c r="M7231" t="s">
        <v>1629</v>
      </c>
      <c r="N7231">
        <v>47.91</v>
      </c>
      <c r="O7231" s="49">
        <v>45131</v>
      </c>
      <c r="P7231" s="50">
        <v>122.5395</v>
      </c>
    </row>
    <row r="7232" spans="4:16" x14ac:dyDescent="0.2">
      <c r="D7232">
        <v>100004309</v>
      </c>
      <c r="E7232" s="49">
        <v>45127</v>
      </c>
      <c r="F7232" t="s">
        <v>5684</v>
      </c>
      <c r="G7232" t="s">
        <v>2063</v>
      </c>
      <c r="H7232">
        <v>9</v>
      </c>
      <c r="I7232">
        <v>85.61</v>
      </c>
      <c r="J7232" s="50">
        <v>770.49</v>
      </c>
      <c r="K7232" t="s">
        <v>1632</v>
      </c>
      <c r="M7232" t="s">
        <v>1629</v>
      </c>
      <c r="N7232">
        <v>45.18</v>
      </c>
      <c r="O7232" s="49">
        <v>45131</v>
      </c>
      <c r="P7232" s="50">
        <v>346.72050000000002</v>
      </c>
    </row>
    <row r="7233" spans="4:16" x14ac:dyDescent="0.2">
      <c r="D7233">
        <v>100004310</v>
      </c>
      <c r="E7233" s="49">
        <v>44970</v>
      </c>
      <c r="F7233" t="s">
        <v>5685</v>
      </c>
      <c r="G7233" t="s">
        <v>2337</v>
      </c>
      <c r="H7233">
        <v>6</v>
      </c>
      <c r="I7233">
        <v>95.99</v>
      </c>
      <c r="J7233" s="50">
        <v>575.93999999999994</v>
      </c>
      <c r="K7233" t="s">
        <v>1632</v>
      </c>
      <c r="M7233" t="s">
        <v>1621</v>
      </c>
      <c r="N7233">
        <v>50.66</v>
      </c>
      <c r="O7233" s="49">
        <v>44974</v>
      </c>
      <c r="P7233" s="50">
        <v>259.173</v>
      </c>
    </row>
    <row r="7234" spans="4:16" x14ac:dyDescent="0.2">
      <c r="D7234">
        <v>100004312</v>
      </c>
      <c r="E7234" s="49">
        <v>44576</v>
      </c>
      <c r="F7234" t="s">
        <v>5686</v>
      </c>
      <c r="G7234" t="s">
        <v>2420</v>
      </c>
      <c r="H7234">
        <v>10</v>
      </c>
      <c r="I7234">
        <v>39.83</v>
      </c>
      <c r="J7234" s="50">
        <v>398.3</v>
      </c>
      <c r="K7234" t="s">
        <v>1632</v>
      </c>
      <c r="M7234" t="s">
        <v>1629</v>
      </c>
      <c r="N7234">
        <v>21.02</v>
      </c>
      <c r="O7234" s="49">
        <v>44577</v>
      </c>
      <c r="P7234" s="50">
        <v>179.23500000000001</v>
      </c>
    </row>
    <row r="7235" spans="4:16" x14ac:dyDescent="0.2">
      <c r="D7235">
        <v>100004312</v>
      </c>
      <c r="E7235" s="49">
        <v>44402</v>
      </c>
      <c r="F7235" t="s">
        <v>5686</v>
      </c>
      <c r="G7235" t="s">
        <v>2168</v>
      </c>
      <c r="H7235">
        <v>2</v>
      </c>
      <c r="I7235">
        <v>57.84</v>
      </c>
      <c r="J7235" s="50">
        <v>115.68</v>
      </c>
      <c r="K7235" t="s">
        <v>1632</v>
      </c>
      <c r="M7235" t="s">
        <v>1624</v>
      </c>
      <c r="N7235">
        <v>30.53</v>
      </c>
      <c r="O7235" s="49">
        <v>44403</v>
      </c>
      <c r="P7235" s="50">
        <v>52.056000000000004</v>
      </c>
    </row>
    <row r="7236" spans="4:16" x14ac:dyDescent="0.2">
      <c r="D7236">
        <v>100004312</v>
      </c>
      <c r="E7236" s="49">
        <v>45191</v>
      </c>
      <c r="F7236" t="s">
        <v>5686</v>
      </c>
      <c r="G7236" t="s">
        <v>2733</v>
      </c>
      <c r="H7236">
        <v>1</v>
      </c>
      <c r="I7236">
        <v>75.400000000000006</v>
      </c>
      <c r="J7236" s="50">
        <v>75.400000000000006</v>
      </c>
      <c r="K7236" t="s">
        <v>1632</v>
      </c>
      <c r="M7236" t="s">
        <v>1624</v>
      </c>
      <c r="N7236">
        <v>39.79</v>
      </c>
      <c r="O7236" s="49">
        <v>45192</v>
      </c>
      <c r="P7236" s="50">
        <v>33.930000000000007</v>
      </c>
    </row>
    <row r="7237" spans="4:16" x14ac:dyDescent="0.2">
      <c r="D7237">
        <v>100004313</v>
      </c>
      <c r="E7237" s="49">
        <v>44561</v>
      </c>
      <c r="F7237" t="s">
        <v>5687</v>
      </c>
      <c r="G7237" t="s">
        <v>1802</v>
      </c>
      <c r="H7237">
        <v>3</v>
      </c>
      <c r="I7237">
        <v>86.93</v>
      </c>
      <c r="J7237" s="50">
        <v>260.79000000000002</v>
      </c>
      <c r="K7237" t="s">
        <v>1618</v>
      </c>
      <c r="L7237" t="s">
        <v>5383</v>
      </c>
      <c r="M7237" t="s">
        <v>1627</v>
      </c>
      <c r="N7237">
        <v>45.88</v>
      </c>
      <c r="O7237" s="49">
        <v>44562</v>
      </c>
      <c r="P7237" s="50">
        <v>117.35550000000001</v>
      </c>
    </row>
    <row r="7238" spans="4:16" x14ac:dyDescent="0.2">
      <c r="D7238">
        <v>100004313</v>
      </c>
      <c r="E7238" s="49">
        <v>45590</v>
      </c>
      <c r="F7238" t="s">
        <v>5687</v>
      </c>
      <c r="G7238" t="s">
        <v>2041</v>
      </c>
      <c r="H7238">
        <v>5</v>
      </c>
      <c r="I7238">
        <v>37.01</v>
      </c>
      <c r="J7238" s="50">
        <v>185.05</v>
      </c>
      <c r="K7238" t="s">
        <v>1618</v>
      </c>
      <c r="L7238" t="s">
        <v>5383</v>
      </c>
      <c r="M7238" t="s">
        <v>1624</v>
      </c>
      <c r="N7238">
        <v>19.53</v>
      </c>
      <c r="O7238" s="49">
        <v>45595</v>
      </c>
      <c r="P7238" s="50">
        <v>83.272500000000008</v>
      </c>
    </row>
    <row r="7239" spans="4:16" x14ac:dyDescent="0.2">
      <c r="D7239">
        <v>100004314</v>
      </c>
      <c r="E7239" s="49">
        <v>44363</v>
      </c>
      <c r="F7239" t="s">
        <v>5688</v>
      </c>
      <c r="G7239" t="s">
        <v>2064</v>
      </c>
      <c r="H7239">
        <v>3</v>
      </c>
      <c r="I7239">
        <v>14.53</v>
      </c>
      <c r="J7239" s="50">
        <v>43.59</v>
      </c>
      <c r="K7239" t="s">
        <v>1632</v>
      </c>
      <c r="M7239" t="s">
        <v>1621</v>
      </c>
      <c r="N7239">
        <v>7.67</v>
      </c>
      <c r="O7239" s="49">
        <v>44366</v>
      </c>
      <c r="P7239" s="50">
        <v>19.615500000000001</v>
      </c>
    </row>
    <row r="7240" spans="4:16" x14ac:dyDescent="0.2">
      <c r="D7240">
        <v>100004314</v>
      </c>
      <c r="E7240" s="49">
        <v>45026</v>
      </c>
      <c r="F7240" t="s">
        <v>5688</v>
      </c>
      <c r="G7240" t="s">
        <v>1828</v>
      </c>
      <c r="H7240">
        <v>3</v>
      </c>
      <c r="I7240">
        <v>95.16</v>
      </c>
      <c r="J7240" s="50">
        <v>285.48</v>
      </c>
      <c r="K7240" t="s">
        <v>1632</v>
      </c>
      <c r="M7240" t="s">
        <v>1624</v>
      </c>
      <c r="N7240">
        <v>50.22</v>
      </c>
      <c r="O7240" s="49">
        <v>45027</v>
      </c>
      <c r="P7240" s="50">
        <v>128.46600000000001</v>
      </c>
    </row>
    <row r="7241" spans="4:16" x14ac:dyDescent="0.2">
      <c r="D7241">
        <v>100004315</v>
      </c>
      <c r="E7241" s="49">
        <v>44904</v>
      </c>
      <c r="F7241" t="s">
        <v>5689</v>
      </c>
      <c r="G7241" t="s">
        <v>2101</v>
      </c>
      <c r="H7241">
        <v>3</v>
      </c>
      <c r="I7241">
        <v>58.15</v>
      </c>
      <c r="J7241" s="50">
        <v>174.45</v>
      </c>
      <c r="K7241" t="s">
        <v>1632</v>
      </c>
      <c r="M7241" t="s">
        <v>1629</v>
      </c>
      <c r="N7241">
        <v>30.69</v>
      </c>
      <c r="O7241" s="49">
        <v>44907</v>
      </c>
      <c r="P7241" s="50">
        <v>78.502499999999998</v>
      </c>
    </row>
    <row r="7242" spans="4:16" x14ac:dyDescent="0.2">
      <c r="D7242">
        <v>100004316</v>
      </c>
      <c r="E7242" s="49">
        <v>45366</v>
      </c>
      <c r="F7242" t="s">
        <v>5690</v>
      </c>
      <c r="G7242" t="s">
        <v>1643</v>
      </c>
      <c r="H7242">
        <v>8</v>
      </c>
      <c r="I7242">
        <v>56.15</v>
      </c>
      <c r="J7242" s="50">
        <v>449.2</v>
      </c>
      <c r="K7242" t="s">
        <v>1632</v>
      </c>
      <c r="L7242" t="s">
        <v>3800</v>
      </c>
      <c r="M7242" t="s">
        <v>1624</v>
      </c>
      <c r="N7242">
        <v>29.63</v>
      </c>
      <c r="O7242" s="49">
        <v>45370</v>
      </c>
      <c r="P7242" s="50">
        <v>202.14</v>
      </c>
    </row>
    <row r="7243" spans="4:16" x14ac:dyDescent="0.2">
      <c r="D7243">
        <v>100004317</v>
      </c>
      <c r="E7243" s="49">
        <v>44535</v>
      </c>
      <c r="F7243" t="s">
        <v>5691</v>
      </c>
      <c r="G7243" t="s">
        <v>1720</v>
      </c>
      <c r="H7243">
        <v>3</v>
      </c>
      <c r="I7243">
        <v>96.79</v>
      </c>
      <c r="J7243" s="50">
        <v>290.37</v>
      </c>
      <c r="K7243" t="s">
        <v>1618</v>
      </c>
      <c r="L7243" t="s">
        <v>5692</v>
      </c>
      <c r="M7243" t="s">
        <v>1624</v>
      </c>
      <c r="N7243">
        <v>51.08</v>
      </c>
      <c r="O7243" s="49">
        <v>44537</v>
      </c>
      <c r="P7243" s="50">
        <v>130.66650000000001</v>
      </c>
    </row>
    <row r="7244" spans="4:16" x14ac:dyDescent="0.2">
      <c r="D7244">
        <v>100004317</v>
      </c>
      <c r="E7244" s="49">
        <v>44405</v>
      </c>
      <c r="F7244" t="s">
        <v>5691</v>
      </c>
      <c r="G7244" t="s">
        <v>2060</v>
      </c>
      <c r="H7244">
        <v>2</v>
      </c>
      <c r="I7244">
        <v>115.65</v>
      </c>
      <c r="J7244" s="50">
        <v>231.3</v>
      </c>
      <c r="K7244" t="s">
        <v>1618</v>
      </c>
      <c r="L7244" t="s">
        <v>5692</v>
      </c>
      <c r="M7244" t="s">
        <v>1621</v>
      </c>
      <c r="N7244">
        <v>61.04</v>
      </c>
      <c r="O7244" s="49">
        <v>44406</v>
      </c>
      <c r="P7244" s="50">
        <v>104.08500000000001</v>
      </c>
    </row>
    <row r="7245" spans="4:16" x14ac:dyDescent="0.2">
      <c r="D7245">
        <v>100004318</v>
      </c>
      <c r="E7245" s="49">
        <v>44487</v>
      </c>
      <c r="F7245" t="s">
        <v>5693</v>
      </c>
      <c r="G7245" t="s">
        <v>2480</v>
      </c>
      <c r="H7245">
        <v>10</v>
      </c>
      <c r="I7245">
        <v>49.12</v>
      </c>
      <c r="J7245" s="50">
        <v>491.2</v>
      </c>
      <c r="K7245" t="s">
        <v>1632</v>
      </c>
      <c r="M7245" t="s">
        <v>1619</v>
      </c>
      <c r="N7245">
        <v>25.92</v>
      </c>
      <c r="O7245" s="49">
        <v>44489</v>
      </c>
      <c r="P7245" s="50">
        <v>221.04</v>
      </c>
    </row>
    <row r="7246" spans="4:16" x14ac:dyDescent="0.2">
      <c r="D7246">
        <v>100004318</v>
      </c>
      <c r="E7246" s="49">
        <v>44493</v>
      </c>
      <c r="F7246" t="s">
        <v>5693</v>
      </c>
      <c r="G7246" t="s">
        <v>1830</v>
      </c>
      <c r="H7246">
        <v>6</v>
      </c>
      <c r="I7246">
        <v>34.33</v>
      </c>
      <c r="J7246" s="50">
        <v>205.98</v>
      </c>
      <c r="K7246" t="s">
        <v>1632</v>
      </c>
      <c r="M7246" t="s">
        <v>1621</v>
      </c>
      <c r="N7246">
        <v>18.12</v>
      </c>
      <c r="O7246" s="49">
        <v>44495</v>
      </c>
      <c r="P7246" s="50">
        <v>92.691000000000003</v>
      </c>
    </row>
    <row r="7247" spans="4:16" x14ac:dyDescent="0.2">
      <c r="D7247">
        <v>100004318</v>
      </c>
      <c r="E7247" s="49">
        <v>44469</v>
      </c>
      <c r="F7247" t="s">
        <v>5693</v>
      </c>
      <c r="G7247" t="s">
        <v>2007</v>
      </c>
      <c r="H7247">
        <v>3</v>
      </c>
      <c r="I7247">
        <v>29.09</v>
      </c>
      <c r="J7247" s="50">
        <v>87.27</v>
      </c>
      <c r="K7247" t="s">
        <v>1632</v>
      </c>
      <c r="M7247" t="s">
        <v>1627</v>
      </c>
      <c r="N7247">
        <v>15.35</v>
      </c>
      <c r="O7247" s="49">
        <v>44470</v>
      </c>
      <c r="P7247" s="50">
        <v>39.271499999999996</v>
      </c>
    </row>
    <row r="7248" spans="4:16" x14ac:dyDescent="0.2">
      <c r="D7248">
        <v>100004319</v>
      </c>
      <c r="E7248" s="49">
        <v>45562</v>
      </c>
      <c r="F7248" t="s">
        <v>5694</v>
      </c>
      <c r="G7248" t="s">
        <v>1880</v>
      </c>
      <c r="H7248">
        <v>10</v>
      </c>
      <c r="I7248">
        <v>22.28</v>
      </c>
      <c r="J7248" s="50">
        <v>222.8</v>
      </c>
      <c r="K7248" t="s">
        <v>1632</v>
      </c>
      <c r="M7248" t="s">
        <v>1619</v>
      </c>
      <c r="N7248">
        <v>11.76</v>
      </c>
      <c r="O7248" s="49">
        <v>45564</v>
      </c>
      <c r="P7248" s="50">
        <v>100.26</v>
      </c>
    </row>
    <row r="7249" spans="4:16" x14ac:dyDescent="0.2">
      <c r="D7249">
        <v>100004319</v>
      </c>
      <c r="E7249" s="49">
        <v>44416</v>
      </c>
      <c r="F7249" t="s">
        <v>5694</v>
      </c>
      <c r="G7249" t="s">
        <v>1817</v>
      </c>
      <c r="H7249">
        <v>1</v>
      </c>
      <c r="I7249">
        <v>38.909999999999997</v>
      </c>
      <c r="J7249" s="50">
        <v>38.909999999999997</v>
      </c>
      <c r="K7249" t="s">
        <v>1632</v>
      </c>
      <c r="M7249" t="s">
        <v>1621</v>
      </c>
      <c r="N7249">
        <v>20.54</v>
      </c>
      <c r="O7249" s="49">
        <v>44417</v>
      </c>
      <c r="P7249" s="50">
        <v>17.509499999999999</v>
      </c>
    </row>
    <row r="7250" spans="4:16" x14ac:dyDescent="0.2">
      <c r="D7250">
        <v>100004320</v>
      </c>
      <c r="E7250" s="49">
        <v>44749</v>
      </c>
      <c r="F7250" t="s">
        <v>5695</v>
      </c>
      <c r="G7250" t="s">
        <v>1782</v>
      </c>
      <c r="H7250">
        <v>3</v>
      </c>
      <c r="I7250">
        <v>44.98</v>
      </c>
      <c r="J7250" s="50">
        <v>134.94</v>
      </c>
      <c r="K7250" t="s">
        <v>1618</v>
      </c>
      <c r="L7250" t="s">
        <v>3956</v>
      </c>
      <c r="M7250" t="s">
        <v>1619</v>
      </c>
      <c r="N7250">
        <v>23.74</v>
      </c>
      <c r="O7250" s="49">
        <v>44751</v>
      </c>
      <c r="P7250" s="50">
        <v>60.722999999999999</v>
      </c>
    </row>
    <row r="7251" spans="4:16" x14ac:dyDescent="0.2">
      <c r="D7251">
        <v>100004320</v>
      </c>
      <c r="E7251" s="49">
        <v>45446</v>
      </c>
      <c r="F7251" t="s">
        <v>5695</v>
      </c>
      <c r="G7251" t="s">
        <v>1901</v>
      </c>
      <c r="H7251">
        <v>2</v>
      </c>
      <c r="I7251">
        <v>12.54</v>
      </c>
      <c r="J7251" s="50">
        <v>25.08</v>
      </c>
      <c r="K7251" t="s">
        <v>1618</v>
      </c>
      <c r="L7251" t="s">
        <v>3956</v>
      </c>
      <c r="M7251" t="s">
        <v>1621</v>
      </c>
      <c r="N7251">
        <v>6.62</v>
      </c>
      <c r="O7251" s="49">
        <v>45449</v>
      </c>
      <c r="P7251" s="50">
        <v>11.286</v>
      </c>
    </row>
    <row r="7252" spans="4:16" x14ac:dyDescent="0.2">
      <c r="D7252">
        <v>100004320</v>
      </c>
      <c r="E7252" s="49">
        <v>45554</v>
      </c>
      <c r="F7252" t="s">
        <v>5695</v>
      </c>
      <c r="G7252" t="s">
        <v>1827</v>
      </c>
      <c r="H7252">
        <v>3</v>
      </c>
      <c r="I7252">
        <v>74.62</v>
      </c>
      <c r="J7252" s="50">
        <v>223.86</v>
      </c>
      <c r="K7252" t="s">
        <v>1618</v>
      </c>
      <c r="L7252" t="s">
        <v>3956</v>
      </c>
      <c r="M7252" t="s">
        <v>1624</v>
      </c>
      <c r="N7252">
        <v>39.380000000000003</v>
      </c>
      <c r="O7252" s="49">
        <v>45556</v>
      </c>
      <c r="P7252" s="50">
        <v>100.73700000000001</v>
      </c>
    </row>
    <row r="7253" spans="4:16" x14ac:dyDescent="0.2">
      <c r="D7253">
        <v>100004321</v>
      </c>
      <c r="E7253" s="49">
        <v>44576</v>
      </c>
      <c r="F7253" t="s">
        <v>4602</v>
      </c>
      <c r="G7253" t="s">
        <v>2291</v>
      </c>
      <c r="H7253">
        <v>1</v>
      </c>
      <c r="I7253">
        <v>74.28</v>
      </c>
      <c r="J7253" s="50">
        <v>74.28</v>
      </c>
      <c r="K7253" t="s">
        <v>1618</v>
      </c>
      <c r="L7253" t="s">
        <v>3571</v>
      </c>
      <c r="M7253" t="s">
        <v>1621</v>
      </c>
      <c r="N7253">
        <v>39.200000000000003</v>
      </c>
      <c r="O7253" s="49">
        <v>44581</v>
      </c>
      <c r="P7253" s="50">
        <v>33.426000000000002</v>
      </c>
    </row>
    <row r="7254" spans="4:16" x14ac:dyDescent="0.2">
      <c r="D7254">
        <v>100004321</v>
      </c>
      <c r="E7254" s="49">
        <v>44590</v>
      </c>
      <c r="F7254" t="s">
        <v>4602</v>
      </c>
      <c r="G7254" t="s">
        <v>1958</v>
      </c>
      <c r="H7254">
        <v>4</v>
      </c>
      <c r="I7254">
        <v>69.739999999999995</v>
      </c>
      <c r="J7254" s="50">
        <v>278.95999999999998</v>
      </c>
      <c r="K7254" t="s">
        <v>1618</v>
      </c>
      <c r="L7254" t="s">
        <v>3571</v>
      </c>
      <c r="M7254" t="s">
        <v>1627</v>
      </c>
      <c r="N7254">
        <v>36.81</v>
      </c>
      <c r="O7254" s="49">
        <v>44592</v>
      </c>
      <c r="P7254" s="50">
        <v>125.532</v>
      </c>
    </row>
    <row r="7255" spans="4:16" x14ac:dyDescent="0.2">
      <c r="D7255">
        <v>100004322</v>
      </c>
      <c r="E7255" s="49">
        <v>44597</v>
      </c>
      <c r="F7255" t="s">
        <v>5696</v>
      </c>
      <c r="G7255" t="s">
        <v>2484</v>
      </c>
      <c r="H7255">
        <v>4</v>
      </c>
      <c r="I7255">
        <v>102.77</v>
      </c>
      <c r="J7255" s="50">
        <v>411.08</v>
      </c>
      <c r="K7255" t="s">
        <v>1632</v>
      </c>
      <c r="M7255" t="s">
        <v>1629</v>
      </c>
      <c r="N7255">
        <v>54.24</v>
      </c>
      <c r="O7255" s="49">
        <v>44602</v>
      </c>
      <c r="P7255" s="50">
        <v>184.98599999999999</v>
      </c>
    </row>
    <row r="7256" spans="4:16" x14ac:dyDescent="0.2">
      <c r="D7256">
        <v>100004323</v>
      </c>
      <c r="E7256" s="49">
        <v>45053</v>
      </c>
      <c r="F7256" t="s">
        <v>5697</v>
      </c>
      <c r="G7256" t="s">
        <v>2323</v>
      </c>
      <c r="H7256">
        <v>7</v>
      </c>
      <c r="I7256">
        <v>101.32</v>
      </c>
      <c r="J7256" s="50">
        <v>709.24</v>
      </c>
      <c r="K7256" t="s">
        <v>1632</v>
      </c>
      <c r="M7256" t="s">
        <v>1629</v>
      </c>
      <c r="N7256">
        <v>53.47</v>
      </c>
      <c r="O7256" s="49">
        <v>45054</v>
      </c>
      <c r="P7256" s="50">
        <v>319.15800000000002</v>
      </c>
    </row>
    <row r="7257" spans="4:16" x14ac:dyDescent="0.2">
      <c r="D7257">
        <v>100004323</v>
      </c>
      <c r="E7257" s="49">
        <v>45040</v>
      </c>
      <c r="F7257" t="s">
        <v>5697</v>
      </c>
      <c r="G7257" t="s">
        <v>1775</v>
      </c>
      <c r="H7257">
        <v>4</v>
      </c>
      <c r="I7257">
        <v>110.64</v>
      </c>
      <c r="J7257" s="50">
        <v>442.56</v>
      </c>
      <c r="K7257" t="s">
        <v>1632</v>
      </c>
      <c r="M7257" t="s">
        <v>1624</v>
      </c>
      <c r="N7257">
        <v>58.39</v>
      </c>
      <c r="O7257" s="49">
        <v>45045</v>
      </c>
      <c r="P7257" s="50">
        <v>199.15200000000002</v>
      </c>
    </row>
    <row r="7258" spans="4:16" x14ac:dyDescent="0.2">
      <c r="D7258">
        <v>100004323</v>
      </c>
      <c r="E7258" s="49">
        <v>44295</v>
      </c>
      <c r="F7258" t="s">
        <v>5697</v>
      </c>
      <c r="G7258" t="s">
        <v>2263</v>
      </c>
      <c r="H7258">
        <v>1</v>
      </c>
      <c r="I7258">
        <v>60.75</v>
      </c>
      <c r="J7258" s="50">
        <v>60.75</v>
      </c>
      <c r="K7258" t="s">
        <v>1632</v>
      </c>
      <c r="M7258" t="s">
        <v>1621</v>
      </c>
      <c r="N7258">
        <v>32.06</v>
      </c>
      <c r="O7258" s="49">
        <v>44298</v>
      </c>
      <c r="P7258" s="50">
        <v>27.337500000000002</v>
      </c>
    </row>
    <row r="7259" spans="4:16" x14ac:dyDescent="0.2">
      <c r="D7259">
        <v>100004324</v>
      </c>
      <c r="E7259" s="49">
        <v>45535</v>
      </c>
      <c r="F7259" t="s">
        <v>4404</v>
      </c>
      <c r="G7259" t="s">
        <v>1956</v>
      </c>
      <c r="H7259">
        <v>7</v>
      </c>
      <c r="I7259">
        <v>36.5</v>
      </c>
      <c r="J7259" s="50">
        <v>255.5</v>
      </c>
      <c r="K7259" t="s">
        <v>1632</v>
      </c>
      <c r="L7259" t="s">
        <v>4860</v>
      </c>
      <c r="M7259" t="s">
        <v>1627</v>
      </c>
      <c r="N7259">
        <v>19.260000000000002</v>
      </c>
      <c r="O7259" s="49">
        <v>45538</v>
      </c>
      <c r="P7259" s="50">
        <v>114.97500000000001</v>
      </c>
    </row>
    <row r="7260" spans="4:16" x14ac:dyDescent="0.2">
      <c r="D7260">
        <v>100004324</v>
      </c>
      <c r="E7260" s="49">
        <v>44682</v>
      </c>
      <c r="F7260" t="s">
        <v>4404</v>
      </c>
      <c r="G7260" t="s">
        <v>1918</v>
      </c>
      <c r="H7260">
        <v>8</v>
      </c>
      <c r="I7260">
        <v>62.21</v>
      </c>
      <c r="J7260" s="50">
        <v>497.68</v>
      </c>
      <c r="K7260" t="s">
        <v>1632</v>
      </c>
      <c r="L7260" t="s">
        <v>4860</v>
      </c>
      <c r="M7260" t="s">
        <v>1619</v>
      </c>
      <c r="N7260">
        <v>32.83</v>
      </c>
      <c r="O7260" s="49">
        <v>44685</v>
      </c>
      <c r="P7260" s="50">
        <v>223.95600000000002</v>
      </c>
    </row>
    <row r="7261" spans="4:16" x14ac:dyDescent="0.2">
      <c r="D7261">
        <v>100004324</v>
      </c>
      <c r="E7261" s="49">
        <v>44997</v>
      </c>
      <c r="F7261" t="s">
        <v>4404</v>
      </c>
      <c r="G7261" t="s">
        <v>1945</v>
      </c>
      <c r="H7261">
        <v>9</v>
      </c>
      <c r="I7261">
        <v>13.8</v>
      </c>
      <c r="J7261" s="50">
        <v>124.2</v>
      </c>
      <c r="K7261" t="s">
        <v>1632</v>
      </c>
      <c r="L7261" t="s">
        <v>4860</v>
      </c>
      <c r="M7261" t="s">
        <v>1627</v>
      </c>
      <c r="N7261">
        <v>7.28</v>
      </c>
      <c r="O7261" s="49">
        <v>44998</v>
      </c>
      <c r="P7261" s="50">
        <v>55.89</v>
      </c>
    </row>
    <row r="7262" spans="4:16" x14ac:dyDescent="0.2">
      <c r="D7262">
        <v>100004324</v>
      </c>
      <c r="E7262" s="49">
        <v>44529</v>
      </c>
      <c r="F7262" t="s">
        <v>4404</v>
      </c>
      <c r="G7262" t="s">
        <v>2019</v>
      </c>
      <c r="H7262">
        <v>4</v>
      </c>
      <c r="I7262">
        <v>71.69</v>
      </c>
      <c r="J7262" s="50">
        <v>286.76</v>
      </c>
      <c r="K7262" t="s">
        <v>1632</v>
      </c>
      <c r="L7262" t="s">
        <v>4860</v>
      </c>
      <c r="M7262" t="s">
        <v>1627</v>
      </c>
      <c r="N7262">
        <v>37.840000000000003</v>
      </c>
      <c r="O7262" s="49">
        <v>44532</v>
      </c>
      <c r="P7262" s="50">
        <v>129.042</v>
      </c>
    </row>
    <row r="7263" spans="4:16" x14ac:dyDescent="0.2">
      <c r="D7263">
        <v>100004324</v>
      </c>
      <c r="E7263" s="49">
        <v>44502</v>
      </c>
      <c r="F7263" t="s">
        <v>4404</v>
      </c>
      <c r="G7263" t="s">
        <v>2202</v>
      </c>
      <c r="H7263">
        <v>1</v>
      </c>
      <c r="I7263">
        <v>91.89</v>
      </c>
      <c r="J7263" s="50">
        <v>91.89</v>
      </c>
      <c r="K7263" t="s">
        <v>1632</v>
      </c>
      <c r="L7263" t="s">
        <v>4860</v>
      </c>
      <c r="M7263" t="s">
        <v>1621</v>
      </c>
      <c r="N7263">
        <v>48.5</v>
      </c>
      <c r="O7263" s="49">
        <v>44504</v>
      </c>
      <c r="P7263" s="50">
        <v>41.350500000000004</v>
      </c>
    </row>
    <row r="7264" spans="4:16" x14ac:dyDescent="0.2">
      <c r="D7264">
        <v>100004324</v>
      </c>
      <c r="E7264" s="49">
        <v>45049</v>
      </c>
      <c r="F7264" t="s">
        <v>4404</v>
      </c>
      <c r="G7264" t="s">
        <v>2420</v>
      </c>
      <c r="H7264">
        <v>10</v>
      </c>
      <c r="I7264">
        <v>77.09</v>
      </c>
      <c r="J7264" s="50">
        <v>770.90000000000009</v>
      </c>
      <c r="K7264" t="s">
        <v>1632</v>
      </c>
      <c r="L7264" t="s">
        <v>4860</v>
      </c>
      <c r="M7264" t="s">
        <v>1619</v>
      </c>
      <c r="N7264">
        <v>40.69</v>
      </c>
      <c r="O7264" s="49">
        <v>45051</v>
      </c>
      <c r="P7264" s="50">
        <v>346.90500000000003</v>
      </c>
    </row>
    <row r="7265" spans="4:16" x14ac:dyDescent="0.2">
      <c r="D7265">
        <v>100004324</v>
      </c>
      <c r="E7265" s="49">
        <v>45307</v>
      </c>
      <c r="F7265" t="s">
        <v>4404</v>
      </c>
      <c r="G7265" t="s">
        <v>2079</v>
      </c>
      <c r="H7265">
        <v>9</v>
      </c>
      <c r="I7265">
        <v>42</v>
      </c>
      <c r="J7265" s="50">
        <v>378</v>
      </c>
      <c r="K7265" t="s">
        <v>1632</v>
      </c>
      <c r="L7265" t="s">
        <v>4860</v>
      </c>
      <c r="M7265" t="s">
        <v>1621</v>
      </c>
      <c r="N7265">
        <v>22.17</v>
      </c>
      <c r="O7265" s="49">
        <v>45311</v>
      </c>
      <c r="P7265" s="50">
        <v>170.1</v>
      </c>
    </row>
    <row r="7266" spans="4:16" x14ac:dyDescent="0.2">
      <c r="D7266">
        <v>100004324</v>
      </c>
      <c r="E7266" s="49">
        <v>44649</v>
      </c>
      <c r="F7266" t="s">
        <v>4404</v>
      </c>
      <c r="G7266" t="s">
        <v>2378</v>
      </c>
      <c r="H7266">
        <v>3</v>
      </c>
      <c r="I7266">
        <v>99.81</v>
      </c>
      <c r="J7266" s="50">
        <v>299.43</v>
      </c>
      <c r="K7266" t="s">
        <v>1632</v>
      </c>
      <c r="L7266" t="s">
        <v>4860</v>
      </c>
      <c r="M7266" t="s">
        <v>1624</v>
      </c>
      <c r="N7266">
        <v>52.68</v>
      </c>
      <c r="O7266" s="49">
        <v>44650</v>
      </c>
      <c r="P7266" s="50">
        <v>134.74350000000001</v>
      </c>
    </row>
    <row r="7267" spans="4:16" x14ac:dyDescent="0.2">
      <c r="D7267">
        <v>100004325</v>
      </c>
      <c r="E7267" s="49">
        <v>44640</v>
      </c>
      <c r="F7267" t="s">
        <v>5698</v>
      </c>
      <c r="G7267" t="s">
        <v>1897</v>
      </c>
      <c r="H7267">
        <v>5</v>
      </c>
      <c r="I7267">
        <v>65.77</v>
      </c>
      <c r="J7267" s="50">
        <v>328.85</v>
      </c>
      <c r="K7267" t="s">
        <v>1618</v>
      </c>
      <c r="M7267" t="s">
        <v>1627</v>
      </c>
      <c r="N7267">
        <v>34.71</v>
      </c>
      <c r="O7267" s="49">
        <v>44642</v>
      </c>
      <c r="P7267" s="50">
        <v>147.98250000000002</v>
      </c>
    </row>
    <row r="7268" spans="4:16" x14ac:dyDescent="0.2">
      <c r="D7268">
        <v>100004326</v>
      </c>
      <c r="E7268" s="49">
        <v>44402</v>
      </c>
      <c r="F7268" t="s">
        <v>5699</v>
      </c>
      <c r="G7268" t="s">
        <v>1815</v>
      </c>
      <c r="H7268">
        <v>2</v>
      </c>
      <c r="I7268">
        <v>59.55</v>
      </c>
      <c r="J7268" s="50">
        <v>119.1</v>
      </c>
      <c r="K7268" t="s">
        <v>1618</v>
      </c>
      <c r="M7268" t="s">
        <v>1624</v>
      </c>
      <c r="N7268">
        <v>31.43</v>
      </c>
      <c r="O7268" s="49">
        <v>44407</v>
      </c>
      <c r="P7268" s="50">
        <v>53.594999999999999</v>
      </c>
    </row>
    <row r="7269" spans="4:16" x14ac:dyDescent="0.2">
      <c r="D7269">
        <v>100004328</v>
      </c>
      <c r="E7269" s="49">
        <v>45231</v>
      </c>
      <c r="F7269" t="s">
        <v>5700</v>
      </c>
      <c r="G7269" t="s">
        <v>1958</v>
      </c>
      <c r="H7269">
        <v>5</v>
      </c>
      <c r="I7269">
        <v>28.48</v>
      </c>
      <c r="J7269" s="50">
        <v>142.4</v>
      </c>
      <c r="K7269" t="s">
        <v>1618</v>
      </c>
      <c r="M7269" t="s">
        <v>1621</v>
      </c>
      <c r="N7269">
        <v>15.03</v>
      </c>
      <c r="O7269" s="49">
        <v>45235</v>
      </c>
      <c r="P7269" s="50">
        <v>64.08</v>
      </c>
    </row>
    <row r="7270" spans="4:16" x14ac:dyDescent="0.2">
      <c r="D7270">
        <v>100004328</v>
      </c>
      <c r="E7270" s="49">
        <v>45594</v>
      </c>
      <c r="F7270" t="s">
        <v>5700</v>
      </c>
      <c r="G7270" t="s">
        <v>1722</v>
      </c>
      <c r="H7270">
        <v>7</v>
      </c>
      <c r="I7270">
        <v>41.42</v>
      </c>
      <c r="J7270" s="50">
        <v>289.94</v>
      </c>
      <c r="K7270" t="s">
        <v>1618</v>
      </c>
      <c r="M7270" t="s">
        <v>1627</v>
      </c>
      <c r="N7270">
        <v>21.86</v>
      </c>
      <c r="O7270" s="49">
        <v>45596</v>
      </c>
      <c r="P7270" s="50">
        <v>130.47300000000001</v>
      </c>
    </row>
    <row r="7271" spans="4:16" x14ac:dyDescent="0.2">
      <c r="D7271">
        <v>100004328</v>
      </c>
      <c r="E7271" s="49">
        <v>44614</v>
      </c>
      <c r="F7271" t="s">
        <v>5700</v>
      </c>
      <c r="G7271" t="s">
        <v>2111</v>
      </c>
      <c r="H7271">
        <v>9</v>
      </c>
      <c r="I7271">
        <v>112.25</v>
      </c>
      <c r="J7271" s="50">
        <v>1010.25</v>
      </c>
      <c r="K7271" t="s">
        <v>1618</v>
      </c>
      <c r="M7271" t="s">
        <v>1629</v>
      </c>
      <c r="N7271">
        <v>59.24</v>
      </c>
      <c r="O7271" s="49">
        <v>44618</v>
      </c>
      <c r="P7271" s="50">
        <v>454.61250000000001</v>
      </c>
    </row>
    <row r="7272" spans="4:16" x14ac:dyDescent="0.2">
      <c r="D7272">
        <v>100004328</v>
      </c>
      <c r="E7272" s="49">
        <v>45300</v>
      </c>
      <c r="F7272" t="s">
        <v>5700</v>
      </c>
      <c r="G7272" t="s">
        <v>1872</v>
      </c>
      <c r="H7272">
        <v>4</v>
      </c>
      <c r="I7272">
        <v>56.69</v>
      </c>
      <c r="J7272" s="50">
        <v>226.76</v>
      </c>
      <c r="K7272" t="s">
        <v>1618</v>
      </c>
      <c r="M7272" t="s">
        <v>1619</v>
      </c>
      <c r="N7272">
        <v>29.92</v>
      </c>
      <c r="O7272" s="49">
        <v>45303</v>
      </c>
      <c r="P7272" s="50">
        <v>102.042</v>
      </c>
    </row>
    <row r="7273" spans="4:16" x14ac:dyDescent="0.2">
      <c r="D7273">
        <v>100004329</v>
      </c>
      <c r="E7273" s="49">
        <v>45196</v>
      </c>
      <c r="F7273" t="s">
        <v>5701</v>
      </c>
      <c r="G7273" t="s">
        <v>1740</v>
      </c>
      <c r="H7273">
        <v>8</v>
      </c>
      <c r="I7273">
        <v>69.81</v>
      </c>
      <c r="J7273" s="50">
        <v>558.48</v>
      </c>
      <c r="K7273" t="s">
        <v>1618</v>
      </c>
      <c r="M7273" t="s">
        <v>1629</v>
      </c>
      <c r="N7273">
        <v>36.840000000000003</v>
      </c>
      <c r="O7273" s="49">
        <v>45197</v>
      </c>
      <c r="P7273" s="50">
        <v>251.316</v>
      </c>
    </row>
    <row r="7274" spans="4:16" x14ac:dyDescent="0.2">
      <c r="D7274">
        <v>100004329</v>
      </c>
      <c r="E7274" s="49">
        <v>45453</v>
      </c>
      <c r="F7274" t="s">
        <v>5701</v>
      </c>
      <c r="G7274" t="s">
        <v>2017</v>
      </c>
      <c r="H7274">
        <v>7</v>
      </c>
      <c r="I7274">
        <v>40.49</v>
      </c>
      <c r="J7274" s="50">
        <v>283.43</v>
      </c>
      <c r="K7274" t="s">
        <v>1618</v>
      </c>
      <c r="M7274" t="s">
        <v>1627</v>
      </c>
      <c r="N7274">
        <v>21.37</v>
      </c>
      <c r="O7274" s="49">
        <v>45457</v>
      </c>
      <c r="P7274" s="50">
        <v>127.54350000000001</v>
      </c>
    </row>
    <row r="7275" spans="4:16" x14ac:dyDescent="0.2">
      <c r="D7275">
        <v>100004329</v>
      </c>
      <c r="E7275" s="49">
        <v>44354</v>
      </c>
      <c r="F7275" t="s">
        <v>5701</v>
      </c>
      <c r="G7275" t="s">
        <v>2068</v>
      </c>
      <c r="H7275">
        <v>1</v>
      </c>
      <c r="I7275">
        <v>75.489999999999995</v>
      </c>
      <c r="J7275" s="50">
        <v>75.489999999999995</v>
      </c>
      <c r="K7275" t="s">
        <v>1618</v>
      </c>
      <c r="M7275" t="s">
        <v>1624</v>
      </c>
      <c r="N7275">
        <v>39.840000000000003</v>
      </c>
      <c r="O7275" s="49">
        <v>44359</v>
      </c>
      <c r="P7275" s="50">
        <v>33.970500000000001</v>
      </c>
    </row>
    <row r="7276" spans="4:16" x14ac:dyDescent="0.2">
      <c r="D7276">
        <v>100004329</v>
      </c>
      <c r="E7276" s="49">
        <v>45382</v>
      </c>
      <c r="F7276" t="s">
        <v>5701</v>
      </c>
      <c r="G7276" t="s">
        <v>1641</v>
      </c>
      <c r="H7276">
        <v>6</v>
      </c>
      <c r="I7276">
        <v>56.83</v>
      </c>
      <c r="J7276" s="50">
        <v>340.98</v>
      </c>
      <c r="K7276" t="s">
        <v>1618</v>
      </c>
      <c r="M7276" t="s">
        <v>1624</v>
      </c>
      <c r="N7276">
        <v>29.99</v>
      </c>
      <c r="O7276" s="49">
        <v>45386</v>
      </c>
      <c r="P7276" s="50">
        <v>153.441</v>
      </c>
    </row>
    <row r="7277" spans="4:16" x14ac:dyDescent="0.2">
      <c r="D7277">
        <v>100004329</v>
      </c>
      <c r="E7277" s="49">
        <v>45060</v>
      </c>
      <c r="F7277" t="s">
        <v>5701</v>
      </c>
      <c r="G7277" t="s">
        <v>2048</v>
      </c>
      <c r="H7277">
        <v>1</v>
      </c>
      <c r="I7277">
        <v>63.52</v>
      </c>
      <c r="J7277" s="50">
        <v>63.52</v>
      </c>
      <c r="K7277" t="s">
        <v>1618</v>
      </c>
      <c r="M7277" t="s">
        <v>1624</v>
      </c>
      <c r="N7277">
        <v>33.520000000000003</v>
      </c>
      <c r="O7277" s="49">
        <v>45065</v>
      </c>
      <c r="P7277" s="50">
        <v>28.584000000000003</v>
      </c>
    </row>
    <row r="7278" spans="4:16" x14ac:dyDescent="0.2">
      <c r="D7278">
        <v>100004329</v>
      </c>
      <c r="E7278" s="49">
        <v>44788</v>
      </c>
      <c r="F7278" t="s">
        <v>5701</v>
      </c>
      <c r="G7278" t="s">
        <v>2138</v>
      </c>
      <c r="H7278">
        <v>4</v>
      </c>
      <c r="I7278">
        <v>27.85</v>
      </c>
      <c r="J7278" s="50">
        <v>111.4</v>
      </c>
      <c r="K7278" t="s">
        <v>1618</v>
      </c>
      <c r="M7278" t="s">
        <v>1624</v>
      </c>
      <c r="N7278">
        <v>14.7</v>
      </c>
      <c r="O7278" s="49">
        <v>44792</v>
      </c>
      <c r="P7278" s="50">
        <v>50.13</v>
      </c>
    </row>
    <row r="7279" spans="4:16" x14ac:dyDescent="0.2">
      <c r="D7279">
        <v>100004330</v>
      </c>
      <c r="E7279" s="49">
        <v>45103</v>
      </c>
      <c r="F7279" t="s">
        <v>5702</v>
      </c>
      <c r="G7279" t="s">
        <v>1848</v>
      </c>
      <c r="H7279">
        <v>8</v>
      </c>
      <c r="I7279">
        <v>71.63</v>
      </c>
      <c r="J7279" s="50">
        <v>573.04</v>
      </c>
      <c r="K7279" t="s">
        <v>1632</v>
      </c>
      <c r="M7279" t="s">
        <v>1629</v>
      </c>
      <c r="N7279">
        <v>37.799999999999997</v>
      </c>
      <c r="O7279" s="49">
        <v>45108</v>
      </c>
      <c r="P7279" s="50">
        <v>257.86799999999999</v>
      </c>
    </row>
    <row r="7280" spans="4:16" x14ac:dyDescent="0.2">
      <c r="D7280">
        <v>100004332</v>
      </c>
      <c r="E7280" s="49">
        <v>45179</v>
      </c>
      <c r="F7280" t="s">
        <v>5703</v>
      </c>
      <c r="G7280" t="s">
        <v>2182</v>
      </c>
      <c r="H7280">
        <v>5</v>
      </c>
      <c r="I7280">
        <v>57.16</v>
      </c>
      <c r="J7280" s="50">
        <v>285.8</v>
      </c>
      <c r="K7280" t="s">
        <v>1618</v>
      </c>
      <c r="M7280" t="s">
        <v>1624</v>
      </c>
      <c r="N7280">
        <v>30.17</v>
      </c>
      <c r="O7280" s="49">
        <v>45184</v>
      </c>
      <c r="P7280" s="50">
        <v>128.61000000000001</v>
      </c>
    </row>
    <row r="7281" spans="4:16" x14ac:dyDescent="0.2">
      <c r="D7281">
        <v>100004332</v>
      </c>
      <c r="E7281" s="49">
        <v>44285</v>
      </c>
      <c r="F7281" t="s">
        <v>5703</v>
      </c>
      <c r="G7281" t="s">
        <v>1900</v>
      </c>
      <c r="H7281">
        <v>9</v>
      </c>
      <c r="I7281">
        <v>52.86</v>
      </c>
      <c r="J7281" s="50">
        <v>475.74</v>
      </c>
      <c r="K7281" t="s">
        <v>1618</v>
      </c>
      <c r="M7281" t="s">
        <v>1619</v>
      </c>
      <c r="N7281">
        <v>27.9</v>
      </c>
      <c r="O7281" s="49">
        <v>44286</v>
      </c>
      <c r="P7281" s="50">
        <v>214.083</v>
      </c>
    </row>
    <row r="7282" spans="4:16" x14ac:dyDescent="0.2">
      <c r="D7282">
        <v>100004333</v>
      </c>
      <c r="E7282" s="49">
        <v>45308</v>
      </c>
      <c r="F7282" t="s">
        <v>3640</v>
      </c>
      <c r="G7282" t="s">
        <v>2633</v>
      </c>
      <c r="H7282">
        <v>7</v>
      </c>
      <c r="I7282">
        <v>19.04</v>
      </c>
      <c r="J7282" s="50">
        <v>133.28</v>
      </c>
      <c r="K7282" t="s">
        <v>1618</v>
      </c>
      <c r="M7282" t="s">
        <v>1621</v>
      </c>
      <c r="N7282">
        <v>10.050000000000001</v>
      </c>
      <c r="O7282" s="49">
        <v>45309</v>
      </c>
      <c r="P7282" s="50">
        <v>59.975999999999999</v>
      </c>
    </row>
    <row r="7283" spans="4:16" x14ac:dyDescent="0.2">
      <c r="D7283">
        <v>100004334</v>
      </c>
      <c r="E7283" s="49">
        <v>45650</v>
      </c>
      <c r="F7283" t="s">
        <v>5704</v>
      </c>
      <c r="G7283" t="s">
        <v>1702</v>
      </c>
      <c r="H7283">
        <v>2</v>
      </c>
      <c r="I7283">
        <v>92.63</v>
      </c>
      <c r="J7283" s="50">
        <v>185.26</v>
      </c>
      <c r="K7283" t="s">
        <v>1632</v>
      </c>
      <c r="L7283" t="s">
        <v>5705</v>
      </c>
      <c r="M7283" t="s">
        <v>1621</v>
      </c>
      <c r="N7283">
        <v>48.89</v>
      </c>
      <c r="O7283" s="49">
        <v>45652</v>
      </c>
      <c r="P7283" s="50">
        <v>83.367000000000004</v>
      </c>
    </row>
    <row r="7284" spans="4:16" x14ac:dyDescent="0.2">
      <c r="D7284">
        <v>100004335</v>
      </c>
      <c r="E7284" s="49">
        <v>44870</v>
      </c>
      <c r="F7284" t="s">
        <v>5706</v>
      </c>
      <c r="G7284" t="s">
        <v>1827</v>
      </c>
      <c r="H7284">
        <v>1</v>
      </c>
      <c r="I7284">
        <v>30.86</v>
      </c>
      <c r="J7284" s="50">
        <v>30.86</v>
      </c>
      <c r="K7284" t="s">
        <v>1632</v>
      </c>
      <c r="M7284" t="s">
        <v>1627</v>
      </c>
      <c r="N7284">
        <v>16.29</v>
      </c>
      <c r="O7284" s="49">
        <v>44875</v>
      </c>
      <c r="P7284" s="50">
        <v>13.887</v>
      </c>
    </row>
    <row r="7285" spans="4:16" x14ac:dyDescent="0.2">
      <c r="D7285">
        <v>100004337</v>
      </c>
      <c r="E7285" s="49">
        <v>45551</v>
      </c>
      <c r="F7285" t="s">
        <v>5707</v>
      </c>
      <c r="G7285" t="s">
        <v>1724</v>
      </c>
      <c r="H7285">
        <v>10</v>
      </c>
      <c r="I7285">
        <v>117.54</v>
      </c>
      <c r="J7285" s="50">
        <v>1175.4000000000001</v>
      </c>
      <c r="K7285" t="s">
        <v>1618</v>
      </c>
      <c r="L7285" t="s">
        <v>5708</v>
      </c>
      <c r="M7285" t="s">
        <v>1627</v>
      </c>
      <c r="N7285">
        <v>62.03</v>
      </c>
      <c r="O7285" s="49">
        <v>45552</v>
      </c>
      <c r="P7285" s="50">
        <v>528.93000000000006</v>
      </c>
    </row>
    <row r="7286" spans="4:16" x14ac:dyDescent="0.2">
      <c r="D7286">
        <v>100004339</v>
      </c>
      <c r="E7286" s="49">
        <v>45127</v>
      </c>
      <c r="F7286" t="s">
        <v>5709</v>
      </c>
      <c r="G7286" t="s">
        <v>1777</v>
      </c>
      <c r="H7286">
        <v>9</v>
      </c>
      <c r="I7286">
        <v>14.25</v>
      </c>
      <c r="J7286" s="50">
        <v>128.25</v>
      </c>
      <c r="K7286" t="s">
        <v>1618</v>
      </c>
      <c r="L7286" t="s">
        <v>2528</v>
      </c>
      <c r="M7286" t="s">
        <v>1629</v>
      </c>
      <c r="N7286">
        <v>7.52</v>
      </c>
      <c r="O7286" s="49">
        <v>45132</v>
      </c>
      <c r="P7286" s="50">
        <v>57.712499999999999</v>
      </c>
    </row>
    <row r="7287" spans="4:16" x14ac:dyDescent="0.2">
      <c r="D7287">
        <v>100004339</v>
      </c>
      <c r="E7287" s="49">
        <v>45341</v>
      </c>
      <c r="F7287" t="s">
        <v>5709</v>
      </c>
      <c r="G7287" t="s">
        <v>1980</v>
      </c>
      <c r="H7287">
        <v>5</v>
      </c>
      <c r="I7287">
        <v>109.63</v>
      </c>
      <c r="J7287" s="50">
        <v>548.15</v>
      </c>
      <c r="K7287" t="s">
        <v>1618</v>
      </c>
      <c r="L7287" t="s">
        <v>2528</v>
      </c>
      <c r="M7287" t="s">
        <v>1619</v>
      </c>
      <c r="N7287">
        <v>57.86</v>
      </c>
      <c r="O7287" s="49">
        <v>45343</v>
      </c>
      <c r="P7287" s="50">
        <v>246.66749999999999</v>
      </c>
    </row>
    <row r="7288" spans="4:16" x14ac:dyDescent="0.2">
      <c r="D7288">
        <v>100004339</v>
      </c>
      <c r="E7288" s="49">
        <v>45329</v>
      </c>
      <c r="F7288" t="s">
        <v>5709</v>
      </c>
      <c r="G7288" t="s">
        <v>2161</v>
      </c>
      <c r="H7288">
        <v>7</v>
      </c>
      <c r="I7288">
        <v>12.71</v>
      </c>
      <c r="J7288" s="50">
        <v>88.97</v>
      </c>
      <c r="K7288" t="s">
        <v>1618</v>
      </c>
      <c r="L7288" t="s">
        <v>2528</v>
      </c>
      <c r="M7288" t="s">
        <v>1627</v>
      </c>
      <c r="N7288">
        <v>6.71</v>
      </c>
      <c r="O7288" s="49">
        <v>45334</v>
      </c>
      <c r="P7288" s="50">
        <v>40.036500000000004</v>
      </c>
    </row>
    <row r="7289" spans="4:16" x14ac:dyDescent="0.2">
      <c r="D7289">
        <v>100004339</v>
      </c>
      <c r="E7289" s="49">
        <v>44428</v>
      </c>
      <c r="F7289" t="s">
        <v>5709</v>
      </c>
      <c r="G7289" t="s">
        <v>2101</v>
      </c>
      <c r="H7289">
        <v>8</v>
      </c>
      <c r="I7289">
        <v>39.18</v>
      </c>
      <c r="J7289" s="50">
        <v>313.44</v>
      </c>
      <c r="K7289" t="s">
        <v>1618</v>
      </c>
      <c r="L7289" t="s">
        <v>2528</v>
      </c>
      <c r="M7289" t="s">
        <v>1627</v>
      </c>
      <c r="N7289">
        <v>20.68</v>
      </c>
      <c r="O7289" s="49">
        <v>44431</v>
      </c>
      <c r="P7289" s="50">
        <v>141.048</v>
      </c>
    </row>
    <row r="7290" spans="4:16" x14ac:dyDescent="0.2">
      <c r="D7290">
        <v>100004340</v>
      </c>
      <c r="E7290" s="49">
        <v>45225</v>
      </c>
      <c r="F7290" t="s">
        <v>5710</v>
      </c>
      <c r="G7290" t="s">
        <v>1742</v>
      </c>
      <c r="H7290">
        <v>8</v>
      </c>
      <c r="I7290">
        <v>80.819999999999993</v>
      </c>
      <c r="J7290" s="50">
        <v>646.55999999999995</v>
      </c>
      <c r="K7290" t="s">
        <v>1632</v>
      </c>
      <c r="M7290" t="s">
        <v>1624</v>
      </c>
      <c r="N7290">
        <v>42.65</v>
      </c>
      <c r="O7290" s="49">
        <v>45229</v>
      </c>
      <c r="P7290" s="50">
        <v>290.952</v>
      </c>
    </row>
    <row r="7291" spans="4:16" x14ac:dyDescent="0.2">
      <c r="D7291">
        <v>100004340</v>
      </c>
      <c r="E7291" s="49">
        <v>44647</v>
      </c>
      <c r="F7291" t="s">
        <v>5710</v>
      </c>
      <c r="G7291" t="s">
        <v>1766</v>
      </c>
      <c r="H7291">
        <v>10</v>
      </c>
      <c r="I7291">
        <v>104.69</v>
      </c>
      <c r="J7291" s="50">
        <v>1046.9000000000001</v>
      </c>
      <c r="K7291" t="s">
        <v>1632</v>
      </c>
      <c r="M7291" t="s">
        <v>1624</v>
      </c>
      <c r="N7291">
        <v>55.25</v>
      </c>
      <c r="O7291" s="49">
        <v>44648</v>
      </c>
      <c r="P7291" s="50">
        <v>471.10500000000008</v>
      </c>
    </row>
    <row r="7292" spans="4:16" x14ac:dyDescent="0.2">
      <c r="D7292">
        <v>100004340</v>
      </c>
      <c r="E7292" s="49">
        <v>44376</v>
      </c>
      <c r="F7292" t="s">
        <v>5710</v>
      </c>
      <c r="G7292" t="s">
        <v>1999</v>
      </c>
      <c r="H7292">
        <v>1</v>
      </c>
      <c r="I7292">
        <v>118.85</v>
      </c>
      <c r="J7292" s="50">
        <v>118.85</v>
      </c>
      <c r="K7292" t="s">
        <v>1632</v>
      </c>
      <c r="M7292" t="s">
        <v>1621</v>
      </c>
      <c r="N7292">
        <v>62.73</v>
      </c>
      <c r="O7292" s="49">
        <v>44378</v>
      </c>
      <c r="P7292" s="50">
        <v>53.482500000000002</v>
      </c>
    </row>
    <row r="7293" spans="4:16" x14ac:dyDescent="0.2">
      <c r="D7293">
        <v>100004340</v>
      </c>
      <c r="E7293" s="49">
        <v>45312</v>
      </c>
      <c r="F7293" t="s">
        <v>5710</v>
      </c>
      <c r="G7293" t="s">
        <v>2306</v>
      </c>
      <c r="H7293">
        <v>10</v>
      </c>
      <c r="I7293">
        <v>117.25</v>
      </c>
      <c r="J7293" s="50">
        <v>1172.5</v>
      </c>
      <c r="K7293" t="s">
        <v>1632</v>
      </c>
      <c r="M7293" t="s">
        <v>1621</v>
      </c>
      <c r="N7293">
        <v>61.88</v>
      </c>
      <c r="O7293" s="49">
        <v>45317</v>
      </c>
      <c r="P7293" s="50">
        <v>527.625</v>
      </c>
    </row>
    <row r="7294" spans="4:16" x14ac:dyDescent="0.2">
      <c r="D7294">
        <v>100004341</v>
      </c>
      <c r="E7294" s="49">
        <v>45326</v>
      </c>
      <c r="F7294" t="s">
        <v>5711</v>
      </c>
      <c r="G7294" t="s">
        <v>1748</v>
      </c>
      <c r="H7294">
        <v>2</v>
      </c>
      <c r="I7294">
        <v>92.74</v>
      </c>
      <c r="J7294" s="50">
        <v>185.48</v>
      </c>
      <c r="K7294" t="s">
        <v>1618</v>
      </c>
      <c r="M7294" t="s">
        <v>1624</v>
      </c>
      <c r="N7294">
        <v>48.95</v>
      </c>
      <c r="O7294" s="49">
        <v>45331</v>
      </c>
      <c r="P7294" s="50">
        <v>83.465999999999994</v>
      </c>
    </row>
    <row r="7295" spans="4:16" x14ac:dyDescent="0.2">
      <c r="D7295">
        <v>100004341</v>
      </c>
      <c r="E7295" s="49">
        <v>44443</v>
      </c>
      <c r="F7295" t="s">
        <v>5711</v>
      </c>
      <c r="G7295" t="s">
        <v>2093</v>
      </c>
      <c r="H7295">
        <v>6</v>
      </c>
      <c r="I7295">
        <v>111.91</v>
      </c>
      <c r="J7295" s="50">
        <v>671.46</v>
      </c>
      <c r="K7295" t="s">
        <v>1618</v>
      </c>
      <c r="M7295" t="s">
        <v>1629</v>
      </c>
      <c r="N7295">
        <v>59.06</v>
      </c>
      <c r="O7295" s="49">
        <v>44444</v>
      </c>
      <c r="P7295" s="50">
        <v>302.15700000000004</v>
      </c>
    </row>
    <row r="7296" spans="4:16" x14ac:dyDescent="0.2">
      <c r="D7296">
        <v>100004342</v>
      </c>
      <c r="E7296" s="49">
        <v>45199</v>
      </c>
      <c r="F7296" t="s">
        <v>5712</v>
      </c>
      <c r="G7296" t="s">
        <v>1895</v>
      </c>
      <c r="H7296">
        <v>7</v>
      </c>
      <c r="I7296">
        <v>107.78</v>
      </c>
      <c r="J7296" s="50">
        <v>754.46</v>
      </c>
      <c r="K7296" t="s">
        <v>1632</v>
      </c>
      <c r="M7296" t="s">
        <v>1621</v>
      </c>
      <c r="N7296">
        <v>56.88</v>
      </c>
      <c r="O7296" s="49">
        <v>45202</v>
      </c>
      <c r="P7296" s="50">
        <v>339.50700000000001</v>
      </c>
    </row>
    <row r="7297" spans="4:16" x14ac:dyDescent="0.2">
      <c r="D7297">
        <v>100004342</v>
      </c>
      <c r="E7297" s="49">
        <v>44790</v>
      </c>
      <c r="F7297" t="s">
        <v>5712</v>
      </c>
      <c r="G7297" t="s">
        <v>2202</v>
      </c>
      <c r="H7297">
        <v>9</v>
      </c>
      <c r="I7297">
        <v>80.040000000000006</v>
      </c>
      <c r="J7297" s="50">
        <v>720.36</v>
      </c>
      <c r="K7297" t="s">
        <v>1632</v>
      </c>
      <c r="M7297" t="s">
        <v>1619</v>
      </c>
      <c r="N7297">
        <v>42.24</v>
      </c>
      <c r="O7297" s="49">
        <v>44793</v>
      </c>
      <c r="P7297" s="50">
        <v>324.16200000000003</v>
      </c>
    </row>
    <row r="7298" spans="4:16" x14ac:dyDescent="0.2">
      <c r="D7298">
        <v>100004343</v>
      </c>
      <c r="E7298" s="49">
        <v>44250</v>
      </c>
      <c r="F7298" t="s">
        <v>5713</v>
      </c>
      <c r="G7298" t="s">
        <v>1728</v>
      </c>
      <c r="H7298">
        <v>4</v>
      </c>
      <c r="I7298">
        <v>108.55</v>
      </c>
      <c r="J7298" s="50">
        <v>434.2</v>
      </c>
      <c r="K7298" t="s">
        <v>1618</v>
      </c>
      <c r="M7298" t="s">
        <v>1624</v>
      </c>
      <c r="N7298">
        <v>57.29</v>
      </c>
      <c r="O7298" s="49">
        <v>44253</v>
      </c>
      <c r="P7298" s="50">
        <v>195.39</v>
      </c>
    </row>
    <row r="7299" spans="4:16" x14ac:dyDescent="0.2">
      <c r="D7299">
        <v>100004346</v>
      </c>
      <c r="E7299" s="49">
        <v>44993</v>
      </c>
      <c r="F7299" t="s">
        <v>5714</v>
      </c>
      <c r="G7299" t="s">
        <v>1699</v>
      </c>
      <c r="H7299">
        <v>8</v>
      </c>
      <c r="I7299">
        <v>77.75</v>
      </c>
      <c r="J7299" s="50">
        <v>622</v>
      </c>
      <c r="K7299" t="s">
        <v>1618</v>
      </c>
      <c r="L7299" t="s">
        <v>4168</v>
      </c>
      <c r="M7299" t="s">
        <v>1629</v>
      </c>
      <c r="N7299">
        <v>41.03</v>
      </c>
      <c r="O7299" s="49">
        <v>44994</v>
      </c>
      <c r="P7299" s="50">
        <v>279.90000000000003</v>
      </c>
    </row>
    <row r="7300" spans="4:16" x14ac:dyDescent="0.2">
      <c r="D7300">
        <v>100004347</v>
      </c>
      <c r="E7300" s="49">
        <v>44838</v>
      </c>
      <c r="F7300" t="s">
        <v>5715</v>
      </c>
      <c r="G7300" t="s">
        <v>1838</v>
      </c>
      <c r="H7300">
        <v>2</v>
      </c>
      <c r="I7300">
        <v>99.28</v>
      </c>
      <c r="J7300" s="50">
        <v>198.56</v>
      </c>
      <c r="K7300" t="s">
        <v>1632</v>
      </c>
      <c r="M7300" t="s">
        <v>1629</v>
      </c>
      <c r="N7300">
        <v>52.4</v>
      </c>
      <c r="O7300" s="49">
        <v>44840</v>
      </c>
      <c r="P7300" s="50">
        <v>89.352000000000004</v>
      </c>
    </row>
    <row r="7301" spans="4:16" x14ac:dyDescent="0.2">
      <c r="D7301">
        <v>100004347</v>
      </c>
      <c r="E7301" s="49">
        <v>44374</v>
      </c>
      <c r="F7301" t="s">
        <v>5715</v>
      </c>
      <c r="G7301" t="s">
        <v>1985</v>
      </c>
      <c r="H7301">
        <v>10</v>
      </c>
      <c r="I7301">
        <v>87.33</v>
      </c>
      <c r="J7301" s="50">
        <v>873.3</v>
      </c>
      <c r="K7301" t="s">
        <v>1632</v>
      </c>
      <c r="M7301" t="s">
        <v>1624</v>
      </c>
      <c r="N7301">
        <v>46.09</v>
      </c>
      <c r="O7301" s="49">
        <v>44378</v>
      </c>
      <c r="P7301" s="50">
        <v>392.98500000000001</v>
      </c>
    </row>
    <row r="7302" spans="4:16" x14ac:dyDescent="0.2">
      <c r="D7302">
        <v>100004347</v>
      </c>
      <c r="E7302" s="49">
        <v>45254</v>
      </c>
      <c r="F7302" t="s">
        <v>5715</v>
      </c>
      <c r="G7302" t="s">
        <v>2112</v>
      </c>
      <c r="H7302">
        <v>9</v>
      </c>
      <c r="I7302">
        <v>100.39</v>
      </c>
      <c r="J7302" s="50">
        <v>903.51</v>
      </c>
      <c r="K7302" t="s">
        <v>1632</v>
      </c>
      <c r="M7302" t="s">
        <v>1619</v>
      </c>
      <c r="N7302">
        <v>52.98</v>
      </c>
      <c r="O7302" s="49">
        <v>45255</v>
      </c>
      <c r="P7302" s="50">
        <v>406.5795</v>
      </c>
    </row>
    <row r="7303" spans="4:16" x14ac:dyDescent="0.2">
      <c r="D7303">
        <v>100004347</v>
      </c>
      <c r="E7303" s="49">
        <v>44951</v>
      </c>
      <c r="F7303" t="s">
        <v>5715</v>
      </c>
      <c r="G7303" t="s">
        <v>2007</v>
      </c>
      <c r="H7303">
        <v>8</v>
      </c>
      <c r="I7303">
        <v>69.23</v>
      </c>
      <c r="J7303" s="50">
        <v>553.84</v>
      </c>
      <c r="K7303" t="s">
        <v>1632</v>
      </c>
      <c r="M7303" t="s">
        <v>1624</v>
      </c>
      <c r="N7303">
        <v>36.54</v>
      </c>
      <c r="O7303" s="49">
        <v>44954</v>
      </c>
      <c r="P7303" s="50">
        <v>249.22800000000001</v>
      </c>
    </row>
    <row r="7304" spans="4:16" x14ac:dyDescent="0.2">
      <c r="D7304">
        <v>100004347</v>
      </c>
      <c r="E7304" s="49">
        <v>44927</v>
      </c>
      <c r="F7304" t="s">
        <v>5715</v>
      </c>
      <c r="G7304" t="s">
        <v>1636</v>
      </c>
      <c r="H7304">
        <v>1</v>
      </c>
      <c r="I7304">
        <v>26.64</v>
      </c>
      <c r="J7304" s="50">
        <v>26.64</v>
      </c>
      <c r="K7304" t="s">
        <v>1632</v>
      </c>
      <c r="M7304" t="s">
        <v>1629</v>
      </c>
      <c r="N7304">
        <v>14.06</v>
      </c>
      <c r="O7304" s="49">
        <v>44930</v>
      </c>
      <c r="P7304" s="50">
        <v>11.988000000000001</v>
      </c>
    </row>
    <row r="7305" spans="4:16" x14ac:dyDescent="0.2">
      <c r="D7305">
        <v>100004347</v>
      </c>
      <c r="E7305" s="49">
        <v>44536</v>
      </c>
      <c r="F7305" t="s">
        <v>5715</v>
      </c>
      <c r="G7305" t="s">
        <v>2550</v>
      </c>
      <c r="H7305">
        <v>2</v>
      </c>
      <c r="I7305">
        <v>115.9</v>
      </c>
      <c r="J7305" s="50">
        <v>231.8</v>
      </c>
      <c r="K7305" t="s">
        <v>1632</v>
      </c>
      <c r="M7305" t="s">
        <v>1621</v>
      </c>
      <c r="N7305">
        <v>61.17</v>
      </c>
      <c r="O7305" s="49">
        <v>44539</v>
      </c>
      <c r="P7305" s="50">
        <v>104.31</v>
      </c>
    </row>
    <row r="7306" spans="4:16" x14ac:dyDescent="0.2">
      <c r="D7306">
        <v>100004348</v>
      </c>
      <c r="E7306" s="49">
        <v>45577</v>
      </c>
      <c r="F7306" t="s">
        <v>5716</v>
      </c>
      <c r="G7306" t="s">
        <v>1868</v>
      </c>
      <c r="H7306">
        <v>1</v>
      </c>
      <c r="I7306">
        <v>60.94</v>
      </c>
      <c r="J7306" s="50">
        <v>60.94</v>
      </c>
      <c r="K7306" t="s">
        <v>1632</v>
      </c>
      <c r="M7306" t="s">
        <v>1619</v>
      </c>
      <c r="N7306">
        <v>32.159999999999997</v>
      </c>
      <c r="O7306" s="49">
        <v>45582</v>
      </c>
      <c r="P7306" s="50">
        <v>27.422999999999998</v>
      </c>
    </row>
    <row r="7307" spans="4:16" x14ac:dyDescent="0.2">
      <c r="D7307">
        <v>100004348</v>
      </c>
      <c r="E7307" s="49">
        <v>44596</v>
      </c>
      <c r="F7307" t="s">
        <v>5716</v>
      </c>
      <c r="G7307" t="s">
        <v>2412</v>
      </c>
      <c r="H7307">
        <v>1</v>
      </c>
      <c r="I7307">
        <v>18.7</v>
      </c>
      <c r="J7307" s="50">
        <v>18.7</v>
      </c>
      <c r="K7307" t="s">
        <v>1632</v>
      </c>
      <c r="M7307" t="s">
        <v>1627</v>
      </c>
      <c r="N7307">
        <v>9.8699999999999992</v>
      </c>
      <c r="O7307" s="49">
        <v>44598</v>
      </c>
      <c r="P7307" s="50">
        <v>8.4149999999999991</v>
      </c>
    </row>
    <row r="7308" spans="4:16" x14ac:dyDescent="0.2">
      <c r="D7308">
        <v>100004348</v>
      </c>
      <c r="E7308" s="49">
        <v>44524</v>
      </c>
      <c r="F7308" t="s">
        <v>5716</v>
      </c>
      <c r="G7308" t="s">
        <v>1819</v>
      </c>
      <c r="H7308">
        <v>7</v>
      </c>
      <c r="I7308">
        <v>15.37</v>
      </c>
      <c r="J7308" s="50">
        <v>107.59</v>
      </c>
      <c r="K7308" t="s">
        <v>1632</v>
      </c>
      <c r="M7308" t="s">
        <v>1621</v>
      </c>
      <c r="N7308">
        <v>8.11</v>
      </c>
      <c r="O7308" s="49">
        <v>44526</v>
      </c>
      <c r="P7308" s="50">
        <v>48.415500000000002</v>
      </c>
    </row>
    <row r="7309" spans="4:16" x14ac:dyDescent="0.2">
      <c r="D7309">
        <v>100004348</v>
      </c>
      <c r="E7309" s="49">
        <v>44530</v>
      </c>
      <c r="F7309" t="s">
        <v>5716</v>
      </c>
      <c r="G7309" t="s">
        <v>2571</v>
      </c>
      <c r="H7309">
        <v>5</v>
      </c>
      <c r="I7309">
        <v>87.58</v>
      </c>
      <c r="J7309" s="50">
        <v>437.9</v>
      </c>
      <c r="K7309" t="s">
        <v>1632</v>
      </c>
      <c r="M7309" t="s">
        <v>1621</v>
      </c>
      <c r="N7309">
        <v>46.22</v>
      </c>
      <c r="O7309" s="49">
        <v>44531</v>
      </c>
      <c r="P7309" s="50">
        <v>197.05500000000001</v>
      </c>
    </row>
    <row r="7310" spans="4:16" x14ac:dyDescent="0.2">
      <c r="D7310">
        <v>100004348</v>
      </c>
      <c r="E7310" s="49">
        <v>45157</v>
      </c>
      <c r="F7310" t="s">
        <v>5716</v>
      </c>
      <c r="G7310" t="s">
        <v>1782</v>
      </c>
      <c r="H7310">
        <v>7</v>
      </c>
      <c r="I7310">
        <v>95.3</v>
      </c>
      <c r="J7310" s="50">
        <v>667.1</v>
      </c>
      <c r="K7310" t="s">
        <v>1632</v>
      </c>
      <c r="M7310" t="s">
        <v>1624</v>
      </c>
      <c r="N7310">
        <v>50.3</v>
      </c>
      <c r="O7310" s="49">
        <v>45158</v>
      </c>
      <c r="P7310" s="50">
        <v>300.19499999999999</v>
      </c>
    </row>
    <row r="7311" spans="4:16" x14ac:dyDescent="0.2">
      <c r="D7311">
        <v>100004348</v>
      </c>
      <c r="E7311" s="49">
        <v>45604</v>
      </c>
      <c r="F7311" t="s">
        <v>5716</v>
      </c>
      <c r="G7311" t="s">
        <v>1652</v>
      </c>
      <c r="H7311">
        <v>4</v>
      </c>
      <c r="I7311">
        <v>37.86</v>
      </c>
      <c r="J7311" s="50">
        <v>151.44</v>
      </c>
      <c r="K7311" t="s">
        <v>1632</v>
      </c>
      <c r="M7311" t="s">
        <v>1621</v>
      </c>
      <c r="N7311">
        <v>19.98</v>
      </c>
      <c r="O7311" s="49">
        <v>45607</v>
      </c>
      <c r="P7311" s="50">
        <v>68.147999999999996</v>
      </c>
    </row>
    <row r="7312" spans="4:16" x14ac:dyDescent="0.2">
      <c r="D7312">
        <v>100004348</v>
      </c>
      <c r="E7312" s="49">
        <v>45593</v>
      </c>
      <c r="F7312" t="s">
        <v>5716</v>
      </c>
      <c r="G7312" t="s">
        <v>1710</v>
      </c>
      <c r="H7312">
        <v>2</v>
      </c>
      <c r="I7312">
        <v>15.1</v>
      </c>
      <c r="J7312" s="50">
        <v>30.2</v>
      </c>
      <c r="K7312" t="s">
        <v>1632</v>
      </c>
      <c r="M7312" t="s">
        <v>1627</v>
      </c>
      <c r="N7312">
        <v>7.97</v>
      </c>
      <c r="O7312" s="49">
        <v>45596</v>
      </c>
      <c r="P7312" s="50">
        <v>13.59</v>
      </c>
    </row>
    <row r="7313" spans="4:16" x14ac:dyDescent="0.2">
      <c r="D7313">
        <v>100004348</v>
      </c>
      <c r="E7313" s="49">
        <v>44918</v>
      </c>
      <c r="F7313" t="s">
        <v>5716</v>
      </c>
      <c r="G7313" t="s">
        <v>2132</v>
      </c>
      <c r="H7313">
        <v>1</v>
      </c>
      <c r="I7313">
        <v>21.27</v>
      </c>
      <c r="J7313" s="50">
        <v>21.27</v>
      </c>
      <c r="K7313" t="s">
        <v>1632</v>
      </c>
      <c r="M7313" t="s">
        <v>1619</v>
      </c>
      <c r="N7313">
        <v>11.23</v>
      </c>
      <c r="O7313" s="49">
        <v>44922</v>
      </c>
      <c r="P7313" s="50">
        <v>9.5715000000000003</v>
      </c>
    </row>
    <row r="7314" spans="4:16" x14ac:dyDescent="0.2">
      <c r="D7314">
        <v>100004350</v>
      </c>
      <c r="E7314" s="49">
        <v>44781</v>
      </c>
      <c r="F7314" t="s">
        <v>5717</v>
      </c>
      <c r="G7314" t="s">
        <v>2005</v>
      </c>
      <c r="H7314">
        <v>6</v>
      </c>
      <c r="I7314">
        <v>58.31</v>
      </c>
      <c r="J7314" s="50">
        <v>349.86</v>
      </c>
      <c r="K7314" t="s">
        <v>1618</v>
      </c>
      <c r="M7314" t="s">
        <v>1621</v>
      </c>
      <c r="N7314">
        <v>30.77</v>
      </c>
      <c r="O7314" s="49">
        <v>44785</v>
      </c>
      <c r="P7314" s="50">
        <v>157.43700000000001</v>
      </c>
    </row>
    <row r="7315" spans="4:16" x14ac:dyDescent="0.2">
      <c r="D7315">
        <v>100004350</v>
      </c>
      <c r="E7315" s="49">
        <v>44568</v>
      </c>
      <c r="F7315" t="s">
        <v>5717</v>
      </c>
      <c r="G7315" t="s">
        <v>2387</v>
      </c>
      <c r="H7315">
        <v>7</v>
      </c>
      <c r="I7315">
        <v>111.07</v>
      </c>
      <c r="J7315" s="50">
        <v>777.49</v>
      </c>
      <c r="K7315" t="s">
        <v>1618</v>
      </c>
      <c r="M7315" t="s">
        <v>1621</v>
      </c>
      <c r="N7315">
        <v>58.62</v>
      </c>
      <c r="O7315" s="49">
        <v>44573</v>
      </c>
      <c r="P7315" s="50">
        <v>349.87049999999999</v>
      </c>
    </row>
    <row r="7316" spans="4:16" x14ac:dyDescent="0.2">
      <c r="D7316">
        <v>100004351</v>
      </c>
      <c r="E7316" s="49">
        <v>44651</v>
      </c>
      <c r="F7316" t="s">
        <v>5718</v>
      </c>
      <c r="G7316" t="s">
        <v>1676</v>
      </c>
      <c r="H7316">
        <v>3</v>
      </c>
      <c r="I7316">
        <v>77.52</v>
      </c>
      <c r="J7316" s="50">
        <v>232.56</v>
      </c>
      <c r="K7316" t="s">
        <v>1618</v>
      </c>
      <c r="M7316" t="s">
        <v>1619</v>
      </c>
      <c r="N7316">
        <v>40.909999999999997</v>
      </c>
      <c r="O7316" s="49">
        <v>44653</v>
      </c>
      <c r="P7316" s="50">
        <v>104.652</v>
      </c>
    </row>
    <row r="7317" spans="4:16" x14ac:dyDescent="0.2">
      <c r="D7317">
        <v>100004351</v>
      </c>
      <c r="E7317" s="49">
        <v>44283</v>
      </c>
      <c r="F7317" t="s">
        <v>5718</v>
      </c>
      <c r="G7317" t="s">
        <v>2412</v>
      </c>
      <c r="H7317">
        <v>3</v>
      </c>
      <c r="I7317">
        <v>106.21</v>
      </c>
      <c r="J7317" s="50">
        <v>318.63</v>
      </c>
      <c r="K7317" t="s">
        <v>1618</v>
      </c>
      <c r="M7317" t="s">
        <v>1619</v>
      </c>
      <c r="N7317">
        <v>56.05</v>
      </c>
      <c r="O7317" s="49">
        <v>44287</v>
      </c>
      <c r="P7317" s="50">
        <v>143.3835</v>
      </c>
    </row>
    <row r="7318" spans="4:16" x14ac:dyDescent="0.2">
      <c r="D7318">
        <v>100004351</v>
      </c>
      <c r="E7318" s="49">
        <v>45574</v>
      </c>
      <c r="F7318" t="s">
        <v>5718</v>
      </c>
      <c r="G7318" t="s">
        <v>2134</v>
      </c>
      <c r="H7318">
        <v>9</v>
      </c>
      <c r="I7318">
        <v>109.63</v>
      </c>
      <c r="J7318" s="50">
        <v>986.67</v>
      </c>
      <c r="K7318" t="s">
        <v>1618</v>
      </c>
      <c r="M7318" t="s">
        <v>1624</v>
      </c>
      <c r="N7318">
        <v>57.86</v>
      </c>
      <c r="O7318" s="49">
        <v>45578</v>
      </c>
      <c r="P7318" s="50">
        <v>444.00149999999996</v>
      </c>
    </row>
    <row r="7319" spans="4:16" x14ac:dyDescent="0.2">
      <c r="D7319">
        <v>100004357</v>
      </c>
      <c r="E7319" s="49">
        <v>45067</v>
      </c>
      <c r="F7319" t="s">
        <v>5719</v>
      </c>
      <c r="G7319" t="s">
        <v>2331</v>
      </c>
      <c r="H7319">
        <v>10</v>
      </c>
      <c r="I7319">
        <v>43.54</v>
      </c>
      <c r="J7319" s="50">
        <v>435.4</v>
      </c>
      <c r="K7319" t="s">
        <v>1632</v>
      </c>
      <c r="L7319" t="s">
        <v>5720</v>
      </c>
      <c r="M7319" t="s">
        <v>1627</v>
      </c>
      <c r="N7319">
        <v>22.98</v>
      </c>
      <c r="O7319" s="49">
        <v>45068</v>
      </c>
      <c r="P7319" s="50">
        <v>195.93</v>
      </c>
    </row>
    <row r="7320" spans="4:16" x14ac:dyDescent="0.2">
      <c r="D7320">
        <v>100004357</v>
      </c>
      <c r="E7320" s="49">
        <v>44642</v>
      </c>
      <c r="F7320" t="s">
        <v>5719</v>
      </c>
      <c r="G7320" t="s">
        <v>1922</v>
      </c>
      <c r="H7320">
        <v>4</v>
      </c>
      <c r="I7320">
        <v>50.82</v>
      </c>
      <c r="J7320" s="50">
        <v>203.28</v>
      </c>
      <c r="K7320" t="s">
        <v>1632</v>
      </c>
      <c r="L7320" t="s">
        <v>5720</v>
      </c>
      <c r="M7320" t="s">
        <v>1627</v>
      </c>
      <c r="N7320">
        <v>26.82</v>
      </c>
      <c r="O7320" s="49">
        <v>44647</v>
      </c>
      <c r="P7320" s="50">
        <v>91.475999999999999</v>
      </c>
    </row>
    <row r="7321" spans="4:16" x14ac:dyDescent="0.2">
      <c r="D7321">
        <v>100004357</v>
      </c>
      <c r="E7321" s="49">
        <v>45560</v>
      </c>
      <c r="F7321" t="s">
        <v>5719</v>
      </c>
      <c r="G7321" t="s">
        <v>1830</v>
      </c>
      <c r="H7321">
        <v>2</v>
      </c>
      <c r="I7321">
        <v>78.75</v>
      </c>
      <c r="J7321" s="50">
        <v>157.5</v>
      </c>
      <c r="K7321" t="s">
        <v>1632</v>
      </c>
      <c r="L7321" t="s">
        <v>5720</v>
      </c>
      <c r="M7321" t="s">
        <v>1629</v>
      </c>
      <c r="N7321">
        <v>41.56</v>
      </c>
      <c r="O7321" s="49">
        <v>45563</v>
      </c>
      <c r="P7321" s="50">
        <v>70.875</v>
      </c>
    </row>
    <row r="7322" spans="4:16" x14ac:dyDescent="0.2">
      <c r="D7322">
        <v>100004357</v>
      </c>
      <c r="E7322" s="49">
        <v>44433</v>
      </c>
      <c r="F7322" t="s">
        <v>5719</v>
      </c>
      <c r="G7322" t="s">
        <v>1669</v>
      </c>
      <c r="H7322">
        <v>2</v>
      </c>
      <c r="I7322">
        <v>41.45</v>
      </c>
      <c r="J7322" s="50">
        <v>82.9</v>
      </c>
      <c r="K7322" t="s">
        <v>1632</v>
      </c>
      <c r="L7322" t="s">
        <v>5720</v>
      </c>
      <c r="M7322" t="s">
        <v>1621</v>
      </c>
      <c r="N7322">
        <v>21.88</v>
      </c>
      <c r="O7322" s="49">
        <v>44435</v>
      </c>
      <c r="P7322" s="50">
        <v>37.305000000000007</v>
      </c>
    </row>
    <row r="7323" spans="4:16" x14ac:dyDescent="0.2">
      <c r="D7323">
        <v>100004358</v>
      </c>
      <c r="E7323" s="49">
        <v>44865</v>
      </c>
      <c r="F7323" t="s">
        <v>5721</v>
      </c>
      <c r="G7323" t="s">
        <v>1953</v>
      </c>
      <c r="H7323">
        <v>9</v>
      </c>
      <c r="I7323">
        <v>59.03</v>
      </c>
      <c r="J7323" s="50">
        <v>531.27</v>
      </c>
      <c r="K7323" t="s">
        <v>1632</v>
      </c>
      <c r="M7323" t="s">
        <v>1627</v>
      </c>
      <c r="N7323">
        <v>31.15</v>
      </c>
      <c r="O7323" s="49">
        <v>44866</v>
      </c>
      <c r="P7323" s="50">
        <v>239.07149999999999</v>
      </c>
    </row>
    <row r="7324" spans="4:16" x14ac:dyDescent="0.2">
      <c r="D7324">
        <v>100004359</v>
      </c>
      <c r="E7324" s="49">
        <v>45330</v>
      </c>
      <c r="F7324" t="s">
        <v>5722</v>
      </c>
      <c r="G7324" t="s">
        <v>1748</v>
      </c>
      <c r="H7324">
        <v>6</v>
      </c>
      <c r="I7324">
        <v>14.83</v>
      </c>
      <c r="J7324" s="50">
        <v>88.98</v>
      </c>
      <c r="K7324" t="s">
        <v>1618</v>
      </c>
      <c r="L7324" t="s">
        <v>5723</v>
      </c>
      <c r="M7324" t="s">
        <v>1624</v>
      </c>
      <c r="N7324">
        <v>7.83</v>
      </c>
      <c r="O7324" s="49">
        <v>45331</v>
      </c>
      <c r="P7324" s="50">
        <v>40.041000000000004</v>
      </c>
    </row>
    <row r="7325" spans="4:16" x14ac:dyDescent="0.2">
      <c r="D7325">
        <v>100004359</v>
      </c>
      <c r="E7325" s="49">
        <v>44830</v>
      </c>
      <c r="F7325" t="s">
        <v>5722</v>
      </c>
      <c r="G7325" t="s">
        <v>1712</v>
      </c>
      <c r="H7325">
        <v>4</v>
      </c>
      <c r="I7325">
        <v>12.31</v>
      </c>
      <c r="J7325" s="50">
        <v>49.24</v>
      </c>
      <c r="K7325" t="s">
        <v>1618</v>
      </c>
      <c r="L7325" t="s">
        <v>5723</v>
      </c>
      <c r="M7325" t="s">
        <v>1624</v>
      </c>
      <c r="N7325">
        <v>6.5</v>
      </c>
      <c r="O7325" s="49">
        <v>44835</v>
      </c>
      <c r="P7325" s="50">
        <v>22.158000000000001</v>
      </c>
    </row>
    <row r="7326" spans="4:16" x14ac:dyDescent="0.2">
      <c r="D7326">
        <v>100004360</v>
      </c>
      <c r="E7326" s="49">
        <v>45467</v>
      </c>
      <c r="F7326" t="s">
        <v>5724</v>
      </c>
      <c r="G7326" t="s">
        <v>1649</v>
      </c>
      <c r="H7326">
        <v>6</v>
      </c>
      <c r="I7326">
        <v>119.95</v>
      </c>
      <c r="J7326" s="50">
        <v>719.7</v>
      </c>
      <c r="K7326" t="s">
        <v>1632</v>
      </c>
      <c r="M7326" t="s">
        <v>1624</v>
      </c>
      <c r="N7326">
        <v>63.31</v>
      </c>
      <c r="O7326" s="49">
        <v>45471</v>
      </c>
      <c r="P7326" s="50">
        <v>323.86500000000001</v>
      </c>
    </row>
    <row r="7327" spans="4:16" x14ac:dyDescent="0.2">
      <c r="D7327">
        <v>100004360</v>
      </c>
      <c r="E7327" s="49">
        <v>45116</v>
      </c>
      <c r="F7327" t="s">
        <v>5724</v>
      </c>
      <c r="G7327" t="s">
        <v>2112</v>
      </c>
      <c r="H7327">
        <v>6</v>
      </c>
      <c r="I7327">
        <v>92.26</v>
      </c>
      <c r="J7327" s="50">
        <v>553.56000000000006</v>
      </c>
      <c r="K7327" t="s">
        <v>1632</v>
      </c>
      <c r="M7327" t="s">
        <v>1619</v>
      </c>
      <c r="N7327">
        <v>48.69</v>
      </c>
      <c r="O7327" s="49">
        <v>45121</v>
      </c>
      <c r="P7327" s="50">
        <v>249.10200000000003</v>
      </c>
    </row>
    <row r="7328" spans="4:16" x14ac:dyDescent="0.2">
      <c r="D7328">
        <v>100004361</v>
      </c>
      <c r="E7328" s="49">
        <v>44332</v>
      </c>
      <c r="F7328" t="s">
        <v>5725</v>
      </c>
      <c r="G7328" t="s">
        <v>1827</v>
      </c>
      <c r="H7328">
        <v>4</v>
      </c>
      <c r="I7328">
        <v>80.900000000000006</v>
      </c>
      <c r="J7328" s="50">
        <v>323.60000000000002</v>
      </c>
      <c r="K7328" t="s">
        <v>1618</v>
      </c>
      <c r="L7328" t="s">
        <v>5726</v>
      </c>
      <c r="M7328" t="s">
        <v>1624</v>
      </c>
      <c r="N7328">
        <v>42.7</v>
      </c>
      <c r="O7328" s="49">
        <v>44336</v>
      </c>
      <c r="P7328" s="50">
        <v>145.62</v>
      </c>
    </row>
    <row r="7329" spans="4:16" x14ac:dyDescent="0.2">
      <c r="D7329">
        <v>100004361</v>
      </c>
      <c r="E7329" s="49">
        <v>44788</v>
      </c>
      <c r="F7329" t="s">
        <v>5725</v>
      </c>
      <c r="G7329" t="s">
        <v>1848</v>
      </c>
      <c r="H7329">
        <v>5</v>
      </c>
      <c r="I7329">
        <v>56.03</v>
      </c>
      <c r="J7329" s="50">
        <v>280.14999999999998</v>
      </c>
      <c r="K7329" t="s">
        <v>1618</v>
      </c>
      <c r="L7329" t="s">
        <v>5726</v>
      </c>
      <c r="M7329" t="s">
        <v>1627</v>
      </c>
      <c r="N7329">
        <v>29.57</v>
      </c>
      <c r="O7329" s="49">
        <v>44789</v>
      </c>
      <c r="P7329" s="50">
        <v>126.0675</v>
      </c>
    </row>
    <row r="7330" spans="4:16" x14ac:dyDescent="0.2">
      <c r="D7330">
        <v>100004361</v>
      </c>
      <c r="E7330" s="49">
        <v>44578</v>
      </c>
      <c r="F7330" t="s">
        <v>5725</v>
      </c>
      <c r="G7330" t="s">
        <v>2192</v>
      </c>
      <c r="H7330">
        <v>4</v>
      </c>
      <c r="I7330">
        <v>86.44</v>
      </c>
      <c r="J7330" s="50">
        <v>345.76</v>
      </c>
      <c r="K7330" t="s">
        <v>1618</v>
      </c>
      <c r="L7330" t="s">
        <v>5726</v>
      </c>
      <c r="M7330" t="s">
        <v>1624</v>
      </c>
      <c r="N7330">
        <v>45.62</v>
      </c>
      <c r="O7330" s="49">
        <v>44580</v>
      </c>
      <c r="P7330" s="50">
        <v>155.59200000000001</v>
      </c>
    </row>
    <row r="7331" spans="4:16" x14ac:dyDescent="0.2">
      <c r="D7331">
        <v>100004361</v>
      </c>
      <c r="E7331" s="49">
        <v>45268</v>
      </c>
      <c r="F7331" t="s">
        <v>5725</v>
      </c>
      <c r="G7331" t="s">
        <v>1958</v>
      </c>
      <c r="H7331">
        <v>8</v>
      </c>
      <c r="I7331">
        <v>14.09</v>
      </c>
      <c r="J7331" s="50">
        <v>112.72</v>
      </c>
      <c r="K7331" t="s">
        <v>1618</v>
      </c>
      <c r="L7331" t="s">
        <v>5726</v>
      </c>
      <c r="M7331" t="s">
        <v>1627</v>
      </c>
      <c r="N7331">
        <v>7.44</v>
      </c>
      <c r="O7331" s="49">
        <v>45269</v>
      </c>
      <c r="P7331" s="50">
        <v>50.724000000000004</v>
      </c>
    </row>
    <row r="7332" spans="4:16" x14ac:dyDescent="0.2">
      <c r="D7332">
        <v>100004362</v>
      </c>
      <c r="E7332" s="49">
        <v>44550</v>
      </c>
      <c r="F7332" t="s">
        <v>5727</v>
      </c>
      <c r="G7332" t="s">
        <v>1737</v>
      </c>
      <c r="H7332">
        <v>5</v>
      </c>
      <c r="I7332">
        <v>99.16</v>
      </c>
      <c r="J7332" s="50">
        <v>495.8</v>
      </c>
      <c r="K7332" t="s">
        <v>1618</v>
      </c>
      <c r="L7332" t="s">
        <v>2488</v>
      </c>
      <c r="M7332" t="s">
        <v>1627</v>
      </c>
      <c r="N7332">
        <v>52.33</v>
      </c>
      <c r="O7332" s="49">
        <v>44555</v>
      </c>
      <c r="P7332" s="50">
        <v>223.11</v>
      </c>
    </row>
    <row r="7333" spans="4:16" x14ac:dyDescent="0.2">
      <c r="D7333">
        <v>100004362</v>
      </c>
      <c r="E7333" s="49">
        <v>44304</v>
      </c>
      <c r="F7333" t="s">
        <v>5727</v>
      </c>
      <c r="G7333" t="s">
        <v>1841</v>
      </c>
      <c r="H7333">
        <v>7</v>
      </c>
      <c r="I7333">
        <v>71.760000000000005</v>
      </c>
      <c r="J7333" s="50">
        <v>502.32000000000011</v>
      </c>
      <c r="K7333" t="s">
        <v>1618</v>
      </c>
      <c r="L7333" t="s">
        <v>2488</v>
      </c>
      <c r="M7333" t="s">
        <v>1627</v>
      </c>
      <c r="N7333">
        <v>37.869999999999997</v>
      </c>
      <c r="O7333" s="49">
        <v>44308</v>
      </c>
      <c r="P7333" s="50">
        <v>226.04400000000004</v>
      </c>
    </row>
    <row r="7334" spans="4:16" x14ac:dyDescent="0.2">
      <c r="D7334">
        <v>100004363</v>
      </c>
      <c r="E7334" s="49">
        <v>45176</v>
      </c>
      <c r="F7334" t="s">
        <v>5728</v>
      </c>
      <c r="G7334" t="s">
        <v>1828</v>
      </c>
      <c r="H7334">
        <v>2</v>
      </c>
      <c r="I7334">
        <v>108.75</v>
      </c>
      <c r="J7334" s="50">
        <v>217.5</v>
      </c>
      <c r="K7334" t="s">
        <v>1632</v>
      </c>
      <c r="L7334" t="s">
        <v>2195</v>
      </c>
      <c r="M7334" t="s">
        <v>1629</v>
      </c>
      <c r="N7334">
        <v>57.4</v>
      </c>
      <c r="O7334" s="49">
        <v>45181</v>
      </c>
      <c r="P7334" s="50">
        <v>97.875</v>
      </c>
    </row>
    <row r="7335" spans="4:16" x14ac:dyDescent="0.2">
      <c r="D7335">
        <v>100004363</v>
      </c>
      <c r="E7335" s="49">
        <v>44632</v>
      </c>
      <c r="F7335" t="s">
        <v>5728</v>
      </c>
      <c r="G7335" t="s">
        <v>1901</v>
      </c>
      <c r="H7335">
        <v>9</v>
      </c>
      <c r="I7335">
        <v>36.71</v>
      </c>
      <c r="J7335" s="50">
        <v>330.39</v>
      </c>
      <c r="K7335" t="s">
        <v>1632</v>
      </c>
      <c r="L7335" t="s">
        <v>2195</v>
      </c>
      <c r="M7335" t="s">
        <v>1627</v>
      </c>
      <c r="N7335">
        <v>19.37</v>
      </c>
      <c r="O7335" s="49">
        <v>44635</v>
      </c>
      <c r="P7335" s="50">
        <v>148.6755</v>
      </c>
    </row>
    <row r="7336" spans="4:16" x14ac:dyDescent="0.2">
      <c r="D7336">
        <v>100004363</v>
      </c>
      <c r="E7336" s="49">
        <v>44845</v>
      </c>
      <c r="F7336" t="s">
        <v>5728</v>
      </c>
      <c r="G7336" t="s">
        <v>1932</v>
      </c>
      <c r="H7336">
        <v>3</v>
      </c>
      <c r="I7336">
        <v>44.9</v>
      </c>
      <c r="J7336" s="50">
        <v>134.69999999999999</v>
      </c>
      <c r="K7336" t="s">
        <v>1632</v>
      </c>
      <c r="L7336" t="s">
        <v>2195</v>
      </c>
      <c r="M7336" t="s">
        <v>1627</v>
      </c>
      <c r="N7336">
        <v>23.7</v>
      </c>
      <c r="O7336" s="49">
        <v>44846</v>
      </c>
      <c r="P7336" s="50">
        <v>60.614999999999995</v>
      </c>
    </row>
    <row r="7337" spans="4:16" x14ac:dyDescent="0.2">
      <c r="D7337">
        <v>100004364</v>
      </c>
      <c r="E7337" s="49">
        <v>44488</v>
      </c>
      <c r="F7337" t="s">
        <v>5729</v>
      </c>
      <c r="G7337" t="s">
        <v>1859</v>
      </c>
      <c r="H7337">
        <v>3</v>
      </c>
      <c r="I7337">
        <v>75.88</v>
      </c>
      <c r="J7337" s="50">
        <v>227.64</v>
      </c>
      <c r="K7337" t="s">
        <v>1618</v>
      </c>
      <c r="M7337" t="s">
        <v>1624</v>
      </c>
      <c r="N7337">
        <v>40.049999999999997</v>
      </c>
      <c r="O7337" s="49">
        <v>44492</v>
      </c>
      <c r="P7337" s="50">
        <v>102.438</v>
      </c>
    </row>
    <row r="7338" spans="4:16" x14ac:dyDescent="0.2">
      <c r="D7338">
        <v>100004365</v>
      </c>
      <c r="E7338" s="49">
        <v>45172</v>
      </c>
      <c r="F7338" t="s">
        <v>5730</v>
      </c>
      <c r="G7338" t="s">
        <v>1937</v>
      </c>
      <c r="H7338">
        <v>3</v>
      </c>
      <c r="I7338">
        <v>83.43</v>
      </c>
      <c r="J7338" s="50">
        <v>250.29</v>
      </c>
      <c r="K7338" t="s">
        <v>1618</v>
      </c>
      <c r="L7338" t="s">
        <v>5731</v>
      </c>
      <c r="M7338" t="s">
        <v>1621</v>
      </c>
      <c r="N7338">
        <v>44.03</v>
      </c>
      <c r="O7338" s="49">
        <v>45174</v>
      </c>
      <c r="P7338" s="50">
        <v>112.6305</v>
      </c>
    </row>
    <row r="7339" spans="4:16" x14ac:dyDescent="0.2">
      <c r="D7339">
        <v>100004366</v>
      </c>
      <c r="E7339" s="49">
        <v>44820</v>
      </c>
      <c r="F7339" t="s">
        <v>5732</v>
      </c>
      <c r="G7339" t="s">
        <v>2023</v>
      </c>
      <c r="H7339">
        <v>5</v>
      </c>
      <c r="I7339">
        <v>45.99</v>
      </c>
      <c r="J7339" s="50">
        <v>229.95</v>
      </c>
      <c r="K7339" t="s">
        <v>1632</v>
      </c>
      <c r="M7339" t="s">
        <v>1621</v>
      </c>
      <c r="N7339">
        <v>24.27</v>
      </c>
      <c r="O7339" s="49">
        <v>44822</v>
      </c>
      <c r="P7339" s="50">
        <v>103.47749999999999</v>
      </c>
    </row>
    <row r="7340" spans="4:16" x14ac:dyDescent="0.2">
      <c r="D7340">
        <v>100004367</v>
      </c>
      <c r="E7340" s="49">
        <v>45107</v>
      </c>
      <c r="F7340" t="s">
        <v>5733</v>
      </c>
      <c r="G7340" t="s">
        <v>2111</v>
      </c>
      <c r="H7340">
        <v>4</v>
      </c>
      <c r="I7340">
        <v>49.36</v>
      </c>
      <c r="J7340" s="50">
        <v>197.44</v>
      </c>
      <c r="K7340" t="s">
        <v>1618</v>
      </c>
      <c r="M7340" t="s">
        <v>1624</v>
      </c>
      <c r="N7340">
        <v>26.05</v>
      </c>
      <c r="O7340" s="49">
        <v>45112</v>
      </c>
      <c r="P7340" s="50">
        <v>88.847999999999999</v>
      </c>
    </row>
    <row r="7341" spans="4:16" x14ac:dyDescent="0.2">
      <c r="D7341">
        <v>100004367</v>
      </c>
      <c r="E7341" s="49">
        <v>44578</v>
      </c>
      <c r="F7341" t="s">
        <v>5733</v>
      </c>
      <c r="G7341" t="s">
        <v>2343</v>
      </c>
      <c r="H7341">
        <v>6</v>
      </c>
      <c r="I7341">
        <v>98.52</v>
      </c>
      <c r="J7341" s="50">
        <v>591.12</v>
      </c>
      <c r="K7341" t="s">
        <v>1618</v>
      </c>
      <c r="M7341" t="s">
        <v>1627</v>
      </c>
      <c r="N7341">
        <v>52</v>
      </c>
      <c r="O7341" s="49">
        <v>44583</v>
      </c>
      <c r="P7341" s="50">
        <v>266.00400000000002</v>
      </c>
    </row>
    <row r="7342" spans="4:16" x14ac:dyDescent="0.2">
      <c r="D7342">
        <v>100004367</v>
      </c>
      <c r="E7342" s="49">
        <v>44806</v>
      </c>
      <c r="F7342" t="s">
        <v>5733</v>
      </c>
      <c r="G7342" t="s">
        <v>1661</v>
      </c>
      <c r="H7342">
        <v>10</v>
      </c>
      <c r="I7342">
        <v>82.89</v>
      </c>
      <c r="J7342" s="50">
        <v>828.9</v>
      </c>
      <c r="K7342" t="s">
        <v>1618</v>
      </c>
      <c r="M7342" t="s">
        <v>1624</v>
      </c>
      <c r="N7342">
        <v>43.75</v>
      </c>
      <c r="O7342" s="49">
        <v>44808</v>
      </c>
      <c r="P7342" s="50">
        <v>373.005</v>
      </c>
    </row>
    <row r="7343" spans="4:16" x14ac:dyDescent="0.2">
      <c r="D7343">
        <v>100004367</v>
      </c>
      <c r="E7343" s="49">
        <v>45238</v>
      </c>
      <c r="F7343" t="s">
        <v>5733</v>
      </c>
      <c r="G7343" t="s">
        <v>1738</v>
      </c>
      <c r="H7343">
        <v>10</v>
      </c>
      <c r="I7343">
        <v>52.75</v>
      </c>
      <c r="J7343" s="50">
        <v>527.5</v>
      </c>
      <c r="K7343" t="s">
        <v>1618</v>
      </c>
      <c r="M7343" t="s">
        <v>1619</v>
      </c>
      <c r="N7343">
        <v>27.84</v>
      </c>
      <c r="O7343" s="49">
        <v>45240</v>
      </c>
      <c r="P7343" s="50">
        <v>237.375</v>
      </c>
    </row>
    <row r="7344" spans="4:16" x14ac:dyDescent="0.2">
      <c r="D7344">
        <v>100004368</v>
      </c>
      <c r="E7344" s="49">
        <v>45625</v>
      </c>
      <c r="F7344" t="s">
        <v>5734</v>
      </c>
      <c r="G7344" t="s">
        <v>1958</v>
      </c>
      <c r="H7344">
        <v>9</v>
      </c>
      <c r="I7344">
        <v>26.2</v>
      </c>
      <c r="J7344" s="50">
        <v>235.8</v>
      </c>
      <c r="K7344" t="s">
        <v>1618</v>
      </c>
      <c r="M7344" t="s">
        <v>1629</v>
      </c>
      <c r="N7344">
        <v>13.83</v>
      </c>
      <c r="O7344" s="49">
        <v>45627</v>
      </c>
      <c r="P7344" s="50">
        <v>106.11000000000001</v>
      </c>
    </row>
    <row r="7345" spans="4:16" x14ac:dyDescent="0.2">
      <c r="D7345">
        <v>100004368</v>
      </c>
      <c r="E7345" s="49">
        <v>45062</v>
      </c>
      <c r="F7345" t="s">
        <v>5734</v>
      </c>
      <c r="G7345" t="s">
        <v>1658</v>
      </c>
      <c r="H7345">
        <v>5</v>
      </c>
      <c r="I7345">
        <v>22.14</v>
      </c>
      <c r="J7345" s="50">
        <v>110.7</v>
      </c>
      <c r="K7345" t="s">
        <v>1618</v>
      </c>
      <c r="M7345" t="s">
        <v>1629</v>
      </c>
      <c r="N7345">
        <v>11.68</v>
      </c>
      <c r="O7345" s="49">
        <v>45063</v>
      </c>
      <c r="P7345" s="50">
        <v>49.815000000000005</v>
      </c>
    </row>
    <row r="7346" spans="4:16" x14ac:dyDescent="0.2">
      <c r="D7346">
        <v>100004370</v>
      </c>
      <c r="E7346" s="49">
        <v>45534</v>
      </c>
      <c r="F7346" t="s">
        <v>5735</v>
      </c>
      <c r="G7346" t="s">
        <v>1620</v>
      </c>
      <c r="H7346">
        <v>7</v>
      </c>
      <c r="I7346">
        <v>71.41</v>
      </c>
      <c r="J7346" s="50">
        <v>499.87</v>
      </c>
      <c r="K7346" t="s">
        <v>1618</v>
      </c>
      <c r="L7346" t="s">
        <v>5720</v>
      </c>
      <c r="M7346" t="s">
        <v>1621</v>
      </c>
      <c r="N7346">
        <v>37.69</v>
      </c>
      <c r="O7346" s="49">
        <v>45538</v>
      </c>
      <c r="P7346" s="50">
        <v>224.94150000000002</v>
      </c>
    </row>
    <row r="7347" spans="4:16" x14ac:dyDescent="0.2">
      <c r="D7347">
        <v>100004372</v>
      </c>
      <c r="E7347" s="49">
        <v>44842</v>
      </c>
      <c r="F7347" t="s">
        <v>5736</v>
      </c>
      <c r="G7347" t="s">
        <v>2158</v>
      </c>
      <c r="H7347">
        <v>1</v>
      </c>
      <c r="I7347">
        <v>57.92</v>
      </c>
      <c r="J7347" s="50">
        <v>57.92</v>
      </c>
      <c r="K7347" t="s">
        <v>1618</v>
      </c>
      <c r="M7347" t="s">
        <v>1627</v>
      </c>
      <c r="N7347">
        <v>30.57</v>
      </c>
      <c r="O7347" s="49">
        <v>44845</v>
      </c>
      <c r="P7347" s="50">
        <v>26.064</v>
      </c>
    </row>
    <row r="7348" spans="4:16" x14ac:dyDescent="0.2">
      <c r="D7348">
        <v>100004372</v>
      </c>
      <c r="E7348" s="49">
        <v>44381</v>
      </c>
      <c r="F7348" t="s">
        <v>5736</v>
      </c>
      <c r="G7348" t="s">
        <v>1990</v>
      </c>
      <c r="H7348">
        <v>8</v>
      </c>
      <c r="I7348">
        <v>44.75</v>
      </c>
      <c r="J7348" s="50">
        <v>358</v>
      </c>
      <c r="K7348" t="s">
        <v>1618</v>
      </c>
      <c r="M7348" t="s">
        <v>1621</v>
      </c>
      <c r="N7348">
        <v>23.62</v>
      </c>
      <c r="O7348" s="49">
        <v>44386</v>
      </c>
      <c r="P7348" s="50">
        <v>161.1</v>
      </c>
    </row>
    <row r="7349" spans="4:16" x14ac:dyDescent="0.2">
      <c r="D7349">
        <v>100004372</v>
      </c>
      <c r="E7349" s="49">
        <v>45532</v>
      </c>
      <c r="F7349" t="s">
        <v>5736</v>
      </c>
      <c r="G7349" t="s">
        <v>2733</v>
      </c>
      <c r="H7349">
        <v>1</v>
      </c>
      <c r="I7349">
        <v>30.18</v>
      </c>
      <c r="J7349" s="50">
        <v>30.18</v>
      </c>
      <c r="K7349" t="s">
        <v>1618</v>
      </c>
      <c r="M7349" t="s">
        <v>1627</v>
      </c>
      <c r="N7349">
        <v>15.93</v>
      </c>
      <c r="O7349" s="49">
        <v>45534</v>
      </c>
      <c r="P7349" s="50">
        <v>13.581</v>
      </c>
    </row>
    <row r="7350" spans="4:16" x14ac:dyDescent="0.2">
      <c r="D7350">
        <v>100004374</v>
      </c>
      <c r="E7350" s="49">
        <v>44487</v>
      </c>
      <c r="F7350" t="s">
        <v>5737</v>
      </c>
      <c r="G7350" t="s">
        <v>2306</v>
      </c>
      <c r="H7350">
        <v>6</v>
      </c>
      <c r="I7350">
        <v>63.15</v>
      </c>
      <c r="J7350" s="50">
        <v>378.9</v>
      </c>
      <c r="K7350" t="s">
        <v>1618</v>
      </c>
      <c r="M7350" t="s">
        <v>1624</v>
      </c>
      <c r="N7350">
        <v>33.33</v>
      </c>
      <c r="O7350" s="49">
        <v>44488</v>
      </c>
      <c r="P7350" s="50">
        <v>170.505</v>
      </c>
    </row>
    <row r="7351" spans="4:16" x14ac:dyDescent="0.2">
      <c r="D7351">
        <v>100004376</v>
      </c>
      <c r="E7351" s="49">
        <v>45188</v>
      </c>
      <c r="F7351" t="s">
        <v>5738</v>
      </c>
      <c r="G7351" t="s">
        <v>1865</v>
      </c>
      <c r="H7351">
        <v>10</v>
      </c>
      <c r="I7351">
        <v>18.8</v>
      </c>
      <c r="J7351" s="50">
        <v>188</v>
      </c>
      <c r="K7351" t="s">
        <v>1618</v>
      </c>
      <c r="M7351" t="s">
        <v>1621</v>
      </c>
      <c r="N7351">
        <v>9.92</v>
      </c>
      <c r="O7351" s="49">
        <v>45192</v>
      </c>
      <c r="P7351" s="50">
        <v>84.600000000000009</v>
      </c>
    </row>
    <row r="7352" spans="4:16" x14ac:dyDescent="0.2">
      <c r="D7352">
        <v>100004377</v>
      </c>
      <c r="E7352" s="49">
        <v>44303</v>
      </c>
      <c r="F7352" t="s">
        <v>5739</v>
      </c>
      <c r="G7352" t="s">
        <v>1731</v>
      </c>
      <c r="H7352">
        <v>10</v>
      </c>
      <c r="I7352">
        <v>93.27</v>
      </c>
      <c r="J7352" s="50">
        <v>932.69999999999993</v>
      </c>
      <c r="K7352" t="s">
        <v>1618</v>
      </c>
      <c r="M7352" t="s">
        <v>1627</v>
      </c>
      <c r="N7352">
        <v>49.23</v>
      </c>
      <c r="O7352" s="49">
        <v>44305</v>
      </c>
      <c r="P7352" s="50">
        <v>419.71499999999997</v>
      </c>
    </row>
    <row r="7353" spans="4:16" x14ac:dyDescent="0.2">
      <c r="D7353">
        <v>100004379</v>
      </c>
      <c r="E7353" s="49">
        <v>45013</v>
      </c>
      <c r="F7353" t="s">
        <v>5740</v>
      </c>
      <c r="G7353" t="s">
        <v>1890</v>
      </c>
      <c r="H7353">
        <v>4</v>
      </c>
      <c r="I7353">
        <v>50.73</v>
      </c>
      <c r="J7353" s="50">
        <v>202.92</v>
      </c>
      <c r="K7353" t="s">
        <v>1632</v>
      </c>
      <c r="M7353" t="s">
        <v>1619</v>
      </c>
      <c r="N7353">
        <v>26.77</v>
      </c>
      <c r="O7353" s="49">
        <v>45015</v>
      </c>
      <c r="P7353" s="50">
        <v>91.313999999999993</v>
      </c>
    </row>
    <row r="7354" spans="4:16" x14ac:dyDescent="0.2">
      <c r="D7354">
        <v>100004380</v>
      </c>
      <c r="E7354" s="49">
        <v>44202</v>
      </c>
      <c r="F7354" t="s">
        <v>5741</v>
      </c>
      <c r="G7354" t="s">
        <v>1897</v>
      </c>
      <c r="H7354">
        <v>3</v>
      </c>
      <c r="I7354">
        <v>70.38</v>
      </c>
      <c r="J7354" s="50">
        <v>211.14</v>
      </c>
      <c r="K7354" t="s">
        <v>1618</v>
      </c>
      <c r="L7354" t="s">
        <v>5742</v>
      </c>
      <c r="M7354" t="s">
        <v>1619</v>
      </c>
      <c r="N7354">
        <v>37.14</v>
      </c>
      <c r="O7354" s="49">
        <v>44203</v>
      </c>
      <c r="P7354" s="50">
        <v>95.012999999999991</v>
      </c>
    </row>
    <row r="7355" spans="4:16" x14ac:dyDescent="0.2">
      <c r="D7355">
        <v>100004380</v>
      </c>
      <c r="E7355" s="49">
        <v>45429</v>
      </c>
      <c r="F7355" t="s">
        <v>5741</v>
      </c>
      <c r="G7355" t="s">
        <v>2005</v>
      </c>
      <c r="H7355">
        <v>5</v>
      </c>
      <c r="I7355">
        <v>105.81</v>
      </c>
      <c r="J7355" s="50">
        <v>529.04999999999995</v>
      </c>
      <c r="K7355" t="s">
        <v>1618</v>
      </c>
      <c r="L7355" t="s">
        <v>5742</v>
      </c>
      <c r="M7355" t="s">
        <v>1627</v>
      </c>
      <c r="N7355">
        <v>55.84</v>
      </c>
      <c r="O7355" s="49">
        <v>45434</v>
      </c>
      <c r="P7355" s="50">
        <v>238.07249999999999</v>
      </c>
    </row>
    <row r="7356" spans="4:16" x14ac:dyDescent="0.2">
      <c r="D7356">
        <v>100004380</v>
      </c>
      <c r="E7356" s="49">
        <v>44758</v>
      </c>
      <c r="F7356" t="s">
        <v>5741</v>
      </c>
      <c r="G7356" t="s">
        <v>2004</v>
      </c>
      <c r="H7356">
        <v>2</v>
      </c>
      <c r="I7356">
        <v>72.040000000000006</v>
      </c>
      <c r="J7356" s="50">
        <v>144.08000000000001</v>
      </c>
      <c r="K7356" t="s">
        <v>1618</v>
      </c>
      <c r="L7356" t="s">
        <v>5742</v>
      </c>
      <c r="M7356" t="s">
        <v>1629</v>
      </c>
      <c r="N7356">
        <v>38.020000000000003</v>
      </c>
      <c r="O7356" s="49">
        <v>44759</v>
      </c>
      <c r="P7356" s="50">
        <v>64.836000000000013</v>
      </c>
    </row>
    <row r="7357" spans="4:16" x14ac:dyDescent="0.2">
      <c r="D7357">
        <v>100004380</v>
      </c>
      <c r="E7357" s="49">
        <v>44402</v>
      </c>
      <c r="F7357" t="s">
        <v>5741</v>
      </c>
      <c r="G7357" t="s">
        <v>2150</v>
      </c>
      <c r="H7357">
        <v>7</v>
      </c>
      <c r="I7357">
        <v>48.01</v>
      </c>
      <c r="J7357" s="50">
        <v>336.07</v>
      </c>
      <c r="K7357" t="s">
        <v>1618</v>
      </c>
      <c r="L7357" t="s">
        <v>5742</v>
      </c>
      <c r="M7357" t="s">
        <v>1619</v>
      </c>
      <c r="N7357">
        <v>25.34</v>
      </c>
      <c r="O7357" s="49">
        <v>44403</v>
      </c>
      <c r="P7357" s="50">
        <v>151.23150000000001</v>
      </c>
    </row>
    <row r="7358" spans="4:16" x14ac:dyDescent="0.2">
      <c r="D7358">
        <v>100004380</v>
      </c>
      <c r="E7358" s="49">
        <v>44803</v>
      </c>
      <c r="F7358" t="s">
        <v>5741</v>
      </c>
      <c r="G7358" t="s">
        <v>1978</v>
      </c>
      <c r="H7358">
        <v>9</v>
      </c>
      <c r="I7358">
        <v>61.52</v>
      </c>
      <c r="J7358" s="50">
        <v>553.68000000000006</v>
      </c>
      <c r="K7358" t="s">
        <v>1618</v>
      </c>
      <c r="L7358" t="s">
        <v>5742</v>
      </c>
      <c r="M7358" t="s">
        <v>1627</v>
      </c>
      <c r="N7358">
        <v>32.47</v>
      </c>
      <c r="O7358" s="49">
        <v>44805</v>
      </c>
      <c r="P7358" s="50">
        <v>249.15600000000003</v>
      </c>
    </row>
    <row r="7359" spans="4:16" x14ac:dyDescent="0.2">
      <c r="D7359">
        <v>100004380</v>
      </c>
      <c r="E7359" s="49">
        <v>44531</v>
      </c>
      <c r="F7359" t="s">
        <v>5741</v>
      </c>
      <c r="G7359" t="s">
        <v>2707</v>
      </c>
      <c r="H7359">
        <v>4</v>
      </c>
      <c r="I7359">
        <v>92.77</v>
      </c>
      <c r="J7359" s="50">
        <v>371.08</v>
      </c>
      <c r="K7359" t="s">
        <v>1618</v>
      </c>
      <c r="L7359" t="s">
        <v>5742</v>
      </c>
      <c r="M7359" t="s">
        <v>1624</v>
      </c>
      <c r="N7359">
        <v>48.96</v>
      </c>
      <c r="O7359" s="49">
        <v>44534</v>
      </c>
      <c r="P7359" s="50">
        <v>166.98599999999999</v>
      </c>
    </row>
    <row r="7360" spans="4:16" x14ac:dyDescent="0.2">
      <c r="D7360">
        <v>100004381</v>
      </c>
      <c r="E7360" s="49">
        <v>44856</v>
      </c>
      <c r="F7360" t="s">
        <v>5743</v>
      </c>
      <c r="G7360" t="s">
        <v>1918</v>
      </c>
      <c r="H7360">
        <v>8</v>
      </c>
      <c r="I7360">
        <v>49.48</v>
      </c>
      <c r="J7360" s="50">
        <v>395.84</v>
      </c>
      <c r="K7360" t="s">
        <v>1632</v>
      </c>
      <c r="M7360" t="s">
        <v>1619</v>
      </c>
      <c r="N7360">
        <v>26.11</v>
      </c>
      <c r="O7360" s="49">
        <v>44860</v>
      </c>
      <c r="P7360" s="50">
        <v>178.12799999999999</v>
      </c>
    </row>
    <row r="7361" spans="4:16" x14ac:dyDescent="0.2">
      <c r="D7361">
        <v>100004382</v>
      </c>
      <c r="E7361" s="49">
        <v>45596</v>
      </c>
      <c r="F7361" t="s">
        <v>5744</v>
      </c>
      <c r="G7361" t="s">
        <v>1967</v>
      </c>
      <c r="H7361">
        <v>10</v>
      </c>
      <c r="I7361">
        <v>61.44</v>
      </c>
      <c r="J7361" s="50">
        <v>614.4</v>
      </c>
      <c r="K7361" t="s">
        <v>1632</v>
      </c>
      <c r="L7361" t="s">
        <v>4456</v>
      </c>
      <c r="M7361" t="s">
        <v>1629</v>
      </c>
      <c r="N7361">
        <v>32.43</v>
      </c>
      <c r="O7361" s="49">
        <v>45598</v>
      </c>
      <c r="P7361" s="50">
        <v>276.48</v>
      </c>
    </row>
    <row r="7362" spans="4:16" x14ac:dyDescent="0.2">
      <c r="D7362">
        <v>100004383</v>
      </c>
      <c r="E7362" s="49">
        <v>45480</v>
      </c>
      <c r="F7362" t="s">
        <v>5745</v>
      </c>
      <c r="G7362" t="s">
        <v>2305</v>
      </c>
      <c r="H7362">
        <v>3</v>
      </c>
      <c r="I7362">
        <v>47.42</v>
      </c>
      <c r="J7362" s="50">
        <v>142.26</v>
      </c>
      <c r="K7362" t="s">
        <v>1618</v>
      </c>
      <c r="M7362" t="s">
        <v>1627</v>
      </c>
      <c r="N7362">
        <v>25.03</v>
      </c>
      <c r="O7362" s="49">
        <v>45484</v>
      </c>
      <c r="P7362" s="50">
        <v>64.016999999999996</v>
      </c>
    </row>
    <row r="7363" spans="4:16" x14ac:dyDescent="0.2">
      <c r="D7363">
        <v>100004383</v>
      </c>
      <c r="E7363" s="49">
        <v>44510</v>
      </c>
      <c r="F7363" t="s">
        <v>5745</v>
      </c>
      <c r="G7363" t="s">
        <v>1950</v>
      </c>
      <c r="H7363">
        <v>8</v>
      </c>
      <c r="I7363">
        <v>84.77</v>
      </c>
      <c r="J7363" s="50">
        <v>678.16</v>
      </c>
      <c r="K7363" t="s">
        <v>1618</v>
      </c>
      <c r="M7363" t="s">
        <v>1624</v>
      </c>
      <c r="N7363">
        <v>44.74</v>
      </c>
      <c r="O7363" s="49">
        <v>44515</v>
      </c>
      <c r="P7363" s="50">
        <v>305.17199999999997</v>
      </c>
    </row>
    <row r="7364" spans="4:16" x14ac:dyDescent="0.2">
      <c r="D7364">
        <v>100004383</v>
      </c>
      <c r="E7364" s="49">
        <v>44629</v>
      </c>
      <c r="F7364" t="s">
        <v>5745</v>
      </c>
      <c r="G7364" t="s">
        <v>1758</v>
      </c>
      <c r="H7364">
        <v>6</v>
      </c>
      <c r="I7364">
        <v>112.45</v>
      </c>
      <c r="J7364" s="50">
        <v>674.7</v>
      </c>
      <c r="K7364" t="s">
        <v>1618</v>
      </c>
      <c r="M7364" t="s">
        <v>1619</v>
      </c>
      <c r="N7364">
        <v>59.35</v>
      </c>
      <c r="O7364" s="49">
        <v>44634</v>
      </c>
      <c r="P7364" s="50">
        <v>303.61500000000001</v>
      </c>
    </row>
    <row r="7365" spans="4:16" x14ac:dyDescent="0.2">
      <c r="D7365">
        <v>100004383</v>
      </c>
      <c r="E7365" s="49">
        <v>45260</v>
      </c>
      <c r="F7365" t="s">
        <v>5745</v>
      </c>
      <c r="G7365" t="s">
        <v>2436</v>
      </c>
      <c r="H7365">
        <v>4</v>
      </c>
      <c r="I7365">
        <v>67.55</v>
      </c>
      <c r="J7365" s="50">
        <v>270.2</v>
      </c>
      <c r="K7365" t="s">
        <v>1618</v>
      </c>
      <c r="M7365" t="s">
        <v>1627</v>
      </c>
      <c r="N7365">
        <v>35.65</v>
      </c>
      <c r="O7365" s="49">
        <v>45262</v>
      </c>
      <c r="P7365" s="50">
        <v>121.59</v>
      </c>
    </row>
    <row r="7366" spans="4:16" x14ac:dyDescent="0.2">
      <c r="D7366">
        <v>100004384</v>
      </c>
      <c r="E7366" s="49">
        <v>45408</v>
      </c>
      <c r="F7366" t="s">
        <v>5746</v>
      </c>
      <c r="G7366" t="s">
        <v>1882</v>
      </c>
      <c r="H7366">
        <v>3</v>
      </c>
      <c r="I7366">
        <v>117.62</v>
      </c>
      <c r="J7366" s="50">
        <v>352.86</v>
      </c>
      <c r="K7366" t="s">
        <v>1618</v>
      </c>
      <c r="M7366" t="s">
        <v>1624</v>
      </c>
      <c r="N7366">
        <v>62.08</v>
      </c>
      <c r="O7366" s="49">
        <v>45409</v>
      </c>
      <c r="P7366" s="50">
        <v>158.78700000000001</v>
      </c>
    </row>
    <row r="7367" spans="4:16" x14ac:dyDescent="0.2">
      <c r="D7367">
        <v>100004384</v>
      </c>
      <c r="E7367" s="49">
        <v>45416</v>
      </c>
      <c r="F7367" t="s">
        <v>5746</v>
      </c>
      <c r="G7367" t="s">
        <v>1987</v>
      </c>
      <c r="H7367">
        <v>10</v>
      </c>
      <c r="I7367">
        <v>58.75</v>
      </c>
      <c r="J7367" s="50">
        <v>587.5</v>
      </c>
      <c r="K7367" t="s">
        <v>1618</v>
      </c>
      <c r="M7367" t="s">
        <v>1619</v>
      </c>
      <c r="N7367">
        <v>31.01</v>
      </c>
      <c r="O7367" s="49">
        <v>45418</v>
      </c>
      <c r="P7367" s="50">
        <v>264.375</v>
      </c>
    </row>
    <row r="7368" spans="4:16" x14ac:dyDescent="0.2">
      <c r="D7368">
        <v>100004384</v>
      </c>
      <c r="E7368" s="49">
        <v>45306</v>
      </c>
      <c r="F7368" t="s">
        <v>5746</v>
      </c>
      <c r="G7368" t="s">
        <v>2337</v>
      </c>
      <c r="H7368">
        <v>10</v>
      </c>
      <c r="I7368">
        <v>16.579999999999998</v>
      </c>
      <c r="J7368" s="50">
        <v>165.8</v>
      </c>
      <c r="K7368" t="s">
        <v>1618</v>
      </c>
      <c r="M7368" t="s">
        <v>1619</v>
      </c>
      <c r="N7368">
        <v>8.75</v>
      </c>
      <c r="O7368" s="49">
        <v>45310</v>
      </c>
      <c r="P7368" s="50">
        <v>74.610000000000014</v>
      </c>
    </row>
    <row r="7369" spans="4:16" x14ac:dyDescent="0.2">
      <c r="D7369">
        <v>100004384</v>
      </c>
      <c r="E7369" s="49">
        <v>44843</v>
      </c>
      <c r="F7369" t="s">
        <v>5746</v>
      </c>
      <c r="G7369" t="s">
        <v>1617</v>
      </c>
      <c r="H7369">
        <v>6</v>
      </c>
      <c r="I7369">
        <v>75.540000000000006</v>
      </c>
      <c r="J7369" s="50">
        <v>453.24</v>
      </c>
      <c r="K7369" t="s">
        <v>1618</v>
      </c>
      <c r="M7369" t="s">
        <v>1627</v>
      </c>
      <c r="N7369">
        <v>39.869999999999997</v>
      </c>
      <c r="O7369" s="49">
        <v>44848</v>
      </c>
      <c r="P7369" s="50">
        <v>203.958</v>
      </c>
    </row>
    <row r="7370" spans="4:16" x14ac:dyDescent="0.2">
      <c r="D7370">
        <v>100004385</v>
      </c>
      <c r="E7370" s="49">
        <v>44348</v>
      </c>
      <c r="F7370" t="s">
        <v>5747</v>
      </c>
      <c r="G7370" t="s">
        <v>1855</v>
      </c>
      <c r="H7370">
        <v>10</v>
      </c>
      <c r="I7370">
        <v>56.25</v>
      </c>
      <c r="J7370" s="50">
        <v>562.5</v>
      </c>
      <c r="K7370" t="s">
        <v>1618</v>
      </c>
      <c r="M7370" t="s">
        <v>1621</v>
      </c>
      <c r="N7370">
        <v>29.69</v>
      </c>
      <c r="O7370" s="49">
        <v>44353</v>
      </c>
      <c r="P7370" s="50">
        <v>253.125</v>
      </c>
    </row>
    <row r="7371" spans="4:16" x14ac:dyDescent="0.2">
      <c r="D7371">
        <v>100004385</v>
      </c>
      <c r="E7371" s="49">
        <v>45067</v>
      </c>
      <c r="F7371" t="s">
        <v>5747</v>
      </c>
      <c r="G7371" t="s">
        <v>2016</v>
      </c>
      <c r="H7371">
        <v>4</v>
      </c>
      <c r="I7371">
        <v>77.069999999999993</v>
      </c>
      <c r="J7371" s="50">
        <v>308.27999999999997</v>
      </c>
      <c r="K7371" t="s">
        <v>1618</v>
      </c>
      <c r="M7371" t="s">
        <v>1624</v>
      </c>
      <c r="N7371">
        <v>40.68</v>
      </c>
      <c r="O7371" s="49">
        <v>45068</v>
      </c>
      <c r="P7371" s="50">
        <v>138.726</v>
      </c>
    </row>
    <row r="7372" spans="4:16" x14ac:dyDescent="0.2">
      <c r="D7372">
        <v>100004385</v>
      </c>
      <c r="E7372" s="49">
        <v>44654</v>
      </c>
      <c r="F7372" t="s">
        <v>5747</v>
      </c>
      <c r="G7372" t="s">
        <v>1823</v>
      </c>
      <c r="H7372">
        <v>7</v>
      </c>
      <c r="I7372">
        <v>16.649999999999999</v>
      </c>
      <c r="J7372" s="50">
        <v>116.55</v>
      </c>
      <c r="K7372" t="s">
        <v>1618</v>
      </c>
      <c r="M7372" t="s">
        <v>1619</v>
      </c>
      <c r="N7372">
        <v>8.7899999999999991</v>
      </c>
      <c r="O7372" s="49">
        <v>44658</v>
      </c>
      <c r="P7372" s="50">
        <v>52.447499999999998</v>
      </c>
    </row>
    <row r="7373" spans="4:16" x14ac:dyDescent="0.2">
      <c r="D7373">
        <v>100004385</v>
      </c>
      <c r="E7373" s="49">
        <v>45046</v>
      </c>
      <c r="F7373" t="s">
        <v>5747</v>
      </c>
      <c r="G7373" t="s">
        <v>1722</v>
      </c>
      <c r="H7373">
        <v>8</v>
      </c>
      <c r="I7373">
        <v>34.119999999999997</v>
      </c>
      <c r="J7373" s="50">
        <v>272.95999999999998</v>
      </c>
      <c r="K7373" t="s">
        <v>1618</v>
      </c>
      <c r="M7373" t="s">
        <v>1627</v>
      </c>
      <c r="N7373">
        <v>18.010000000000002</v>
      </c>
      <c r="O7373" s="49">
        <v>45048</v>
      </c>
      <c r="P7373" s="50">
        <v>122.83199999999999</v>
      </c>
    </row>
    <row r="7374" spans="4:16" x14ac:dyDescent="0.2">
      <c r="D7374">
        <v>100004386</v>
      </c>
      <c r="E7374" s="49">
        <v>44449</v>
      </c>
      <c r="F7374" t="s">
        <v>5748</v>
      </c>
      <c r="G7374" t="s">
        <v>2585</v>
      </c>
      <c r="H7374">
        <v>8</v>
      </c>
      <c r="I7374">
        <v>37.82</v>
      </c>
      <c r="J7374" s="50">
        <v>302.56</v>
      </c>
      <c r="K7374" t="s">
        <v>1618</v>
      </c>
      <c r="M7374" t="s">
        <v>1624</v>
      </c>
      <c r="N7374">
        <v>19.96</v>
      </c>
      <c r="O7374" s="49">
        <v>44454</v>
      </c>
      <c r="P7374" s="50">
        <v>136.15200000000002</v>
      </c>
    </row>
    <row r="7375" spans="4:16" x14ac:dyDescent="0.2">
      <c r="D7375">
        <v>100004387</v>
      </c>
      <c r="E7375" s="49">
        <v>45439</v>
      </c>
      <c r="F7375" t="s">
        <v>5749</v>
      </c>
      <c r="G7375" t="s">
        <v>2210</v>
      </c>
      <c r="H7375">
        <v>5</v>
      </c>
      <c r="I7375">
        <v>78.52</v>
      </c>
      <c r="J7375" s="50">
        <v>392.6</v>
      </c>
      <c r="K7375" t="s">
        <v>1632</v>
      </c>
      <c r="M7375" t="s">
        <v>1629</v>
      </c>
      <c r="N7375">
        <v>41.44</v>
      </c>
      <c r="O7375" s="49">
        <v>45441</v>
      </c>
      <c r="P7375" s="50">
        <v>176.67000000000002</v>
      </c>
    </row>
    <row r="7376" spans="4:16" x14ac:dyDescent="0.2">
      <c r="D7376">
        <v>100004388</v>
      </c>
      <c r="E7376" s="49">
        <v>45428</v>
      </c>
      <c r="F7376" t="s">
        <v>5750</v>
      </c>
      <c r="G7376" t="s">
        <v>1738</v>
      </c>
      <c r="H7376">
        <v>2</v>
      </c>
      <c r="I7376">
        <v>84.15</v>
      </c>
      <c r="J7376" s="50">
        <v>168.3</v>
      </c>
      <c r="K7376" t="s">
        <v>1618</v>
      </c>
      <c r="L7376" t="s">
        <v>4198</v>
      </c>
      <c r="M7376" t="s">
        <v>1619</v>
      </c>
      <c r="N7376">
        <v>44.41</v>
      </c>
      <c r="O7376" s="49">
        <v>45432</v>
      </c>
      <c r="P7376" s="50">
        <v>75.735000000000014</v>
      </c>
    </row>
    <row r="7377" spans="4:16" x14ac:dyDescent="0.2">
      <c r="D7377">
        <v>100004390</v>
      </c>
      <c r="E7377" s="49">
        <v>45494</v>
      </c>
      <c r="F7377" t="s">
        <v>5751</v>
      </c>
      <c r="G7377" t="s">
        <v>1671</v>
      </c>
      <c r="H7377">
        <v>2</v>
      </c>
      <c r="I7377">
        <v>115.79</v>
      </c>
      <c r="J7377" s="50">
        <v>231.58</v>
      </c>
      <c r="K7377" t="s">
        <v>1618</v>
      </c>
      <c r="M7377" t="s">
        <v>1624</v>
      </c>
      <c r="N7377">
        <v>61.11</v>
      </c>
      <c r="O7377" s="49">
        <v>45497</v>
      </c>
      <c r="P7377" s="50">
        <v>104.21100000000001</v>
      </c>
    </row>
    <row r="7378" spans="4:16" x14ac:dyDescent="0.2">
      <c r="D7378">
        <v>100004390</v>
      </c>
      <c r="E7378" s="49">
        <v>44514</v>
      </c>
      <c r="F7378" t="s">
        <v>5751</v>
      </c>
      <c r="G7378" t="s">
        <v>2023</v>
      </c>
      <c r="H7378">
        <v>1</v>
      </c>
      <c r="I7378">
        <v>72.77</v>
      </c>
      <c r="J7378" s="50">
        <v>72.77</v>
      </c>
      <c r="K7378" t="s">
        <v>1618</v>
      </c>
      <c r="M7378" t="s">
        <v>1619</v>
      </c>
      <c r="N7378">
        <v>38.409999999999997</v>
      </c>
      <c r="O7378" s="49">
        <v>44515</v>
      </c>
      <c r="P7378" s="50">
        <v>32.746499999999997</v>
      </c>
    </row>
    <row r="7379" spans="4:16" x14ac:dyDescent="0.2">
      <c r="D7379">
        <v>100004391</v>
      </c>
      <c r="E7379" s="49">
        <v>44341</v>
      </c>
      <c r="F7379" t="s">
        <v>5752</v>
      </c>
      <c r="G7379" t="s">
        <v>1743</v>
      </c>
      <c r="H7379">
        <v>1</v>
      </c>
      <c r="I7379">
        <v>55.33</v>
      </c>
      <c r="J7379" s="50">
        <v>55.33</v>
      </c>
      <c r="K7379" t="s">
        <v>1632</v>
      </c>
      <c r="M7379" t="s">
        <v>1621</v>
      </c>
      <c r="N7379">
        <v>29.2</v>
      </c>
      <c r="O7379" s="49">
        <v>44343</v>
      </c>
      <c r="P7379" s="50">
        <v>24.898499999999999</v>
      </c>
    </row>
    <row r="7380" spans="4:16" x14ac:dyDescent="0.2">
      <c r="D7380">
        <v>100004391</v>
      </c>
      <c r="E7380" s="49">
        <v>44722</v>
      </c>
      <c r="F7380" t="s">
        <v>5752</v>
      </c>
      <c r="G7380" t="s">
        <v>2112</v>
      </c>
      <c r="H7380">
        <v>8</v>
      </c>
      <c r="I7380">
        <v>31.62</v>
      </c>
      <c r="J7380" s="50">
        <v>252.96</v>
      </c>
      <c r="K7380" t="s">
        <v>1632</v>
      </c>
      <c r="M7380" t="s">
        <v>1619</v>
      </c>
      <c r="N7380">
        <v>16.690000000000001</v>
      </c>
      <c r="O7380" s="49">
        <v>44727</v>
      </c>
      <c r="P7380" s="50">
        <v>113.83200000000001</v>
      </c>
    </row>
    <row r="7381" spans="4:16" x14ac:dyDescent="0.2">
      <c r="D7381">
        <v>100004391</v>
      </c>
      <c r="E7381" s="49">
        <v>45019</v>
      </c>
      <c r="F7381" t="s">
        <v>5752</v>
      </c>
      <c r="G7381" t="s">
        <v>2372</v>
      </c>
      <c r="H7381">
        <v>9</v>
      </c>
      <c r="I7381">
        <v>90.77</v>
      </c>
      <c r="J7381" s="50">
        <v>816.93</v>
      </c>
      <c r="K7381" t="s">
        <v>1632</v>
      </c>
      <c r="M7381" t="s">
        <v>1621</v>
      </c>
      <c r="N7381">
        <v>47.91</v>
      </c>
      <c r="O7381" s="49">
        <v>45022</v>
      </c>
      <c r="P7381" s="50">
        <v>367.61849999999998</v>
      </c>
    </row>
    <row r="7382" spans="4:16" x14ac:dyDescent="0.2">
      <c r="D7382">
        <v>100004391</v>
      </c>
      <c r="E7382" s="49">
        <v>44543</v>
      </c>
      <c r="F7382" t="s">
        <v>5752</v>
      </c>
      <c r="G7382" t="s">
        <v>1693</v>
      </c>
      <c r="H7382">
        <v>7</v>
      </c>
      <c r="I7382">
        <v>77.209999999999994</v>
      </c>
      <c r="J7382" s="50">
        <v>540.46999999999991</v>
      </c>
      <c r="K7382" t="s">
        <v>1632</v>
      </c>
      <c r="M7382" t="s">
        <v>1621</v>
      </c>
      <c r="N7382">
        <v>40.75</v>
      </c>
      <c r="O7382" s="49">
        <v>44546</v>
      </c>
      <c r="P7382" s="50">
        <v>243.21149999999997</v>
      </c>
    </row>
    <row r="7383" spans="4:16" x14ac:dyDescent="0.2">
      <c r="D7383">
        <v>100004391</v>
      </c>
      <c r="E7383" s="49">
        <v>45155</v>
      </c>
      <c r="F7383" t="s">
        <v>5752</v>
      </c>
      <c r="G7383" t="s">
        <v>2269</v>
      </c>
      <c r="H7383">
        <v>7</v>
      </c>
      <c r="I7383">
        <v>12.52</v>
      </c>
      <c r="J7383" s="50">
        <v>87.64</v>
      </c>
      <c r="K7383" t="s">
        <v>1632</v>
      </c>
      <c r="M7383" t="s">
        <v>1627</v>
      </c>
      <c r="N7383">
        <v>6.61</v>
      </c>
      <c r="O7383" s="49">
        <v>45157</v>
      </c>
      <c r="P7383" s="50">
        <v>39.438000000000002</v>
      </c>
    </row>
    <row r="7384" spans="4:16" x14ac:dyDescent="0.2">
      <c r="D7384">
        <v>100004393</v>
      </c>
      <c r="E7384" s="49">
        <v>44785</v>
      </c>
      <c r="F7384" t="s">
        <v>5753</v>
      </c>
      <c r="G7384" t="s">
        <v>2571</v>
      </c>
      <c r="H7384">
        <v>4</v>
      </c>
      <c r="I7384">
        <v>107.19</v>
      </c>
      <c r="J7384" s="50">
        <v>428.76</v>
      </c>
      <c r="K7384" t="s">
        <v>1632</v>
      </c>
      <c r="M7384" t="s">
        <v>1624</v>
      </c>
      <c r="N7384">
        <v>56.57</v>
      </c>
      <c r="O7384" s="49">
        <v>44787</v>
      </c>
      <c r="P7384" s="50">
        <v>192.94200000000001</v>
      </c>
    </row>
    <row r="7385" spans="4:16" x14ac:dyDescent="0.2">
      <c r="D7385">
        <v>100004393</v>
      </c>
      <c r="E7385" s="49">
        <v>44611</v>
      </c>
      <c r="F7385" t="s">
        <v>5753</v>
      </c>
      <c r="G7385" t="s">
        <v>1820</v>
      </c>
      <c r="H7385">
        <v>4</v>
      </c>
      <c r="I7385">
        <v>43.3</v>
      </c>
      <c r="J7385" s="50">
        <v>173.2</v>
      </c>
      <c r="K7385" t="s">
        <v>1632</v>
      </c>
      <c r="M7385" t="s">
        <v>1629</v>
      </c>
      <c r="N7385">
        <v>22.85</v>
      </c>
      <c r="O7385" s="49">
        <v>44614</v>
      </c>
      <c r="P7385" s="50">
        <v>77.94</v>
      </c>
    </row>
    <row r="7386" spans="4:16" x14ac:dyDescent="0.2">
      <c r="D7386">
        <v>100004393</v>
      </c>
      <c r="E7386" s="49">
        <v>45387</v>
      </c>
      <c r="F7386" t="s">
        <v>5753</v>
      </c>
      <c r="G7386" t="s">
        <v>1823</v>
      </c>
      <c r="H7386">
        <v>1</v>
      </c>
      <c r="I7386">
        <v>27.83</v>
      </c>
      <c r="J7386" s="50">
        <v>27.83</v>
      </c>
      <c r="K7386" t="s">
        <v>1632</v>
      </c>
      <c r="M7386" t="s">
        <v>1619</v>
      </c>
      <c r="N7386">
        <v>14.69</v>
      </c>
      <c r="O7386" s="49">
        <v>45389</v>
      </c>
      <c r="P7386" s="50">
        <v>12.5235</v>
      </c>
    </row>
    <row r="7387" spans="4:16" x14ac:dyDescent="0.2">
      <c r="D7387">
        <v>100004394</v>
      </c>
      <c r="E7387" s="49">
        <v>44742</v>
      </c>
      <c r="F7387" t="s">
        <v>5754</v>
      </c>
      <c r="G7387" t="s">
        <v>1841</v>
      </c>
      <c r="H7387">
        <v>5</v>
      </c>
      <c r="I7387">
        <v>71.510000000000005</v>
      </c>
      <c r="J7387" s="50">
        <v>357.55</v>
      </c>
      <c r="K7387" t="s">
        <v>1618</v>
      </c>
      <c r="L7387" t="s">
        <v>3731</v>
      </c>
      <c r="M7387" t="s">
        <v>1629</v>
      </c>
      <c r="N7387">
        <v>37.74</v>
      </c>
      <c r="O7387" s="49">
        <v>44746</v>
      </c>
      <c r="P7387" s="50">
        <v>160.89750000000001</v>
      </c>
    </row>
    <row r="7388" spans="4:16" x14ac:dyDescent="0.2">
      <c r="D7388">
        <v>100004395</v>
      </c>
      <c r="E7388" s="49">
        <v>45622</v>
      </c>
      <c r="F7388" t="s">
        <v>5755</v>
      </c>
      <c r="G7388" t="s">
        <v>2111</v>
      </c>
      <c r="H7388">
        <v>8</v>
      </c>
      <c r="I7388">
        <v>52.56</v>
      </c>
      <c r="J7388" s="50">
        <v>420.48</v>
      </c>
      <c r="K7388" t="s">
        <v>1618</v>
      </c>
      <c r="M7388" t="s">
        <v>1624</v>
      </c>
      <c r="N7388">
        <v>27.74</v>
      </c>
      <c r="O7388" s="49">
        <v>45623</v>
      </c>
      <c r="P7388" s="50">
        <v>189.21600000000001</v>
      </c>
    </row>
    <row r="7389" spans="4:16" x14ac:dyDescent="0.2">
      <c r="D7389">
        <v>100004396</v>
      </c>
      <c r="E7389" s="49">
        <v>45253</v>
      </c>
      <c r="F7389" t="s">
        <v>5756</v>
      </c>
      <c r="G7389" t="s">
        <v>1910</v>
      </c>
      <c r="H7389">
        <v>7</v>
      </c>
      <c r="I7389">
        <v>24.05</v>
      </c>
      <c r="J7389" s="50">
        <v>168.35</v>
      </c>
      <c r="K7389" t="s">
        <v>1618</v>
      </c>
      <c r="L7389" t="s">
        <v>3042</v>
      </c>
      <c r="M7389" t="s">
        <v>1629</v>
      </c>
      <c r="N7389">
        <v>12.69</v>
      </c>
      <c r="O7389" s="49">
        <v>45257</v>
      </c>
      <c r="P7389" s="50">
        <v>75.757499999999993</v>
      </c>
    </row>
    <row r="7390" spans="4:16" x14ac:dyDescent="0.2">
      <c r="D7390">
        <v>100004398</v>
      </c>
      <c r="E7390" s="49">
        <v>44904</v>
      </c>
      <c r="F7390" t="s">
        <v>5757</v>
      </c>
      <c r="G7390" t="s">
        <v>1921</v>
      </c>
      <c r="H7390">
        <v>7</v>
      </c>
      <c r="I7390">
        <v>56.14</v>
      </c>
      <c r="J7390" s="50">
        <v>392.98</v>
      </c>
      <c r="K7390" t="s">
        <v>1618</v>
      </c>
      <c r="M7390" t="s">
        <v>1624</v>
      </c>
      <c r="N7390">
        <v>29.63</v>
      </c>
      <c r="O7390" s="49">
        <v>44908</v>
      </c>
      <c r="P7390" s="50">
        <v>176.84100000000001</v>
      </c>
    </row>
    <row r="7391" spans="4:16" x14ac:dyDescent="0.2">
      <c r="D7391">
        <v>100004398</v>
      </c>
      <c r="E7391" s="49">
        <v>44821</v>
      </c>
      <c r="F7391" t="s">
        <v>5757</v>
      </c>
      <c r="G7391" t="s">
        <v>2460</v>
      </c>
      <c r="H7391">
        <v>6</v>
      </c>
      <c r="I7391">
        <v>97.79</v>
      </c>
      <c r="J7391" s="50">
        <v>586.74</v>
      </c>
      <c r="K7391" t="s">
        <v>1618</v>
      </c>
      <c r="M7391" t="s">
        <v>1624</v>
      </c>
      <c r="N7391">
        <v>51.61</v>
      </c>
      <c r="O7391" s="49">
        <v>44824</v>
      </c>
      <c r="P7391" s="50">
        <v>264.03300000000002</v>
      </c>
    </row>
    <row r="7392" spans="4:16" x14ac:dyDescent="0.2">
      <c r="D7392">
        <v>100004399</v>
      </c>
      <c r="E7392" s="49">
        <v>45550</v>
      </c>
      <c r="F7392" t="s">
        <v>5758</v>
      </c>
      <c r="G7392" t="s">
        <v>1699</v>
      </c>
      <c r="H7392">
        <v>8</v>
      </c>
      <c r="I7392">
        <v>80.12</v>
      </c>
      <c r="J7392" s="50">
        <v>640.96</v>
      </c>
      <c r="K7392" t="s">
        <v>1632</v>
      </c>
      <c r="M7392" t="s">
        <v>1629</v>
      </c>
      <c r="N7392">
        <v>42.29</v>
      </c>
      <c r="O7392" s="49">
        <v>45555</v>
      </c>
      <c r="P7392" s="50">
        <v>288.43200000000002</v>
      </c>
    </row>
    <row r="7393" spans="4:16" x14ac:dyDescent="0.2">
      <c r="D7393">
        <v>100004399</v>
      </c>
      <c r="E7393" s="49">
        <v>45401</v>
      </c>
      <c r="F7393" t="s">
        <v>5758</v>
      </c>
      <c r="G7393" t="s">
        <v>2387</v>
      </c>
      <c r="H7393">
        <v>7</v>
      </c>
      <c r="I7393">
        <v>25.82</v>
      </c>
      <c r="J7393" s="50">
        <v>180.74</v>
      </c>
      <c r="K7393" t="s">
        <v>1632</v>
      </c>
      <c r="M7393" t="s">
        <v>1619</v>
      </c>
      <c r="N7393">
        <v>13.63</v>
      </c>
      <c r="O7393" s="49">
        <v>45403</v>
      </c>
      <c r="P7393" s="50">
        <v>81.333000000000013</v>
      </c>
    </row>
    <row r="7394" spans="4:16" x14ac:dyDescent="0.2">
      <c r="D7394">
        <v>100004399</v>
      </c>
      <c r="E7394" s="49">
        <v>45609</v>
      </c>
      <c r="F7394" t="s">
        <v>5758</v>
      </c>
      <c r="G7394" t="s">
        <v>2125</v>
      </c>
      <c r="H7394">
        <v>1</v>
      </c>
      <c r="I7394">
        <v>96.7</v>
      </c>
      <c r="J7394" s="50">
        <v>96.7</v>
      </c>
      <c r="K7394" t="s">
        <v>1632</v>
      </c>
      <c r="M7394" t="s">
        <v>1624</v>
      </c>
      <c r="N7394">
        <v>51.04</v>
      </c>
      <c r="O7394" s="49">
        <v>45610</v>
      </c>
      <c r="P7394" s="50">
        <v>43.515000000000001</v>
      </c>
    </row>
    <row r="7395" spans="4:16" x14ac:dyDescent="0.2">
      <c r="D7395">
        <v>100004399</v>
      </c>
      <c r="E7395" s="49">
        <v>44960</v>
      </c>
      <c r="F7395" t="s">
        <v>5758</v>
      </c>
      <c r="G7395" t="s">
        <v>2484</v>
      </c>
      <c r="H7395">
        <v>7</v>
      </c>
      <c r="I7395">
        <v>28.25</v>
      </c>
      <c r="J7395" s="50">
        <v>197.75</v>
      </c>
      <c r="K7395" t="s">
        <v>1632</v>
      </c>
      <c r="M7395" t="s">
        <v>1624</v>
      </c>
      <c r="N7395">
        <v>14.91</v>
      </c>
      <c r="O7395" s="49">
        <v>44963</v>
      </c>
      <c r="P7395" s="50">
        <v>88.987499999999997</v>
      </c>
    </row>
    <row r="7396" spans="4:16" x14ac:dyDescent="0.2">
      <c r="D7396">
        <v>100004399</v>
      </c>
      <c r="E7396" s="49">
        <v>44528</v>
      </c>
      <c r="F7396" t="s">
        <v>5758</v>
      </c>
      <c r="G7396" t="s">
        <v>2198</v>
      </c>
      <c r="H7396">
        <v>9</v>
      </c>
      <c r="I7396">
        <v>105.34</v>
      </c>
      <c r="J7396" s="50">
        <v>948.06000000000006</v>
      </c>
      <c r="K7396" t="s">
        <v>1632</v>
      </c>
      <c r="M7396" t="s">
        <v>1624</v>
      </c>
      <c r="N7396">
        <v>55.6</v>
      </c>
      <c r="O7396" s="49">
        <v>44529</v>
      </c>
      <c r="P7396" s="50">
        <v>426.62700000000001</v>
      </c>
    </row>
    <row r="7397" spans="4:16" x14ac:dyDescent="0.2">
      <c r="D7397">
        <v>100004399</v>
      </c>
      <c r="E7397" s="49">
        <v>45016</v>
      </c>
      <c r="F7397" t="s">
        <v>5758</v>
      </c>
      <c r="G7397" t="s">
        <v>2331</v>
      </c>
      <c r="H7397">
        <v>4</v>
      </c>
      <c r="I7397">
        <v>65.760000000000005</v>
      </c>
      <c r="J7397" s="50">
        <v>263.04000000000002</v>
      </c>
      <c r="K7397" t="s">
        <v>1632</v>
      </c>
      <c r="M7397" t="s">
        <v>1621</v>
      </c>
      <c r="N7397">
        <v>34.71</v>
      </c>
      <c r="O7397" s="49">
        <v>45020</v>
      </c>
      <c r="P7397" s="50">
        <v>118.36800000000001</v>
      </c>
    </row>
    <row r="7398" spans="4:16" x14ac:dyDescent="0.2">
      <c r="D7398">
        <v>100004400</v>
      </c>
      <c r="E7398" s="49">
        <v>45525</v>
      </c>
      <c r="F7398" t="s">
        <v>5759</v>
      </c>
      <c r="G7398" t="s">
        <v>3135</v>
      </c>
      <c r="H7398">
        <v>1</v>
      </c>
      <c r="I7398">
        <v>99.59</v>
      </c>
      <c r="J7398" s="50">
        <v>99.59</v>
      </c>
      <c r="K7398" t="s">
        <v>1618</v>
      </c>
      <c r="M7398" t="s">
        <v>1619</v>
      </c>
      <c r="N7398">
        <v>52.56</v>
      </c>
      <c r="O7398" s="49">
        <v>45527</v>
      </c>
      <c r="P7398" s="50">
        <v>44.8155</v>
      </c>
    </row>
    <row r="7399" spans="4:16" x14ac:dyDescent="0.2">
      <c r="D7399">
        <v>100004401</v>
      </c>
      <c r="E7399" s="49">
        <v>45332</v>
      </c>
      <c r="F7399" t="s">
        <v>5760</v>
      </c>
      <c r="G7399" t="s">
        <v>2017</v>
      </c>
      <c r="H7399">
        <v>2</v>
      </c>
      <c r="I7399">
        <v>14.88</v>
      </c>
      <c r="J7399" s="50">
        <v>29.76</v>
      </c>
      <c r="K7399" t="s">
        <v>1618</v>
      </c>
      <c r="M7399" t="s">
        <v>1629</v>
      </c>
      <c r="N7399">
        <v>7.85</v>
      </c>
      <c r="O7399" s="49">
        <v>45335</v>
      </c>
      <c r="P7399" s="50">
        <v>13.392000000000001</v>
      </c>
    </row>
    <row r="7400" spans="4:16" x14ac:dyDescent="0.2">
      <c r="D7400">
        <v>100004403</v>
      </c>
      <c r="E7400" s="49">
        <v>45409</v>
      </c>
      <c r="F7400" t="s">
        <v>5761</v>
      </c>
      <c r="G7400" t="s">
        <v>1626</v>
      </c>
      <c r="H7400">
        <v>6</v>
      </c>
      <c r="I7400">
        <v>17.89</v>
      </c>
      <c r="J7400" s="50">
        <v>107.34</v>
      </c>
      <c r="K7400" t="s">
        <v>1618</v>
      </c>
      <c r="L7400" t="s">
        <v>5762</v>
      </c>
      <c r="M7400" t="s">
        <v>1621</v>
      </c>
      <c r="N7400">
        <v>9.44</v>
      </c>
      <c r="O7400" s="49">
        <v>45414</v>
      </c>
      <c r="P7400" s="50">
        <v>48.303000000000004</v>
      </c>
    </row>
    <row r="7401" spans="4:16" x14ac:dyDescent="0.2">
      <c r="D7401">
        <v>100004403</v>
      </c>
      <c r="E7401" s="49">
        <v>44463</v>
      </c>
      <c r="F7401" t="s">
        <v>5761</v>
      </c>
      <c r="G7401" t="s">
        <v>1895</v>
      </c>
      <c r="H7401">
        <v>1</v>
      </c>
      <c r="I7401">
        <v>100.57</v>
      </c>
      <c r="J7401" s="50">
        <v>100.57</v>
      </c>
      <c r="K7401" t="s">
        <v>1618</v>
      </c>
      <c r="L7401" t="s">
        <v>5762</v>
      </c>
      <c r="M7401" t="s">
        <v>1624</v>
      </c>
      <c r="N7401">
        <v>53.08</v>
      </c>
      <c r="O7401" s="49">
        <v>44467</v>
      </c>
      <c r="P7401" s="50">
        <v>45.256499999999996</v>
      </c>
    </row>
    <row r="7402" spans="4:16" x14ac:dyDescent="0.2">
      <c r="D7402">
        <v>100004403</v>
      </c>
      <c r="E7402" s="49">
        <v>44574</v>
      </c>
      <c r="F7402" t="s">
        <v>5761</v>
      </c>
      <c r="G7402" t="s">
        <v>1958</v>
      </c>
      <c r="H7402">
        <v>2</v>
      </c>
      <c r="I7402">
        <v>95.02</v>
      </c>
      <c r="J7402" s="50">
        <v>190.04</v>
      </c>
      <c r="K7402" t="s">
        <v>1618</v>
      </c>
      <c r="L7402" t="s">
        <v>5762</v>
      </c>
      <c r="M7402" t="s">
        <v>1621</v>
      </c>
      <c r="N7402">
        <v>50.15</v>
      </c>
      <c r="O7402" s="49">
        <v>44577</v>
      </c>
      <c r="P7402" s="50">
        <v>85.518000000000001</v>
      </c>
    </row>
    <row r="7403" spans="4:16" x14ac:dyDescent="0.2">
      <c r="D7403">
        <v>100004404</v>
      </c>
      <c r="E7403" s="49">
        <v>45622</v>
      </c>
      <c r="F7403" t="s">
        <v>5252</v>
      </c>
      <c r="G7403" t="s">
        <v>2766</v>
      </c>
      <c r="H7403">
        <v>4</v>
      </c>
      <c r="I7403">
        <v>44.76</v>
      </c>
      <c r="J7403" s="50">
        <v>179.04</v>
      </c>
      <c r="K7403" t="s">
        <v>1632</v>
      </c>
      <c r="M7403" t="s">
        <v>1619</v>
      </c>
      <c r="N7403">
        <v>23.62</v>
      </c>
      <c r="O7403" s="49">
        <v>45626</v>
      </c>
      <c r="P7403" s="50">
        <v>80.567999999999998</v>
      </c>
    </row>
    <row r="7404" spans="4:16" x14ac:dyDescent="0.2">
      <c r="D7404">
        <v>100004404</v>
      </c>
      <c r="E7404" s="49">
        <v>44889</v>
      </c>
      <c r="F7404" t="s">
        <v>5252</v>
      </c>
      <c r="G7404" t="s">
        <v>2204</v>
      </c>
      <c r="H7404">
        <v>5</v>
      </c>
      <c r="I7404">
        <v>45.63</v>
      </c>
      <c r="J7404" s="50">
        <v>228.15</v>
      </c>
      <c r="K7404" t="s">
        <v>1632</v>
      </c>
      <c r="M7404" t="s">
        <v>1619</v>
      </c>
      <c r="N7404">
        <v>24.08</v>
      </c>
      <c r="O7404" s="49">
        <v>44891</v>
      </c>
      <c r="P7404" s="50">
        <v>102.6675</v>
      </c>
    </row>
    <row r="7405" spans="4:16" x14ac:dyDescent="0.2">
      <c r="D7405">
        <v>100004404</v>
      </c>
      <c r="E7405" s="49">
        <v>45655</v>
      </c>
      <c r="F7405" t="s">
        <v>5252</v>
      </c>
      <c r="G7405" t="s">
        <v>1812</v>
      </c>
      <c r="H7405">
        <v>6</v>
      </c>
      <c r="I7405">
        <v>44.01</v>
      </c>
      <c r="J7405" s="50">
        <v>264.06</v>
      </c>
      <c r="K7405" t="s">
        <v>1632</v>
      </c>
      <c r="M7405" t="s">
        <v>1619</v>
      </c>
      <c r="N7405">
        <v>23.23</v>
      </c>
      <c r="O7405" s="49">
        <v>45657</v>
      </c>
      <c r="P7405" s="50">
        <v>118.827</v>
      </c>
    </row>
    <row r="7406" spans="4:16" x14ac:dyDescent="0.2">
      <c r="D7406">
        <v>100004404</v>
      </c>
      <c r="E7406" s="49">
        <v>44331</v>
      </c>
      <c r="F7406" t="s">
        <v>5252</v>
      </c>
      <c r="G7406" t="s">
        <v>2039</v>
      </c>
      <c r="H7406">
        <v>8</v>
      </c>
      <c r="I7406">
        <v>86.35</v>
      </c>
      <c r="J7406" s="50">
        <v>690.8</v>
      </c>
      <c r="K7406" t="s">
        <v>1632</v>
      </c>
      <c r="M7406" t="s">
        <v>1627</v>
      </c>
      <c r="N7406">
        <v>45.57</v>
      </c>
      <c r="O7406" s="49">
        <v>44335</v>
      </c>
      <c r="P7406" s="50">
        <v>310.86</v>
      </c>
    </row>
    <row r="7407" spans="4:16" x14ac:dyDescent="0.2">
      <c r="D7407">
        <v>100004404</v>
      </c>
      <c r="E7407" s="49">
        <v>45341</v>
      </c>
      <c r="F7407" t="s">
        <v>5252</v>
      </c>
      <c r="G7407" t="s">
        <v>2041</v>
      </c>
      <c r="H7407">
        <v>2</v>
      </c>
      <c r="I7407">
        <v>77.819999999999993</v>
      </c>
      <c r="J7407" s="50">
        <v>155.63999999999999</v>
      </c>
      <c r="K7407" t="s">
        <v>1632</v>
      </c>
      <c r="M7407" t="s">
        <v>1629</v>
      </c>
      <c r="N7407">
        <v>41.07</v>
      </c>
      <c r="O7407" s="49">
        <v>45345</v>
      </c>
      <c r="P7407" s="50">
        <v>70.037999999999997</v>
      </c>
    </row>
    <row r="7408" spans="4:16" x14ac:dyDescent="0.2">
      <c r="D7408">
        <v>100004404</v>
      </c>
      <c r="E7408" s="49">
        <v>45319</v>
      </c>
      <c r="F7408" t="s">
        <v>5252</v>
      </c>
      <c r="G7408" t="s">
        <v>2174</v>
      </c>
      <c r="H7408">
        <v>1</v>
      </c>
      <c r="I7408">
        <v>100.89</v>
      </c>
      <c r="J7408" s="50">
        <v>100.89</v>
      </c>
      <c r="K7408" t="s">
        <v>1632</v>
      </c>
      <c r="M7408" t="s">
        <v>1624</v>
      </c>
      <c r="N7408">
        <v>53.25</v>
      </c>
      <c r="O7408" s="49">
        <v>45320</v>
      </c>
      <c r="P7408" s="50">
        <v>45.400500000000001</v>
      </c>
    </row>
    <row r="7409" spans="4:16" x14ac:dyDescent="0.2">
      <c r="D7409">
        <v>100004405</v>
      </c>
      <c r="E7409" s="49">
        <v>44238</v>
      </c>
      <c r="F7409" t="s">
        <v>5763</v>
      </c>
      <c r="G7409" t="s">
        <v>2706</v>
      </c>
      <c r="H7409">
        <v>10</v>
      </c>
      <c r="I7409">
        <v>64.87</v>
      </c>
      <c r="J7409" s="50">
        <v>648.70000000000005</v>
      </c>
      <c r="K7409" t="s">
        <v>1632</v>
      </c>
      <c r="M7409" t="s">
        <v>1624</v>
      </c>
      <c r="N7409">
        <v>34.24</v>
      </c>
      <c r="O7409" s="49">
        <v>44243</v>
      </c>
      <c r="P7409" s="50">
        <v>291.91500000000002</v>
      </c>
    </row>
    <row r="7410" spans="4:16" x14ac:dyDescent="0.2">
      <c r="D7410">
        <v>100004405</v>
      </c>
      <c r="E7410" s="49">
        <v>44231</v>
      </c>
      <c r="F7410" t="s">
        <v>5763</v>
      </c>
      <c r="G7410" t="s">
        <v>2007</v>
      </c>
      <c r="H7410">
        <v>3</v>
      </c>
      <c r="I7410">
        <v>118.88</v>
      </c>
      <c r="J7410" s="50">
        <v>356.64</v>
      </c>
      <c r="K7410" t="s">
        <v>1632</v>
      </c>
      <c r="M7410" t="s">
        <v>1629</v>
      </c>
      <c r="N7410">
        <v>62.74</v>
      </c>
      <c r="O7410" s="49">
        <v>44233</v>
      </c>
      <c r="P7410" s="50">
        <v>160.488</v>
      </c>
    </row>
    <row r="7411" spans="4:16" x14ac:dyDescent="0.2">
      <c r="D7411">
        <v>100004405</v>
      </c>
      <c r="E7411" s="49">
        <v>45522</v>
      </c>
      <c r="F7411" t="s">
        <v>5763</v>
      </c>
      <c r="G7411" t="s">
        <v>1902</v>
      </c>
      <c r="H7411">
        <v>7</v>
      </c>
      <c r="I7411">
        <v>91.07</v>
      </c>
      <c r="J7411" s="50">
        <v>637.49</v>
      </c>
      <c r="K7411" t="s">
        <v>1632</v>
      </c>
      <c r="M7411" t="s">
        <v>1627</v>
      </c>
      <c r="N7411">
        <v>48.06</v>
      </c>
      <c r="O7411" s="49">
        <v>45524</v>
      </c>
      <c r="P7411" s="50">
        <v>286.87049999999999</v>
      </c>
    </row>
    <row r="7412" spans="4:16" x14ac:dyDescent="0.2">
      <c r="D7412">
        <v>100004405</v>
      </c>
      <c r="E7412" s="49">
        <v>44912</v>
      </c>
      <c r="F7412" t="s">
        <v>5763</v>
      </c>
      <c r="G7412" t="s">
        <v>2762</v>
      </c>
      <c r="H7412">
        <v>4</v>
      </c>
      <c r="I7412">
        <v>58.87</v>
      </c>
      <c r="J7412" s="50">
        <v>235.48</v>
      </c>
      <c r="K7412" t="s">
        <v>1632</v>
      </c>
      <c r="M7412" t="s">
        <v>1619</v>
      </c>
      <c r="N7412">
        <v>31.07</v>
      </c>
      <c r="O7412" s="49">
        <v>44915</v>
      </c>
      <c r="P7412" s="50">
        <v>105.96599999999999</v>
      </c>
    </row>
    <row r="7413" spans="4:16" x14ac:dyDescent="0.2">
      <c r="D7413">
        <v>100004405</v>
      </c>
      <c r="E7413" s="49">
        <v>44715</v>
      </c>
      <c r="F7413" t="s">
        <v>5763</v>
      </c>
      <c r="G7413" t="s">
        <v>1827</v>
      </c>
      <c r="H7413">
        <v>5</v>
      </c>
      <c r="I7413">
        <v>50.4</v>
      </c>
      <c r="J7413" s="50">
        <v>252</v>
      </c>
      <c r="K7413" t="s">
        <v>1632</v>
      </c>
      <c r="M7413" t="s">
        <v>1619</v>
      </c>
      <c r="N7413">
        <v>26.6</v>
      </c>
      <c r="O7413" s="49">
        <v>44719</v>
      </c>
      <c r="P7413" s="50">
        <v>113.4</v>
      </c>
    </row>
    <row r="7414" spans="4:16" x14ac:dyDescent="0.2">
      <c r="D7414">
        <v>100004405</v>
      </c>
      <c r="E7414" s="49">
        <v>44544</v>
      </c>
      <c r="F7414" t="s">
        <v>5763</v>
      </c>
      <c r="G7414" t="s">
        <v>1669</v>
      </c>
      <c r="H7414">
        <v>7</v>
      </c>
      <c r="I7414">
        <v>67.86</v>
      </c>
      <c r="J7414" s="50">
        <v>475.02</v>
      </c>
      <c r="K7414" t="s">
        <v>1632</v>
      </c>
      <c r="M7414" t="s">
        <v>1629</v>
      </c>
      <c r="N7414">
        <v>35.81</v>
      </c>
      <c r="O7414" s="49">
        <v>44548</v>
      </c>
      <c r="P7414" s="50">
        <v>213.75899999999999</v>
      </c>
    </row>
    <row r="7415" spans="4:16" x14ac:dyDescent="0.2">
      <c r="D7415">
        <v>100004406</v>
      </c>
      <c r="E7415" s="49">
        <v>44782</v>
      </c>
      <c r="F7415" t="s">
        <v>5764</v>
      </c>
      <c r="G7415" t="s">
        <v>1897</v>
      </c>
      <c r="H7415">
        <v>10</v>
      </c>
      <c r="I7415">
        <v>68.03</v>
      </c>
      <c r="J7415" s="50">
        <v>680.3</v>
      </c>
      <c r="K7415" t="s">
        <v>1618</v>
      </c>
      <c r="L7415" t="s">
        <v>2804</v>
      </c>
      <c r="M7415" t="s">
        <v>1624</v>
      </c>
      <c r="N7415">
        <v>35.9</v>
      </c>
      <c r="O7415" s="49">
        <v>44785</v>
      </c>
      <c r="P7415" s="50">
        <v>306.13499999999999</v>
      </c>
    </row>
    <row r="7416" spans="4:16" x14ac:dyDescent="0.2">
      <c r="D7416">
        <v>100004406</v>
      </c>
      <c r="E7416" s="49">
        <v>44717</v>
      </c>
      <c r="F7416" t="s">
        <v>5764</v>
      </c>
      <c r="G7416" t="s">
        <v>1723</v>
      </c>
      <c r="H7416">
        <v>6</v>
      </c>
      <c r="I7416">
        <v>107.4</v>
      </c>
      <c r="J7416" s="50">
        <v>644.40000000000009</v>
      </c>
      <c r="K7416" t="s">
        <v>1618</v>
      </c>
      <c r="L7416" t="s">
        <v>2804</v>
      </c>
      <c r="M7416" t="s">
        <v>1624</v>
      </c>
      <c r="N7416">
        <v>56.68</v>
      </c>
      <c r="O7416" s="49">
        <v>44718</v>
      </c>
      <c r="P7416" s="50">
        <v>289.98000000000008</v>
      </c>
    </row>
    <row r="7417" spans="4:16" x14ac:dyDescent="0.2">
      <c r="D7417">
        <v>100004406</v>
      </c>
      <c r="E7417" s="49">
        <v>44941</v>
      </c>
      <c r="F7417" t="s">
        <v>5764</v>
      </c>
      <c r="G7417" t="s">
        <v>1722</v>
      </c>
      <c r="H7417">
        <v>5</v>
      </c>
      <c r="I7417">
        <v>26.9</v>
      </c>
      <c r="J7417" s="50">
        <v>134.5</v>
      </c>
      <c r="K7417" t="s">
        <v>1618</v>
      </c>
      <c r="L7417" t="s">
        <v>2804</v>
      </c>
      <c r="M7417" t="s">
        <v>1621</v>
      </c>
      <c r="N7417">
        <v>14.2</v>
      </c>
      <c r="O7417" s="49">
        <v>44942</v>
      </c>
      <c r="P7417" s="50">
        <v>60.524999999999999</v>
      </c>
    </row>
    <row r="7418" spans="4:16" x14ac:dyDescent="0.2">
      <c r="D7418">
        <v>100004406</v>
      </c>
      <c r="E7418" s="49">
        <v>45585</v>
      </c>
      <c r="F7418" t="s">
        <v>5764</v>
      </c>
      <c r="G7418" t="s">
        <v>1823</v>
      </c>
      <c r="H7418">
        <v>6</v>
      </c>
      <c r="I7418">
        <v>72.790000000000006</v>
      </c>
      <c r="J7418" s="50">
        <v>436.74</v>
      </c>
      <c r="K7418" t="s">
        <v>1618</v>
      </c>
      <c r="L7418" t="s">
        <v>2804</v>
      </c>
      <c r="M7418" t="s">
        <v>1624</v>
      </c>
      <c r="N7418">
        <v>38.42</v>
      </c>
      <c r="O7418" s="49">
        <v>45588</v>
      </c>
      <c r="P7418" s="50">
        <v>196.53300000000002</v>
      </c>
    </row>
    <row r="7419" spans="4:16" x14ac:dyDescent="0.2">
      <c r="D7419">
        <v>100004409</v>
      </c>
      <c r="E7419" s="49">
        <v>44896</v>
      </c>
      <c r="F7419" t="s">
        <v>5765</v>
      </c>
      <c r="G7419" t="s">
        <v>2447</v>
      </c>
      <c r="H7419">
        <v>8</v>
      </c>
      <c r="I7419">
        <v>99.71</v>
      </c>
      <c r="J7419" s="50">
        <v>797.68</v>
      </c>
      <c r="K7419" t="s">
        <v>1618</v>
      </c>
      <c r="M7419" t="s">
        <v>1621</v>
      </c>
      <c r="N7419">
        <v>52.62</v>
      </c>
      <c r="O7419" s="49">
        <v>44901</v>
      </c>
      <c r="P7419" s="50">
        <v>358.95599999999996</v>
      </c>
    </row>
    <row r="7420" spans="4:16" x14ac:dyDescent="0.2">
      <c r="D7420">
        <v>100004409</v>
      </c>
      <c r="E7420" s="49">
        <v>44230</v>
      </c>
      <c r="F7420" t="s">
        <v>5765</v>
      </c>
      <c r="G7420" t="s">
        <v>2074</v>
      </c>
      <c r="H7420">
        <v>2</v>
      </c>
      <c r="I7420">
        <v>33.03</v>
      </c>
      <c r="J7420" s="50">
        <v>66.06</v>
      </c>
      <c r="K7420" t="s">
        <v>1618</v>
      </c>
      <c r="M7420" t="s">
        <v>1629</v>
      </c>
      <c r="N7420">
        <v>17.43</v>
      </c>
      <c r="O7420" s="49">
        <v>44233</v>
      </c>
      <c r="P7420" s="50">
        <v>29.727</v>
      </c>
    </row>
    <row r="7421" spans="4:16" x14ac:dyDescent="0.2">
      <c r="D7421">
        <v>100004409</v>
      </c>
      <c r="E7421" s="49">
        <v>45204</v>
      </c>
      <c r="F7421" t="s">
        <v>5765</v>
      </c>
      <c r="G7421" t="s">
        <v>2230</v>
      </c>
      <c r="H7421">
        <v>10</v>
      </c>
      <c r="I7421">
        <v>91.85</v>
      </c>
      <c r="J7421" s="50">
        <v>918.5</v>
      </c>
      <c r="K7421" t="s">
        <v>1618</v>
      </c>
      <c r="M7421" t="s">
        <v>1621</v>
      </c>
      <c r="N7421">
        <v>48.48</v>
      </c>
      <c r="O7421" s="49">
        <v>45205</v>
      </c>
      <c r="P7421" s="50">
        <v>413.32499999999999</v>
      </c>
    </row>
    <row r="7422" spans="4:16" x14ac:dyDescent="0.2">
      <c r="D7422">
        <v>100004410</v>
      </c>
      <c r="E7422" s="49">
        <v>44606</v>
      </c>
      <c r="F7422" t="s">
        <v>5766</v>
      </c>
      <c r="G7422" t="s">
        <v>2766</v>
      </c>
      <c r="H7422">
        <v>9</v>
      </c>
      <c r="I7422">
        <v>23.26</v>
      </c>
      <c r="J7422" s="50">
        <v>209.34</v>
      </c>
      <c r="K7422" t="s">
        <v>1618</v>
      </c>
      <c r="M7422" t="s">
        <v>1619</v>
      </c>
      <c r="N7422">
        <v>12.28</v>
      </c>
      <c r="O7422" s="49">
        <v>44607</v>
      </c>
      <c r="P7422" s="50">
        <v>94.203000000000003</v>
      </c>
    </row>
    <row r="7423" spans="4:16" x14ac:dyDescent="0.2">
      <c r="D7423">
        <v>100004410</v>
      </c>
      <c r="E7423" s="49">
        <v>45189</v>
      </c>
      <c r="F7423" t="s">
        <v>5766</v>
      </c>
      <c r="G7423" t="s">
        <v>2418</v>
      </c>
      <c r="H7423">
        <v>4</v>
      </c>
      <c r="I7423">
        <v>98.74</v>
      </c>
      <c r="J7423" s="50">
        <v>394.96</v>
      </c>
      <c r="K7423" t="s">
        <v>1618</v>
      </c>
      <c r="M7423" t="s">
        <v>1627</v>
      </c>
      <c r="N7423">
        <v>52.11</v>
      </c>
      <c r="O7423" s="49">
        <v>45193</v>
      </c>
      <c r="P7423" s="50">
        <v>177.732</v>
      </c>
    </row>
    <row r="7424" spans="4:16" x14ac:dyDescent="0.2">
      <c r="D7424">
        <v>100004411</v>
      </c>
      <c r="E7424" s="49">
        <v>44664</v>
      </c>
      <c r="F7424" t="s">
        <v>5767</v>
      </c>
      <c r="G7424" t="s">
        <v>2706</v>
      </c>
      <c r="H7424">
        <v>1</v>
      </c>
      <c r="I7424">
        <v>50.11</v>
      </c>
      <c r="J7424" s="50">
        <v>50.11</v>
      </c>
      <c r="K7424" t="s">
        <v>1632</v>
      </c>
      <c r="M7424" t="s">
        <v>1619</v>
      </c>
      <c r="N7424">
        <v>26.45</v>
      </c>
      <c r="O7424" s="49">
        <v>44667</v>
      </c>
      <c r="P7424" s="50">
        <v>22.549500000000002</v>
      </c>
    </row>
    <row r="7425" spans="4:16" x14ac:dyDescent="0.2">
      <c r="D7425">
        <v>100004413</v>
      </c>
      <c r="E7425" s="49">
        <v>44630</v>
      </c>
      <c r="F7425" t="s">
        <v>5768</v>
      </c>
      <c r="G7425" t="s">
        <v>2346</v>
      </c>
      <c r="H7425">
        <v>1</v>
      </c>
      <c r="I7425">
        <v>84.73</v>
      </c>
      <c r="J7425" s="50">
        <v>84.73</v>
      </c>
      <c r="K7425" t="s">
        <v>1618</v>
      </c>
      <c r="M7425" t="s">
        <v>1627</v>
      </c>
      <c r="N7425">
        <v>44.72</v>
      </c>
      <c r="O7425" s="49">
        <v>44632</v>
      </c>
      <c r="P7425" s="50">
        <v>38.128500000000003</v>
      </c>
    </row>
    <row r="7426" spans="4:16" x14ac:dyDescent="0.2">
      <c r="D7426">
        <v>100004413</v>
      </c>
      <c r="E7426" s="49">
        <v>44288</v>
      </c>
      <c r="F7426" t="s">
        <v>5768</v>
      </c>
      <c r="G7426" t="s">
        <v>1712</v>
      </c>
      <c r="H7426">
        <v>7</v>
      </c>
      <c r="I7426">
        <v>92.89</v>
      </c>
      <c r="J7426" s="50">
        <v>650.23</v>
      </c>
      <c r="K7426" t="s">
        <v>1618</v>
      </c>
      <c r="M7426" t="s">
        <v>1621</v>
      </c>
      <c r="N7426">
        <v>49.02</v>
      </c>
      <c r="O7426" s="49">
        <v>44293</v>
      </c>
      <c r="P7426" s="50">
        <v>292.6035</v>
      </c>
    </row>
    <row r="7427" spans="4:16" x14ac:dyDescent="0.2">
      <c r="D7427">
        <v>100004413</v>
      </c>
      <c r="E7427" s="49">
        <v>45273</v>
      </c>
      <c r="F7427" t="s">
        <v>5768</v>
      </c>
      <c r="G7427" t="s">
        <v>2207</v>
      </c>
      <c r="H7427">
        <v>1</v>
      </c>
      <c r="I7427">
        <v>116.75</v>
      </c>
      <c r="J7427" s="50">
        <v>116.75</v>
      </c>
      <c r="K7427" t="s">
        <v>1618</v>
      </c>
      <c r="M7427" t="s">
        <v>1619</v>
      </c>
      <c r="N7427">
        <v>61.62</v>
      </c>
      <c r="O7427" s="49">
        <v>45278</v>
      </c>
      <c r="P7427" s="50">
        <v>52.537500000000001</v>
      </c>
    </row>
    <row r="7428" spans="4:16" x14ac:dyDescent="0.2">
      <c r="D7428">
        <v>100004413</v>
      </c>
      <c r="E7428" s="49">
        <v>44859</v>
      </c>
      <c r="F7428" t="s">
        <v>5768</v>
      </c>
      <c r="G7428" t="s">
        <v>1987</v>
      </c>
      <c r="H7428">
        <v>3</v>
      </c>
      <c r="I7428">
        <v>93.89</v>
      </c>
      <c r="J7428" s="50">
        <v>281.67</v>
      </c>
      <c r="K7428" t="s">
        <v>1618</v>
      </c>
      <c r="M7428" t="s">
        <v>1629</v>
      </c>
      <c r="N7428">
        <v>49.55</v>
      </c>
      <c r="O7428" s="49">
        <v>44861</v>
      </c>
      <c r="P7428" s="50">
        <v>126.75150000000001</v>
      </c>
    </row>
    <row r="7429" spans="4:16" x14ac:dyDescent="0.2">
      <c r="D7429">
        <v>100004413</v>
      </c>
      <c r="E7429" s="49">
        <v>44721</v>
      </c>
      <c r="F7429" t="s">
        <v>5768</v>
      </c>
      <c r="G7429" t="s">
        <v>1646</v>
      </c>
      <c r="H7429">
        <v>5</v>
      </c>
      <c r="I7429">
        <v>97.78</v>
      </c>
      <c r="J7429" s="50">
        <v>488.9</v>
      </c>
      <c r="K7429" t="s">
        <v>1618</v>
      </c>
      <c r="M7429" t="s">
        <v>1629</v>
      </c>
      <c r="N7429">
        <v>51.61</v>
      </c>
      <c r="O7429" s="49">
        <v>44726</v>
      </c>
      <c r="P7429" s="50">
        <v>220.005</v>
      </c>
    </row>
    <row r="7430" spans="4:16" x14ac:dyDescent="0.2">
      <c r="D7430">
        <v>100004414</v>
      </c>
      <c r="E7430" s="49">
        <v>45618</v>
      </c>
      <c r="F7430" t="s">
        <v>5769</v>
      </c>
      <c r="G7430" t="s">
        <v>1644</v>
      </c>
      <c r="H7430">
        <v>3</v>
      </c>
      <c r="I7430">
        <v>30.58</v>
      </c>
      <c r="J7430" s="50">
        <v>91.74</v>
      </c>
      <c r="K7430" t="s">
        <v>1618</v>
      </c>
      <c r="M7430" t="s">
        <v>1627</v>
      </c>
      <c r="N7430">
        <v>16.14</v>
      </c>
      <c r="O7430" s="49">
        <v>45620</v>
      </c>
      <c r="P7430" s="50">
        <v>41.283000000000001</v>
      </c>
    </row>
    <row r="7431" spans="4:16" x14ac:dyDescent="0.2">
      <c r="D7431">
        <v>100004414</v>
      </c>
      <c r="E7431" s="49">
        <v>44719</v>
      </c>
      <c r="F7431" t="s">
        <v>5769</v>
      </c>
      <c r="G7431" t="s">
        <v>2050</v>
      </c>
      <c r="H7431">
        <v>4</v>
      </c>
      <c r="I7431">
        <v>52.31</v>
      </c>
      <c r="J7431" s="50">
        <v>209.24</v>
      </c>
      <c r="K7431" t="s">
        <v>1618</v>
      </c>
      <c r="M7431" t="s">
        <v>1619</v>
      </c>
      <c r="N7431">
        <v>27.61</v>
      </c>
      <c r="O7431" s="49">
        <v>44722</v>
      </c>
      <c r="P7431" s="50">
        <v>94.158000000000001</v>
      </c>
    </row>
    <row r="7432" spans="4:16" x14ac:dyDescent="0.2">
      <c r="D7432">
        <v>100004414</v>
      </c>
      <c r="E7432" s="49">
        <v>44461</v>
      </c>
      <c r="F7432" t="s">
        <v>5769</v>
      </c>
      <c r="G7432" t="s">
        <v>1797</v>
      </c>
      <c r="H7432">
        <v>8</v>
      </c>
      <c r="I7432">
        <v>72.22</v>
      </c>
      <c r="J7432" s="50">
        <v>577.76</v>
      </c>
      <c r="K7432" t="s">
        <v>1618</v>
      </c>
      <c r="M7432" t="s">
        <v>1621</v>
      </c>
      <c r="N7432">
        <v>38.119999999999997</v>
      </c>
      <c r="O7432" s="49">
        <v>44463</v>
      </c>
      <c r="P7432" s="50">
        <v>259.99200000000002</v>
      </c>
    </row>
    <row r="7433" spans="4:16" x14ac:dyDescent="0.2">
      <c r="D7433">
        <v>100004414</v>
      </c>
      <c r="E7433" s="49">
        <v>45089</v>
      </c>
      <c r="F7433" t="s">
        <v>5769</v>
      </c>
      <c r="G7433" t="s">
        <v>2198</v>
      </c>
      <c r="H7433">
        <v>3</v>
      </c>
      <c r="I7433">
        <v>25.41</v>
      </c>
      <c r="J7433" s="50">
        <v>76.23</v>
      </c>
      <c r="K7433" t="s">
        <v>1618</v>
      </c>
      <c r="M7433" t="s">
        <v>1624</v>
      </c>
      <c r="N7433">
        <v>13.41</v>
      </c>
      <c r="O7433" s="49">
        <v>45093</v>
      </c>
      <c r="P7433" s="50">
        <v>34.3035</v>
      </c>
    </row>
    <row r="7434" spans="4:16" x14ac:dyDescent="0.2">
      <c r="D7434">
        <v>100004414</v>
      </c>
      <c r="E7434" s="49">
        <v>44607</v>
      </c>
      <c r="F7434" t="s">
        <v>5769</v>
      </c>
      <c r="G7434" t="s">
        <v>1715</v>
      </c>
      <c r="H7434">
        <v>10</v>
      </c>
      <c r="I7434">
        <v>59.55</v>
      </c>
      <c r="J7434" s="50">
        <v>595.5</v>
      </c>
      <c r="K7434" t="s">
        <v>1618</v>
      </c>
      <c r="M7434" t="s">
        <v>1627</v>
      </c>
      <c r="N7434">
        <v>31.43</v>
      </c>
      <c r="O7434" s="49">
        <v>44608</v>
      </c>
      <c r="P7434" s="50">
        <v>267.97500000000002</v>
      </c>
    </row>
    <row r="7435" spans="4:16" x14ac:dyDescent="0.2">
      <c r="D7435">
        <v>100004415</v>
      </c>
      <c r="E7435" s="49">
        <v>44812</v>
      </c>
      <c r="F7435" t="s">
        <v>5770</v>
      </c>
      <c r="G7435" t="s">
        <v>2025</v>
      </c>
      <c r="H7435">
        <v>10</v>
      </c>
      <c r="I7435">
        <v>68.45</v>
      </c>
      <c r="J7435" s="50">
        <v>684.5</v>
      </c>
      <c r="K7435" t="s">
        <v>1618</v>
      </c>
      <c r="L7435" t="s">
        <v>5771</v>
      </c>
      <c r="M7435" t="s">
        <v>1621</v>
      </c>
      <c r="N7435">
        <v>36.130000000000003</v>
      </c>
      <c r="O7435" s="49">
        <v>44813</v>
      </c>
      <c r="P7435" s="50">
        <v>308.02500000000003</v>
      </c>
    </row>
    <row r="7436" spans="4:16" x14ac:dyDescent="0.2">
      <c r="D7436">
        <v>100004416</v>
      </c>
      <c r="E7436" s="49">
        <v>44401</v>
      </c>
      <c r="F7436" t="s">
        <v>5772</v>
      </c>
      <c r="G7436" t="s">
        <v>1953</v>
      </c>
      <c r="H7436">
        <v>7</v>
      </c>
      <c r="I7436">
        <v>61.39</v>
      </c>
      <c r="J7436" s="50">
        <v>429.73</v>
      </c>
      <c r="K7436" t="s">
        <v>1618</v>
      </c>
      <c r="M7436" t="s">
        <v>1624</v>
      </c>
      <c r="N7436">
        <v>32.4</v>
      </c>
      <c r="O7436" s="49">
        <v>44406</v>
      </c>
      <c r="P7436" s="50">
        <v>193.3785</v>
      </c>
    </row>
    <row r="7437" spans="4:16" x14ac:dyDescent="0.2">
      <c r="D7437">
        <v>100004417</v>
      </c>
      <c r="E7437" s="49">
        <v>44640</v>
      </c>
      <c r="F7437" t="s">
        <v>5773</v>
      </c>
      <c r="G7437" t="s">
        <v>2291</v>
      </c>
      <c r="H7437">
        <v>10</v>
      </c>
      <c r="I7437">
        <v>37.69</v>
      </c>
      <c r="J7437" s="50">
        <v>376.9</v>
      </c>
      <c r="K7437" t="s">
        <v>1618</v>
      </c>
      <c r="M7437" t="s">
        <v>1619</v>
      </c>
      <c r="N7437">
        <v>19.89</v>
      </c>
      <c r="O7437" s="49">
        <v>44645</v>
      </c>
      <c r="P7437" s="50">
        <v>169.60499999999999</v>
      </c>
    </row>
    <row r="7438" spans="4:16" x14ac:dyDescent="0.2">
      <c r="D7438">
        <v>100004417</v>
      </c>
      <c r="E7438" s="49">
        <v>45501</v>
      </c>
      <c r="F7438" t="s">
        <v>5773</v>
      </c>
      <c r="G7438" t="s">
        <v>2550</v>
      </c>
      <c r="H7438">
        <v>4</v>
      </c>
      <c r="I7438">
        <v>71.27</v>
      </c>
      <c r="J7438" s="50">
        <v>285.08</v>
      </c>
      <c r="K7438" t="s">
        <v>1618</v>
      </c>
      <c r="M7438" t="s">
        <v>1621</v>
      </c>
      <c r="N7438">
        <v>37.61</v>
      </c>
      <c r="O7438" s="49">
        <v>45504</v>
      </c>
      <c r="P7438" s="50">
        <v>128.286</v>
      </c>
    </row>
    <row r="7439" spans="4:16" x14ac:dyDescent="0.2">
      <c r="D7439">
        <v>100004418</v>
      </c>
      <c r="E7439" s="49">
        <v>45186</v>
      </c>
      <c r="F7439" t="s">
        <v>5774</v>
      </c>
      <c r="G7439" t="s">
        <v>1880</v>
      </c>
      <c r="H7439">
        <v>1</v>
      </c>
      <c r="I7439">
        <v>79.069999999999993</v>
      </c>
      <c r="J7439" s="50">
        <v>79.069999999999993</v>
      </c>
      <c r="K7439" t="s">
        <v>1618</v>
      </c>
      <c r="M7439" t="s">
        <v>1627</v>
      </c>
      <c r="N7439">
        <v>41.73</v>
      </c>
      <c r="O7439" s="49">
        <v>45188</v>
      </c>
      <c r="P7439" s="50">
        <v>35.581499999999998</v>
      </c>
    </row>
    <row r="7440" spans="4:16" x14ac:dyDescent="0.2">
      <c r="D7440">
        <v>100004418</v>
      </c>
      <c r="E7440" s="49">
        <v>45143</v>
      </c>
      <c r="F7440" t="s">
        <v>5774</v>
      </c>
      <c r="G7440" t="s">
        <v>1688</v>
      </c>
      <c r="H7440">
        <v>10</v>
      </c>
      <c r="I7440">
        <v>82.99</v>
      </c>
      <c r="J7440" s="50">
        <v>829.9</v>
      </c>
      <c r="K7440" t="s">
        <v>1618</v>
      </c>
      <c r="M7440" t="s">
        <v>1624</v>
      </c>
      <c r="N7440">
        <v>43.8</v>
      </c>
      <c r="O7440" s="49">
        <v>45144</v>
      </c>
      <c r="P7440" s="50">
        <v>373.45499999999998</v>
      </c>
    </row>
    <row r="7441" spans="4:16" x14ac:dyDescent="0.2">
      <c r="D7441">
        <v>100004419</v>
      </c>
      <c r="E7441" s="49">
        <v>44816</v>
      </c>
      <c r="F7441" t="s">
        <v>5775</v>
      </c>
      <c r="G7441" t="s">
        <v>1855</v>
      </c>
      <c r="H7441">
        <v>6</v>
      </c>
      <c r="I7441">
        <v>88.77</v>
      </c>
      <c r="J7441" s="50">
        <v>532.62</v>
      </c>
      <c r="K7441" t="s">
        <v>1618</v>
      </c>
      <c r="M7441" t="s">
        <v>1627</v>
      </c>
      <c r="N7441">
        <v>46.85</v>
      </c>
      <c r="O7441" s="49">
        <v>44819</v>
      </c>
      <c r="P7441" s="50">
        <v>239.679</v>
      </c>
    </row>
    <row r="7442" spans="4:16" x14ac:dyDescent="0.2">
      <c r="D7442">
        <v>100004419</v>
      </c>
      <c r="E7442" s="49">
        <v>44859</v>
      </c>
      <c r="F7442" t="s">
        <v>5775</v>
      </c>
      <c r="G7442" t="s">
        <v>1739</v>
      </c>
      <c r="H7442">
        <v>7</v>
      </c>
      <c r="I7442">
        <v>40.340000000000003</v>
      </c>
      <c r="J7442" s="50">
        <v>282.38</v>
      </c>
      <c r="K7442" t="s">
        <v>1618</v>
      </c>
      <c r="M7442" t="s">
        <v>1619</v>
      </c>
      <c r="N7442">
        <v>21.29</v>
      </c>
      <c r="O7442" s="49">
        <v>44864</v>
      </c>
      <c r="P7442" s="50">
        <v>127.071</v>
      </c>
    </row>
    <row r="7443" spans="4:16" x14ac:dyDescent="0.2">
      <c r="D7443">
        <v>100004419</v>
      </c>
      <c r="E7443" s="49">
        <v>44586</v>
      </c>
      <c r="F7443" t="s">
        <v>5775</v>
      </c>
      <c r="G7443" t="s">
        <v>1666</v>
      </c>
      <c r="H7443">
        <v>2</v>
      </c>
      <c r="I7443">
        <v>73.430000000000007</v>
      </c>
      <c r="J7443" s="50">
        <v>146.86000000000001</v>
      </c>
      <c r="K7443" t="s">
        <v>1618</v>
      </c>
      <c r="M7443" t="s">
        <v>1621</v>
      </c>
      <c r="N7443">
        <v>38.75</v>
      </c>
      <c r="O7443" s="49">
        <v>44588</v>
      </c>
      <c r="P7443" s="50">
        <v>66.087000000000003</v>
      </c>
    </row>
    <row r="7444" spans="4:16" x14ac:dyDescent="0.2">
      <c r="D7444">
        <v>100004420</v>
      </c>
      <c r="E7444" s="49">
        <v>45633</v>
      </c>
      <c r="F7444" t="s">
        <v>5776</v>
      </c>
      <c r="G7444" t="s">
        <v>1653</v>
      </c>
      <c r="H7444">
        <v>4</v>
      </c>
      <c r="I7444">
        <v>28.98</v>
      </c>
      <c r="J7444" s="50">
        <v>115.92</v>
      </c>
      <c r="K7444" t="s">
        <v>1618</v>
      </c>
      <c r="M7444" t="s">
        <v>1624</v>
      </c>
      <c r="N7444">
        <v>15.29</v>
      </c>
      <c r="O7444" s="49">
        <v>45636</v>
      </c>
      <c r="P7444" s="50">
        <v>52.164000000000001</v>
      </c>
    </row>
    <row r="7445" spans="4:16" x14ac:dyDescent="0.2">
      <c r="D7445">
        <v>100004420</v>
      </c>
      <c r="E7445" s="49">
        <v>44210</v>
      </c>
      <c r="F7445" t="s">
        <v>5776</v>
      </c>
      <c r="G7445" t="s">
        <v>1667</v>
      </c>
      <c r="H7445">
        <v>2</v>
      </c>
      <c r="I7445">
        <v>108.23</v>
      </c>
      <c r="J7445" s="50">
        <v>216.46</v>
      </c>
      <c r="K7445" t="s">
        <v>1618</v>
      </c>
      <c r="M7445" t="s">
        <v>1624</v>
      </c>
      <c r="N7445">
        <v>57.12</v>
      </c>
      <c r="O7445" s="49">
        <v>44215</v>
      </c>
      <c r="P7445" s="50">
        <v>97.407000000000011</v>
      </c>
    </row>
    <row r="7446" spans="4:16" x14ac:dyDescent="0.2">
      <c r="D7446">
        <v>100004420</v>
      </c>
      <c r="E7446" s="49">
        <v>45530</v>
      </c>
      <c r="F7446" t="s">
        <v>5776</v>
      </c>
      <c r="G7446" t="s">
        <v>1975</v>
      </c>
      <c r="H7446">
        <v>10</v>
      </c>
      <c r="I7446">
        <v>14.12</v>
      </c>
      <c r="J7446" s="50">
        <v>141.19999999999999</v>
      </c>
      <c r="K7446" t="s">
        <v>1618</v>
      </c>
      <c r="M7446" t="s">
        <v>1619</v>
      </c>
      <c r="N7446">
        <v>7.45</v>
      </c>
      <c r="O7446" s="49">
        <v>45533</v>
      </c>
      <c r="P7446" s="50">
        <v>63.54</v>
      </c>
    </row>
    <row r="7447" spans="4:16" x14ac:dyDescent="0.2">
      <c r="D7447">
        <v>100004420</v>
      </c>
      <c r="E7447" s="49">
        <v>44905</v>
      </c>
      <c r="F7447" t="s">
        <v>5776</v>
      </c>
      <c r="G7447" t="s">
        <v>2090</v>
      </c>
      <c r="H7447">
        <v>7</v>
      </c>
      <c r="I7447">
        <v>77.12</v>
      </c>
      <c r="J7447" s="50">
        <v>539.84</v>
      </c>
      <c r="K7447" t="s">
        <v>1618</v>
      </c>
      <c r="M7447" t="s">
        <v>1621</v>
      </c>
      <c r="N7447">
        <v>40.700000000000003</v>
      </c>
      <c r="O7447" s="49">
        <v>44909</v>
      </c>
      <c r="P7447" s="50">
        <v>242.92800000000003</v>
      </c>
    </row>
    <row r="7448" spans="4:16" x14ac:dyDescent="0.2">
      <c r="D7448">
        <v>100004420</v>
      </c>
      <c r="E7448" s="49">
        <v>45648</v>
      </c>
      <c r="F7448" t="s">
        <v>5776</v>
      </c>
      <c r="G7448" t="s">
        <v>1838</v>
      </c>
      <c r="H7448">
        <v>9</v>
      </c>
      <c r="I7448">
        <v>64.98</v>
      </c>
      <c r="J7448" s="50">
        <v>584.82000000000005</v>
      </c>
      <c r="K7448" t="s">
        <v>1618</v>
      </c>
      <c r="M7448" t="s">
        <v>1624</v>
      </c>
      <c r="N7448">
        <v>34.29</v>
      </c>
      <c r="O7448" s="49">
        <v>45651</v>
      </c>
      <c r="P7448" s="50">
        <v>263.16900000000004</v>
      </c>
    </row>
    <row r="7449" spans="4:16" x14ac:dyDescent="0.2">
      <c r="D7449">
        <v>100004421</v>
      </c>
      <c r="E7449" s="49">
        <v>44197</v>
      </c>
      <c r="F7449" t="s">
        <v>5777</v>
      </c>
      <c r="G7449" t="s">
        <v>2390</v>
      </c>
      <c r="H7449">
        <v>2</v>
      </c>
      <c r="I7449">
        <v>69.08</v>
      </c>
      <c r="J7449" s="50">
        <v>138.16</v>
      </c>
      <c r="K7449" t="s">
        <v>1632</v>
      </c>
      <c r="M7449" t="s">
        <v>1621</v>
      </c>
      <c r="N7449">
        <v>36.46</v>
      </c>
      <c r="O7449" s="49">
        <v>44201</v>
      </c>
      <c r="P7449" s="50">
        <v>62.171999999999997</v>
      </c>
    </row>
    <row r="7450" spans="4:16" x14ac:dyDescent="0.2">
      <c r="D7450">
        <v>100004421</v>
      </c>
      <c r="E7450" s="49">
        <v>44278</v>
      </c>
      <c r="F7450" t="s">
        <v>5777</v>
      </c>
      <c r="G7450" t="s">
        <v>2733</v>
      </c>
      <c r="H7450">
        <v>8</v>
      </c>
      <c r="I7450">
        <v>91.59</v>
      </c>
      <c r="J7450" s="50">
        <v>732.72</v>
      </c>
      <c r="K7450" t="s">
        <v>1632</v>
      </c>
      <c r="M7450" t="s">
        <v>1627</v>
      </c>
      <c r="N7450">
        <v>48.34</v>
      </c>
      <c r="O7450" s="49">
        <v>44282</v>
      </c>
      <c r="P7450" s="50">
        <v>329.72400000000005</v>
      </c>
    </row>
    <row r="7451" spans="4:16" x14ac:dyDescent="0.2">
      <c r="D7451">
        <v>100004422</v>
      </c>
      <c r="E7451" s="49">
        <v>44619</v>
      </c>
      <c r="F7451" t="s">
        <v>2862</v>
      </c>
      <c r="G7451" t="s">
        <v>2004</v>
      </c>
      <c r="H7451">
        <v>7</v>
      </c>
      <c r="I7451">
        <v>62.59</v>
      </c>
      <c r="J7451" s="50">
        <v>438.13</v>
      </c>
      <c r="K7451" t="s">
        <v>1632</v>
      </c>
      <c r="L7451" t="s">
        <v>3560</v>
      </c>
      <c r="M7451" t="s">
        <v>1624</v>
      </c>
      <c r="N7451">
        <v>33.03</v>
      </c>
      <c r="O7451" s="49">
        <v>44620</v>
      </c>
      <c r="P7451" s="50">
        <v>197.1585</v>
      </c>
    </row>
    <row r="7452" spans="4:16" x14ac:dyDescent="0.2">
      <c r="D7452">
        <v>100004423</v>
      </c>
      <c r="E7452" s="49">
        <v>44730</v>
      </c>
      <c r="F7452" t="s">
        <v>5778</v>
      </c>
      <c r="G7452" t="s">
        <v>2344</v>
      </c>
      <c r="H7452">
        <v>8</v>
      </c>
      <c r="I7452">
        <v>92.31</v>
      </c>
      <c r="J7452" s="50">
        <v>738.48</v>
      </c>
      <c r="K7452" t="s">
        <v>1632</v>
      </c>
      <c r="M7452" t="s">
        <v>1627</v>
      </c>
      <c r="N7452">
        <v>48.72</v>
      </c>
      <c r="O7452" s="49">
        <v>44731</v>
      </c>
      <c r="P7452" s="50">
        <v>332.31600000000003</v>
      </c>
    </row>
    <row r="7453" spans="4:16" x14ac:dyDescent="0.2">
      <c r="D7453">
        <v>100004424</v>
      </c>
      <c r="E7453" s="49">
        <v>44901</v>
      </c>
      <c r="F7453" t="s">
        <v>5779</v>
      </c>
      <c r="G7453" t="s">
        <v>1636</v>
      </c>
      <c r="H7453">
        <v>6</v>
      </c>
      <c r="I7453">
        <v>42.4</v>
      </c>
      <c r="J7453" s="50">
        <v>254.4</v>
      </c>
      <c r="K7453" t="s">
        <v>1618</v>
      </c>
      <c r="M7453" t="s">
        <v>1621</v>
      </c>
      <c r="N7453">
        <v>22.38</v>
      </c>
      <c r="O7453" s="49">
        <v>44903</v>
      </c>
      <c r="P7453" s="50">
        <v>114.48</v>
      </c>
    </row>
    <row r="7454" spans="4:16" x14ac:dyDescent="0.2">
      <c r="D7454">
        <v>100004424</v>
      </c>
      <c r="E7454" s="49">
        <v>45592</v>
      </c>
      <c r="F7454" t="s">
        <v>5779</v>
      </c>
      <c r="G7454" t="s">
        <v>2099</v>
      </c>
      <c r="H7454">
        <v>7</v>
      </c>
      <c r="I7454">
        <v>113.47</v>
      </c>
      <c r="J7454" s="50">
        <v>794.29</v>
      </c>
      <c r="K7454" t="s">
        <v>1618</v>
      </c>
      <c r="M7454" t="s">
        <v>1627</v>
      </c>
      <c r="N7454">
        <v>59.89</v>
      </c>
      <c r="O7454" s="49">
        <v>45593</v>
      </c>
      <c r="P7454" s="50">
        <v>357.43049999999999</v>
      </c>
    </row>
    <row r="7455" spans="4:16" x14ac:dyDescent="0.2">
      <c r="D7455">
        <v>100004424</v>
      </c>
      <c r="E7455" s="49">
        <v>45337</v>
      </c>
      <c r="F7455" t="s">
        <v>5779</v>
      </c>
      <c r="G7455" t="s">
        <v>2016</v>
      </c>
      <c r="H7455">
        <v>6</v>
      </c>
      <c r="I7455">
        <v>43.71</v>
      </c>
      <c r="J7455" s="50">
        <v>262.26</v>
      </c>
      <c r="K7455" t="s">
        <v>1618</v>
      </c>
      <c r="M7455" t="s">
        <v>1621</v>
      </c>
      <c r="N7455">
        <v>23.07</v>
      </c>
      <c r="O7455" s="49">
        <v>45341</v>
      </c>
      <c r="P7455" s="50">
        <v>118.017</v>
      </c>
    </row>
    <row r="7456" spans="4:16" x14ac:dyDescent="0.2">
      <c r="D7456">
        <v>100004425</v>
      </c>
      <c r="E7456" s="49">
        <v>45596</v>
      </c>
      <c r="F7456" t="s">
        <v>5780</v>
      </c>
      <c r="G7456" t="s">
        <v>1944</v>
      </c>
      <c r="H7456">
        <v>5</v>
      </c>
      <c r="I7456">
        <v>28.01</v>
      </c>
      <c r="J7456" s="50">
        <v>140.05000000000001</v>
      </c>
      <c r="K7456" t="s">
        <v>1618</v>
      </c>
      <c r="M7456" t="s">
        <v>1629</v>
      </c>
      <c r="N7456">
        <v>14.78</v>
      </c>
      <c r="O7456" s="49">
        <v>45600</v>
      </c>
      <c r="P7456" s="50">
        <v>63.022500000000008</v>
      </c>
    </row>
    <row r="7457" spans="4:16" x14ac:dyDescent="0.2">
      <c r="D7457">
        <v>100004425</v>
      </c>
      <c r="E7457" s="49">
        <v>44882</v>
      </c>
      <c r="F7457" t="s">
        <v>5780</v>
      </c>
      <c r="G7457" t="s">
        <v>2023</v>
      </c>
      <c r="H7457">
        <v>3</v>
      </c>
      <c r="I7457">
        <v>51.29</v>
      </c>
      <c r="J7457" s="50">
        <v>153.87</v>
      </c>
      <c r="K7457" t="s">
        <v>1618</v>
      </c>
      <c r="M7457" t="s">
        <v>1619</v>
      </c>
      <c r="N7457">
        <v>27.07</v>
      </c>
      <c r="O7457" s="49">
        <v>44883</v>
      </c>
      <c r="P7457" s="50">
        <v>69.241500000000002</v>
      </c>
    </row>
    <row r="7458" spans="4:16" x14ac:dyDescent="0.2">
      <c r="D7458">
        <v>100004429</v>
      </c>
      <c r="E7458" s="49">
        <v>45036</v>
      </c>
      <c r="F7458" t="s">
        <v>5781</v>
      </c>
      <c r="G7458" t="s">
        <v>1676</v>
      </c>
      <c r="H7458">
        <v>2</v>
      </c>
      <c r="I7458">
        <v>63.52</v>
      </c>
      <c r="J7458" s="50">
        <v>127.04</v>
      </c>
      <c r="K7458" t="s">
        <v>1632</v>
      </c>
      <c r="L7458" t="s">
        <v>5782</v>
      </c>
      <c r="M7458" t="s">
        <v>1624</v>
      </c>
      <c r="N7458">
        <v>33.520000000000003</v>
      </c>
      <c r="O7458" s="49">
        <v>45038</v>
      </c>
      <c r="P7458" s="50">
        <v>57.168000000000006</v>
      </c>
    </row>
    <row r="7459" spans="4:16" x14ac:dyDescent="0.2">
      <c r="D7459">
        <v>100004430</v>
      </c>
      <c r="E7459" s="49">
        <v>45424</v>
      </c>
      <c r="F7459" t="s">
        <v>5783</v>
      </c>
      <c r="G7459" t="s">
        <v>2302</v>
      </c>
      <c r="H7459">
        <v>1</v>
      </c>
      <c r="I7459">
        <v>68.19</v>
      </c>
      <c r="J7459" s="50">
        <v>68.19</v>
      </c>
      <c r="K7459" t="s">
        <v>1618</v>
      </c>
      <c r="M7459" t="s">
        <v>1624</v>
      </c>
      <c r="N7459">
        <v>35.99</v>
      </c>
      <c r="O7459" s="49">
        <v>45427</v>
      </c>
      <c r="P7459" s="50">
        <v>30.685500000000001</v>
      </c>
    </row>
    <row r="7460" spans="4:16" x14ac:dyDescent="0.2">
      <c r="D7460">
        <v>100004430</v>
      </c>
      <c r="E7460" s="49">
        <v>44462</v>
      </c>
      <c r="F7460" t="s">
        <v>5783</v>
      </c>
      <c r="G7460" t="s">
        <v>2007</v>
      </c>
      <c r="H7460">
        <v>10</v>
      </c>
      <c r="I7460">
        <v>57.65</v>
      </c>
      <c r="J7460" s="50">
        <v>576.5</v>
      </c>
      <c r="K7460" t="s">
        <v>1618</v>
      </c>
      <c r="M7460" t="s">
        <v>1627</v>
      </c>
      <c r="N7460">
        <v>30.43</v>
      </c>
      <c r="O7460" s="49">
        <v>44466</v>
      </c>
      <c r="P7460" s="50">
        <v>259.42500000000001</v>
      </c>
    </row>
    <row r="7461" spans="4:16" x14ac:dyDescent="0.2">
      <c r="D7461">
        <v>100004430</v>
      </c>
      <c r="E7461" s="49">
        <v>44558</v>
      </c>
      <c r="F7461" t="s">
        <v>5783</v>
      </c>
      <c r="G7461" t="s">
        <v>1820</v>
      </c>
      <c r="H7461">
        <v>1</v>
      </c>
      <c r="I7461">
        <v>81.14</v>
      </c>
      <c r="J7461" s="50">
        <v>81.14</v>
      </c>
      <c r="K7461" t="s">
        <v>1618</v>
      </c>
      <c r="M7461" t="s">
        <v>1624</v>
      </c>
      <c r="N7461">
        <v>42.82</v>
      </c>
      <c r="O7461" s="49">
        <v>44562</v>
      </c>
      <c r="P7461" s="50">
        <v>36.512999999999998</v>
      </c>
    </row>
    <row r="7462" spans="4:16" x14ac:dyDescent="0.2">
      <c r="D7462">
        <v>100004431</v>
      </c>
      <c r="E7462" s="49">
        <v>44387</v>
      </c>
      <c r="F7462" t="s">
        <v>5784</v>
      </c>
      <c r="G7462" t="s">
        <v>1830</v>
      </c>
      <c r="H7462">
        <v>7</v>
      </c>
      <c r="I7462">
        <v>79.13</v>
      </c>
      <c r="J7462" s="50">
        <v>553.91</v>
      </c>
      <c r="K7462" t="s">
        <v>1618</v>
      </c>
      <c r="L7462" t="s">
        <v>5785</v>
      </c>
      <c r="M7462" t="s">
        <v>1621</v>
      </c>
      <c r="N7462">
        <v>41.76</v>
      </c>
      <c r="O7462" s="49">
        <v>44389</v>
      </c>
      <c r="P7462" s="50">
        <v>249.2595</v>
      </c>
    </row>
    <row r="7463" spans="4:16" x14ac:dyDescent="0.2">
      <c r="D7463">
        <v>100004431</v>
      </c>
      <c r="E7463" s="49">
        <v>44467</v>
      </c>
      <c r="F7463" t="s">
        <v>5784</v>
      </c>
      <c r="G7463" t="s">
        <v>2330</v>
      </c>
      <c r="H7463">
        <v>7</v>
      </c>
      <c r="I7463">
        <v>100.13</v>
      </c>
      <c r="J7463" s="50">
        <v>700.91</v>
      </c>
      <c r="K7463" t="s">
        <v>1618</v>
      </c>
      <c r="L7463" t="s">
        <v>5785</v>
      </c>
      <c r="M7463" t="s">
        <v>1624</v>
      </c>
      <c r="N7463">
        <v>52.85</v>
      </c>
      <c r="O7463" s="49">
        <v>44468</v>
      </c>
      <c r="P7463" s="50">
        <v>315.40949999999998</v>
      </c>
    </row>
    <row r="7464" spans="4:16" x14ac:dyDescent="0.2">
      <c r="D7464">
        <v>100004433</v>
      </c>
      <c r="E7464" s="49">
        <v>45188</v>
      </c>
      <c r="F7464" t="s">
        <v>5786</v>
      </c>
      <c r="G7464" t="s">
        <v>2038</v>
      </c>
      <c r="H7464">
        <v>6</v>
      </c>
      <c r="I7464">
        <v>27.3</v>
      </c>
      <c r="J7464" s="50">
        <v>163.80000000000001</v>
      </c>
      <c r="K7464" t="s">
        <v>1618</v>
      </c>
      <c r="L7464" t="s">
        <v>5787</v>
      </c>
      <c r="M7464" t="s">
        <v>1629</v>
      </c>
      <c r="N7464">
        <v>14.41</v>
      </c>
      <c r="O7464" s="49">
        <v>45192</v>
      </c>
      <c r="P7464" s="50">
        <v>73.710000000000008</v>
      </c>
    </row>
    <row r="7465" spans="4:16" x14ac:dyDescent="0.2">
      <c r="D7465">
        <v>100004435</v>
      </c>
      <c r="E7465" s="49">
        <v>44338</v>
      </c>
      <c r="F7465" t="s">
        <v>5788</v>
      </c>
      <c r="G7465" t="s">
        <v>2416</v>
      </c>
      <c r="H7465">
        <v>5</v>
      </c>
      <c r="I7465">
        <v>75.31</v>
      </c>
      <c r="J7465" s="50">
        <v>376.55</v>
      </c>
      <c r="K7465" t="s">
        <v>1632</v>
      </c>
      <c r="M7465" t="s">
        <v>1621</v>
      </c>
      <c r="N7465">
        <v>39.75</v>
      </c>
      <c r="O7465" s="49">
        <v>44342</v>
      </c>
      <c r="P7465" s="50">
        <v>169.44750000000002</v>
      </c>
    </row>
    <row r="7466" spans="4:16" x14ac:dyDescent="0.2">
      <c r="D7466">
        <v>100004437</v>
      </c>
      <c r="E7466" s="49">
        <v>44979</v>
      </c>
      <c r="F7466" t="s">
        <v>5789</v>
      </c>
      <c r="G7466" t="s">
        <v>1868</v>
      </c>
      <c r="H7466">
        <v>8</v>
      </c>
      <c r="I7466">
        <v>118.37</v>
      </c>
      <c r="J7466" s="50">
        <v>946.96</v>
      </c>
      <c r="K7466" t="s">
        <v>1618</v>
      </c>
      <c r="M7466" t="s">
        <v>1629</v>
      </c>
      <c r="N7466">
        <v>62.47</v>
      </c>
      <c r="O7466" s="49">
        <v>44981</v>
      </c>
      <c r="P7466" s="50">
        <v>426.13200000000001</v>
      </c>
    </row>
    <row r="7467" spans="4:16" x14ac:dyDescent="0.2">
      <c r="D7467">
        <v>100004437</v>
      </c>
      <c r="E7467" s="49">
        <v>44909</v>
      </c>
      <c r="F7467" t="s">
        <v>5789</v>
      </c>
      <c r="G7467" t="s">
        <v>1828</v>
      </c>
      <c r="H7467">
        <v>2</v>
      </c>
      <c r="I7467">
        <v>65.7</v>
      </c>
      <c r="J7467" s="50">
        <v>131.4</v>
      </c>
      <c r="K7467" t="s">
        <v>1618</v>
      </c>
      <c r="M7467" t="s">
        <v>1624</v>
      </c>
      <c r="N7467">
        <v>34.67</v>
      </c>
      <c r="O7467" s="49">
        <v>44910</v>
      </c>
      <c r="P7467" s="50">
        <v>59.13</v>
      </c>
    </row>
    <row r="7468" spans="4:16" x14ac:dyDescent="0.2">
      <c r="D7468">
        <v>100004438</v>
      </c>
      <c r="E7468" s="49">
        <v>45300</v>
      </c>
      <c r="F7468" t="s">
        <v>5790</v>
      </c>
      <c r="G7468" t="s">
        <v>2121</v>
      </c>
      <c r="H7468">
        <v>10</v>
      </c>
      <c r="I7468">
        <v>74.45</v>
      </c>
      <c r="J7468" s="50">
        <v>744.5</v>
      </c>
      <c r="K7468" t="s">
        <v>1632</v>
      </c>
      <c r="M7468" t="s">
        <v>1619</v>
      </c>
      <c r="N7468">
        <v>39.29</v>
      </c>
      <c r="O7468" s="49">
        <v>45304</v>
      </c>
      <c r="P7468" s="50">
        <v>335.02500000000003</v>
      </c>
    </row>
    <row r="7469" spans="4:16" x14ac:dyDescent="0.2">
      <c r="D7469">
        <v>100004438</v>
      </c>
      <c r="E7469" s="49">
        <v>44948</v>
      </c>
      <c r="F7469" t="s">
        <v>5790</v>
      </c>
      <c r="G7469" t="s">
        <v>2375</v>
      </c>
      <c r="H7469">
        <v>5</v>
      </c>
      <c r="I7469">
        <v>94.45</v>
      </c>
      <c r="J7469" s="50">
        <v>472.25</v>
      </c>
      <c r="K7469" t="s">
        <v>1632</v>
      </c>
      <c r="M7469" t="s">
        <v>1627</v>
      </c>
      <c r="N7469">
        <v>49.85</v>
      </c>
      <c r="O7469" s="49">
        <v>44952</v>
      </c>
      <c r="P7469" s="50">
        <v>212.51250000000002</v>
      </c>
    </row>
    <row r="7470" spans="4:16" x14ac:dyDescent="0.2">
      <c r="D7470">
        <v>100004439</v>
      </c>
      <c r="E7470" s="49">
        <v>45030</v>
      </c>
      <c r="F7470" t="s">
        <v>5791</v>
      </c>
      <c r="G7470" t="s">
        <v>2375</v>
      </c>
      <c r="H7470">
        <v>4</v>
      </c>
      <c r="I7470">
        <v>82.1</v>
      </c>
      <c r="J7470" s="50">
        <v>328.4</v>
      </c>
      <c r="K7470" t="s">
        <v>1618</v>
      </c>
      <c r="M7470" t="s">
        <v>1621</v>
      </c>
      <c r="N7470">
        <v>43.33</v>
      </c>
      <c r="O7470" s="49">
        <v>45034</v>
      </c>
      <c r="P7470" s="50">
        <v>147.78</v>
      </c>
    </row>
    <row r="7471" spans="4:16" x14ac:dyDescent="0.2">
      <c r="D7471">
        <v>100004440</v>
      </c>
      <c r="E7471" s="49">
        <v>45331</v>
      </c>
      <c r="F7471" t="s">
        <v>5792</v>
      </c>
      <c r="G7471" t="s">
        <v>1744</v>
      </c>
      <c r="H7471">
        <v>1</v>
      </c>
      <c r="I7471">
        <v>39.89</v>
      </c>
      <c r="J7471" s="50">
        <v>39.89</v>
      </c>
      <c r="K7471" t="s">
        <v>1618</v>
      </c>
      <c r="M7471" t="s">
        <v>1619</v>
      </c>
      <c r="N7471">
        <v>21.05</v>
      </c>
      <c r="O7471" s="49">
        <v>45334</v>
      </c>
      <c r="P7471" s="50">
        <v>17.950500000000002</v>
      </c>
    </row>
    <row r="7472" spans="4:16" x14ac:dyDescent="0.2">
      <c r="D7472">
        <v>100004441</v>
      </c>
      <c r="E7472" s="49">
        <v>44730</v>
      </c>
      <c r="F7472" t="s">
        <v>5793</v>
      </c>
      <c r="G7472" t="s">
        <v>2103</v>
      </c>
      <c r="H7472">
        <v>9</v>
      </c>
      <c r="I7472">
        <v>60.03</v>
      </c>
      <c r="J7472" s="50">
        <v>540.27</v>
      </c>
      <c r="K7472" t="s">
        <v>1618</v>
      </c>
      <c r="L7472" t="s">
        <v>5794</v>
      </c>
      <c r="M7472" t="s">
        <v>1627</v>
      </c>
      <c r="N7472">
        <v>31.68</v>
      </c>
      <c r="O7472" s="49">
        <v>44733</v>
      </c>
      <c r="P7472" s="50">
        <v>243.1215</v>
      </c>
    </row>
    <row r="7473" spans="4:16" x14ac:dyDescent="0.2">
      <c r="D7473">
        <v>100004441</v>
      </c>
      <c r="E7473" s="49">
        <v>44546</v>
      </c>
      <c r="F7473" t="s">
        <v>5793</v>
      </c>
      <c r="G7473" t="s">
        <v>2217</v>
      </c>
      <c r="H7473">
        <v>7</v>
      </c>
      <c r="I7473">
        <v>105.18</v>
      </c>
      <c r="J7473" s="50">
        <v>736.26</v>
      </c>
      <c r="K7473" t="s">
        <v>1618</v>
      </c>
      <c r="L7473" t="s">
        <v>5794</v>
      </c>
      <c r="M7473" t="s">
        <v>1621</v>
      </c>
      <c r="N7473">
        <v>55.51</v>
      </c>
      <c r="O7473" s="49">
        <v>44549</v>
      </c>
      <c r="P7473" s="50">
        <v>331.31700000000001</v>
      </c>
    </row>
    <row r="7474" spans="4:16" x14ac:dyDescent="0.2">
      <c r="D7474">
        <v>100004441</v>
      </c>
      <c r="E7474" s="49">
        <v>44262</v>
      </c>
      <c r="F7474" t="s">
        <v>5793</v>
      </c>
      <c r="G7474" t="s">
        <v>2151</v>
      </c>
      <c r="H7474">
        <v>10</v>
      </c>
      <c r="I7474">
        <v>88.7</v>
      </c>
      <c r="J7474" s="50">
        <v>887</v>
      </c>
      <c r="K7474" t="s">
        <v>1618</v>
      </c>
      <c r="L7474" t="s">
        <v>5794</v>
      </c>
      <c r="M7474" t="s">
        <v>1619</v>
      </c>
      <c r="N7474">
        <v>46.81</v>
      </c>
      <c r="O7474" s="49">
        <v>44265</v>
      </c>
      <c r="P7474" s="50">
        <v>399.15000000000003</v>
      </c>
    </row>
    <row r="7475" spans="4:16" x14ac:dyDescent="0.2">
      <c r="D7475">
        <v>100004441</v>
      </c>
      <c r="E7475" s="49">
        <v>44331</v>
      </c>
      <c r="F7475" t="s">
        <v>5793</v>
      </c>
      <c r="G7475" t="s">
        <v>2192</v>
      </c>
      <c r="H7475">
        <v>9</v>
      </c>
      <c r="I7475">
        <v>81.400000000000006</v>
      </c>
      <c r="J7475" s="50">
        <v>732.6</v>
      </c>
      <c r="K7475" t="s">
        <v>1618</v>
      </c>
      <c r="L7475" t="s">
        <v>5794</v>
      </c>
      <c r="M7475" t="s">
        <v>1629</v>
      </c>
      <c r="N7475">
        <v>42.96</v>
      </c>
      <c r="O7475" s="49">
        <v>44336</v>
      </c>
      <c r="P7475" s="50">
        <v>329.67</v>
      </c>
    </row>
    <row r="7476" spans="4:16" x14ac:dyDescent="0.2">
      <c r="D7476">
        <v>100004441</v>
      </c>
      <c r="E7476" s="49">
        <v>44930</v>
      </c>
      <c r="F7476" t="s">
        <v>5793</v>
      </c>
      <c r="G7476" t="s">
        <v>1664</v>
      </c>
      <c r="H7476">
        <v>6</v>
      </c>
      <c r="I7476">
        <v>48.43</v>
      </c>
      <c r="J7476" s="50">
        <v>290.58</v>
      </c>
      <c r="K7476" t="s">
        <v>1618</v>
      </c>
      <c r="L7476" t="s">
        <v>5794</v>
      </c>
      <c r="M7476" t="s">
        <v>1619</v>
      </c>
      <c r="N7476">
        <v>25.56</v>
      </c>
      <c r="O7476" s="49">
        <v>44931</v>
      </c>
      <c r="P7476" s="50">
        <v>130.761</v>
      </c>
    </row>
    <row r="7477" spans="4:16" x14ac:dyDescent="0.2">
      <c r="D7477">
        <v>100004442</v>
      </c>
      <c r="E7477" s="49">
        <v>45442</v>
      </c>
      <c r="F7477" t="s">
        <v>5795</v>
      </c>
      <c r="G7477" t="s">
        <v>1932</v>
      </c>
      <c r="H7477">
        <v>1</v>
      </c>
      <c r="I7477">
        <v>12.91</v>
      </c>
      <c r="J7477" s="50">
        <v>12.91</v>
      </c>
      <c r="K7477" t="s">
        <v>1618</v>
      </c>
      <c r="L7477" t="s">
        <v>5796</v>
      </c>
      <c r="M7477" t="s">
        <v>1619</v>
      </c>
      <c r="N7477">
        <v>6.81</v>
      </c>
      <c r="O7477" s="49">
        <v>45447</v>
      </c>
      <c r="P7477" s="50">
        <v>5.8094999999999999</v>
      </c>
    </row>
    <row r="7478" spans="4:16" x14ac:dyDescent="0.2">
      <c r="D7478">
        <v>100004442</v>
      </c>
      <c r="E7478" s="49">
        <v>44197</v>
      </c>
      <c r="F7478" t="s">
        <v>5795</v>
      </c>
      <c r="G7478" t="s">
        <v>1842</v>
      </c>
      <c r="H7478">
        <v>5</v>
      </c>
      <c r="I7478">
        <v>76.42</v>
      </c>
      <c r="J7478" s="50">
        <v>382.1</v>
      </c>
      <c r="K7478" t="s">
        <v>1618</v>
      </c>
      <c r="L7478" t="s">
        <v>5796</v>
      </c>
      <c r="M7478" t="s">
        <v>1624</v>
      </c>
      <c r="N7478">
        <v>40.33</v>
      </c>
      <c r="O7478" s="49">
        <v>44202</v>
      </c>
      <c r="P7478" s="50">
        <v>171.94500000000002</v>
      </c>
    </row>
    <row r="7479" spans="4:16" x14ac:dyDescent="0.2">
      <c r="D7479">
        <v>100004442</v>
      </c>
      <c r="E7479" s="49">
        <v>44725</v>
      </c>
      <c r="F7479" t="s">
        <v>5795</v>
      </c>
      <c r="G7479" t="s">
        <v>1710</v>
      </c>
      <c r="H7479">
        <v>10</v>
      </c>
      <c r="I7479">
        <v>52.19</v>
      </c>
      <c r="J7479" s="50">
        <v>521.9</v>
      </c>
      <c r="K7479" t="s">
        <v>1618</v>
      </c>
      <c r="L7479" t="s">
        <v>5796</v>
      </c>
      <c r="M7479" t="s">
        <v>1619</v>
      </c>
      <c r="N7479">
        <v>27.54</v>
      </c>
      <c r="O7479" s="49">
        <v>44729</v>
      </c>
      <c r="P7479" s="50">
        <v>234.85499999999999</v>
      </c>
    </row>
    <row r="7480" spans="4:16" x14ac:dyDescent="0.2">
      <c r="D7480">
        <v>100004442</v>
      </c>
      <c r="E7480" s="49">
        <v>45181</v>
      </c>
      <c r="F7480" t="s">
        <v>5795</v>
      </c>
      <c r="G7480" t="s">
        <v>1853</v>
      </c>
      <c r="H7480">
        <v>10</v>
      </c>
      <c r="I7480">
        <v>36.71</v>
      </c>
      <c r="J7480" s="50">
        <v>367.1</v>
      </c>
      <c r="K7480" t="s">
        <v>1618</v>
      </c>
      <c r="L7480" t="s">
        <v>5796</v>
      </c>
      <c r="M7480" t="s">
        <v>1621</v>
      </c>
      <c r="N7480">
        <v>19.37</v>
      </c>
      <c r="O7480" s="49">
        <v>45184</v>
      </c>
      <c r="P7480" s="50">
        <v>165.19500000000002</v>
      </c>
    </row>
    <row r="7481" spans="4:16" x14ac:dyDescent="0.2">
      <c r="D7481">
        <v>100004443</v>
      </c>
      <c r="E7481" s="49">
        <v>44521</v>
      </c>
      <c r="F7481" t="s">
        <v>5797</v>
      </c>
      <c r="G7481" t="s">
        <v>1748</v>
      </c>
      <c r="H7481">
        <v>3</v>
      </c>
      <c r="I7481">
        <v>116.15</v>
      </c>
      <c r="J7481" s="50">
        <v>348.45</v>
      </c>
      <c r="K7481" t="s">
        <v>1632</v>
      </c>
      <c r="L7481" t="s">
        <v>3463</v>
      </c>
      <c r="M7481" t="s">
        <v>1621</v>
      </c>
      <c r="N7481">
        <v>61.3</v>
      </c>
      <c r="O7481" s="49">
        <v>44523</v>
      </c>
      <c r="P7481" s="50">
        <v>156.80250000000001</v>
      </c>
    </row>
    <row r="7482" spans="4:16" x14ac:dyDescent="0.2">
      <c r="D7482">
        <v>100004444</v>
      </c>
      <c r="E7482" s="49">
        <v>44555</v>
      </c>
      <c r="F7482" t="s">
        <v>5798</v>
      </c>
      <c r="G7482" t="s">
        <v>2090</v>
      </c>
      <c r="H7482">
        <v>5</v>
      </c>
      <c r="I7482">
        <v>26.44</v>
      </c>
      <c r="J7482" s="50">
        <v>132.19999999999999</v>
      </c>
      <c r="K7482" t="s">
        <v>1632</v>
      </c>
      <c r="M7482" t="s">
        <v>1621</v>
      </c>
      <c r="N7482">
        <v>13.95</v>
      </c>
      <c r="O7482" s="49">
        <v>44556</v>
      </c>
      <c r="P7482" s="50">
        <v>59.489999999999995</v>
      </c>
    </row>
    <row r="7483" spans="4:16" x14ac:dyDescent="0.2">
      <c r="D7483">
        <v>100004445</v>
      </c>
      <c r="E7483" s="49">
        <v>44577</v>
      </c>
      <c r="F7483" t="s">
        <v>5799</v>
      </c>
      <c r="G7483" t="s">
        <v>2069</v>
      </c>
      <c r="H7483">
        <v>6</v>
      </c>
      <c r="I7483">
        <v>97.14</v>
      </c>
      <c r="J7483" s="50">
        <v>582.84</v>
      </c>
      <c r="K7483" t="s">
        <v>1618</v>
      </c>
      <c r="M7483" t="s">
        <v>1629</v>
      </c>
      <c r="N7483">
        <v>51.27</v>
      </c>
      <c r="O7483" s="49">
        <v>44580</v>
      </c>
      <c r="P7483" s="50">
        <v>262.27800000000002</v>
      </c>
    </row>
    <row r="7484" spans="4:16" x14ac:dyDescent="0.2">
      <c r="D7484">
        <v>100004447</v>
      </c>
      <c r="E7484" s="49">
        <v>45429</v>
      </c>
      <c r="F7484" t="s">
        <v>5800</v>
      </c>
      <c r="G7484" t="s">
        <v>1677</v>
      </c>
      <c r="H7484">
        <v>3</v>
      </c>
      <c r="I7484">
        <v>42.19</v>
      </c>
      <c r="J7484" s="50">
        <v>126.57</v>
      </c>
      <c r="K7484" t="s">
        <v>1618</v>
      </c>
      <c r="M7484" t="s">
        <v>1621</v>
      </c>
      <c r="N7484">
        <v>22.27</v>
      </c>
      <c r="O7484" s="49">
        <v>45430</v>
      </c>
      <c r="P7484" s="50">
        <v>56.956499999999998</v>
      </c>
    </row>
    <row r="7485" spans="4:16" x14ac:dyDescent="0.2">
      <c r="D7485">
        <v>100004448</v>
      </c>
      <c r="E7485" s="49">
        <v>44470</v>
      </c>
      <c r="F7485" t="s">
        <v>5801</v>
      </c>
      <c r="G7485" t="s">
        <v>2198</v>
      </c>
      <c r="H7485">
        <v>2</v>
      </c>
      <c r="I7485">
        <v>62.92</v>
      </c>
      <c r="J7485" s="50">
        <v>125.84</v>
      </c>
      <c r="K7485" t="s">
        <v>1632</v>
      </c>
      <c r="L7485" t="s">
        <v>5802</v>
      </c>
      <c r="M7485" t="s">
        <v>1627</v>
      </c>
      <c r="N7485">
        <v>33.21</v>
      </c>
      <c r="O7485" s="49">
        <v>44472</v>
      </c>
      <c r="P7485" s="50">
        <v>56.628</v>
      </c>
    </row>
    <row r="7486" spans="4:16" x14ac:dyDescent="0.2">
      <c r="D7486">
        <v>100004448</v>
      </c>
      <c r="E7486" s="49">
        <v>44430</v>
      </c>
      <c r="F7486" t="s">
        <v>5801</v>
      </c>
      <c r="G7486" t="s">
        <v>1945</v>
      </c>
      <c r="H7486">
        <v>2</v>
      </c>
      <c r="I7486">
        <v>94.3</v>
      </c>
      <c r="J7486" s="50">
        <v>188.6</v>
      </c>
      <c r="K7486" t="s">
        <v>1632</v>
      </c>
      <c r="L7486" t="s">
        <v>5802</v>
      </c>
      <c r="M7486" t="s">
        <v>1624</v>
      </c>
      <c r="N7486">
        <v>49.77</v>
      </c>
      <c r="O7486" s="49">
        <v>44434</v>
      </c>
      <c r="P7486" s="50">
        <v>84.87</v>
      </c>
    </row>
    <row r="7487" spans="4:16" x14ac:dyDescent="0.2">
      <c r="D7487">
        <v>100004448</v>
      </c>
      <c r="E7487" s="49">
        <v>45465</v>
      </c>
      <c r="F7487" t="s">
        <v>5801</v>
      </c>
      <c r="G7487" t="s">
        <v>1641</v>
      </c>
      <c r="H7487">
        <v>6</v>
      </c>
      <c r="I7487">
        <v>94.44</v>
      </c>
      <c r="J7487" s="50">
        <v>566.64</v>
      </c>
      <c r="K7487" t="s">
        <v>1632</v>
      </c>
      <c r="L7487" t="s">
        <v>5802</v>
      </c>
      <c r="M7487" t="s">
        <v>1619</v>
      </c>
      <c r="N7487">
        <v>49.84</v>
      </c>
      <c r="O7487" s="49">
        <v>45469</v>
      </c>
      <c r="P7487" s="50">
        <v>254.988</v>
      </c>
    </row>
    <row r="7488" spans="4:16" x14ac:dyDescent="0.2">
      <c r="D7488">
        <v>100004449</v>
      </c>
      <c r="E7488" s="49">
        <v>44587</v>
      </c>
      <c r="F7488" t="s">
        <v>5803</v>
      </c>
      <c r="G7488" t="s">
        <v>1704</v>
      </c>
      <c r="H7488">
        <v>1</v>
      </c>
      <c r="I7488">
        <v>30.53</v>
      </c>
      <c r="J7488" s="50">
        <v>30.53</v>
      </c>
      <c r="K7488" t="s">
        <v>1632</v>
      </c>
      <c r="M7488" t="s">
        <v>1629</v>
      </c>
      <c r="N7488">
        <v>16.11</v>
      </c>
      <c r="O7488" s="49">
        <v>44588</v>
      </c>
      <c r="P7488" s="50">
        <v>13.7385</v>
      </c>
    </row>
    <row r="7489" spans="4:16" x14ac:dyDescent="0.2">
      <c r="D7489">
        <v>100004449</v>
      </c>
      <c r="E7489" s="49">
        <v>44568</v>
      </c>
      <c r="F7489" t="s">
        <v>5803</v>
      </c>
      <c r="G7489" t="s">
        <v>1819</v>
      </c>
      <c r="H7489">
        <v>7</v>
      </c>
      <c r="I7489">
        <v>96.61</v>
      </c>
      <c r="J7489" s="50">
        <v>676.27</v>
      </c>
      <c r="K7489" t="s">
        <v>1632</v>
      </c>
      <c r="M7489" t="s">
        <v>1619</v>
      </c>
      <c r="N7489">
        <v>50.99</v>
      </c>
      <c r="O7489" s="49">
        <v>44569</v>
      </c>
      <c r="P7489" s="50">
        <v>304.32150000000001</v>
      </c>
    </row>
    <row r="7490" spans="4:16" x14ac:dyDescent="0.2">
      <c r="D7490">
        <v>100004451</v>
      </c>
      <c r="E7490" s="49">
        <v>45138</v>
      </c>
      <c r="F7490" t="s">
        <v>5804</v>
      </c>
      <c r="G7490" t="s">
        <v>2613</v>
      </c>
      <c r="H7490">
        <v>9</v>
      </c>
      <c r="I7490">
        <v>76.739999999999995</v>
      </c>
      <c r="J7490" s="50">
        <v>690.66</v>
      </c>
      <c r="K7490" t="s">
        <v>1632</v>
      </c>
      <c r="M7490" t="s">
        <v>1619</v>
      </c>
      <c r="N7490">
        <v>40.5</v>
      </c>
      <c r="O7490" s="49">
        <v>45142</v>
      </c>
      <c r="P7490" s="50">
        <v>310.79699999999997</v>
      </c>
    </row>
    <row r="7491" spans="4:16" x14ac:dyDescent="0.2">
      <c r="D7491">
        <v>100004452</v>
      </c>
      <c r="E7491" s="49">
        <v>44933</v>
      </c>
      <c r="F7491" t="s">
        <v>5805</v>
      </c>
      <c r="G7491" t="s">
        <v>1720</v>
      </c>
      <c r="H7491">
        <v>2</v>
      </c>
      <c r="I7491">
        <v>89.63</v>
      </c>
      <c r="J7491" s="50">
        <v>179.26</v>
      </c>
      <c r="K7491" t="s">
        <v>1632</v>
      </c>
      <c r="L7491" t="s">
        <v>4024</v>
      </c>
      <c r="M7491" t="s">
        <v>1624</v>
      </c>
      <c r="N7491">
        <v>47.3</v>
      </c>
      <c r="O7491" s="49">
        <v>44938</v>
      </c>
      <c r="P7491" s="50">
        <v>80.667000000000002</v>
      </c>
    </row>
    <row r="7492" spans="4:16" x14ac:dyDescent="0.2">
      <c r="D7492">
        <v>100004452</v>
      </c>
      <c r="E7492" s="49">
        <v>45500</v>
      </c>
      <c r="F7492" t="s">
        <v>5805</v>
      </c>
      <c r="G7492" t="s">
        <v>1833</v>
      </c>
      <c r="H7492">
        <v>4</v>
      </c>
      <c r="I7492">
        <v>83.3</v>
      </c>
      <c r="J7492" s="50">
        <v>333.2</v>
      </c>
      <c r="K7492" t="s">
        <v>1632</v>
      </c>
      <c r="L7492" t="s">
        <v>4024</v>
      </c>
      <c r="M7492" t="s">
        <v>1624</v>
      </c>
      <c r="N7492">
        <v>43.96</v>
      </c>
      <c r="O7492" s="49">
        <v>45503</v>
      </c>
      <c r="P7492" s="50">
        <v>149.94</v>
      </c>
    </row>
    <row r="7493" spans="4:16" x14ac:dyDescent="0.2">
      <c r="D7493">
        <v>100004452</v>
      </c>
      <c r="E7493" s="49">
        <v>44927</v>
      </c>
      <c r="F7493" t="s">
        <v>5805</v>
      </c>
      <c r="G7493" t="s">
        <v>2346</v>
      </c>
      <c r="H7493">
        <v>7</v>
      </c>
      <c r="I7493">
        <v>38.07</v>
      </c>
      <c r="J7493" s="50">
        <v>266.49</v>
      </c>
      <c r="K7493" t="s">
        <v>1632</v>
      </c>
      <c r="L7493" t="s">
        <v>4024</v>
      </c>
      <c r="M7493" t="s">
        <v>1624</v>
      </c>
      <c r="N7493">
        <v>20.09</v>
      </c>
      <c r="O7493" s="49">
        <v>44932</v>
      </c>
      <c r="P7493" s="50">
        <v>119.9205</v>
      </c>
    </row>
    <row r="7494" spans="4:16" x14ac:dyDescent="0.2">
      <c r="D7494">
        <v>100004452</v>
      </c>
      <c r="E7494" s="49">
        <v>45587</v>
      </c>
      <c r="F7494" t="s">
        <v>5805</v>
      </c>
      <c r="G7494" t="s">
        <v>2337</v>
      </c>
      <c r="H7494">
        <v>9</v>
      </c>
      <c r="I7494">
        <v>86.38</v>
      </c>
      <c r="J7494" s="50">
        <v>777.42</v>
      </c>
      <c r="K7494" t="s">
        <v>1632</v>
      </c>
      <c r="L7494" t="s">
        <v>4024</v>
      </c>
      <c r="M7494" t="s">
        <v>1629</v>
      </c>
      <c r="N7494">
        <v>45.59</v>
      </c>
      <c r="O7494" s="49">
        <v>45588</v>
      </c>
      <c r="P7494" s="50">
        <v>349.839</v>
      </c>
    </row>
    <row r="7495" spans="4:16" x14ac:dyDescent="0.2">
      <c r="D7495">
        <v>100004452</v>
      </c>
      <c r="E7495" s="49">
        <v>44734</v>
      </c>
      <c r="F7495" t="s">
        <v>5805</v>
      </c>
      <c r="G7495" t="s">
        <v>1670</v>
      </c>
      <c r="H7495">
        <v>3</v>
      </c>
      <c r="I7495">
        <v>97.22</v>
      </c>
      <c r="J7495" s="50">
        <v>291.66000000000003</v>
      </c>
      <c r="K7495" t="s">
        <v>1632</v>
      </c>
      <c r="L7495" t="s">
        <v>4024</v>
      </c>
      <c r="M7495" t="s">
        <v>1629</v>
      </c>
      <c r="N7495">
        <v>51.31</v>
      </c>
      <c r="O7495" s="49">
        <v>44739</v>
      </c>
      <c r="P7495" s="50">
        <v>131.24700000000001</v>
      </c>
    </row>
    <row r="7496" spans="4:16" x14ac:dyDescent="0.2">
      <c r="D7496">
        <v>100004452</v>
      </c>
      <c r="E7496" s="49">
        <v>45066</v>
      </c>
      <c r="F7496" t="s">
        <v>5805</v>
      </c>
      <c r="G7496" t="s">
        <v>1904</v>
      </c>
      <c r="H7496">
        <v>10</v>
      </c>
      <c r="I7496">
        <v>47.55</v>
      </c>
      <c r="J7496" s="50">
        <v>475.5</v>
      </c>
      <c r="K7496" t="s">
        <v>1632</v>
      </c>
      <c r="L7496" t="s">
        <v>4024</v>
      </c>
      <c r="M7496" t="s">
        <v>1624</v>
      </c>
      <c r="N7496">
        <v>25.1</v>
      </c>
      <c r="O7496" s="49">
        <v>45070</v>
      </c>
      <c r="P7496" s="50">
        <v>213.97499999999999</v>
      </c>
    </row>
    <row r="7497" spans="4:16" x14ac:dyDescent="0.2">
      <c r="D7497">
        <v>100004453</v>
      </c>
      <c r="E7497" s="49">
        <v>45437</v>
      </c>
      <c r="F7497" t="s">
        <v>5806</v>
      </c>
      <c r="G7497" t="s">
        <v>2420</v>
      </c>
      <c r="H7497">
        <v>8</v>
      </c>
      <c r="I7497">
        <v>55.55</v>
      </c>
      <c r="J7497" s="50">
        <v>444.4</v>
      </c>
      <c r="K7497" t="s">
        <v>1618</v>
      </c>
      <c r="L7497" t="s">
        <v>5598</v>
      </c>
      <c r="M7497" t="s">
        <v>1627</v>
      </c>
      <c r="N7497">
        <v>29.32</v>
      </c>
      <c r="O7497" s="49">
        <v>45438</v>
      </c>
      <c r="P7497" s="50">
        <v>199.98</v>
      </c>
    </row>
    <row r="7498" spans="4:16" x14ac:dyDescent="0.2">
      <c r="D7498">
        <v>100004453</v>
      </c>
      <c r="E7498" s="49">
        <v>44434</v>
      </c>
      <c r="F7498" t="s">
        <v>5806</v>
      </c>
      <c r="G7498" t="s">
        <v>1756</v>
      </c>
      <c r="H7498">
        <v>4</v>
      </c>
      <c r="I7498">
        <v>57.03</v>
      </c>
      <c r="J7498" s="50">
        <v>228.12</v>
      </c>
      <c r="K7498" t="s">
        <v>1618</v>
      </c>
      <c r="L7498" t="s">
        <v>5598</v>
      </c>
      <c r="M7498" t="s">
        <v>1624</v>
      </c>
      <c r="N7498">
        <v>30.1</v>
      </c>
      <c r="O7498" s="49">
        <v>44439</v>
      </c>
      <c r="P7498" s="50">
        <v>102.65400000000001</v>
      </c>
    </row>
    <row r="7499" spans="4:16" x14ac:dyDescent="0.2">
      <c r="D7499">
        <v>100004453</v>
      </c>
      <c r="E7499" s="49">
        <v>44612</v>
      </c>
      <c r="F7499" t="s">
        <v>5806</v>
      </c>
      <c r="G7499" t="s">
        <v>1980</v>
      </c>
      <c r="H7499">
        <v>9</v>
      </c>
      <c r="I7499">
        <v>39.65</v>
      </c>
      <c r="J7499" s="50">
        <v>356.85</v>
      </c>
      <c r="K7499" t="s">
        <v>1618</v>
      </c>
      <c r="L7499" t="s">
        <v>5598</v>
      </c>
      <c r="M7499" t="s">
        <v>1629</v>
      </c>
      <c r="N7499">
        <v>20.93</v>
      </c>
      <c r="O7499" s="49">
        <v>44613</v>
      </c>
      <c r="P7499" s="50">
        <v>160.58250000000001</v>
      </c>
    </row>
    <row r="7500" spans="4:16" x14ac:dyDescent="0.2">
      <c r="D7500">
        <v>100004453</v>
      </c>
      <c r="E7500" s="49">
        <v>45600</v>
      </c>
      <c r="F7500" t="s">
        <v>5806</v>
      </c>
      <c r="G7500" t="s">
        <v>1841</v>
      </c>
      <c r="H7500">
        <v>2</v>
      </c>
      <c r="I7500">
        <v>109.31</v>
      </c>
      <c r="J7500" s="50">
        <v>218.62</v>
      </c>
      <c r="K7500" t="s">
        <v>1618</v>
      </c>
      <c r="L7500" t="s">
        <v>5598</v>
      </c>
      <c r="M7500" t="s">
        <v>1619</v>
      </c>
      <c r="N7500">
        <v>57.69</v>
      </c>
      <c r="O7500" s="49">
        <v>45603</v>
      </c>
      <c r="P7500" s="50">
        <v>98.379000000000005</v>
      </c>
    </row>
    <row r="7501" spans="4:16" x14ac:dyDescent="0.2">
      <c r="D7501">
        <v>100004454</v>
      </c>
      <c r="E7501" s="49">
        <v>44640</v>
      </c>
      <c r="F7501" t="s">
        <v>5807</v>
      </c>
      <c r="G7501" t="s">
        <v>2550</v>
      </c>
      <c r="H7501">
        <v>6</v>
      </c>
      <c r="I7501">
        <v>30.53</v>
      </c>
      <c r="J7501" s="50">
        <v>183.18</v>
      </c>
      <c r="K7501" t="s">
        <v>1632</v>
      </c>
      <c r="M7501" t="s">
        <v>1627</v>
      </c>
      <c r="N7501">
        <v>16.11</v>
      </c>
      <c r="O7501" s="49">
        <v>44643</v>
      </c>
      <c r="P7501" s="50">
        <v>82.431000000000012</v>
      </c>
    </row>
    <row r="7502" spans="4:16" x14ac:dyDescent="0.2">
      <c r="D7502">
        <v>100004455</v>
      </c>
      <c r="E7502" s="49">
        <v>44487</v>
      </c>
      <c r="F7502" t="s">
        <v>5808</v>
      </c>
      <c r="G7502" t="s">
        <v>1782</v>
      </c>
      <c r="H7502">
        <v>4</v>
      </c>
      <c r="I7502">
        <v>68.400000000000006</v>
      </c>
      <c r="J7502" s="50">
        <v>273.60000000000002</v>
      </c>
      <c r="K7502" t="s">
        <v>1618</v>
      </c>
      <c r="M7502" t="s">
        <v>1621</v>
      </c>
      <c r="N7502">
        <v>36.1</v>
      </c>
      <c r="O7502" s="49">
        <v>44488</v>
      </c>
      <c r="P7502" s="50">
        <v>123.12000000000002</v>
      </c>
    </row>
    <row r="7503" spans="4:16" x14ac:dyDescent="0.2">
      <c r="D7503">
        <v>100004456</v>
      </c>
      <c r="E7503" s="49">
        <v>44699</v>
      </c>
      <c r="F7503" t="s">
        <v>5809</v>
      </c>
      <c r="G7503" t="s">
        <v>2240</v>
      </c>
      <c r="H7503">
        <v>4</v>
      </c>
      <c r="I7503">
        <v>67.83</v>
      </c>
      <c r="J7503" s="50">
        <v>271.32</v>
      </c>
      <c r="K7503" t="s">
        <v>1618</v>
      </c>
      <c r="M7503" t="s">
        <v>1621</v>
      </c>
      <c r="N7503">
        <v>35.799999999999997</v>
      </c>
      <c r="O7503" s="49">
        <v>44700</v>
      </c>
      <c r="P7503" s="50">
        <v>122.09399999999999</v>
      </c>
    </row>
    <row r="7504" spans="4:16" x14ac:dyDescent="0.2">
      <c r="D7504">
        <v>100004456</v>
      </c>
      <c r="E7504" s="49">
        <v>45345</v>
      </c>
      <c r="F7504" t="s">
        <v>5809</v>
      </c>
      <c r="G7504" t="s">
        <v>1697</v>
      </c>
      <c r="H7504">
        <v>1</v>
      </c>
      <c r="I7504">
        <v>66.84</v>
      </c>
      <c r="J7504" s="50">
        <v>66.84</v>
      </c>
      <c r="K7504" t="s">
        <v>1618</v>
      </c>
      <c r="M7504" t="s">
        <v>1621</v>
      </c>
      <c r="N7504">
        <v>35.28</v>
      </c>
      <c r="O7504" s="49">
        <v>45349</v>
      </c>
      <c r="P7504" s="50">
        <v>30.078000000000003</v>
      </c>
    </row>
    <row r="7505" spans="4:16" x14ac:dyDescent="0.2">
      <c r="D7505">
        <v>100004457</v>
      </c>
      <c r="E7505" s="49">
        <v>45271</v>
      </c>
      <c r="F7505" t="s">
        <v>5810</v>
      </c>
      <c r="G7505" t="s">
        <v>2145</v>
      </c>
      <c r="H7505">
        <v>2</v>
      </c>
      <c r="I7505">
        <v>15.42</v>
      </c>
      <c r="J7505" s="50">
        <v>30.84</v>
      </c>
      <c r="K7505" t="s">
        <v>1618</v>
      </c>
      <c r="L7505" t="s">
        <v>5811</v>
      </c>
      <c r="M7505" t="s">
        <v>1619</v>
      </c>
      <c r="N7505">
        <v>8.14</v>
      </c>
      <c r="O7505" s="49">
        <v>45273</v>
      </c>
      <c r="P7505" s="50">
        <v>13.878</v>
      </c>
    </row>
    <row r="7506" spans="4:16" x14ac:dyDescent="0.2">
      <c r="D7506">
        <v>100004458</v>
      </c>
      <c r="E7506" s="49">
        <v>45255</v>
      </c>
      <c r="F7506" t="s">
        <v>5812</v>
      </c>
      <c r="G7506" t="s">
        <v>2553</v>
      </c>
      <c r="H7506">
        <v>1</v>
      </c>
      <c r="I7506">
        <v>69.66</v>
      </c>
      <c r="J7506" s="50">
        <v>69.66</v>
      </c>
      <c r="K7506" t="s">
        <v>1618</v>
      </c>
      <c r="M7506" t="s">
        <v>1621</v>
      </c>
      <c r="N7506">
        <v>36.76</v>
      </c>
      <c r="O7506" s="49">
        <v>45260</v>
      </c>
      <c r="P7506" s="50">
        <v>31.346999999999998</v>
      </c>
    </row>
    <row r="7507" spans="4:16" x14ac:dyDescent="0.2">
      <c r="D7507">
        <v>100004458</v>
      </c>
      <c r="E7507" s="49">
        <v>45486</v>
      </c>
      <c r="F7507" t="s">
        <v>5812</v>
      </c>
      <c r="G7507" t="s">
        <v>2305</v>
      </c>
      <c r="H7507">
        <v>7</v>
      </c>
      <c r="I7507">
        <v>118.11</v>
      </c>
      <c r="J7507" s="50">
        <v>826.77</v>
      </c>
      <c r="K7507" t="s">
        <v>1618</v>
      </c>
      <c r="M7507" t="s">
        <v>1621</v>
      </c>
      <c r="N7507">
        <v>62.34</v>
      </c>
      <c r="O7507" s="49">
        <v>45489</v>
      </c>
      <c r="P7507" s="50">
        <v>372.04649999999998</v>
      </c>
    </row>
    <row r="7508" spans="4:16" x14ac:dyDescent="0.2">
      <c r="D7508">
        <v>100004458</v>
      </c>
      <c r="E7508" s="49">
        <v>45414</v>
      </c>
      <c r="F7508" t="s">
        <v>5812</v>
      </c>
      <c r="G7508" t="s">
        <v>1792</v>
      </c>
      <c r="H7508">
        <v>9</v>
      </c>
      <c r="I7508">
        <v>84.01</v>
      </c>
      <c r="J7508" s="50">
        <v>756.09</v>
      </c>
      <c r="K7508" t="s">
        <v>1618</v>
      </c>
      <c r="M7508" t="s">
        <v>1624</v>
      </c>
      <c r="N7508">
        <v>44.34</v>
      </c>
      <c r="O7508" s="49">
        <v>45415</v>
      </c>
      <c r="P7508" s="50">
        <v>340.2405</v>
      </c>
    </row>
    <row r="7509" spans="4:16" x14ac:dyDescent="0.2">
      <c r="D7509">
        <v>100004458</v>
      </c>
      <c r="E7509" s="49">
        <v>44655</v>
      </c>
      <c r="F7509" t="s">
        <v>5812</v>
      </c>
      <c r="G7509" t="s">
        <v>2412</v>
      </c>
      <c r="H7509">
        <v>5</v>
      </c>
      <c r="I7509">
        <v>17.82</v>
      </c>
      <c r="J7509" s="50">
        <v>89.1</v>
      </c>
      <c r="K7509" t="s">
        <v>1618</v>
      </c>
      <c r="M7509" t="s">
        <v>1624</v>
      </c>
      <c r="N7509">
        <v>9.4</v>
      </c>
      <c r="O7509" s="49">
        <v>44660</v>
      </c>
      <c r="P7509" s="50">
        <v>40.094999999999999</v>
      </c>
    </row>
    <row r="7510" spans="4:16" x14ac:dyDescent="0.2">
      <c r="D7510">
        <v>100004459</v>
      </c>
      <c r="E7510" s="49">
        <v>45319</v>
      </c>
      <c r="F7510" t="s">
        <v>5813</v>
      </c>
      <c r="G7510" t="s">
        <v>2191</v>
      </c>
      <c r="H7510">
        <v>8</v>
      </c>
      <c r="I7510">
        <v>17.88</v>
      </c>
      <c r="J7510" s="50">
        <v>143.04</v>
      </c>
      <c r="K7510" t="s">
        <v>1632</v>
      </c>
      <c r="M7510" t="s">
        <v>1624</v>
      </c>
      <c r="N7510">
        <v>9.44</v>
      </c>
      <c r="O7510" s="49">
        <v>45323</v>
      </c>
      <c r="P7510" s="50">
        <v>64.367999999999995</v>
      </c>
    </row>
    <row r="7511" spans="4:16" x14ac:dyDescent="0.2">
      <c r="D7511">
        <v>100004459</v>
      </c>
      <c r="E7511" s="49">
        <v>44517</v>
      </c>
      <c r="F7511" t="s">
        <v>5813</v>
      </c>
      <c r="G7511" t="s">
        <v>2039</v>
      </c>
      <c r="H7511">
        <v>6</v>
      </c>
      <c r="I7511">
        <v>19.3</v>
      </c>
      <c r="J7511" s="50">
        <v>115.8</v>
      </c>
      <c r="K7511" t="s">
        <v>1632</v>
      </c>
      <c r="M7511" t="s">
        <v>1619</v>
      </c>
      <c r="N7511">
        <v>10.19</v>
      </c>
      <c r="O7511" s="49">
        <v>44518</v>
      </c>
      <c r="P7511" s="50">
        <v>52.11</v>
      </c>
    </row>
    <row r="7512" spans="4:16" x14ac:dyDescent="0.2">
      <c r="D7512">
        <v>100004459</v>
      </c>
      <c r="E7512" s="49">
        <v>44689</v>
      </c>
      <c r="F7512" t="s">
        <v>5813</v>
      </c>
      <c r="G7512" t="s">
        <v>1853</v>
      </c>
      <c r="H7512">
        <v>1</v>
      </c>
      <c r="I7512">
        <v>20.04</v>
      </c>
      <c r="J7512" s="50">
        <v>20.04</v>
      </c>
      <c r="K7512" t="s">
        <v>1632</v>
      </c>
      <c r="M7512" t="s">
        <v>1621</v>
      </c>
      <c r="N7512">
        <v>10.58</v>
      </c>
      <c r="O7512" s="49">
        <v>44690</v>
      </c>
      <c r="P7512" s="50">
        <v>9.0180000000000007</v>
      </c>
    </row>
    <row r="7513" spans="4:16" x14ac:dyDescent="0.2">
      <c r="D7513">
        <v>100004459</v>
      </c>
      <c r="E7513" s="49">
        <v>44441</v>
      </c>
      <c r="F7513" t="s">
        <v>5813</v>
      </c>
      <c r="G7513" t="s">
        <v>1882</v>
      </c>
      <c r="H7513">
        <v>6</v>
      </c>
      <c r="I7513">
        <v>54.52</v>
      </c>
      <c r="J7513" s="50">
        <v>327.12</v>
      </c>
      <c r="K7513" t="s">
        <v>1632</v>
      </c>
      <c r="M7513" t="s">
        <v>1624</v>
      </c>
      <c r="N7513">
        <v>28.77</v>
      </c>
      <c r="O7513" s="49">
        <v>44444</v>
      </c>
      <c r="P7513" s="50">
        <v>147.20400000000001</v>
      </c>
    </row>
    <row r="7514" spans="4:16" x14ac:dyDescent="0.2">
      <c r="D7514">
        <v>100004460</v>
      </c>
      <c r="E7514" s="49">
        <v>44600</v>
      </c>
      <c r="F7514" t="s">
        <v>5814</v>
      </c>
      <c r="G7514" t="s">
        <v>2465</v>
      </c>
      <c r="H7514">
        <v>7</v>
      </c>
      <c r="I7514">
        <v>103.97</v>
      </c>
      <c r="J7514" s="50">
        <v>727.79</v>
      </c>
      <c r="K7514" t="s">
        <v>1618</v>
      </c>
      <c r="L7514" t="s">
        <v>5815</v>
      </c>
      <c r="M7514" t="s">
        <v>1619</v>
      </c>
      <c r="N7514">
        <v>54.87</v>
      </c>
      <c r="O7514" s="49">
        <v>44602</v>
      </c>
      <c r="P7514" s="50">
        <v>327.50549999999998</v>
      </c>
    </row>
    <row r="7515" spans="4:16" x14ac:dyDescent="0.2">
      <c r="D7515">
        <v>100004460</v>
      </c>
      <c r="E7515" s="49">
        <v>45099</v>
      </c>
      <c r="F7515" t="s">
        <v>5814</v>
      </c>
      <c r="G7515" t="s">
        <v>2240</v>
      </c>
      <c r="H7515">
        <v>3</v>
      </c>
      <c r="I7515">
        <v>67.81</v>
      </c>
      <c r="J7515" s="50">
        <v>203.43</v>
      </c>
      <c r="K7515" t="s">
        <v>1618</v>
      </c>
      <c r="L7515" t="s">
        <v>5815</v>
      </c>
      <c r="M7515" t="s">
        <v>1627</v>
      </c>
      <c r="N7515">
        <v>35.79</v>
      </c>
      <c r="O7515" s="49">
        <v>45103</v>
      </c>
      <c r="P7515" s="50">
        <v>91.543500000000009</v>
      </c>
    </row>
    <row r="7516" spans="4:16" x14ac:dyDescent="0.2">
      <c r="D7516">
        <v>100004460</v>
      </c>
      <c r="E7516" s="49">
        <v>44582</v>
      </c>
      <c r="F7516" t="s">
        <v>5814</v>
      </c>
      <c r="G7516" t="s">
        <v>1700</v>
      </c>
      <c r="H7516">
        <v>5</v>
      </c>
      <c r="I7516">
        <v>95.06</v>
      </c>
      <c r="J7516" s="50">
        <v>475.3</v>
      </c>
      <c r="K7516" t="s">
        <v>1618</v>
      </c>
      <c r="L7516" t="s">
        <v>5815</v>
      </c>
      <c r="M7516" t="s">
        <v>1619</v>
      </c>
      <c r="N7516">
        <v>50.17</v>
      </c>
      <c r="O7516" s="49">
        <v>44583</v>
      </c>
      <c r="P7516" s="50">
        <v>213.88500000000002</v>
      </c>
    </row>
    <row r="7517" spans="4:16" x14ac:dyDescent="0.2">
      <c r="D7517">
        <v>100004460</v>
      </c>
      <c r="E7517" s="49">
        <v>44551</v>
      </c>
      <c r="F7517" t="s">
        <v>5814</v>
      </c>
      <c r="G7517" t="s">
        <v>2574</v>
      </c>
      <c r="H7517">
        <v>5</v>
      </c>
      <c r="I7517">
        <v>95.26</v>
      </c>
      <c r="J7517" s="50">
        <v>476.3</v>
      </c>
      <c r="K7517" t="s">
        <v>1618</v>
      </c>
      <c r="L7517" t="s">
        <v>5815</v>
      </c>
      <c r="M7517" t="s">
        <v>1624</v>
      </c>
      <c r="N7517">
        <v>50.28</v>
      </c>
      <c r="O7517" s="49">
        <v>44554</v>
      </c>
      <c r="P7517" s="50">
        <v>214.33500000000001</v>
      </c>
    </row>
    <row r="7518" spans="4:16" x14ac:dyDescent="0.2">
      <c r="D7518">
        <v>100004460</v>
      </c>
      <c r="E7518" s="49">
        <v>44384</v>
      </c>
      <c r="F7518" t="s">
        <v>5814</v>
      </c>
      <c r="G7518" t="s">
        <v>2096</v>
      </c>
      <c r="H7518">
        <v>1</v>
      </c>
      <c r="I7518">
        <v>12.94</v>
      </c>
      <c r="J7518" s="50">
        <v>12.94</v>
      </c>
      <c r="K7518" t="s">
        <v>1618</v>
      </c>
      <c r="L7518" t="s">
        <v>5815</v>
      </c>
      <c r="M7518" t="s">
        <v>1619</v>
      </c>
      <c r="N7518">
        <v>6.83</v>
      </c>
      <c r="O7518" s="49">
        <v>44389</v>
      </c>
      <c r="P7518" s="50">
        <v>5.8229999999999995</v>
      </c>
    </row>
    <row r="7519" spans="4:16" x14ac:dyDescent="0.2">
      <c r="D7519">
        <v>100004460</v>
      </c>
      <c r="E7519" s="49">
        <v>44648</v>
      </c>
      <c r="F7519" t="s">
        <v>5814</v>
      </c>
      <c r="G7519" t="s">
        <v>1748</v>
      </c>
      <c r="H7519">
        <v>9</v>
      </c>
      <c r="I7519">
        <v>74.03</v>
      </c>
      <c r="J7519" s="50">
        <v>666.27</v>
      </c>
      <c r="K7519" t="s">
        <v>1618</v>
      </c>
      <c r="L7519" t="s">
        <v>5815</v>
      </c>
      <c r="M7519" t="s">
        <v>1629</v>
      </c>
      <c r="N7519">
        <v>39.07</v>
      </c>
      <c r="O7519" s="49">
        <v>44651</v>
      </c>
      <c r="P7519" s="50">
        <v>299.82150000000001</v>
      </c>
    </row>
    <row r="7520" spans="4:16" x14ac:dyDescent="0.2">
      <c r="D7520">
        <v>100004461</v>
      </c>
      <c r="E7520" s="49">
        <v>45532</v>
      </c>
      <c r="F7520" t="s">
        <v>5816</v>
      </c>
      <c r="G7520" t="s">
        <v>1646</v>
      </c>
      <c r="H7520">
        <v>9</v>
      </c>
      <c r="I7520">
        <v>116.17</v>
      </c>
      <c r="J7520" s="50">
        <v>1045.53</v>
      </c>
      <c r="K7520" t="s">
        <v>1618</v>
      </c>
      <c r="M7520" t="s">
        <v>1629</v>
      </c>
      <c r="N7520">
        <v>61.31</v>
      </c>
      <c r="O7520" s="49">
        <v>45537</v>
      </c>
      <c r="P7520" s="50">
        <v>470.48849999999999</v>
      </c>
    </row>
    <row r="7521" spans="4:16" x14ac:dyDescent="0.2">
      <c r="D7521">
        <v>100004461</v>
      </c>
      <c r="E7521" s="49">
        <v>45413</v>
      </c>
      <c r="F7521" t="s">
        <v>5816</v>
      </c>
      <c r="G7521" t="s">
        <v>1978</v>
      </c>
      <c r="H7521">
        <v>3</v>
      </c>
      <c r="I7521">
        <v>39.53</v>
      </c>
      <c r="J7521" s="50">
        <v>118.59</v>
      </c>
      <c r="K7521" t="s">
        <v>1618</v>
      </c>
      <c r="M7521" t="s">
        <v>1624</v>
      </c>
      <c r="N7521">
        <v>20.86</v>
      </c>
      <c r="O7521" s="49">
        <v>45418</v>
      </c>
      <c r="P7521" s="50">
        <v>53.365500000000004</v>
      </c>
    </row>
    <row r="7522" spans="4:16" x14ac:dyDescent="0.2">
      <c r="D7522">
        <v>100004462</v>
      </c>
      <c r="E7522" s="49">
        <v>44916</v>
      </c>
      <c r="F7522" t="s">
        <v>5817</v>
      </c>
      <c r="G7522" t="s">
        <v>2180</v>
      </c>
      <c r="H7522">
        <v>6</v>
      </c>
      <c r="I7522">
        <v>26.14</v>
      </c>
      <c r="J7522" s="50">
        <v>156.84</v>
      </c>
      <c r="K7522" t="s">
        <v>1632</v>
      </c>
      <c r="M7522" t="s">
        <v>1619</v>
      </c>
      <c r="N7522">
        <v>13.8</v>
      </c>
      <c r="O7522" s="49">
        <v>44919</v>
      </c>
      <c r="P7522" s="50">
        <v>70.578000000000003</v>
      </c>
    </row>
    <row r="7523" spans="4:16" x14ac:dyDescent="0.2">
      <c r="D7523">
        <v>100004463</v>
      </c>
      <c r="E7523" s="49">
        <v>45357</v>
      </c>
      <c r="F7523" t="s">
        <v>5818</v>
      </c>
      <c r="G7523" t="s">
        <v>1787</v>
      </c>
      <c r="H7523">
        <v>6</v>
      </c>
      <c r="I7523">
        <v>55.05</v>
      </c>
      <c r="J7523" s="50">
        <v>330.3</v>
      </c>
      <c r="K7523" t="s">
        <v>1632</v>
      </c>
      <c r="M7523" t="s">
        <v>1619</v>
      </c>
      <c r="N7523">
        <v>29.05</v>
      </c>
      <c r="O7523" s="49">
        <v>45359</v>
      </c>
      <c r="P7523" s="50">
        <v>148.63500000000002</v>
      </c>
    </row>
    <row r="7524" spans="4:16" x14ac:dyDescent="0.2">
      <c r="D7524">
        <v>100004463</v>
      </c>
      <c r="E7524" s="49">
        <v>44580</v>
      </c>
      <c r="F7524" t="s">
        <v>5818</v>
      </c>
      <c r="G7524" t="s">
        <v>2142</v>
      </c>
      <c r="H7524">
        <v>9</v>
      </c>
      <c r="I7524">
        <v>107.58</v>
      </c>
      <c r="J7524" s="50">
        <v>968.22</v>
      </c>
      <c r="K7524" t="s">
        <v>1632</v>
      </c>
      <c r="M7524" t="s">
        <v>1621</v>
      </c>
      <c r="N7524">
        <v>56.78</v>
      </c>
      <c r="O7524" s="49">
        <v>44585</v>
      </c>
      <c r="P7524" s="50">
        <v>435.69900000000001</v>
      </c>
    </row>
    <row r="7525" spans="4:16" x14ac:dyDescent="0.2">
      <c r="D7525">
        <v>100004463</v>
      </c>
      <c r="E7525" s="49">
        <v>44851</v>
      </c>
      <c r="F7525" t="s">
        <v>5818</v>
      </c>
      <c r="G7525" t="s">
        <v>2372</v>
      </c>
      <c r="H7525">
        <v>7</v>
      </c>
      <c r="I7525">
        <v>108.27</v>
      </c>
      <c r="J7525" s="50">
        <v>757.89</v>
      </c>
      <c r="K7525" t="s">
        <v>1632</v>
      </c>
      <c r="M7525" t="s">
        <v>1619</v>
      </c>
      <c r="N7525">
        <v>57.14</v>
      </c>
      <c r="O7525" s="49">
        <v>44854</v>
      </c>
      <c r="P7525" s="50">
        <v>341.0505</v>
      </c>
    </row>
    <row r="7526" spans="4:16" x14ac:dyDescent="0.2">
      <c r="D7526">
        <v>100004463</v>
      </c>
      <c r="E7526" s="49">
        <v>45589</v>
      </c>
      <c r="F7526" t="s">
        <v>5818</v>
      </c>
      <c r="G7526" t="s">
        <v>3075</v>
      </c>
      <c r="H7526">
        <v>7</v>
      </c>
      <c r="I7526">
        <v>25.83</v>
      </c>
      <c r="J7526" s="50">
        <v>180.81</v>
      </c>
      <c r="K7526" t="s">
        <v>1632</v>
      </c>
      <c r="M7526" t="s">
        <v>1621</v>
      </c>
      <c r="N7526">
        <v>13.63</v>
      </c>
      <c r="O7526" s="49">
        <v>45590</v>
      </c>
      <c r="P7526" s="50">
        <v>81.364500000000007</v>
      </c>
    </row>
    <row r="7527" spans="4:16" x14ac:dyDescent="0.2">
      <c r="D7527">
        <v>100004463</v>
      </c>
      <c r="E7527" s="49">
        <v>45562</v>
      </c>
      <c r="F7527" t="s">
        <v>5818</v>
      </c>
      <c r="G7527" t="s">
        <v>1999</v>
      </c>
      <c r="H7527">
        <v>8</v>
      </c>
      <c r="I7527">
        <v>54.84</v>
      </c>
      <c r="J7527" s="50">
        <v>438.72</v>
      </c>
      <c r="K7527" t="s">
        <v>1632</v>
      </c>
      <c r="M7527" t="s">
        <v>1621</v>
      </c>
      <c r="N7527">
        <v>28.94</v>
      </c>
      <c r="O7527" s="49">
        <v>45566</v>
      </c>
      <c r="P7527" s="50">
        <v>197.42400000000001</v>
      </c>
    </row>
    <row r="7528" spans="4:16" x14ac:dyDescent="0.2">
      <c r="D7528">
        <v>100004467</v>
      </c>
      <c r="E7528" s="49">
        <v>44245</v>
      </c>
      <c r="F7528" t="s">
        <v>5819</v>
      </c>
      <c r="G7528" t="s">
        <v>1885</v>
      </c>
      <c r="H7528">
        <v>10</v>
      </c>
      <c r="I7528">
        <v>68.05</v>
      </c>
      <c r="J7528" s="50">
        <v>680.5</v>
      </c>
      <c r="K7528" t="s">
        <v>1618</v>
      </c>
      <c r="L7528" t="s">
        <v>5820</v>
      </c>
      <c r="M7528" t="s">
        <v>1624</v>
      </c>
      <c r="N7528">
        <v>35.92</v>
      </c>
      <c r="O7528" s="49">
        <v>44250</v>
      </c>
      <c r="P7528" s="50">
        <v>306.22500000000002</v>
      </c>
    </row>
    <row r="7529" spans="4:16" x14ac:dyDescent="0.2">
      <c r="D7529">
        <v>100004468</v>
      </c>
      <c r="E7529" s="49">
        <v>44494</v>
      </c>
      <c r="F7529" t="s">
        <v>5821</v>
      </c>
      <c r="G7529" t="s">
        <v>2585</v>
      </c>
      <c r="H7529">
        <v>9</v>
      </c>
      <c r="I7529">
        <v>77.06</v>
      </c>
      <c r="J7529" s="50">
        <v>693.54</v>
      </c>
      <c r="K7529" t="s">
        <v>1632</v>
      </c>
      <c r="L7529" t="s">
        <v>5273</v>
      </c>
      <c r="M7529" t="s">
        <v>1619</v>
      </c>
      <c r="N7529">
        <v>40.67</v>
      </c>
      <c r="O7529" s="49">
        <v>44498</v>
      </c>
      <c r="P7529" s="50">
        <v>312.09300000000002</v>
      </c>
    </row>
    <row r="7530" spans="4:16" x14ac:dyDescent="0.2">
      <c r="D7530">
        <v>100004468</v>
      </c>
      <c r="E7530" s="49">
        <v>44365</v>
      </c>
      <c r="F7530" t="s">
        <v>5821</v>
      </c>
      <c r="G7530" t="s">
        <v>1808</v>
      </c>
      <c r="H7530">
        <v>2</v>
      </c>
      <c r="I7530">
        <v>115.36</v>
      </c>
      <c r="J7530" s="50">
        <v>230.72</v>
      </c>
      <c r="K7530" t="s">
        <v>1632</v>
      </c>
      <c r="L7530" t="s">
        <v>5273</v>
      </c>
      <c r="M7530" t="s">
        <v>1629</v>
      </c>
      <c r="N7530">
        <v>60.88</v>
      </c>
      <c r="O7530" s="49">
        <v>44367</v>
      </c>
      <c r="P7530" s="50">
        <v>103.824</v>
      </c>
    </row>
    <row r="7531" spans="4:16" x14ac:dyDescent="0.2">
      <c r="D7531">
        <v>100004468</v>
      </c>
      <c r="E7531" s="49">
        <v>44298</v>
      </c>
      <c r="F7531" t="s">
        <v>5821</v>
      </c>
      <c r="G7531" t="s">
        <v>2138</v>
      </c>
      <c r="H7531">
        <v>7</v>
      </c>
      <c r="I7531">
        <v>60.58</v>
      </c>
      <c r="J7531" s="50">
        <v>424.06</v>
      </c>
      <c r="K7531" t="s">
        <v>1632</v>
      </c>
      <c r="L7531" t="s">
        <v>5273</v>
      </c>
      <c r="M7531" t="s">
        <v>1627</v>
      </c>
      <c r="N7531">
        <v>31.97</v>
      </c>
      <c r="O7531" s="49">
        <v>44299</v>
      </c>
      <c r="P7531" s="50">
        <v>190.827</v>
      </c>
    </row>
    <row r="7532" spans="4:16" x14ac:dyDescent="0.2">
      <c r="D7532">
        <v>100004468</v>
      </c>
      <c r="E7532" s="49">
        <v>45623</v>
      </c>
      <c r="F7532" t="s">
        <v>5821</v>
      </c>
      <c r="G7532" t="s">
        <v>2412</v>
      </c>
      <c r="H7532">
        <v>9</v>
      </c>
      <c r="I7532">
        <v>35.380000000000003</v>
      </c>
      <c r="J7532" s="50">
        <v>318.42</v>
      </c>
      <c r="K7532" t="s">
        <v>1632</v>
      </c>
      <c r="L7532" t="s">
        <v>5273</v>
      </c>
      <c r="M7532" t="s">
        <v>1621</v>
      </c>
      <c r="N7532">
        <v>18.670000000000002</v>
      </c>
      <c r="O7532" s="49">
        <v>45627</v>
      </c>
      <c r="P7532" s="50">
        <v>143.28900000000002</v>
      </c>
    </row>
    <row r="7533" spans="4:16" x14ac:dyDescent="0.2">
      <c r="D7533">
        <v>100004469</v>
      </c>
      <c r="E7533" s="49">
        <v>44697</v>
      </c>
      <c r="F7533" t="s">
        <v>5822</v>
      </c>
      <c r="G7533" t="s">
        <v>2204</v>
      </c>
      <c r="H7533">
        <v>2</v>
      </c>
      <c r="I7533">
        <v>26.65</v>
      </c>
      <c r="J7533" s="50">
        <v>53.3</v>
      </c>
      <c r="K7533" t="s">
        <v>1632</v>
      </c>
      <c r="M7533" t="s">
        <v>1629</v>
      </c>
      <c r="N7533">
        <v>14.07</v>
      </c>
      <c r="O7533" s="49">
        <v>44700</v>
      </c>
      <c r="P7533" s="50">
        <v>23.984999999999999</v>
      </c>
    </row>
    <row r="7534" spans="4:16" x14ac:dyDescent="0.2">
      <c r="D7534">
        <v>100004470</v>
      </c>
      <c r="E7534" s="49">
        <v>45437</v>
      </c>
      <c r="F7534" t="s">
        <v>5823</v>
      </c>
      <c r="G7534" t="s">
        <v>1815</v>
      </c>
      <c r="H7534">
        <v>4</v>
      </c>
      <c r="I7534">
        <v>10.57</v>
      </c>
      <c r="J7534" s="50">
        <v>42.28</v>
      </c>
      <c r="K7534" t="s">
        <v>1618</v>
      </c>
      <c r="M7534" t="s">
        <v>1627</v>
      </c>
      <c r="N7534">
        <v>5.58</v>
      </c>
      <c r="O7534" s="49">
        <v>45442</v>
      </c>
      <c r="P7534" s="50">
        <v>19.026</v>
      </c>
    </row>
    <row r="7535" spans="4:16" x14ac:dyDescent="0.2">
      <c r="D7535">
        <v>100004470</v>
      </c>
      <c r="E7535" s="49">
        <v>44320</v>
      </c>
      <c r="F7535" t="s">
        <v>5823</v>
      </c>
      <c r="G7535" t="s">
        <v>2069</v>
      </c>
      <c r="H7535">
        <v>7</v>
      </c>
      <c r="I7535">
        <v>70.55</v>
      </c>
      <c r="J7535" s="50">
        <v>493.85</v>
      </c>
      <c r="K7535" t="s">
        <v>1618</v>
      </c>
      <c r="M7535" t="s">
        <v>1619</v>
      </c>
      <c r="N7535">
        <v>37.229999999999997</v>
      </c>
      <c r="O7535" s="49">
        <v>44321</v>
      </c>
      <c r="P7535" s="50">
        <v>222.23250000000002</v>
      </c>
    </row>
    <row r="7536" spans="4:16" x14ac:dyDescent="0.2">
      <c r="D7536">
        <v>100004470</v>
      </c>
      <c r="E7536" s="49">
        <v>45368</v>
      </c>
      <c r="F7536" t="s">
        <v>5823</v>
      </c>
      <c r="G7536" t="s">
        <v>1928</v>
      </c>
      <c r="H7536">
        <v>5</v>
      </c>
      <c r="I7536">
        <v>72.84</v>
      </c>
      <c r="J7536" s="50">
        <v>364.2</v>
      </c>
      <c r="K7536" t="s">
        <v>1618</v>
      </c>
      <c r="M7536" t="s">
        <v>1621</v>
      </c>
      <c r="N7536">
        <v>38.44</v>
      </c>
      <c r="O7536" s="49">
        <v>45371</v>
      </c>
      <c r="P7536" s="50">
        <v>163.89</v>
      </c>
    </row>
    <row r="7537" spans="4:16" x14ac:dyDescent="0.2">
      <c r="D7537">
        <v>100004471</v>
      </c>
      <c r="E7537" s="49">
        <v>45127</v>
      </c>
      <c r="F7537" t="s">
        <v>5824</v>
      </c>
      <c r="G7537" t="s">
        <v>1714</v>
      </c>
      <c r="H7537">
        <v>9</v>
      </c>
      <c r="I7537">
        <v>11.58</v>
      </c>
      <c r="J7537" s="50">
        <v>104.22</v>
      </c>
      <c r="K7537" t="s">
        <v>1618</v>
      </c>
      <c r="L7537" t="s">
        <v>5825</v>
      </c>
      <c r="M7537" t="s">
        <v>1621</v>
      </c>
      <c r="N7537">
        <v>6.11</v>
      </c>
      <c r="O7537" s="49">
        <v>45128</v>
      </c>
      <c r="P7537" s="50">
        <v>46.899000000000001</v>
      </c>
    </row>
    <row r="7538" spans="4:16" x14ac:dyDescent="0.2">
      <c r="D7538">
        <v>100004471</v>
      </c>
      <c r="E7538" s="49">
        <v>44910</v>
      </c>
      <c r="F7538" t="s">
        <v>5824</v>
      </c>
      <c r="G7538" t="s">
        <v>2550</v>
      </c>
      <c r="H7538">
        <v>6</v>
      </c>
      <c r="I7538">
        <v>78.709999999999994</v>
      </c>
      <c r="J7538" s="50">
        <v>472.26</v>
      </c>
      <c r="K7538" t="s">
        <v>1618</v>
      </c>
      <c r="L7538" t="s">
        <v>5825</v>
      </c>
      <c r="M7538" t="s">
        <v>1624</v>
      </c>
      <c r="N7538">
        <v>41.54</v>
      </c>
      <c r="O7538" s="49">
        <v>44911</v>
      </c>
      <c r="P7538" s="50">
        <v>212.517</v>
      </c>
    </row>
    <row r="7539" spans="4:16" x14ac:dyDescent="0.2">
      <c r="D7539">
        <v>100004471</v>
      </c>
      <c r="E7539" s="49">
        <v>45314</v>
      </c>
      <c r="F7539" t="s">
        <v>5824</v>
      </c>
      <c r="G7539" t="s">
        <v>2436</v>
      </c>
      <c r="H7539">
        <v>1</v>
      </c>
      <c r="I7539">
        <v>112.11</v>
      </c>
      <c r="J7539" s="50">
        <v>112.11</v>
      </c>
      <c r="K7539" t="s">
        <v>1618</v>
      </c>
      <c r="L7539" t="s">
        <v>5825</v>
      </c>
      <c r="M7539" t="s">
        <v>1627</v>
      </c>
      <c r="N7539">
        <v>59.17</v>
      </c>
      <c r="O7539" s="49">
        <v>45316</v>
      </c>
      <c r="P7539" s="50">
        <v>50.4495</v>
      </c>
    </row>
    <row r="7540" spans="4:16" x14ac:dyDescent="0.2">
      <c r="D7540">
        <v>100004472</v>
      </c>
      <c r="E7540" s="49">
        <v>45382</v>
      </c>
      <c r="F7540" t="s">
        <v>5826</v>
      </c>
      <c r="G7540" t="s">
        <v>1686</v>
      </c>
      <c r="H7540">
        <v>3</v>
      </c>
      <c r="I7540">
        <v>15.15</v>
      </c>
      <c r="J7540" s="50">
        <v>45.45</v>
      </c>
      <c r="K7540" t="s">
        <v>1632</v>
      </c>
      <c r="L7540" t="s">
        <v>5827</v>
      </c>
      <c r="M7540" t="s">
        <v>1629</v>
      </c>
      <c r="N7540">
        <v>8</v>
      </c>
      <c r="O7540" s="49">
        <v>45383</v>
      </c>
      <c r="P7540" s="50">
        <v>20.452500000000001</v>
      </c>
    </row>
    <row r="7541" spans="4:16" x14ac:dyDescent="0.2">
      <c r="D7541">
        <v>100004473</v>
      </c>
      <c r="E7541" s="49">
        <v>44740</v>
      </c>
      <c r="F7541" t="s">
        <v>5828</v>
      </c>
      <c r="G7541" t="s">
        <v>1728</v>
      </c>
      <c r="H7541">
        <v>9</v>
      </c>
      <c r="I7541">
        <v>33.19</v>
      </c>
      <c r="J7541" s="50">
        <v>298.70999999999998</v>
      </c>
      <c r="K7541" t="s">
        <v>1618</v>
      </c>
      <c r="M7541" t="s">
        <v>1621</v>
      </c>
      <c r="N7541">
        <v>17.52</v>
      </c>
      <c r="O7541" s="49">
        <v>44742</v>
      </c>
      <c r="P7541" s="50">
        <v>134.4195</v>
      </c>
    </row>
    <row r="7542" spans="4:16" x14ac:dyDescent="0.2">
      <c r="D7542">
        <v>100004475</v>
      </c>
      <c r="E7542" s="49">
        <v>44954</v>
      </c>
      <c r="F7542" t="s">
        <v>5829</v>
      </c>
      <c r="G7542" t="s">
        <v>1781</v>
      </c>
      <c r="H7542">
        <v>9</v>
      </c>
      <c r="I7542">
        <v>89.15</v>
      </c>
      <c r="J7542" s="50">
        <v>802.35</v>
      </c>
      <c r="K7542" t="s">
        <v>1618</v>
      </c>
      <c r="M7542" t="s">
        <v>1627</v>
      </c>
      <c r="N7542">
        <v>47.05</v>
      </c>
      <c r="O7542" s="49">
        <v>44958</v>
      </c>
      <c r="P7542" s="50">
        <v>361.0575</v>
      </c>
    </row>
    <row r="7543" spans="4:16" x14ac:dyDescent="0.2">
      <c r="D7543">
        <v>100004476</v>
      </c>
      <c r="E7543" s="49">
        <v>44532</v>
      </c>
      <c r="F7543" t="s">
        <v>5830</v>
      </c>
      <c r="G7543" t="s">
        <v>1922</v>
      </c>
      <c r="H7543">
        <v>2</v>
      </c>
      <c r="I7543">
        <v>108.38</v>
      </c>
      <c r="J7543" s="50">
        <v>216.76</v>
      </c>
      <c r="K7543" t="s">
        <v>1618</v>
      </c>
      <c r="M7543" t="s">
        <v>1619</v>
      </c>
      <c r="N7543">
        <v>57.2</v>
      </c>
      <c r="O7543" s="49">
        <v>44534</v>
      </c>
      <c r="P7543" s="50">
        <v>97.542000000000002</v>
      </c>
    </row>
    <row r="7544" spans="4:16" x14ac:dyDescent="0.2">
      <c r="D7544">
        <v>100004477</v>
      </c>
      <c r="E7544" s="49">
        <v>44306</v>
      </c>
      <c r="F7544" t="s">
        <v>5831</v>
      </c>
      <c r="G7544" t="s">
        <v>1900</v>
      </c>
      <c r="H7544">
        <v>3</v>
      </c>
      <c r="I7544">
        <v>63.02</v>
      </c>
      <c r="J7544" s="50">
        <v>189.06</v>
      </c>
      <c r="K7544" t="s">
        <v>1632</v>
      </c>
      <c r="M7544" t="s">
        <v>1624</v>
      </c>
      <c r="N7544">
        <v>33.26</v>
      </c>
      <c r="O7544" s="49">
        <v>44310</v>
      </c>
      <c r="P7544" s="50">
        <v>85.076999999999998</v>
      </c>
    </row>
    <row r="7545" spans="4:16" x14ac:dyDescent="0.2">
      <c r="D7545">
        <v>100004478</v>
      </c>
      <c r="E7545" s="49">
        <v>45282</v>
      </c>
      <c r="F7545" t="s">
        <v>2489</v>
      </c>
      <c r="G7545" t="s">
        <v>1671</v>
      </c>
      <c r="H7545">
        <v>7</v>
      </c>
      <c r="I7545">
        <v>67.36</v>
      </c>
      <c r="J7545" s="50">
        <v>471.52</v>
      </c>
      <c r="K7545" t="s">
        <v>1632</v>
      </c>
      <c r="M7545" t="s">
        <v>1629</v>
      </c>
      <c r="N7545">
        <v>35.549999999999997</v>
      </c>
      <c r="O7545" s="49">
        <v>45284</v>
      </c>
      <c r="P7545" s="50">
        <v>212.184</v>
      </c>
    </row>
    <row r="7546" spans="4:16" x14ac:dyDescent="0.2">
      <c r="D7546">
        <v>100004480</v>
      </c>
      <c r="E7546" s="49">
        <v>44421</v>
      </c>
      <c r="F7546" t="s">
        <v>5832</v>
      </c>
      <c r="G7546" t="s">
        <v>1922</v>
      </c>
      <c r="H7546">
        <v>1</v>
      </c>
      <c r="I7546">
        <v>62.67</v>
      </c>
      <c r="J7546" s="50">
        <v>62.67</v>
      </c>
      <c r="K7546" t="s">
        <v>1618</v>
      </c>
      <c r="M7546" t="s">
        <v>1621</v>
      </c>
      <c r="N7546">
        <v>33.08</v>
      </c>
      <c r="O7546" s="49">
        <v>44426</v>
      </c>
      <c r="P7546" s="50">
        <v>28.201500000000003</v>
      </c>
    </row>
    <row r="7547" spans="4:16" x14ac:dyDescent="0.2">
      <c r="D7547">
        <v>100004482</v>
      </c>
      <c r="E7547" s="49">
        <v>45165</v>
      </c>
      <c r="F7547" t="s">
        <v>5833</v>
      </c>
      <c r="G7547" t="s">
        <v>1696</v>
      </c>
      <c r="H7547">
        <v>9</v>
      </c>
      <c r="I7547">
        <v>12.97</v>
      </c>
      <c r="J7547" s="50">
        <v>116.73</v>
      </c>
      <c r="K7547" t="s">
        <v>1618</v>
      </c>
      <c r="L7547" t="s">
        <v>5607</v>
      </c>
      <c r="M7547" t="s">
        <v>1621</v>
      </c>
      <c r="N7547">
        <v>6.85</v>
      </c>
      <c r="O7547" s="49">
        <v>45168</v>
      </c>
      <c r="P7547" s="50">
        <v>52.528500000000001</v>
      </c>
    </row>
    <row r="7548" spans="4:16" x14ac:dyDescent="0.2">
      <c r="D7548">
        <v>100004483</v>
      </c>
      <c r="E7548" s="49">
        <v>44927</v>
      </c>
      <c r="F7548" t="s">
        <v>5834</v>
      </c>
      <c r="G7548" t="s">
        <v>1827</v>
      </c>
      <c r="H7548">
        <v>10</v>
      </c>
      <c r="I7548">
        <v>117.59</v>
      </c>
      <c r="J7548" s="50">
        <v>1175.9000000000001</v>
      </c>
      <c r="K7548" t="s">
        <v>1618</v>
      </c>
      <c r="L7548" t="s">
        <v>1662</v>
      </c>
      <c r="M7548" t="s">
        <v>1619</v>
      </c>
      <c r="N7548">
        <v>62.06</v>
      </c>
      <c r="O7548" s="49">
        <v>44928</v>
      </c>
      <c r="P7548" s="50">
        <v>529.15500000000009</v>
      </c>
    </row>
    <row r="7549" spans="4:16" x14ac:dyDescent="0.2">
      <c r="D7549">
        <v>100004486</v>
      </c>
      <c r="E7549" s="49">
        <v>45074</v>
      </c>
      <c r="F7549" t="s">
        <v>5835</v>
      </c>
      <c r="G7549" t="s">
        <v>1740</v>
      </c>
      <c r="H7549">
        <v>7</v>
      </c>
      <c r="I7549">
        <v>86.25</v>
      </c>
      <c r="J7549" s="50">
        <v>603.75</v>
      </c>
      <c r="K7549" t="s">
        <v>1618</v>
      </c>
      <c r="M7549" t="s">
        <v>1629</v>
      </c>
      <c r="N7549">
        <v>45.52</v>
      </c>
      <c r="O7549" s="49">
        <v>45079</v>
      </c>
      <c r="P7549" s="50">
        <v>271.6875</v>
      </c>
    </row>
    <row r="7550" spans="4:16" x14ac:dyDescent="0.2">
      <c r="D7550">
        <v>100004486</v>
      </c>
      <c r="E7550" s="49">
        <v>45048</v>
      </c>
      <c r="F7550" t="s">
        <v>5835</v>
      </c>
      <c r="G7550" t="s">
        <v>1777</v>
      </c>
      <c r="H7550">
        <v>3</v>
      </c>
      <c r="I7550">
        <v>92.6</v>
      </c>
      <c r="J7550" s="50">
        <v>277.8</v>
      </c>
      <c r="K7550" t="s">
        <v>1618</v>
      </c>
      <c r="M7550" t="s">
        <v>1629</v>
      </c>
      <c r="N7550">
        <v>48.87</v>
      </c>
      <c r="O7550" s="49">
        <v>45051</v>
      </c>
      <c r="P7550" s="50">
        <v>125.01</v>
      </c>
    </row>
    <row r="7551" spans="4:16" x14ac:dyDescent="0.2">
      <c r="D7551">
        <v>100004487</v>
      </c>
      <c r="E7551" s="49">
        <v>45550</v>
      </c>
      <c r="F7551" t="s">
        <v>5836</v>
      </c>
      <c r="G7551" t="s">
        <v>1841</v>
      </c>
      <c r="H7551">
        <v>4</v>
      </c>
      <c r="I7551">
        <v>39.51</v>
      </c>
      <c r="J7551" s="50">
        <v>158.04</v>
      </c>
      <c r="K7551" t="s">
        <v>1618</v>
      </c>
      <c r="L7551" t="s">
        <v>2206</v>
      </c>
      <c r="M7551" t="s">
        <v>1627</v>
      </c>
      <c r="N7551">
        <v>20.85</v>
      </c>
      <c r="O7551" s="49">
        <v>45555</v>
      </c>
      <c r="P7551" s="50">
        <v>71.117999999999995</v>
      </c>
    </row>
    <row r="7552" spans="4:16" x14ac:dyDescent="0.2">
      <c r="D7552">
        <v>100004487</v>
      </c>
      <c r="E7552" s="49">
        <v>45024</v>
      </c>
      <c r="F7552" t="s">
        <v>5836</v>
      </c>
      <c r="G7552" t="s">
        <v>1696</v>
      </c>
      <c r="H7552">
        <v>8</v>
      </c>
      <c r="I7552">
        <v>112.68</v>
      </c>
      <c r="J7552" s="50">
        <v>901.44</v>
      </c>
      <c r="K7552" t="s">
        <v>1618</v>
      </c>
      <c r="L7552" t="s">
        <v>2206</v>
      </c>
      <c r="M7552" t="s">
        <v>1619</v>
      </c>
      <c r="N7552">
        <v>59.47</v>
      </c>
      <c r="O7552" s="49">
        <v>45029</v>
      </c>
      <c r="P7552" s="50">
        <v>405.64800000000002</v>
      </c>
    </row>
    <row r="7553" spans="4:16" x14ac:dyDescent="0.2">
      <c r="D7553">
        <v>100004487</v>
      </c>
      <c r="E7553" s="49">
        <v>45534</v>
      </c>
      <c r="F7553" t="s">
        <v>5836</v>
      </c>
      <c r="G7553" t="s">
        <v>2380</v>
      </c>
      <c r="H7553">
        <v>5</v>
      </c>
      <c r="I7553">
        <v>25.58</v>
      </c>
      <c r="J7553" s="50">
        <v>127.9</v>
      </c>
      <c r="K7553" t="s">
        <v>1618</v>
      </c>
      <c r="L7553" t="s">
        <v>2206</v>
      </c>
      <c r="M7553" t="s">
        <v>1629</v>
      </c>
      <c r="N7553">
        <v>13.5</v>
      </c>
      <c r="O7553" s="49">
        <v>45539</v>
      </c>
      <c r="P7553" s="50">
        <v>57.555000000000007</v>
      </c>
    </row>
    <row r="7554" spans="4:16" x14ac:dyDescent="0.2">
      <c r="D7554">
        <v>100004490</v>
      </c>
      <c r="E7554" s="49">
        <v>45125</v>
      </c>
      <c r="F7554" t="s">
        <v>5837</v>
      </c>
      <c r="G7554" t="s">
        <v>2733</v>
      </c>
      <c r="H7554">
        <v>5</v>
      </c>
      <c r="I7554">
        <v>51.39</v>
      </c>
      <c r="J7554" s="50">
        <v>256.95</v>
      </c>
      <c r="K7554" t="s">
        <v>1618</v>
      </c>
      <c r="M7554" t="s">
        <v>1619</v>
      </c>
      <c r="N7554">
        <v>27.12</v>
      </c>
      <c r="O7554" s="49">
        <v>45128</v>
      </c>
      <c r="P7554" s="50">
        <v>115.6275</v>
      </c>
    </row>
    <row r="7555" spans="4:16" x14ac:dyDescent="0.2">
      <c r="D7555">
        <v>100004490</v>
      </c>
      <c r="E7555" s="49">
        <v>44250</v>
      </c>
      <c r="F7555" t="s">
        <v>5837</v>
      </c>
      <c r="G7555" t="s">
        <v>1681</v>
      </c>
      <c r="H7555">
        <v>8</v>
      </c>
      <c r="I7555">
        <v>77.88</v>
      </c>
      <c r="J7555" s="50">
        <v>623.04</v>
      </c>
      <c r="K7555" t="s">
        <v>1618</v>
      </c>
      <c r="M7555" t="s">
        <v>1627</v>
      </c>
      <c r="N7555">
        <v>41.1</v>
      </c>
      <c r="O7555" s="49">
        <v>44255</v>
      </c>
      <c r="P7555" s="50">
        <v>280.36799999999999</v>
      </c>
    </row>
    <row r="7556" spans="4:16" x14ac:dyDescent="0.2">
      <c r="D7556">
        <v>100004492</v>
      </c>
      <c r="E7556" s="49">
        <v>45090</v>
      </c>
      <c r="F7556" t="s">
        <v>5838</v>
      </c>
      <c r="G7556" t="s">
        <v>1637</v>
      </c>
      <c r="H7556">
        <v>10</v>
      </c>
      <c r="I7556">
        <v>85.22</v>
      </c>
      <c r="J7556" s="50">
        <v>852.2</v>
      </c>
      <c r="K7556" t="s">
        <v>1618</v>
      </c>
      <c r="M7556" t="s">
        <v>1629</v>
      </c>
      <c r="N7556">
        <v>44.98</v>
      </c>
      <c r="O7556" s="49">
        <v>45093</v>
      </c>
      <c r="P7556" s="50">
        <v>383.49</v>
      </c>
    </row>
    <row r="7557" spans="4:16" x14ac:dyDescent="0.2">
      <c r="D7557">
        <v>100004492</v>
      </c>
      <c r="E7557" s="49">
        <v>44988</v>
      </c>
      <c r="F7557" t="s">
        <v>5838</v>
      </c>
      <c r="G7557" t="s">
        <v>1975</v>
      </c>
      <c r="H7557">
        <v>9</v>
      </c>
      <c r="I7557">
        <v>11.87</v>
      </c>
      <c r="J7557" s="50">
        <v>106.83</v>
      </c>
      <c r="K7557" t="s">
        <v>1618</v>
      </c>
      <c r="M7557" t="s">
        <v>1629</v>
      </c>
      <c r="N7557">
        <v>6.26</v>
      </c>
      <c r="O7557" s="49">
        <v>44993</v>
      </c>
      <c r="P7557" s="50">
        <v>48.073500000000003</v>
      </c>
    </row>
    <row r="7558" spans="4:16" x14ac:dyDescent="0.2">
      <c r="D7558">
        <v>100004492</v>
      </c>
      <c r="E7558" s="49">
        <v>45139</v>
      </c>
      <c r="F7558" t="s">
        <v>5838</v>
      </c>
      <c r="G7558" t="s">
        <v>2346</v>
      </c>
      <c r="H7558">
        <v>6</v>
      </c>
      <c r="I7558">
        <v>28.68</v>
      </c>
      <c r="J7558" s="50">
        <v>172.08</v>
      </c>
      <c r="K7558" t="s">
        <v>1618</v>
      </c>
      <c r="M7558" t="s">
        <v>1627</v>
      </c>
      <c r="N7558">
        <v>15.14</v>
      </c>
      <c r="O7558" s="49">
        <v>45143</v>
      </c>
      <c r="P7558" s="50">
        <v>77.436000000000007</v>
      </c>
    </row>
    <row r="7559" spans="4:16" x14ac:dyDescent="0.2">
      <c r="D7559">
        <v>100004492</v>
      </c>
      <c r="E7559" s="49">
        <v>45645</v>
      </c>
      <c r="F7559" t="s">
        <v>5838</v>
      </c>
      <c r="G7559" t="s">
        <v>1677</v>
      </c>
      <c r="H7559">
        <v>2</v>
      </c>
      <c r="I7559">
        <v>53.05</v>
      </c>
      <c r="J7559" s="50">
        <v>106.1</v>
      </c>
      <c r="K7559" t="s">
        <v>1618</v>
      </c>
      <c r="M7559" t="s">
        <v>1629</v>
      </c>
      <c r="N7559">
        <v>28</v>
      </c>
      <c r="O7559" s="49">
        <v>45650</v>
      </c>
      <c r="P7559" s="50">
        <v>47.744999999999997</v>
      </c>
    </row>
    <row r="7560" spans="4:16" x14ac:dyDescent="0.2">
      <c r="D7560">
        <v>100004493</v>
      </c>
      <c r="E7560" s="49">
        <v>45204</v>
      </c>
      <c r="F7560" t="s">
        <v>5839</v>
      </c>
      <c r="G7560" t="s">
        <v>1704</v>
      </c>
      <c r="H7560">
        <v>2</v>
      </c>
      <c r="I7560">
        <v>56.63</v>
      </c>
      <c r="J7560" s="50">
        <v>113.26</v>
      </c>
      <c r="K7560" t="s">
        <v>1618</v>
      </c>
      <c r="M7560" t="s">
        <v>1624</v>
      </c>
      <c r="N7560">
        <v>29.89</v>
      </c>
      <c r="O7560" s="49">
        <v>45208</v>
      </c>
      <c r="P7560" s="50">
        <v>50.967000000000006</v>
      </c>
    </row>
    <row r="7561" spans="4:16" x14ac:dyDescent="0.2">
      <c r="D7561">
        <v>100004496</v>
      </c>
      <c r="E7561" s="49">
        <v>44842</v>
      </c>
      <c r="F7561" t="s">
        <v>5840</v>
      </c>
      <c r="G7561" t="s">
        <v>1880</v>
      </c>
      <c r="H7561">
        <v>2</v>
      </c>
      <c r="I7561">
        <v>46.68</v>
      </c>
      <c r="J7561" s="50">
        <v>93.36</v>
      </c>
      <c r="K7561" t="s">
        <v>1618</v>
      </c>
      <c r="L7561" t="s">
        <v>5841</v>
      </c>
      <c r="M7561" t="s">
        <v>1629</v>
      </c>
      <c r="N7561">
        <v>24.64</v>
      </c>
      <c r="O7561" s="49">
        <v>44845</v>
      </c>
      <c r="P7561" s="50">
        <v>42.012</v>
      </c>
    </row>
    <row r="7562" spans="4:16" x14ac:dyDescent="0.2">
      <c r="D7562">
        <v>100004498</v>
      </c>
      <c r="E7562" s="49">
        <v>44917</v>
      </c>
      <c r="F7562" t="s">
        <v>5842</v>
      </c>
      <c r="G7562" t="s">
        <v>1676</v>
      </c>
      <c r="H7562">
        <v>3</v>
      </c>
      <c r="I7562">
        <v>84.04</v>
      </c>
      <c r="J7562" s="50">
        <v>252.12</v>
      </c>
      <c r="K7562" t="s">
        <v>1618</v>
      </c>
      <c r="M7562" t="s">
        <v>1627</v>
      </c>
      <c r="N7562">
        <v>44.35</v>
      </c>
      <c r="O7562" s="49">
        <v>44920</v>
      </c>
      <c r="P7562" s="50">
        <v>113.45400000000001</v>
      </c>
    </row>
    <row r="7563" spans="4:16" x14ac:dyDescent="0.2">
      <c r="D7563">
        <v>100004498</v>
      </c>
      <c r="E7563" s="49">
        <v>44760</v>
      </c>
      <c r="F7563" t="s">
        <v>5842</v>
      </c>
      <c r="G7563" t="s">
        <v>2074</v>
      </c>
      <c r="H7563">
        <v>7</v>
      </c>
      <c r="I7563">
        <v>109.63</v>
      </c>
      <c r="J7563" s="50">
        <v>767.41</v>
      </c>
      <c r="K7563" t="s">
        <v>1618</v>
      </c>
      <c r="M7563" t="s">
        <v>1624</v>
      </c>
      <c r="N7563">
        <v>57.86</v>
      </c>
      <c r="O7563" s="49">
        <v>44765</v>
      </c>
      <c r="P7563" s="50">
        <v>345.33449999999999</v>
      </c>
    </row>
    <row r="7564" spans="4:16" x14ac:dyDescent="0.2">
      <c r="D7564">
        <v>100004499</v>
      </c>
      <c r="E7564" s="49">
        <v>44671</v>
      </c>
      <c r="F7564" t="s">
        <v>5843</v>
      </c>
      <c r="G7564" t="s">
        <v>1765</v>
      </c>
      <c r="H7564">
        <v>7</v>
      </c>
      <c r="I7564">
        <v>43.16</v>
      </c>
      <c r="J7564" s="50">
        <v>302.12</v>
      </c>
      <c r="K7564" t="s">
        <v>1632</v>
      </c>
      <c r="L7564" t="s">
        <v>4202</v>
      </c>
      <c r="M7564" t="s">
        <v>1624</v>
      </c>
      <c r="N7564">
        <v>22.78</v>
      </c>
      <c r="O7564" s="49">
        <v>44674</v>
      </c>
      <c r="P7564" s="50">
        <v>135.95400000000001</v>
      </c>
    </row>
    <row r="7565" spans="4:16" x14ac:dyDescent="0.2">
      <c r="D7565">
        <v>100004500</v>
      </c>
      <c r="E7565" s="49">
        <v>44310</v>
      </c>
      <c r="F7565" t="s">
        <v>4480</v>
      </c>
      <c r="G7565" t="s">
        <v>1768</v>
      </c>
      <c r="H7565">
        <v>8</v>
      </c>
      <c r="I7565">
        <v>106.03</v>
      </c>
      <c r="J7565" s="50">
        <v>848.24</v>
      </c>
      <c r="K7565" t="s">
        <v>1618</v>
      </c>
      <c r="L7565" t="s">
        <v>5844</v>
      </c>
      <c r="M7565" t="s">
        <v>1627</v>
      </c>
      <c r="N7565">
        <v>55.96</v>
      </c>
      <c r="O7565" s="49">
        <v>44313</v>
      </c>
      <c r="P7565" s="50">
        <v>381.70800000000003</v>
      </c>
    </row>
    <row r="7566" spans="4:16" x14ac:dyDescent="0.2">
      <c r="D7566">
        <v>100004500</v>
      </c>
      <c r="E7566" s="49">
        <v>45351</v>
      </c>
      <c r="F7566" t="s">
        <v>4480</v>
      </c>
      <c r="G7566" t="s">
        <v>1882</v>
      </c>
      <c r="H7566">
        <v>1</v>
      </c>
      <c r="I7566">
        <v>89.19</v>
      </c>
      <c r="J7566" s="50">
        <v>89.19</v>
      </c>
      <c r="K7566" t="s">
        <v>1618</v>
      </c>
      <c r="L7566" t="s">
        <v>5844</v>
      </c>
      <c r="M7566" t="s">
        <v>1621</v>
      </c>
      <c r="N7566">
        <v>47.07</v>
      </c>
      <c r="O7566" s="49">
        <v>45352</v>
      </c>
      <c r="P7566" s="50">
        <v>40.1355</v>
      </c>
    </row>
    <row r="7567" spans="4:16" x14ac:dyDescent="0.2">
      <c r="D7567">
        <v>100004501</v>
      </c>
      <c r="E7567" s="49">
        <v>44779</v>
      </c>
      <c r="F7567" t="s">
        <v>5845</v>
      </c>
      <c r="G7567" t="s">
        <v>1851</v>
      </c>
      <c r="H7567">
        <v>1</v>
      </c>
      <c r="I7567">
        <v>95.14</v>
      </c>
      <c r="J7567" s="50">
        <v>95.14</v>
      </c>
      <c r="K7567" t="s">
        <v>1632</v>
      </c>
      <c r="M7567" t="s">
        <v>1621</v>
      </c>
      <c r="N7567">
        <v>50.21</v>
      </c>
      <c r="O7567" s="49">
        <v>44782</v>
      </c>
      <c r="P7567" s="50">
        <v>42.813000000000002</v>
      </c>
    </row>
    <row r="7568" spans="4:16" x14ac:dyDescent="0.2">
      <c r="D7568">
        <v>100004503</v>
      </c>
      <c r="E7568" s="49">
        <v>44461</v>
      </c>
      <c r="F7568" t="s">
        <v>5846</v>
      </c>
      <c r="G7568" t="s">
        <v>1652</v>
      </c>
      <c r="H7568">
        <v>8</v>
      </c>
      <c r="I7568">
        <v>119.94</v>
      </c>
      <c r="J7568" s="50">
        <v>959.52</v>
      </c>
      <c r="K7568" t="s">
        <v>1618</v>
      </c>
      <c r="M7568" t="s">
        <v>1629</v>
      </c>
      <c r="N7568">
        <v>63.3</v>
      </c>
      <c r="O7568" s="49">
        <v>44465</v>
      </c>
      <c r="P7568" s="50">
        <v>431.78399999999999</v>
      </c>
    </row>
    <row r="7569" spans="4:16" x14ac:dyDescent="0.2">
      <c r="D7569">
        <v>100004503</v>
      </c>
      <c r="E7569" s="49">
        <v>44319</v>
      </c>
      <c r="F7569" t="s">
        <v>5846</v>
      </c>
      <c r="G7569" t="s">
        <v>1856</v>
      </c>
      <c r="H7569">
        <v>1</v>
      </c>
      <c r="I7569">
        <v>79.73</v>
      </c>
      <c r="J7569" s="50">
        <v>79.73</v>
      </c>
      <c r="K7569" t="s">
        <v>1618</v>
      </c>
      <c r="M7569" t="s">
        <v>1629</v>
      </c>
      <c r="N7569">
        <v>42.08</v>
      </c>
      <c r="O7569" s="49">
        <v>44323</v>
      </c>
      <c r="P7569" s="50">
        <v>35.878500000000003</v>
      </c>
    </row>
    <row r="7570" spans="4:16" x14ac:dyDescent="0.2">
      <c r="D7570">
        <v>100004503</v>
      </c>
      <c r="E7570" s="49">
        <v>44523</v>
      </c>
      <c r="F7570" t="s">
        <v>5846</v>
      </c>
      <c r="G7570" t="s">
        <v>1737</v>
      </c>
      <c r="H7570">
        <v>1</v>
      </c>
      <c r="I7570">
        <v>44.71</v>
      </c>
      <c r="J7570" s="50">
        <v>44.71</v>
      </c>
      <c r="K7570" t="s">
        <v>1618</v>
      </c>
      <c r="M7570" t="s">
        <v>1629</v>
      </c>
      <c r="N7570">
        <v>23.6</v>
      </c>
      <c r="O7570" s="49">
        <v>44525</v>
      </c>
      <c r="P7570" s="50">
        <v>20.119500000000002</v>
      </c>
    </row>
    <row r="7571" spans="4:16" x14ac:dyDescent="0.2">
      <c r="D7571">
        <v>100004504</v>
      </c>
      <c r="E7571" s="49">
        <v>45556</v>
      </c>
      <c r="F7571" t="s">
        <v>5847</v>
      </c>
      <c r="G7571" t="s">
        <v>1729</v>
      </c>
      <c r="H7571">
        <v>6</v>
      </c>
      <c r="I7571">
        <v>117.43</v>
      </c>
      <c r="J7571" s="50">
        <v>704.58</v>
      </c>
      <c r="K7571" t="s">
        <v>1618</v>
      </c>
      <c r="M7571" t="s">
        <v>1629</v>
      </c>
      <c r="N7571">
        <v>61.98</v>
      </c>
      <c r="O7571" s="49">
        <v>45559</v>
      </c>
      <c r="P7571" s="50">
        <v>317.06100000000004</v>
      </c>
    </row>
    <row r="7572" spans="4:16" x14ac:dyDescent="0.2">
      <c r="D7572">
        <v>100004504</v>
      </c>
      <c r="E7572" s="49">
        <v>44426</v>
      </c>
      <c r="F7572" t="s">
        <v>5847</v>
      </c>
      <c r="G7572" t="s">
        <v>2733</v>
      </c>
      <c r="H7572">
        <v>1</v>
      </c>
      <c r="I7572">
        <v>62.55</v>
      </c>
      <c r="J7572" s="50">
        <v>62.55</v>
      </c>
      <c r="K7572" t="s">
        <v>1618</v>
      </c>
      <c r="M7572" t="s">
        <v>1621</v>
      </c>
      <c r="N7572">
        <v>33.01</v>
      </c>
      <c r="O7572" s="49">
        <v>44430</v>
      </c>
      <c r="P7572" s="50">
        <v>28.147500000000001</v>
      </c>
    </row>
    <row r="7573" spans="4:16" x14ac:dyDescent="0.2">
      <c r="D7573">
        <v>100004504</v>
      </c>
      <c r="E7573" s="49">
        <v>44339</v>
      </c>
      <c r="F7573" t="s">
        <v>5847</v>
      </c>
      <c r="G7573" t="s">
        <v>1696</v>
      </c>
      <c r="H7573">
        <v>9</v>
      </c>
      <c r="I7573">
        <v>104.24</v>
      </c>
      <c r="J7573" s="50">
        <v>938.16</v>
      </c>
      <c r="K7573" t="s">
        <v>1618</v>
      </c>
      <c r="M7573" t="s">
        <v>1624</v>
      </c>
      <c r="N7573">
        <v>55.02</v>
      </c>
      <c r="O7573" s="49">
        <v>44340</v>
      </c>
      <c r="P7573" s="50">
        <v>422.17199999999997</v>
      </c>
    </row>
    <row r="7574" spans="4:16" x14ac:dyDescent="0.2">
      <c r="D7574">
        <v>100004505</v>
      </c>
      <c r="E7574" s="49">
        <v>44665</v>
      </c>
      <c r="F7574" t="s">
        <v>5848</v>
      </c>
      <c r="G7574" t="s">
        <v>2050</v>
      </c>
      <c r="H7574">
        <v>3</v>
      </c>
      <c r="I7574">
        <v>54.99</v>
      </c>
      <c r="J7574" s="50">
        <v>164.97</v>
      </c>
      <c r="K7574" t="s">
        <v>1632</v>
      </c>
      <c r="M7574" t="s">
        <v>1621</v>
      </c>
      <c r="N7574">
        <v>29.02</v>
      </c>
      <c r="O7574" s="49">
        <v>44670</v>
      </c>
      <c r="P7574" s="50">
        <v>74.236500000000007</v>
      </c>
    </row>
    <row r="7575" spans="4:16" x14ac:dyDescent="0.2">
      <c r="D7575">
        <v>100004505</v>
      </c>
      <c r="E7575" s="49">
        <v>44937</v>
      </c>
      <c r="F7575" t="s">
        <v>5848</v>
      </c>
      <c r="G7575" t="s">
        <v>1885</v>
      </c>
      <c r="H7575">
        <v>6</v>
      </c>
      <c r="I7575">
        <v>60.53</v>
      </c>
      <c r="J7575" s="50">
        <v>363.18</v>
      </c>
      <c r="K7575" t="s">
        <v>1632</v>
      </c>
      <c r="M7575" t="s">
        <v>1624</v>
      </c>
      <c r="N7575">
        <v>31.95</v>
      </c>
      <c r="O7575" s="49">
        <v>44942</v>
      </c>
      <c r="P7575" s="50">
        <v>163.43100000000001</v>
      </c>
    </row>
    <row r="7576" spans="4:16" x14ac:dyDescent="0.2">
      <c r="D7576">
        <v>100004506</v>
      </c>
      <c r="E7576" s="49">
        <v>44873</v>
      </c>
      <c r="F7576" t="s">
        <v>5849</v>
      </c>
      <c r="G7576" t="s">
        <v>2069</v>
      </c>
      <c r="H7576">
        <v>8</v>
      </c>
      <c r="I7576">
        <v>10.75</v>
      </c>
      <c r="J7576" s="50">
        <v>86</v>
      </c>
      <c r="K7576" t="s">
        <v>1632</v>
      </c>
      <c r="L7576" t="s">
        <v>2919</v>
      </c>
      <c r="M7576" t="s">
        <v>1629</v>
      </c>
      <c r="N7576">
        <v>5.67</v>
      </c>
      <c r="O7576" s="49">
        <v>44878</v>
      </c>
      <c r="P7576" s="50">
        <v>38.700000000000003</v>
      </c>
    </row>
    <row r="7577" spans="4:16" x14ac:dyDescent="0.2">
      <c r="D7577">
        <v>100004506</v>
      </c>
      <c r="E7577" s="49">
        <v>45051</v>
      </c>
      <c r="F7577" t="s">
        <v>5849</v>
      </c>
      <c r="G7577" t="s">
        <v>2480</v>
      </c>
      <c r="H7577">
        <v>10</v>
      </c>
      <c r="I7577">
        <v>53.74</v>
      </c>
      <c r="J7577" s="50">
        <v>537.4</v>
      </c>
      <c r="K7577" t="s">
        <v>1632</v>
      </c>
      <c r="L7577" t="s">
        <v>2919</v>
      </c>
      <c r="M7577" t="s">
        <v>1629</v>
      </c>
      <c r="N7577">
        <v>28.36</v>
      </c>
      <c r="O7577" s="49">
        <v>45052</v>
      </c>
      <c r="P7577" s="50">
        <v>241.82999999999998</v>
      </c>
    </row>
    <row r="7578" spans="4:16" x14ac:dyDescent="0.2">
      <c r="D7578">
        <v>100004507</v>
      </c>
      <c r="E7578" s="49">
        <v>44596</v>
      </c>
      <c r="F7578" t="s">
        <v>5850</v>
      </c>
      <c r="G7578" t="s">
        <v>2182</v>
      </c>
      <c r="H7578">
        <v>3</v>
      </c>
      <c r="I7578">
        <v>84.47</v>
      </c>
      <c r="J7578" s="50">
        <v>253.41</v>
      </c>
      <c r="K7578" t="s">
        <v>1618</v>
      </c>
      <c r="M7578" t="s">
        <v>1624</v>
      </c>
      <c r="N7578">
        <v>44.58</v>
      </c>
      <c r="O7578" s="49">
        <v>44598</v>
      </c>
      <c r="P7578" s="50">
        <v>114.03449999999999</v>
      </c>
    </row>
    <row r="7579" spans="4:16" x14ac:dyDescent="0.2">
      <c r="D7579">
        <v>100004508</v>
      </c>
      <c r="E7579" s="49">
        <v>45228</v>
      </c>
      <c r="F7579" t="s">
        <v>5851</v>
      </c>
      <c r="G7579" t="s">
        <v>1688</v>
      </c>
      <c r="H7579">
        <v>3</v>
      </c>
      <c r="I7579">
        <v>44.56</v>
      </c>
      <c r="J7579" s="50">
        <v>133.68</v>
      </c>
      <c r="K7579" t="s">
        <v>1618</v>
      </c>
      <c r="M7579" t="s">
        <v>1627</v>
      </c>
      <c r="N7579">
        <v>23.52</v>
      </c>
      <c r="O7579" s="49">
        <v>45230</v>
      </c>
      <c r="P7579" s="50">
        <v>60.156000000000006</v>
      </c>
    </row>
    <row r="7580" spans="4:16" x14ac:dyDescent="0.2">
      <c r="D7580">
        <v>100004511</v>
      </c>
      <c r="E7580" s="49">
        <v>44223</v>
      </c>
      <c r="F7580" t="s">
        <v>5852</v>
      </c>
      <c r="G7580" t="s">
        <v>1704</v>
      </c>
      <c r="H7580">
        <v>2</v>
      </c>
      <c r="I7580">
        <v>53.18</v>
      </c>
      <c r="J7580" s="50">
        <v>106.36</v>
      </c>
      <c r="K7580" t="s">
        <v>1632</v>
      </c>
      <c r="M7580" t="s">
        <v>1624</v>
      </c>
      <c r="N7580">
        <v>28.07</v>
      </c>
      <c r="O7580" s="49">
        <v>44226</v>
      </c>
      <c r="P7580" s="50">
        <v>47.862000000000002</v>
      </c>
    </row>
    <row r="7581" spans="4:16" x14ac:dyDescent="0.2">
      <c r="D7581">
        <v>100004511</v>
      </c>
      <c r="E7581" s="49">
        <v>44432</v>
      </c>
      <c r="F7581" t="s">
        <v>5852</v>
      </c>
      <c r="G7581" t="s">
        <v>1704</v>
      </c>
      <c r="H7581">
        <v>6</v>
      </c>
      <c r="I7581">
        <v>35.47</v>
      </c>
      <c r="J7581" s="50">
        <v>212.82</v>
      </c>
      <c r="K7581" t="s">
        <v>1632</v>
      </c>
      <c r="M7581" t="s">
        <v>1619</v>
      </c>
      <c r="N7581">
        <v>18.72</v>
      </c>
      <c r="O7581" s="49">
        <v>44436</v>
      </c>
      <c r="P7581" s="50">
        <v>95.769000000000005</v>
      </c>
    </row>
    <row r="7582" spans="4:16" x14ac:dyDescent="0.2">
      <c r="D7582">
        <v>100004511</v>
      </c>
      <c r="E7582" s="49">
        <v>44379</v>
      </c>
      <c r="F7582" t="s">
        <v>5852</v>
      </c>
      <c r="G7582" t="s">
        <v>1885</v>
      </c>
      <c r="H7582">
        <v>9</v>
      </c>
      <c r="I7582">
        <v>57.88</v>
      </c>
      <c r="J7582" s="50">
        <v>520.92000000000007</v>
      </c>
      <c r="K7582" t="s">
        <v>1632</v>
      </c>
      <c r="M7582" t="s">
        <v>1627</v>
      </c>
      <c r="N7582">
        <v>30.55</v>
      </c>
      <c r="O7582" s="49">
        <v>44384</v>
      </c>
      <c r="P7582" s="50">
        <v>234.41400000000004</v>
      </c>
    </row>
    <row r="7583" spans="4:16" x14ac:dyDescent="0.2">
      <c r="D7583">
        <v>100004511</v>
      </c>
      <c r="E7583" s="49">
        <v>44752</v>
      </c>
      <c r="F7583" t="s">
        <v>5852</v>
      </c>
      <c r="G7583" t="s">
        <v>1645</v>
      </c>
      <c r="H7583">
        <v>3</v>
      </c>
      <c r="I7583">
        <v>82.43</v>
      </c>
      <c r="J7583" s="50">
        <v>247.29</v>
      </c>
      <c r="K7583" t="s">
        <v>1632</v>
      </c>
      <c r="M7583" t="s">
        <v>1624</v>
      </c>
      <c r="N7583">
        <v>43.5</v>
      </c>
      <c r="O7583" s="49">
        <v>44756</v>
      </c>
      <c r="P7583" s="50">
        <v>111.2805</v>
      </c>
    </row>
    <row r="7584" spans="4:16" x14ac:dyDescent="0.2">
      <c r="D7584">
        <v>100004513</v>
      </c>
      <c r="E7584" s="49">
        <v>45281</v>
      </c>
      <c r="F7584" t="s">
        <v>5853</v>
      </c>
      <c r="G7584" t="s">
        <v>1736</v>
      </c>
      <c r="H7584">
        <v>3</v>
      </c>
      <c r="I7584">
        <v>60.5</v>
      </c>
      <c r="J7584" s="50">
        <v>181.5</v>
      </c>
      <c r="K7584" t="s">
        <v>1618</v>
      </c>
      <c r="M7584" t="s">
        <v>1629</v>
      </c>
      <c r="N7584">
        <v>31.93</v>
      </c>
      <c r="O7584" s="49">
        <v>45282</v>
      </c>
      <c r="P7584" s="50">
        <v>81.674999999999997</v>
      </c>
    </row>
    <row r="7585" spans="4:16" x14ac:dyDescent="0.2">
      <c r="D7585">
        <v>100004514</v>
      </c>
      <c r="E7585" s="49">
        <v>44539</v>
      </c>
      <c r="F7585" t="s">
        <v>5854</v>
      </c>
      <c r="G7585" t="s">
        <v>1775</v>
      </c>
      <c r="H7585">
        <v>10</v>
      </c>
      <c r="I7585">
        <v>91.5</v>
      </c>
      <c r="J7585" s="50">
        <v>915</v>
      </c>
      <c r="K7585" t="s">
        <v>1632</v>
      </c>
      <c r="M7585" t="s">
        <v>1621</v>
      </c>
      <c r="N7585">
        <v>48.29</v>
      </c>
      <c r="O7585" s="49">
        <v>44540</v>
      </c>
      <c r="P7585" s="50">
        <v>411.75</v>
      </c>
    </row>
    <row r="7586" spans="4:16" x14ac:dyDescent="0.2">
      <c r="D7586">
        <v>100004514</v>
      </c>
      <c r="E7586" s="49">
        <v>45054</v>
      </c>
      <c r="F7586" t="s">
        <v>5854</v>
      </c>
      <c r="G7586" t="s">
        <v>1918</v>
      </c>
      <c r="H7586">
        <v>2</v>
      </c>
      <c r="I7586">
        <v>12.59</v>
      </c>
      <c r="J7586" s="50">
        <v>25.18</v>
      </c>
      <c r="K7586" t="s">
        <v>1632</v>
      </c>
      <c r="M7586" t="s">
        <v>1621</v>
      </c>
      <c r="N7586">
        <v>6.64</v>
      </c>
      <c r="O7586" s="49">
        <v>45057</v>
      </c>
      <c r="P7586" s="50">
        <v>11.331</v>
      </c>
    </row>
    <row r="7587" spans="4:16" x14ac:dyDescent="0.2">
      <c r="D7587">
        <v>100004514</v>
      </c>
      <c r="E7587" s="49">
        <v>45558</v>
      </c>
      <c r="F7587" t="s">
        <v>5854</v>
      </c>
      <c r="G7587" t="s">
        <v>1623</v>
      </c>
      <c r="H7587">
        <v>4</v>
      </c>
      <c r="I7587">
        <v>15.65</v>
      </c>
      <c r="J7587" s="50">
        <v>62.6</v>
      </c>
      <c r="K7587" t="s">
        <v>1632</v>
      </c>
      <c r="M7587" t="s">
        <v>1627</v>
      </c>
      <c r="N7587">
        <v>8.26</v>
      </c>
      <c r="O7587" s="49">
        <v>45561</v>
      </c>
      <c r="P7587" s="50">
        <v>28.17</v>
      </c>
    </row>
    <row r="7588" spans="4:16" x14ac:dyDescent="0.2">
      <c r="D7588">
        <v>100004517</v>
      </c>
      <c r="E7588" s="49">
        <v>44782</v>
      </c>
      <c r="F7588" t="s">
        <v>5855</v>
      </c>
      <c r="G7588" t="s">
        <v>2301</v>
      </c>
      <c r="H7588">
        <v>4</v>
      </c>
      <c r="I7588">
        <v>67.790000000000006</v>
      </c>
      <c r="J7588" s="50">
        <v>271.16000000000003</v>
      </c>
      <c r="K7588" t="s">
        <v>1632</v>
      </c>
      <c r="M7588" t="s">
        <v>1624</v>
      </c>
      <c r="N7588">
        <v>35.78</v>
      </c>
      <c r="O7588" s="49">
        <v>44783</v>
      </c>
      <c r="P7588" s="50">
        <v>122.02200000000002</v>
      </c>
    </row>
    <row r="7589" spans="4:16" x14ac:dyDescent="0.2">
      <c r="D7589">
        <v>100004518</v>
      </c>
      <c r="E7589" s="49">
        <v>44520</v>
      </c>
      <c r="F7589" t="s">
        <v>5856</v>
      </c>
      <c r="G7589" t="s">
        <v>1916</v>
      </c>
      <c r="H7589">
        <v>9</v>
      </c>
      <c r="I7589">
        <v>71.7</v>
      </c>
      <c r="J7589" s="50">
        <v>645.30000000000007</v>
      </c>
      <c r="K7589" t="s">
        <v>1632</v>
      </c>
      <c r="L7589" t="s">
        <v>5207</v>
      </c>
      <c r="M7589" t="s">
        <v>1624</v>
      </c>
      <c r="N7589">
        <v>37.840000000000003</v>
      </c>
      <c r="O7589" s="49">
        <v>44522</v>
      </c>
      <c r="P7589" s="50">
        <v>290.38500000000005</v>
      </c>
    </row>
    <row r="7590" spans="4:16" x14ac:dyDescent="0.2">
      <c r="D7590">
        <v>100004518</v>
      </c>
      <c r="E7590" s="49">
        <v>45196</v>
      </c>
      <c r="F7590" t="s">
        <v>5856</v>
      </c>
      <c r="G7590" t="s">
        <v>2168</v>
      </c>
      <c r="H7590">
        <v>7</v>
      </c>
      <c r="I7590">
        <v>109.23</v>
      </c>
      <c r="J7590" s="50">
        <v>764.61</v>
      </c>
      <c r="K7590" t="s">
        <v>1632</v>
      </c>
      <c r="L7590" t="s">
        <v>5207</v>
      </c>
      <c r="M7590" t="s">
        <v>1619</v>
      </c>
      <c r="N7590">
        <v>57.65</v>
      </c>
      <c r="O7590" s="49">
        <v>45201</v>
      </c>
      <c r="P7590" s="50">
        <v>344.0745</v>
      </c>
    </row>
    <row r="7591" spans="4:16" x14ac:dyDescent="0.2">
      <c r="D7591">
        <v>100004519</v>
      </c>
      <c r="E7591" s="49">
        <v>45593</v>
      </c>
      <c r="F7591" t="s">
        <v>5857</v>
      </c>
      <c r="G7591" t="s">
        <v>1736</v>
      </c>
      <c r="H7591">
        <v>4</v>
      </c>
      <c r="I7591">
        <v>40.07</v>
      </c>
      <c r="J7591" s="50">
        <v>160.28</v>
      </c>
      <c r="K7591" t="s">
        <v>1632</v>
      </c>
      <c r="M7591" t="s">
        <v>1619</v>
      </c>
      <c r="N7591">
        <v>21.15</v>
      </c>
      <c r="O7591" s="49">
        <v>45597</v>
      </c>
      <c r="P7591" s="50">
        <v>72.126000000000005</v>
      </c>
    </row>
    <row r="7592" spans="4:16" x14ac:dyDescent="0.2">
      <c r="D7592">
        <v>100004519</v>
      </c>
      <c r="E7592" s="49">
        <v>45014</v>
      </c>
      <c r="F7592" t="s">
        <v>5857</v>
      </c>
      <c r="G7592" t="s">
        <v>1827</v>
      </c>
      <c r="H7592">
        <v>1</v>
      </c>
      <c r="I7592">
        <v>109.63</v>
      </c>
      <c r="J7592" s="50">
        <v>109.63</v>
      </c>
      <c r="K7592" t="s">
        <v>1632</v>
      </c>
      <c r="M7592" t="s">
        <v>1619</v>
      </c>
      <c r="N7592">
        <v>57.86</v>
      </c>
      <c r="O7592" s="49">
        <v>45016</v>
      </c>
      <c r="P7592" s="50">
        <v>49.333500000000001</v>
      </c>
    </row>
    <row r="7593" spans="4:16" x14ac:dyDescent="0.2">
      <c r="D7593">
        <v>100004519</v>
      </c>
      <c r="E7593" s="49">
        <v>44389</v>
      </c>
      <c r="F7593" t="s">
        <v>5857</v>
      </c>
      <c r="G7593" t="s">
        <v>1727</v>
      </c>
      <c r="H7593">
        <v>4</v>
      </c>
      <c r="I7593">
        <v>80.040000000000006</v>
      </c>
      <c r="J7593" s="50">
        <v>320.16000000000003</v>
      </c>
      <c r="K7593" t="s">
        <v>1632</v>
      </c>
      <c r="M7593" t="s">
        <v>1619</v>
      </c>
      <c r="N7593">
        <v>42.24</v>
      </c>
      <c r="O7593" s="49">
        <v>44394</v>
      </c>
      <c r="P7593" s="50">
        <v>144.072</v>
      </c>
    </row>
    <row r="7594" spans="4:16" x14ac:dyDescent="0.2">
      <c r="D7594">
        <v>100004520</v>
      </c>
      <c r="E7594" s="49">
        <v>45601</v>
      </c>
      <c r="F7594" t="s">
        <v>5858</v>
      </c>
      <c r="G7594" t="s">
        <v>2064</v>
      </c>
      <c r="H7594">
        <v>9</v>
      </c>
      <c r="I7594">
        <v>58.6</v>
      </c>
      <c r="J7594" s="50">
        <v>527.4</v>
      </c>
      <c r="K7594" t="s">
        <v>1632</v>
      </c>
      <c r="M7594" t="s">
        <v>1619</v>
      </c>
      <c r="N7594">
        <v>30.93</v>
      </c>
      <c r="O7594" s="49">
        <v>45605</v>
      </c>
      <c r="P7594" s="50">
        <v>237.32999999999998</v>
      </c>
    </row>
    <row r="7595" spans="4:16" x14ac:dyDescent="0.2">
      <c r="D7595">
        <v>100004520</v>
      </c>
      <c r="E7595" s="49">
        <v>44628</v>
      </c>
      <c r="F7595" t="s">
        <v>5858</v>
      </c>
      <c r="G7595" t="s">
        <v>1859</v>
      </c>
      <c r="H7595">
        <v>9</v>
      </c>
      <c r="I7595">
        <v>70.290000000000006</v>
      </c>
      <c r="J7595" s="50">
        <v>632.61</v>
      </c>
      <c r="K7595" t="s">
        <v>1632</v>
      </c>
      <c r="M7595" t="s">
        <v>1627</v>
      </c>
      <c r="N7595">
        <v>37.1</v>
      </c>
      <c r="O7595" s="49">
        <v>44630</v>
      </c>
      <c r="P7595" s="50">
        <v>284.67450000000002</v>
      </c>
    </row>
    <row r="7596" spans="4:16" x14ac:dyDescent="0.2">
      <c r="D7596">
        <v>100004521</v>
      </c>
      <c r="E7596" s="49">
        <v>45179</v>
      </c>
      <c r="F7596" t="s">
        <v>5859</v>
      </c>
      <c r="G7596" t="s">
        <v>2707</v>
      </c>
      <c r="H7596">
        <v>5</v>
      </c>
      <c r="I7596">
        <v>63.85</v>
      </c>
      <c r="J7596" s="50">
        <v>319.25</v>
      </c>
      <c r="K7596" t="s">
        <v>1618</v>
      </c>
      <c r="M7596" t="s">
        <v>1624</v>
      </c>
      <c r="N7596">
        <v>33.700000000000003</v>
      </c>
      <c r="O7596" s="49">
        <v>45180</v>
      </c>
      <c r="P7596" s="50">
        <v>143.66249999999999</v>
      </c>
    </row>
    <row r="7597" spans="4:16" x14ac:dyDescent="0.2">
      <c r="D7597">
        <v>100004521</v>
      </c>
      <c r="E7597" s="49">
        <v>45140</v>
      </c>
      <c r="F7597" t="s">
        <v>5859</v>
      </c>
      <c r="G7597" t="s">
        <v>1636</v>
      </c>
      <c r="H7597">
        <v>7</v>
      </c>
      <c r="I7597">
        <v>17.309999999999999</v>
      </c>
      <c r="J7597" s="50">
        <v>121.17</v>
      </c>
      <c r="K7597" t="s">
        <v>1618</v>
      </c>
      <c r="M7597" t="s">
        <v>1624</v>
      </c>
      <c r="N7597">
        <v>9.14</v>
      </c>
      <c r="O7597" s="49">
        <v>45145</v>
      </c>
      <c r="P7597" s="50">
        <v>54.526499999999999</v>
      </c>
    </row>
    <row r="7598" spans="4:16" x14ac:dyDescent="0.2">
      <c r="D7598">
        <v>100004521</v>
      </c>
      <c r="E7598" s="49">
        <v>45583</v>
      </c>
      <c r="F7598" t="s">
        <v>5859</v>
      </c>
      <c r="G7598" t="s">
        <v>1901</v>
      </c>
      <c r="H7598">
        <v>5</v>
      </c>
      <c r="I7598">
        <v>47.55</v>
      </c>
      <c r="J7598" s="50">
        <v>237.75</v>
      </c>
      <c r="K7598" t="s">
        <v>1618</v>
      </c>
      <c r="M7598" t="s">
        <v>1621</v>
      </c>
      <c r="N7598">
        <v>25.1</v>
      </c>
      <c r="O7598" s="49">
        <v>45586</v>
      </c>
      <c r="P7598" s="50">
        <v>106.9875</v>
      </c>
    </row>
    <row r="7599" spans="4:16" x14ac:dyDescent="0.2">
      <c r="D7599">
        <v>100004522</v>
      </c>
      <c r="E7599" s="49">
        <v>45608</v>
      </c>
      <c r="F7599" t="s">
        <v>5860</v>
      </c>
      <c r="G7599" t="s">
        <v>1982</v>
      </c>
      <c r="H7599">
        <v>8</v>
      </c>
      <c r="I7599">
        <v>39.31</v>
      </c>
      <c r="J7599" s="50">
        <v>314.48</v>
      </c>
      <c r="K7599" t="s">
        <v>1632</v>
      </c>
      <c r="L7599" t="s">
        <v>5861</v>
      </c>
      <c r="M7599" t="s">
        <v>1621</v>
      </c>
      <c r="N7599">
        <v>20.75</v>
      </c>
      <c r="O7599" s="49">
        <v>45611</v>
      </c>
      <c r="P7599" s="50">
        <v>141.51600000000002</v>
      </c>
    </row>
    <row r="7600" spans="4:16" x14ac:dyDescent="0.2">
      <c r="D7600">
        <v>100004522</v>
      </c>
      <c r="E7600" s="49">
        <v>45219</v>
      </c>
      <c r="F7600" t="s">
        <v>5860</v>
      </c>
      <c r="G7600" t="s">
        <v>2232</v>
      </c>
      <c r="H7600">
        <v>5</v>
      </c>
      <c r="I7600">
        <v>12.02</v>
      </c>
      <c r="J7600" s="50">
        <v>60.099999999999987</v>
      </c>
      <c r="K7600" t="s">
        <v>1632</v>
      </c>
      <c r="L7600" t="s">
        <v>5861</v>
      </c>
      <c r="M7600" t="s">
        <v>1629</v>
      </c>
      <c r="N7600">
        <v>6.34</v>
      </c>
      <c r="O7600" s="49">
        <v>45221</v>
      </c>
      <c r="P7600" s="50">
        <v>27.044999999999995</v>
      </c>
    </row>
    <row r="7601" spans="4:16" x14ac:dyDescent="0.2">
      <c r="D7601">
        <v>100004523</v>
      </c>
      <c r="E7601" s="49">
        <v>44946</v>
      </c>
      <c r="F7601" t="s">
        <v>5862</v>
      </c>
      <c r="G7601" t="s">
        <v>1980</v>
      </c>
      <c r="H7601">
        <v>10</v>
      </c>
      <c r="I7601">
        <v>39.409999999999997</v>
      </c>
      <c r="J7601" s="50">
        <v>394.1</v>
      </c>
      <c r="K7601" t="s">
        <v>1632</v>
      </c>
      <c r="M7601" t="s">
        <v>1619</v>
      </c>
      <c r="N7601">
        <v>20.8</v>
      </c>
      <c r="O7601" s="49">
        <v>44949</v>
      </c>
      <c r="P7601" s="50">
        <v>177.34500000000003</v>
      </c>
    </row>
    <row r="7602" spans="4:16" x14ac:dyDescent="0.2">
      <c r="D7602">
        <v>100004523</v>
      </c>
      <c r="E7602" s="49">
        <v>44753</v>
      </c>
      <c r="F7602" t="s">
        <v>5862</v>
      </c>
      <c r="G7602" t="s">
        <v>1643</v>
      </c>
      <c r="H7602">
        <v>8</v>
      </c>
      <c r="I7602">
        <v>82.99</v>
      </c>
      <c r="J7602" s="50">
        <v>663.92</v>
      </c>
      <c r="K7602" t="s">
        <v>1632</v>
      </c>
      <c r="M7602" t="s">
        <v>1627</v>
      </c>
      <c r="N7602">
        <v>43.8</v>
      </c>
      <c r="O7602" s="49">
        <v>44754</v>
      </c>
      <c r="P7602" s="50">
        <v>298.76400000000001</v>
      </c>
    </row>
    <row r="7603" spans="4:16" x14ac:dyDescent="0.2">
      <c r="D7603">
        <v>100004523</v>
      </c>
      <c r="E7603" s="49">
        <v>45420</v>
      </c>
      <c r="F7603" t="s">
        <v>5862</v>
      </c>
      <c r="G7603" t="s">
        <v>1690</v>
      </c>
      <c r="H7603">
        <v>2</v>
      </c>
      <c r="I7603">
        <v>16.73</v>
      </c>
      <c r="J7603" s="50">
        <v>33.46</v>
      </c>
      <c r="K7603" t="s">
        <v>1632</v>
      </c>
      <c r="M7603" t="s">
        <v>1629</v>
      </c>
      <c r="N7603">
        <v>8.83</v>
      </c>
      <c r="O7603" s="49">
        <v>45424</v>
      </c>
      <c r="P7603" s="50">
        <v>15.057</v>
      </c>
    </row>
    <row r="7604" spans="4:16" x14ac:dyDescent="0.2">
      <c r="D7604">
        <v>100004524</v>
      </c>
      <c r="E7604" s="49">
        <v>44792</v>
      </c>
      <c r="F7604" t="s">
        <v>5863</v>
      </c>
      <c r="G7604" t="s">
        <v>2084</v>
      </c>
      <c r="H7604">
        <v>4</v>
      </c>
      <c r="I7604">
        <v>71.02</v>
      </c>
      <c r="J7604" s="50">
        <v>284.08</v>
      </c>
      <c r="K7604" t="s">
        <v>1632</v>
      </c>
      <c r="M7604" t="s">
        <v>1629</v>
      </c>
      <c r="N7604">
        <v>37.479999999999997</v>
      </c>
      <c r="O7604" s="49">
        <v>44795</v>
      </c>
      <c r="P7604" s="50">
        <v>127.836</v>
      </c>
    </row>
    <row r="7605" spans="4:16" x14ac:dyDescent="0.2">
      <c r="D7605">
        <v>100004525</v>
      </c>
      <c r="E7605" s="49">
        <v>44820</v>
      </c>
      <c r="F7605" t="s">
        <v>5864</v>
      </c>
      <c r="G7605" t="s">
        <v>2191</v>
      </c>
      <c r="H7605">
        <v>1</v>
      </c>
      <c r="I7605">
        <v>32.46</v>
      </c>
      <c r="J7605" s="50">
        <v>32.46</v>
      </c>
      <c r="K7605" t="s">
        <v>1618</v>
      </c>
      <c r="M7605" t="s">
        <v>1619</v>
      </c>
      <c r="N7605">
        <v>17.13</v>
      </c>
      <c r="O7605" s="49">
        <v>44825</v>
      </c>
      <c r="P7605" s="50">
        <v>14.607000000000001</v>
      </c>
    </row>
    <row r="7606" spans="4:16" x14ac:dyDescent="0.2">
      <c r="D7606">
        <v>100004525</v>
      </c>
      <c r="E7606" s="49">
        <v>45512</v>
      </c>
      <c r="F7606" t="s">
        <v>5864</v>
      </c>
      <c r="G7606" t="s">
        <v>2278</v>
      </c>
      <c r="H7606">
        <v>9</v>
      </c>
      <c r="I7606">
        <v>89.38</v>
      </c>
      <c r="J7606" s="50">
        <v>804.42</v>
      </c>
      <c r="K7606" t="s">
        <v>1618</v>
      </c>
      <c r="M7606" t="s">
        <v>1627</v>
      </c>
      <c r="N7606">
        <v>47.17</v>
      </c>
      <c r="O7606" s="49">
        <v>45515</v>
      </c>
      <c r="P7606" s="50">
        <v>361.98899999999998</v>
      </c>
    </row>
    <row r="7607" spans="4:16" x14ac:dyDescent="0.2">
      <c r="D7607">
        <v>100004525</v>
      </c>
      <c r="E7607" s="49">
        <v>44534</v>
      </c>
      <c r="F7607" t="s">
        <v>5864</v>
      </c>
      <c r="G7607" t="s">
        <v>2155</v>
      </c>
      <c r="H7607">
        <v>10</v>
      </c>
      <c r="I7607">
        <v>35.11</v>
      </c>
      <c r="J7607" s="50">
        <v>351.1</v>
      </c>
      <c r="K7607" t="s">
        <v>1618</v>
      </c>
      <c r="M7607" t="s">
        <v>1624</v>
      </c>
      <c r="N7607">
        <v>18.53</v>
      </c>
      <c r="O7607" s="49">
        <v>44536</v>
      </c>
      <c r="P7607" s="50">
        <v>157.995</v>
      </c>
    </row>
    <row r="7608" spans="4:16" x14ac:dyDescent="0.2">
      <c r="D7608">
        <v>100004526</v>
      </c>
      <c r="E7608" s="49">
        <v>44460</v>
      </c>
      <c r="F7608" t="s">
        <v>5865</v>
      </c>
      <c r="G7608" t="s">
        <v>1695</v>
      </c>
      <c r="H7608">
        <v>10</v>
      </c>
      <c r="I7608">
        <v>109.81</v>
      </c>
      <c r="J7608" s="50">
        <v>1098.0999999999999</v>
      </c>
      <c r="K7608" t="s">
        <v>1618</v>
      </c>
      <c r="M7608" t="s">
        <v>1629</v>
      </c>
      <c r="N7608">
        <v>57.95</v>
      </c>
      <c r="O7608" s="49">
        <v>44461</v>
      </c>
      <c r="P7608" s="50">
        <v>494.14499999999998</v>
      </c>
    </row>
    <row r="7609" spans="4:16" x14ac:dyDescent="0.2">
      <c r="D7609">
        <v>100004528</v>
      </c>
      <c r="E7609" s="49">
        <v>44821</v>
      </c>
      <c r="F7609" t="s">
        <v>5866</v>
      </c>
      <c r="G7609" t="s">
        <v>1765</v>
      </c>
      <c r="H7609">
        <v>9</v>
      </c>
      <c r="I7609">
        <v>84.03</v>
      </c>
      <c r="J7609" s="50">
        <v>756.27</v>
      </c>
      <c r="K7609" t="s">
        <v>1632</v>
      </c>
      <c r="L7609" t="s">
        <v>5867</v>
      </c>
      <c r="M7609" t="s">
        <v>1629</v>
      </c>
      <c r="N7609">
        <v>44.35</v>
      </c>
      <c r="O7609" s="49">
        <v>44826</v>
      </c>
      <c r="P7609" s="50">
        <v>340.32150000000001</v>
      </c>
    </row>
    <row r="7610" spans="4:16" x14ac:dyDescent="0.2">
      <c r="D7610">
        <v>100004531</v>
      </c>
      <c r="E7610" s="49">
        <v>44601</v>
      </c>
      <c r="F7610" t="s">
        <v>5868</v>
      </c>
      <c r="G7610" t="s">
        <v>1756</v>
      </c>
      <c r="H7610">
        <v>2</v>
      </c>
      <c r="I7610">
        <v>40.94</v>
      </c>
      <c r="J7610" s="50">
        <v>81.88</v>
      </c>
      <c r="K7610" t="s">
        <v>1618</v>
      </c>
      <c r="L7610" t="s">
        <v>2265</v>
      </c>
      <c r="M7610" t="s">
        <v>1619</v>
      </c>
      <c r="N7610">
        <v>21.61</v>
      </c>
      <c r="O7610" s="49">
        <v>44606</v>
      </c>
      <c r="P7610" s="50">
        <v>36.845999999999997</v>
      </c>
    </row>
    <row r="7611" spans="4:16" x14ac:dyDescent="0.2">
      <c r="D7611">
        <v>100004531</v>
      </c>
      <c r="E7611" s="49">
        <v>44948</v>
      </c>
      <c r="F7611" t="s">
        <v>5868</v>
      </c>
      <c r="G7611" t="s">
        <v>1691</v>
      </c>
      <c r="H7611">
        <v>1</v>
      </c>
      <c r="I7611">
        <v>60.07</v>
      </c>
      <c r="J7611" s="50">
        <v>60.07</v>
      </c>
      <c r="K7611" t="s">
        <v>1618</v>
      </c>
      <c r="L7611" t="s">
        <v>2265</v>
      </c>
      <c r="M7611" t="s">
        <v>1627</v>
      </c>
      <c r="N7611">
        <v>31.7</v>
      </c>
      <c r="O7611" s="49">
        <v>44952</v>
      </c>
      <c r="P7611" s="50">
        <v>27.031500000000001</v>
      </c>
    </row>
    <row r="7612" spans="4:16" x14ac:dyDescent="0.2">
      <c r="D7612">
        <v>100004531</v>
      </c>
      <c r="E7612" s="49">
        <v>44692</v>
      </c>
      <c r="F7612" t="s">
        <v>5868</v>
      </c>
      <c r="G7612" t="s">
        <v>2023</v>
      </c>
      <c r="H7612">
        <v>8</v>
      </c>
      <c r="I7612">
        <v>33.04</v>
      </c>
      <c r="J7612" s="50">
        <v>264.32</v>
      </c>
      <c r="K7612" t="s">
        <v>1618</v>
      </c>
      <c r="L7612" t="s">
        <v>2265</v>
      </c>
      <c r="M7612" t="s">
        <v>1629</v>
      </c>
      <c r="N7612">
        <v>17.440000000000001</v>
      </c>
      <c r="O7612" s="49">
        <v>44696</v>
      </c>
      <c r="P7612" s="50">
        <v>118.944</v>
      </c>
    </row>
    <row r="7613" spans="4:16" x14ac:dyDescent="0.2">
      <c r="D7613">
        <v>100004532</v>
      </c>
      <c r="E7613" s="49">
        <v>44780</v>
      </c>
      <c r="F7613" t="s">
        <v>5869</v>
      </c>
      <c r="G7613" t="s">
        <v>1743</v>
      </c>
      <c r="H7613">
        <v>1</v>
      </c>
      <c r="I7613">
        <v>36.479999999999997</v>
      </c>
      <c r="J7613" s="50">
        <v>36.479999999999997</v>
      </c>
      <c r="K7613" t="s">
        <v>1618</v>
      </c>
      <c r="M7613" t="s">
        <v>1621</v>
      </c>
      <c r="N7613">
        <v>19.25</v>
      </c>
      <c r="O7613" s="49">
        <v>44785</v>
      </c>
      <c r="P7613" s="50">
        <v>16.416</v>
      </c>
    </row>
    <row r="7614" spans="4:16" x14ac:dyDescent="0.2">
      <c r="D7614">
        <v>100004533</v>
      </c>
      <c r="E7614" s="49">
        <v>44433</v>
      </c>
      <c r="F7614" t="s">
        <v>5870</v>
      </c>
      <c r="G7614" t="s">
        <v>1846</v>
      </c>
      <c r="H7614">
        <v>1</v>
      </c>
      <c r="I7614">
        <v>45.89</v>
      </c>
      <c r="J7614" s="50">
        <v>45.89</v>
      </c>
      <c r="K7614" t="s">
        <v>1618</v>
      </c>
      <c r="M7614" t="s">
        <v>1621</v>
      </c>
      <c r="N7614">
        <v>24.22</v>
      </c>
      <c r="O7614" s="49">
        <v>44434</v>
      </c>
      <c r="P7614" s="50">
        <v>20.650500000000001</v>
      </c>
    </row>
    <row r="7615" spans="4:16" x14ac:dyDescent="0.2">
      <c r="D7615">
        <v>100004534</v>
      </c>
      <c r="E7615" s="49">
        <v>45472</v>
      </c>
      <c r="F7615" t="s">
        <v>5871</v>
      </c>
      <c r="G7615" t="s">
        <v>2431</v>
      </c>
      <c r="H7615">
        <v>2</v>
      </c>
      <c r="I7615">
        <v>23.28</v>
      </c>
      <c r="J7615" s="50">
        <v>46.56</v>
      </c>
      <c r="K7615" t="s">
        <v>1632</v>
      </c>
      <c r="M7615" t="s">
        <v>1627</v>
      </c>
      <c r="N7615">
        <v>12.29</v>
      </c>
      <c r="O7615" s="49">
        <v>45475</v>
      </c>
      <c r="P7615" s="50">
        <v>20.952000000000002</v>
      </c>
    </row>
    <row r="7616" spans="4:16" x14ac:dyDescent="0.2">
      <c r="D7616">
        <v>100004534</v>
      </c>
      <c r="E7616" s="49">
        <v>44499</v>
      </c>
      <c r="F7616" t="s">
        <v>5871</v>
      </c>
      <c r="G7616" t="s">
        <v>1924</v>
      </c>
      <c r="H7616">
        <v>1</v>
      </c>
      <c r="I7616">
        <v>22.57</v>
      </c>
      <c r="J7616" s="50">
        <v>22.57</v>
      </c>
      <c r="K7616" t="s">
        <v>1632</v>
      </c>
      <c r="M7616" t="s">
        <v>1629</v>
      </c>
      <c r="N7616">
        <v>11.91</v>
      </c>
      <c r="O7616" s="49">
        <v>44504</v>
      </c>
      <c r="P7616" s="50">
        <v>10.156500000000001</v>
      </c>
    </row>
    <row r="7617" spans="4:16" x14ac:dyDescent="0.2">
      <c r="D7617">
        <v>100004534</v>
      </c>
      <c r="E7617" s="49">
        <v>44907</v>
      </c>
      <c r="F7617" t="s">
        <v>5871</v>
      </c>
      <c r="G7617" t="s">
        <v>1848</v>
      </c>
      <c r="H7617">
        <v>2</v>
      </c>
      <c r="I7617">
        <v>116.9</v>
      </c>
      <c r="J7617" s="50">
        <v>233.8</v>
      </c>
      <c r="K7617" t="s">
        <v>1632</v>
      </c>
      <c r="M7617" t="s">
        <v>1621</v>
      </c>
      <c r="N7617">
        <v>61.7</v>
      </c>
      <c r="O7617" s="49">
        <v>44910</v>
      </c>
      <c r="P7617" s="50">
        <v>105.21000000000001</v>
      </c>
    </row>
    <row r="7618" spans="4:16" x14ac:dyDescent="0.2">
      <c r="D7618">
        <v>100004534</v>
      </c>
      <c r="E7618" s="49">
        <v>44679</v>
      </c>
      <c r="F7618" t="s">
        <v>5871</v>
      </c>
      <c r="G7618" t="s">
        <v>2084</v>
      </c>
      <c r="H7618">
        <v>9</v>
      </c>
      <c r="I7618">
        <v>69.91</v>
      </c>
      <c r="J7618" s="50">
        <v>629.18999999999994</v>
      </c>
      <c r="K7618" t="s">
        <v>1632</v>
      </c>
      <c r="M7618" t="s">
        <v>1624</v>
      </c>
      <c r="N7618">
        <v>36.9</v>
      </c>
      <c r="O7618" s="49">
        <v>44680</v>
      </c>
      <c r="P7618" s="50">
        <v>283.13549999999998</v>
      </c>
    </row>
    <row r="7619" spans="4:16" x14ac:dyDescent="0.2">
      <c r="D7619">
        <v>100004535</v>
      </c>
      <c r="E7619" s="49">
        <v>44336</v>
      </c>
      <c r="F7619" t="s">
        <v>5872</v>
      </c>
      <c r="G7619" t="s">
        <v>2192</v>
      </c>
      <c r="H7619">
        <v>7</v>
      </c>
      <c r="I7619">
        <v>113.32</v>
      </c>
      <c r="J7619" s="50">
        <v>793.24</v>
      </c>
      <c r="K7619" t="s">
        <v>1632</v>
      </c>
      <c r="L7619" t="s">
        <v>4328</v>
      </c>
      <c r="M7619" t="s">
        <v>1629</v>
      </c>
      <c r="N7619">
        <v>59.81</v>
      </c>
      <c r="O7619" s="49">
        <v>44341</v>
      </c>
      <c r="P7619" s="50">
        <v>356.95800000000003</v>
      </c>
    </row>
    <row r="7620" spans="4:16" x14ac:dyDescent="0.2">
      <c r="D7620">
        <v>100004536</v>
      </c>
      <c r="E7620" s="49">
        <v>44240</v>
      </c>
      <c r="F7620" t="s">
        <v>5873</v>
      </c>
      <c r="G7620" t="s">
        <v>1943</v>
      </c>
      <c r="H7620">
        <v>4</v>
      </c>
      <c r="I7620">
        <v>21.26</v>
      </c>
      <c r="J7620" s="50">
        <v>85.04</v>
      </c>
      <c r="K7620" t="s">
        <v>1632</v>
      </c>
      <c r="L7620" t="s">
        <v>5874</v>
      </c>
      <c r="M7620" t="s">
        <v>1627</v>
      </c>
      <c r="N7620">
        <v>11.22</v>
      </c>
      <c r="O7620" s="49">
        <v>44242</v>
      </c>
      <c r="P7620" s="50">
        <v>38.268000000000001</v>
      </c>
    </row>
    <row r="7621" spans="4:16" x14ac:dyDescent="0.2">
      <c r="D7621">
        <v>100004536</v>
      </c>
      <c r="E7621" s="49">
        <v>45207</v>
      </c>
      <c r="F7621" t="s">
        <v>5873</v>
      </c>
      <c r="G7621" t="s">
        <v>1872</v>
      </c>
      <c r="H7621">
        <v>7</v>
      </c>
      <c r="I7621">
        <v>72.510000000000005</v>
      </c>
      <c r="J7621" s="50">
        <v>507.57000000000011</v>
      </c>
      <c r="K7621" t="s">
        <v>1632</v>
      </c>
      <c r="L7621" t="s">
        <v>5874</v>
      </c>
      <c r="M7621" t="s">
        <v>1619</v>
      </c>
      <c r="N7621">
        <v>38.270000000000003</v>
      </c>
      <c r="O7621" s="49">
        <v>45212</v>
      </c>
      <c r="P7621" s="50">
        <v>228.40650000000005</v>
      </c>
    </row>
    <row r="7622" spans="4:16" x14ac:dyDescent="0.2">
      <c r="D7622">
        <v>100004536</v>
      </c>
      <c r="E7622" s="49">
        <v>45592</v>
      </c>
      <c r="F7622" t="s">
        <v>5873</v>
      </c>
      <c r="G7622" t="s">
        <v>2136</v>
      </c>
      <c r="H7622">
        <v>1</v>
      </c>
      <c r="I7622">
        <v>74.67</v>
      </c>
      <c r="J7622" s="50">
        <v>74.67</v>
      </c>
      <c r="K7622" t="s">
        <v>1632</v>
      </c>
      <c r="L7622" t="s">
        <v>5874</v>
      </c>
      <c r="M7622" t="s">
        <v>1619</v>
      </c>
      <c r="N7622">
        <v>39.409999999999997</v>
      </c>
      <c r="O7622" s="49">
        <v>45594</v>
      </c>
      <c r="P7622" s="50">
        <v>33.601500000000001</v>
      </c>
    </row>
    <row r="7623" spans="4:16" x14ac:dyDescent="0.2">
      <c r="D7623">
        <v>100004538</v>
      </c>
      <c r="E7623" s="49">
        <v>44502</v>
      </c>
      <c r="F7623" t="s">
        <v>5875</v>
      </c>
      <c r="G7623" t="s">
        <v>2084</v>
      </c>
      <c r="H7623">
        <v>3</v>
      </c>
      <c r="I7623">
        <v>58.43</v>
      </c>
      <c r="J7623" s="50">
        <v>175.29</v>
      </c>
      <c r="K7623" t="s">
        <v>1618</v>
      </c>
      <c r="M7623" t="s">
        <v>1627</v>
      </c>
      <c r="N7623">
        <v>30.84</v>
      </c>
      <c r="O7623" s="49">
        <v>44506</v>
      </c>
      <c r="P7623" s="50">
        <v>78.880499999999998</v>
      </c>
    </row>
    <row r="7624" spans="4:16" x14ac:dyDescent="0.2">
      <c r="D7624">
        <v>100004538</v>
      </c>
      <c r="E7624" s="49">
        <v>45414</v>
      </c>
      <c r="F7624" t="s">
        <v>5875</v>
      </c>
      <c r="G7624" t="s">
        <v>1766</v>
      </c>
      <c r="H7624">
        <v>1</v>
      </c>
      <c r="I7624">
        <v>74.290000000000006</v>
      </c>
      <c r="J7624" s="50">
        <v>74.290000000000006</v>
      </c>
      <c r="K7624" t="s">
        <v>1618</v>
      </c>
      <c r="M7624" t="s">
        <v>1629</v>
      </c>
      <c r="N7624">
        <v>39.21</v>
      </c>
      <c r="O7624" s="49">
        <v>45419</v>
      </c>
      <c r="P7624" s="50">
        <v>33.430500000000002</v>
      </c>
    </row>
    <row r="7625" spans="4:16" x14ac:dyDescent="0.2">
      <c r="D7625">
        <v>100004539</v>
      </c>
      <c r="E7625" s="49">
        <v>44471</v>
      </c>
      <c r="F7625" t="s">
        <v>5876</v>
      </c>
      <c r="G7625" t="s">
        <v>1939</v>
      </c>
      <c r="H7625">
        <v>10</v>
      </c>
      <c r="I7625">
        <v>55.49</v>
      </c>
      <c r="J7625" s="50">
        <v>554.9</v>
      </c>
      <c r="K7625" t="s">
        <v>1618</v>
      </c>
      <c r="M7625" t="s">
        <v>1621</v>
      </c>
      <c r="N7625">
        <v>29.29</v>
      </c>
      <c r="O7625" s="49">
        <v>44475</v>
      </c>
      <c r="P7625" s="50">
        <v>249.70499999999998</v>
      </c>
    </row>
    <row r="7626" spans="4:16" x14ac:dyDescent="0.2">
      <c r="D7626">
        <v>100004540</v>
      </c>
      <c r="E7626" s="49">
        <v>45549</v>
      </c>
      <c r="F7626" t="s">
        <v>5877</v>
      </c>
      <c r="G7626" t="s">
        <v>1719</v>
      </c>
      <c r="H7626">
        <v>2</v>
      </c>
      <c r="I7626">
        <v>115.49</v>
      </c>
      <c r="J7626" s="50">
        <v>230.98</v>
      </c>
      <c r="K7626" t="s">
        <v>1618</v>
      </c>
      <c r="M7626" t="s">
        <v>1627</v>
      </c>
      <c r="N7626">
        <v>60.95</v>
      </c>
      <c r="O7626" s="49">
        <v>45550</v>
      </c>
      <c r="P7626" s="50">
        <v>103.941</v>
      </c>
    </row>
    <row r="7627" spans="4:16" x14ac:dyDescent="0.2">
      <c r="D7627">
        <v>100004540</v>
      </c>
      <c r="E7627" s="49">
        <v>44655</v>
      </c>
      <c r="F7627" t="s">
        <v>5877</v>
      </c>
      <c r="G7627" t="s">
        <v>1697</v>
      </c>
      <c r="H7627">
        <v>4</v>
      </c>
      <c r="I7627">
        <v>64.38</v>
      </c>
      <c r="J7627" s="50">
        <v>257.52</v>
      </c>
      <c r="K7627" t="s">
        <v>1618</v>
      </c>
      <c r="M7627" t="s">
        <v>1619</v>
      </c>
      <c r="N7627">
        <v>33.979999999999997</v>
      </c>
      <c r="O7627" s="49">
        <v>44656</v>
      </c>
      <c r="P7627" s="50">
        <v>115.884</v>
      </c>
    </row>
    <row r="7628" spans="4:16" x14ac:dyDescent="0.2">
      <c r="D7628">
        <v>100004541</v>
      </c>
      <c r="E7628" s="49">
        <v>45530</v>
      </c>
      <c r="F7628" t="s">
        <v>5878</v>
      </c>
      <c r="G7628" t="s">
        <v>1794</v>
      </c>
      <c r="H7628">
        <v>10</v>
      </c>
      <c r="I7628">
        <v>100.68</v>
      </c>
      <c r="J7628" s="50">
        <v>1006.8</v>
      </c>
      <c r="K7628" t="s">
        <v>1632</v>
      </c>
      <c r="M7628" t="s">
        <v>1619</v>
      </c>
      <c r="N7628">
        <v>53.14</v>
      </c>
      <c r="O7628" s="49">
        <v>45531</v>
      </c>
      <c r="P7628" s="50">
        <v>453.06</v>
      </c>
    </row>
    <row r="7629" spans="4:16" x14ac:dyDescent="0.2">
      <c r="D7629">
        <v>100004541</v>
      </c>
      <c r="E7629" s="49">
        <v>44988</v>
      </c>
      <c r="F7629" t="s">
        <v>5878</v>
      </c>
      <c r="G7629" t="s">
        <v>2202</v>
      </c>
      <c r="H7629">
        <v>6</v>
      </c>
      <c r="I7629">
        <v>45.81</v>
      </c>
      <c r="J7629" s="50">
        <v>274.86</v>
      </c>
      <c r="K7629" t="s">
        <v>1632</v>
      </c>
      <c r="M7629" t="s">
        <v>1624</v>
      </c>
      <c r="N7629">
        <v>24.18</v>
      </c>
      <c r="O7629" s="49">
        <v>44989</v>
      </c>
      <c r="P7629" s="50">
        <v>123.68700000000001</v>
      </c>
    </row>
    <row r="7630" spans="4:16" x14ac:dyDescent="0.2">
      <c r="D7630">
        <v>100004542</v>
      </c>
      <c r="E7630" s="49">
        <v>44415</v>
      </c>
      <c r="F7630" t="s">
        <v>5879</v>
      </c>
      <c r="G7630" t="s">
        <v>2076</v>
      </c>
      <c r="H7630">
        <v>7</v>
      </c>
      <c r="I7630">
        <v>52.48</v>
      </c>
      <c r="J7630" s="50">
        <v>367.36</v>
      </c>
      <c r="K7630" t="s">
        <v>1618</v>
      </c>
      <c r="M7630" t="s">
        <v>1621</v>
      </c>
      <c r="N7630">
        <v>27.7</v>
      </c>
      <c r="O7630" s="49">
        <v>44417</v>
      </c>
      <c r="P7630" s="50">
        <v>165.31200000000001</v>
      </c>
    </row>
    <row r="7631" spans="4:16" x14ac:dyDescent="0.2">
      <c r="D7631">
        <v>100004542</v>
      </c>
      <c r="E7631" s="49">
        <v>45445</v>
      </c>
      <c r="F7631" t="s">
        <v>5879</v>
      </c>
      <c r="G7631" t="s">
        <v>2101</v>
      </c>
      <c r="H7631">
        <v>9</v>
      </c>
      <c r="I7631">
        <v>41.83</v>
      </c>
      <c r="J7631" s="50">
        <v>376.47</v>
      </c>
      <c r="K7631" t="s">
        <v>1618</v>
      </c>
      <c r="M7631" t="s">
        <v>1629</v>
      </c>
      <c r="N7631">
        <v>22.08</v>
      </c>
      <c r="O7631" s="49">
        <v>45450</v>
      </c>
      <c r="P7631" s="50">
        <v>169.41150000000002</v>
      </c>
    </row>
    <row r="7632" spans="4:16" x14ac:dyDescent="0.2">
      <c r="D7632">
        <v>100004542</v>
      </c>
      <c r="E7632" s="49">
        <v>44529</v>
      </c>
      <c r="F7632" t="s">
        <v>5879</v>
      </c>
      <c r="G7632" t="s">
        <v>2412</v>
      </c>
      <c r="H7632">
        <v>9</v>
      </c>
      <c r="I7632">
        <v>107.56</v>
      </c>
      <c r="J7632" s="50">
        <v>968.04</v>
      </c>
      <c r="K7632" t="s">
        <v>1618</v>
      </c>
      <c r="M7632" t="s">
        <v>1624</v>
      </c>
      <c r="N7632">
        <v>56.77</v>
      </c>
      <c r="O7632" s="49">
        <v>44530</v>
      </c>
      <c r="P7632" s="50">
        <v>435.61799999999999</v>
      </c>
    </row>
    <row r="7633" spans="4:16" x14ac:dyDescent="0.2">
      <c r="D7633">
        <v>100004542</v>
      </c>
      <c r="E7633" s="49">
        <v>45243</v>
      </c>
      <c r="F7633" t="s">
        <v>5879</v>
      </c>
      <c r="G7633" t="s">
        <v>1853</v>
      </c>
      <c r="H7633">
        <v>6</v>
      </c>
      <c r="I7633">
        <v>22.71</v>
      </c>
      <c r="J7633" s="50">
        <v>136.26</v>
      </c>
      <c r="K7633" t="s">
        <v>1618</v>
      </c>
      <c r="M7633" t="s">
        <v>1627</v>
      </c>
      <c r="N7633">
        <v>11.99</v>
      </c>
      <c r="O7633" s="49">
        <v>45246</v>
      </c>
      <c r="P7633" s="50">
        <v>61.317</v>
      </c>
    </row>
    <row r="7634" spans="4:16" x14ac:dyDescent="0.2">
      <c r="D7634">
        <v>100004545</v>
      </c>
      <c r="E7634" s="49">
        <v>45475</v>
      </c>
      <c r="F7634" t="s">
        <v>5880</v>
      </c>
      <c r="G7634" t="s">
        <v>1743</v>
      </c>
      <c r="H7634">
        <v>6</v>
      </c>
      <c r="I7634">
        <v>92.46</v>
      </c>
      <c r="J7634" s="50">
        <v>554.76</v>
      </c>
      <c r="K7634" t="s">
        <v>1618</v>
      </c>
      <c r="M7634" t="s">
        <v>1621</v>
      </c>
      <c r="N7634">
        <v>48.8</v>
      </c>
      <c r="O7634" s="49">
        <v>45480</v>
      </c>
      <c r="P7634" s="50">
        <v>249.642</v>
      </c>
    </row>
    <row r="7635" spans="4:16" x14ac:dyDescent="0.2">
      <c r="D7635">
        <v>100004546</v>
      </c>
      <c r="E7635" s="49">
        <v>44941</v>
      </c>
      <c r="F7635" t="s">
        <v>5881</v>
      </c>
      <c r="G7635" t="s">
        <v>1842</v>
      </c>
      <c r="H7635">
        <v>7</v>
      </c>
      <c r="I7635">
        <v>69.180000000000007</v>
      </c>
      <c r="J7635" s="50">
        <v>484.26</v>
      </c>
      <c r="K7635" t="s">
        <v>1618</v>
      </c>
      <c r="M7635" t="s">
        <v>1627</v>
      </c>
      <c r="N7635">
        <v>36.51</v>
      </c>
      <c r="O7635" s="49">
        <v>44946</v>
      </c>
      <c r="P7635" s="50">
        <v>217.917</v>
      </c>
    </row>
    <row r="7636" spans="4:16" x14ac:dyDescent="0.2">
      <c r="D7636">
        <v>100004546</v>
      </c>
      <c r="E7636" s="49">
        <v>44344</v>
      </c>
      <c r="F7636" t="s">
        <v>5881</v>
      </c>
      <c r="G7636" t="s">
        <v>2301</v>
      </c>
      <c r="H7636">
        <v>3</v>
      </c>
      <c r="I7636">
        <v>114.18</v>
      </c>
      <c r="J7636" s="50">
        <v>342.54</v>
      </c>
      <c r="K7636" t="s">
        <v>1618</v>
      </c>
      <c r="M7636" t="s">
        <v>1629</v>
      </c>
      <c r="N7636">
        <v>60.26</v>
      </c>
      <c r="O7636" s="49">
        <v>44349</v>
      </c>
      <c r="P7636" s="50">
        <v>154.143</v>
      </c>
    </row>
    <row r="7637" spans="4:16" x14ac:dyDescent="0.2">
      <c r="D7637">
        <v>100004546</v>
      </c>
      <c r="E7637" s="49">
        <v>45098</v>
      </c>
      <c r="F7637" t="s">
        <v>5881</v>
      </c>
      <c r="G7637" t="s">
        <v>1969</v>
      </c>
      <c r="H7637">
        <v>2</v>
      </c>
      <c r="I7637">
        <v>38.61</v>
      </c>
      <c r="J7637" s="50">
        <v>77.22</v>
      </c>
      <c r="K7637" t="s">
        <v>1618</v>
      </c>
      <c r="M7637" t="s">
        <v>1629</v>
      </c>
      <c r="N7637">
        <v>20.38</v>
      </c>
      <c r="O7637" s="49">
        <v>45103</v>
      </c>
      <c r="P7637" s="50">
        <v>34.749000000000002</v>
      </c>
    </row>
    <row r="7638" spans="4:16" x14ac:dyDescent="0.2">
      <c r="D7638">
        <v>100004546</v>
      </c>
      <c r="E7638" s="49">
        <v>45138</v>
      </c>
      <c r="F7638" t="s">
        <v>5881</v>
      </c>
      <c r="G7638" t="s">
        <v>1937</v>
      </c>
      <c r="H7638">
        <v>5</v>
      </c>
      <c r="I7638">
        <v>94.21</v>
      </c>
      <c r="J7638" s="50">
        <v>471.05</v>
      </c>
      <c r="K7638" t="s">
        <v>1618</v>
      </c>
      <c r="M7638" t="s">
        <v>1619</v>
      </c>
      <c r="N7638">
        <v>49.72</v>
      </c>
      <c r="O7638" s="49">
        <v>45139</v>
      </c>
      <c r="P7638" s="50">
        <v>211.9725</v>
      </c>
    </row>
    <row r="7639" spans="4:16" x14ac:dyDescent="0.2">
      <c r="D7639">
        <v>100004547</v>
      </c>
      <c r="E7639" s="49">
        <v>44864</v>
      </c>
      <c r="F7639" t="s">
        <v>5882</v>
      </c>
      <c r="G7639" t="s">
        <v>2093</v>
      </c>
      <c r="H7639">
        <v>3</v>
      </c>
      <c r="I7639">
        <v>28.42</v>
      </c>
      <c r="J7639" s="50">
        <v>85.26</v>
      </c>
      <c r="K7639" t="s">
        <v>1618</v>
      </c>
      <c r="M7639" t="s">
        <v>1624</v>
      </c>
      <c r="N7639">
        <v>15</v>
      </c>
      <c r="O7639" s="49">
        <v>44866</v>
      </c>
      <c r="P7639" s="50">
        <v>38.367000000000004</v>
      </c>
    </row>
    <row r="7640" spans="4:16" x14ac:dyDescent="0.2">
      <c r="D7640">
        <v>100004547</v>
      </c>
      <c r="E7640" s="49">
        <v>45109</v>
      </c>
      <c r="F7640" t="s">
        <v>5882</v>
      </c>
      <c r="G7640" t="s">
        <v>1655</v>
      </c>
      <c r="H7640">
        <v>10</v>
      </c>
      <c r="I7640">
        <v>62.54</v>
      </c>
      <c r="J7640" s="50">
        <v>625.4</v>
      </c>
      <c r="K7640" t="s">
        <v>1618</v>
      </c>
      <c r="M7640" t="s">
        <v>1627</v>
      </c>
      <c r="N7640">
        <v>33.01</v>
      </c>
      <c r="O7640" s="49">
        <v>45114</v>
      </c>
      <c r="P7640" s="50">
        <v>281.43</v>
      </c>
    </row>
    <row r="7641" spans="4:16" x14ac:dyDescent="0.2">
      <c r="D7641">
        <v>100004548</v>
      </c>
      <c r="E7641" s="49">
        <v>44588</v>
      </c>
      <c r="F7641" t="s">
        <v>5883</v>
      </c>
      <c r="G7641" t="s">
        <v>1944</v>
      </c>
      <c r="H7641">
        <v>8</v>
      </c>
      <c r="I7641">
        <v>62.12</v>
      </c>
      <c r="J7641" s="50">
        <v>496.96</v>
      </c>
      <c r="K7641" t="s">
        <v>1618</v>
      </c>
      <c r="L7641" t="s">
        <v>4554</v>
      </c>
      <c r="M7641" t="s">
        <v>1627</v>
      </c>
      <c r="N7641">
        <v>32.79</v>
      </c>
      <c r="O7641" s="49">
        <v>44589</v>
      </c>
      <c r="P7641" s="50">
        <v>223.63200000000001</v>
      </c>
    </row>
    <row r="7642" spans="4:16" x14ac:dyDescent="0.2">
      <c r="D7642">
        <v>100004549</v>
      </c>
      <c r="E7642" s="49">
        <v>44749</v>
      </c>
      <c r="F7642" t="s">
        <v>5884</v>
      </c>
      <c r="G7642" t="s">
        <v>2416</v>
      </c>
      <c r="H7642">
        <v>6</v>
      </c>
      <c r="I7642">
        <v>111.72</v>
      </c>
      <c r="J7642" s="50">
        <v>670.31999999999994</v>
      </c>
      <c r="K7642" t="s">
        <v>1632</v>
      </c>
      <c r="M7642" t="s">
        <v>1627</v>
      </c>
      <c r="N7642">
        <v>58.96</v>
      </c>
      <c r="O7642" s="49">
        <v>44754</v>
      </c>
      <c r="P7642" s="50">
        <v>301.64400000000001</v>
      </c>
    </row>
    <row r="7643" spans="4:16" x14ac:dyDescent="0.2">
      <c r="D7643">
        <v>100004549</v>
      </c>
      <c r="E7643" s="49">
        <v>44834</v>
      </c>
      <c r="F7643" t="s">
        <v>5884</v>
      </c>
      <c r="G7643" t="s">
        <v>2174</v>
      </c>
      <c r="H7643">
        <v>10</v>
      </c>
      <c r="I7643">
        <v>85.08</v>
      </c>
      <c r="J7643" s="50">
        <v>850.8</v>
      </c>
      <c r="K7643" t="s">
        <v>1632</v>
      </c>
      <c r="M7643" t="s">
        <v>1624</v>
      </c>
      <c r="N7643">
        <v>44.9</v>
      </c>
      <c r="O7643" s="49">
        <v>44839</v>
      </c>
      <c r="P7643" s="50">
        <v>382.86</v>
      </c>
    </row>
    <row r="7644" spans="4:16" x14ac:dyDescent="0.2">
      <c r="D7644">
        <v>100004549</v>
      </c>
      <c r="E7644" s="49">
        <v>45043</v>
      </c>
      <c r="F7644" t="s">
        <v>5884</v>
      </c>
      <c r="G7644" t="s">
        <v>2698</v>
      </c>
      <c r="H7644">
        <v>1</v>
      </c>
      <c r="I7644">
        <v>98.6</v>
      </c>
      <c r="J7644" s="50">
        <v>98.6</v>
      </c>
      <c r="K7644" t="s">
        <v>1632</v>
      </c>
      <c r="M7644" t="s">
        <v>1621</v>
      </c>
      <c r="N7644">
        <v>52.04</v>
      </c>
      <c r="O7644" s="49">
        <v>45048</v>
      </c>
      <c r="P7644" s="50">
        <v>44.37</v>
      </c>
    </row>
    <row r="7645" spans="4:16" x14ac:dyDescent="0.2">
      <c r="D7645">
        <v>100004550</v>
      </c>
      <c r="E7645" s="49">
        <v>45059</v>
      </c>
      <c r="F7645" t="s">
        <v>5885</v>
      </c>
      <c r="G7645" t="s">
        <v>2301</v>
      </c>
      <c r="H7645">
        <v>7</v>
      </c>
      <c r="I7645">
        <v>78.959999999999994</v>
      </c>
      <c r="J7645" s="50">
        <v>552.71999999999991</v>
      </c>
      <c r="K7645" t="s">
        <v>1632</v>
      </c>
      <c r="M7645" t="s">
        <v>1629</v>
      </c>
      <c r="N7645">
        <v>41.67</v>
      </c>
      <c r="O7645" s="49">
        <v>45063</v>
      </c>
      <c r="P7645" s="50">
        <v>248.72399999999996</v>
      </c>
    </row>
    <row r="7646" spans="4:16" x14ac:dyDescent="0.2">
      <c r="D7646">
        <v>100004551</v>
      </c>
      <c r="E7646" s="49">
        <v>45409</v>
      </c>
      <c r="F7646" t="s">
        <v>5886</v>
      </c>
      <c r="G7646" t="s">
        <v>2086</v>
      </c>
      <c r="H7646">
        <v>4</v>
      </c>
      <c r="I7646">
        <v>82.01</v>
      </c>
      <c r="J7646" s="50">
        <v>328.04</v>
      </c>
      <c r="K7646" t="s">
        <v>1618</v>
      </c>
      <c r="M7646" t="s">
        <v>1621</v>
      </c>
      <c r="N7646">
        <v>43.28</v>
      </c>
      <c r="O7646" s="49">
        <v>45410</v>
      </c>
      <c r="P7646" s="50">
        <v>147.61800000000002</v>
      </c>
    </row>
    <row r="7647" spans="4:16" x14ac:dyDescent="0.2">
      <c r="D7647">
        <v>100004552</v>
      </c>
      <c r="E7647" s="49">
        <v>45557</v>
      </c>
      <c r="F7647" t="s">
        <v>4916</v>
      </c>
      <c r="G7647" t="s">
        <v>2330</v>
      </c>
      <c r="H7647">
        <v>5</v>
      </c>
      <c r="I7647">
        <v>69.42</v>
      </c>
      <c r="J7647" s="50">
        <v>347.1</v>
      </c>
      <c r="K7647" t="s">
        <v>1632</v>
      </c>
      <c r="M7647" t="s">
        <v>1624</v>
      </c>
      <c r="N7647">
        <v>36.64</v>
      </c>
      <c r="O7647" s="49">
        <v>45562</v>
      </c>
      <c r="P7647" s="50">
        <v>156.19500000000002</v>
      </c>
    </row>
    <row r="7648" spans="4:16" x14ac:dyDescent="0.2">
      <c r="D7648">
        <v>100004552</v>
      </c>
      <c r="E7648" s="49">
        <v>45110</v>
      </c>
      <c r="F7648" t="s">
        <v>4916</v>
      </c>
      <c r="G7648" t="s">
        <v>2766</v>
      </c>
      <c r="H7648">
        <v>2</v>
      </c>
      <c r="I7648">
        <v>35.869999999999997</v>
      </c>
      <c r="J7648" s="50">
        <v>71.739999999999995</v>
      </c>
      <c r="K7648" t="s">
        <v>1632</v>
      </c>
      <c r="M7648" t="s">
        <v>1627</v>
      </c>
      <c r="N7648">
        <v>18.93</v>
      </c>
      <c r="O7648" s="49">
        <v>45115</v>
      </c>
      <c r="P7648" s="50">
        <v>32.283000000000001</v>
      </c>
    </row>
    <row r="7649" spans="4:16" x14ac:dyDescent="0.2">
      <c r="D7649">
        <v>100004556</v>
      </c>
      <c r="E7649" s="49">
        <v>44646</v>
      </c>
      <c r="F7649" t="s">
        <v>5887</v>
      </c>
      <c r="G7649" t="s">
        <v>2048</v>
      </c>
      <c r="H7649">
        <v>1</v>
      </c>
      <c r="I7649">
        <v>74.19</v>
      </c>
      <c r="J7649" s="50">
        <v>74.19</v>
      </c>
      <c r="K7649" t="s">
        <v>1618</v>
      </c>
      <c r="M7649" t="s">
        <v>1621</v>
      </c>
      <c r="N7649">
        <v>39.159999999999997</v>
      </c>
      <c r="O7649" s="49">
        <v>44651</v>
      </c>
      <c r="P7649" s="50">
        <v>33.3855</v>
      </c>
    </row>
    <row r="7650" spans="4:16" x14ac:dyDescent="0.2">
      <c r="D7650">
        <v>100004558</v>
      </c>
      <c r="E7650" s="49">
        <v>44322</v>
      </c>
      <c r="F7650" t="s">
        <v>5888</v>
      </c>
      <c r="G7650" t="s">
        <v>1777</v>
      </c>
      <c r="H7650">
        <v>7</v>
      </c>
      <c r="I7650">
        <v>103.3</v>
      </c>
      <c r="J7650" s="50">
        <v>723.1</v>
      </c>
      <c r="K7650" t="s">
        <v>1618</v>
      </c>
      <c r="M7650" t="s">
        <v>1629</v>
      </c>
      <c r="N7650">
        <v>54.52</v>
      </c>
      <c r="O7650" s="49">
        <v>44324</v>
      </c>
      <c r="P7650" s="50">
        <v>325.39500000000004</v>
      </c>
    </row>
    <row r="7651" spans="4:16" x14ac:dyDescent="0.2">
      <c r="D7651">
        <v>100004558</v>
      </c>
      <c r="E7651" s="49">
        <v>44604</v>
      </c>
      <c r="F7651" t="s">
        <v>5888</v>
      </c>
      <c r="G7651" t="s">
        <v>1950</v>
      </c>
      <c r="H7651">
        <v>8</v>
      </c>
      <c r="I7651">
        <v>49.19</v>
      </c>
      <c r="J7651" s="50">
        <v>393.52</v>
      </c>
      <c r="K7651" t="s">
        <v>1618</v>
      </c>
      <c r="M7651" t="s">
        <v>1619</v>
      </c>
      <c r="N7651">
        <v>25.96</v>
      </c>
      <c r="O7651" s="49">
        <v>44608</v>
      </c>
      <c r="P7651" s="50">
        <v>177.084</v>
      </c>
    </row>
    <row r="7652" spans="4:16" x14ac:dyDescent="0.2">
      <c r="D7652">
        <v>100004558</v>
      </c>
      <c r="E7652" s="49">
        <v>45641</v>
      </c>
      <c r="F7652" t="s">
        <v>5888</v>
      </c>
      <c r="G7652" t="s">
        <v>1945</v>
      </c>
      <c r="H7652">
        <v>2</v>
      </c>
      <c r="I7652">
        <v>45.6</v>
      </c>
      <c r="J7652" s="50">
        <v>91.2</v>
      </c>
      <c r="K7652" t="s">
        <v>1618</v>
      </c>
      <c r="M7652" t="s">
        <v>1621</v>
      </c>
      <c r="N7652">
        <v>24.07</v>
      </c>
      <c r="O7652" s="49">
        <v>45644</v>
      </c>
      <c r="P7652" s="50">
        <v>41.04</v>
      </c>
    </row>
    <row r="7653" spans="4:16" x14ac:dyDescent="0.2">
      <c r="D7653">
        <v>100004558</v>
      </c>
      <c r="E7653" s="49">
        <v>45156</v>
      </c>
      <c r="F7653" t="s">
        <v>5888</v>
      </c>
      <c r="G7653" t="s">
        <v>1671</v>
      </c>
      <c r="H7653">
        <v>1</v>
      </c>
      <c r="I7653">
        <v>90.1</v>
      </c>
      <c r="J7653" s="50">
        <v>90.1</v>
      </c>
      <c r="K7653" t="s">
        <v>1618</v>
      </c>
      <c r="M7653" t="s">
        <v>1621</v>
      </c>
      <c r="N7653">
        <v>47.55</v>
      </c>
      <c r="O7653" s="49">
        <v>45158</v>
      </c>
      <c r="P7653" s="50">
        <v>40.545000000000002</v>
      </c>
    </row>
    <row r="7654" spans="4:16" x14ac:dyDescent="0.2">
      <c r="D7654">
        <v>100004558</v>
      </c>
      <c r="E7654" s="49">
        <v>44410</v>
      </c>
      <c r="F7654" t="s">
        <v>5888</v>
      </c>
      <c r="G7654" t="s">
        <v>2418</v>
      </c>
      <c r="H7654">
        <v>3</v>
      </c>
      <c r="I7654">
        <v>79.62</v>
      </c>
      <c r="J7654" s="50">
        <v>238.86</v>
      </c>
      <c r="K7654" t="s">
        <v>1618</v>
      </c>
      <c r="M7654" t="s">
        <v>1621</v>
      </c>
      <c r="N7654">
        <v>42.02</v>
      </c>
      <c r="O7654" s="49">
        <v>44415</v>
      </c>
      <c r="P7654" s="50">
        <v>107.48700000000001</v>
      </c>
    </row>
    <row r="7655" spans="4:16" x14ac:dyDescent="0.2">
      <c r="D7655">
        <v>100004559</v>
      </c>
      <c r="E7655" s="49">
        <v>45125</v>
      </c>
      <c r="F7655" t="s">
        <v>5889</v>
      </c>
      <c r="G7655" t="s">
        <v>1717</v>
      </c>
      <c r="H7655">
        <v>2</v>
      </c>
      <c r="I7655">
        <v>114.48</v>
      </c>
      <c r="J7655" s="50">
        <v>228.96</v>
      </c>
      <c r="K7655" t="s">
        <v>1632</v>
      </c>
      <c r="M7655" t="s">
        <v>1627</v>
      </c>
      <c r="N7655">
        <v>60.42</v>
      </c>
      <c r="O7655" s="49">
        <v>45126</v>
      </c>
      <c r="P7655" s="50">
        <v>103.03200000000001</v>
      </c>
    </row>
    <row r="7656" spans="4:16" x14ac:dyDescent="0.2">
      <c r="D7656">
        <v>100004559</v>
      </c>
      <c r="E7656" s="49">
        <v>45235</v>
      </c>
      <c r="F7656" t="s">
        <v>5889</v>
      </c>
      <c r="G7656" t="s">
        <v>1701</v>
      </c>
      <c r="H7656">
        <v>7</v>
      </c>
      <c r="I7656">
        <v>87.67</v>
      </c>
      <c r="J7656" s="50">
        <v>613.69000000000005</v>
      </c>
      <c r="K7656" t="s">
        <v>1632</v>
      </c>
      <c r="M7656" t="s">
        <v>1621</v>
      </c>
      <c r="N7656">
        <v>46.27</v>
      </c>
      <c r="O7656" s="49">
        <v>45237</v>
      </c>
      <c r="P7656" s="50">
        <v>276.16050000000001</v>
      </c>
    </row>
    <row r="7657" spans="4:16" x14ac:dyDescent="0.2">
      <c r="D7657">
        <v>100004560</v>
      </c>
      <c r="E7657" s="49">
        <v>44667</v>
      </c>
      <c r="F7657" t="s">
        <v>5890</v>
      </c>
      <c r="G7657" t="s">
        <v>1812</v>
      </c>
      <c r="H7657">
        <v>4</v>
      </c>
      <c r="I7657">
        <v>56.32</v>
      </c>
      <c r="J7657" s="50">
        <v>225.28</v>
      </c>
      <c r="K7657" t="s">
        <v>1618</v>
      </c>
      <c r="L7657" t="s">
        <v>2870</v>
      </c>
      <c r="M7657" t="s">
        <v>1627</v>
      </c>
      <c r="N7657">
        <v>29.72</v>
      </c>
      <c r="O7657" s="49">
        <v>44668</v>
      </c>
      <c r="P7657" s="50">
        <v>101.376</v>
      </c>
    </row>
    <row r="7658" spans="4:16" x14ac:dyDescent="0.2">
      <c r="D7658">
        <v>100004560</v>
      </c>
      <c r="E7658" s="49">
        <v>44671</v>
      </c>
      <c r="F7658" t="s">
        <v>5890</v>
      </c>
      <c r="G7658" t="s">
        <v>1982</v>
      </c>
      <c r="H7658">
        <v>6</v>
      </c>
      <c r="I7658">
        <v>46.39</v>
      </c>
      <c r="J7658" s="50">
        <v>278.33999999999997</v>
      </c>
      <c r="K7658" t="s">
        <v>1618</v>
      </c>
      <c r="L7658" t="s">
        <v>2870</v>
      </c>
      <c r="M7658" t="s">
        <v>1629</v>
      </c>
      <c r="N7658">
        <v>24.48</v>
      </c>
      <c r="O7658" s="49">
        <v>44675</v>
      </c>
      <c r="P7658" s="50">
        <v>125.25299999999999</v>
      </c>
    </row>
    <row r="7659" spans="4:16" x14ac:dyDescent="0.2">
      <c r="D7659">
        <v>100004560</v>
      </c>
      <c r="E7659" s="49">
        <v>44784</v>
      </c>
      <c r="F7659" t="s">
        <v>5890</v>
      </c>
      <c r="G7659" t="s">
        <v>1783</v>
      </c>
      <c r="H7659">
        <v>7</v>
      </c>
      <c r="I7659">
        <v>31.47</v>
      </c>
      <c r="J7659" s="50">
        <v>220.29</v>
      </c>
      <c r="K7659" t="s">
        <v>1618</v>
      </c>
      <c r="L7659" t="s">
        <v>2870</v>
      </c>
      <c r="M7659" t="s">
        <v>1627</v>
      </c>
      <c r="N7659">
        <v>16.61</v>
      </c>
      <c r="O7659" s="49">
        <v>44788</v>
      </c>
      <c r="P7659" s="50">
        <v>99.130499999999998</v>
      </c>
    </row>
    <row r="7660" spans="4:16" x14ac:dyDescent="0.2">
      <c r="D7660">
        <v>100004560</v>
      </c>
      <c r="E7660" s="49">
        <v>45215</v>
      </c>
      <c r="F7660" t="s">
        <v>5890</v>
      </c>
      <c r="G7660" t="s">
        <v>1715</v>
      </c>
      <c r="H7660">
        <v>7</v>
      </c>
      <c r="I7660">
        <v>53.28</v>
      </c>
      <c r="J7660" s="50">
        <v>372.96</v>
      </c>
      <c r="K7660" t="s">
        <v>1618</v>
      </c>
      <c r="L7660" t="s">
        <v>2870</v>
      </c>
      <c r="M7660" t="s">
        <v>1629</v>
      </c>
      <c r="N7660">
        <v>28.12</v>
      </c>
      <c r="O7660" s="49">
        <v>45217</v>
      </c>
      <c r="P7660" s="50">
        <v>167.83199999999999</v>
      </c>
    </row>
    <row r="7661" spans="4:16" x14ac:dyDescent="0.2">
      <c r="D7661">
        <v>100004560</v>
      </c>
      <c r="E7661" s="49">
        <v>44501</v>
      </c>
      <c r="F7661" t="s">
        <v>5890</v>
      </c>
      <c r="G7661" t="s">
        <v>1752</v>
      </c>
      <c r="H7661">
        <v>4</v>
      </c>
      <c r="I7661">
        <v>66.05</v>
      </c>
      <c r="J7661" s="50">
        <v>264.2</v>
      </c>
      <c r="K7661" t="s">
        <v>1618</v>
      </c>
      <c r="L7661" t="s">
        <v>2870</v>
      </c>
      <c r="M7661" t="s">
        <v>1619</v>
      </c>
      <c r="N7661">
        <v>34.86</v>
      </c>
      <c r="O7661" s="49">
        <v>44506</v>
      </c>
      <c r="P7661" s="50">
        <v>118.89</v>
      </c>
    </row>
    <row r="7662" spans="4:16" x14ac:dyDescent="0.2">
      <c r="D7662">
        <v>100004560</v>
      </c>
      <c r="E7662" s="49">
        <v>44228</v>
      </c>
      <c r="F7662" t="s">
        <v>5890</v>
      </c>
      <c r="G7662" t="s">
        <v>2076</v>
      </c>
      <c r="H7662">
        <v>2</v>
      </c>
      <c r="I7662">
        <v>111.13</v>
      </c>
      <c r="J7662" s="50">
        <v>222.26</v>
      </c>
      <c r="K7662" t="s">
        <v>1618</v>
      </c>
      <c r="L7662" t="s">
        <v>2870</v>
      </c>
      <c r="M7662" t="s">
        <v>1621</v>
      </c>
      <c r="N7662">
        <v>58.65</v>
      </c>
      <c r="O7662" s="49">
        <v>44229</v>
      </c>
      <c r="P7662" s="50">
        <v>100.017</v>
      </c>
    </row>
    <row r="7663" spans="4:16" x14ac:dyDescent="0.2">
      <c r="D7663">
        <v>100004561</v>
      </c>
      <c r="E7663" s="49">
        <v>44755</v>
      </c>
      <c r="F7663" t="s">
        <v>4117</v>
      </c>
      <c r="G7663" t="s">
        <v>1672</v>
      </c>
      <c r="H7663">
        <v>1</v>
      </c>
      <c r="I7663">
        <v>88.87</v>
      </c>
      <c r="J7663" s="50">
        <v>88.87</v>
      </c>
      <c r="K7663" t="s">
        <v>1632</v>
      </c>
      <c r="M7663" t="s">
        <v>1629</v>
      </c>
      <c r="N7663">
        <v>46.9</v>
      </c>
      <c r="O7663" s="49">
        <v>44756</v>
      </c>
      <c r="P7663" s="50">
        <v>39.991500000000002</v>
      </c>
    </row>
    <row r="7664" spans="4:16" x14ac:dyDescent="0.2">
      <c r="D7664">
        <v>100004561</v>
      </c>
      <c r="E7664" s="49">
        <v>45345</v>
      </c>
      <c r="F7664" t="s">
        <v>4117</v>
      </c>
      <c r="G7664" t="s">
        <v>1637</v>
      </c>
      <c r="H7664">
        <v>7</v>
      </c>
      <c r="I7664">
        <v>81.27</v>
      </c>
      <c r="J7664" s="50">
        <v>568.89</v>
      </c>
      <c r="K7664" t="s">
        <v>1632</v>
      </c>
      <c r="M7664" t="s">
        <v>1621</v>
      </c>
      <c r="N7664">
        <v>42.89</v>
      </c>
      <c r="O7664" s="49">
        <v>45346</v>
      </c>
      <c r="P7664" s="50">
        <v>256.00049999999999</v>
      </c>
    </row>
    <row r="7665" spans="4:16" x14ac:dyDescent="0.2">
      <c r="D7665">
        <v>100004561</v>
      </c>
      <c r="E7665" s="49">
        <v>45170</v>
      </c>
      <c r="F7665" t="s">
        <v>4117</v>
      </c>
      <c r="G7665" t="s">
        <v>3075</v>
      </c>
      <c r="H7665">
        <v>8</v>
      </c>
      <c r="I7665">
        <v>10.93</v>
      </c>
      <c r="J7665" s="50">
        <v>87.44</v>
      </c>
      <c r="K7665" t="s">
        <v>1632</v>
      </c>
      <c r="M7665" t="s">
        <v>1629</v>
      </c>
      <c r="N7665">
        <v>5.77</v>
      </c>
      <c r="O7665" s="49">
        <v>45175</v>
      </c>
      <c r="P7665" s="50">
        <v>39.347999999999999</v>
      </c>
    </row>
    <row r="7666" spans="4:16" x14ac:dyDescent="0.2">
      <c r="D7666">
        <v>100004561</v>
      </c>
      <c r="E7666" s="49">
        <v>45382</v>
      </c>
      <c r="F7666" t="s">
        <v>4117</v>
      </c>
      <c r="G7666" t="s">
        <v>2658</v>
      </c>
      <c r="H7666">
        <v>2</v>
      </c>
      <c r="I7666">
        <v>112.92</v>
      </c>
      <c r="J7666" s="50">
        <v>225.84</v>
      </c>
      <c r="K7666" t="s">
        <v>1632</v>
      </c>
      <c r="M7666" t="s">
        <v>1621</v>
      </c>
      <c r="N7666">
        <v>59.6</v>
      </c>
      <c r="O7666" s="49">
        <v>45386</v>
      </c>
      <c r="P7666" s="50">
        <v>101.628</v>
      </c>
    </row>
    <row r="7667" spans="4:16" x14ac:dyDescent="0.2">
      <c r="D7667">
        <v>100004562</v>
      </c>
      <c r="E7667" s="49">
        <v>44981</v>
      </c>
      <c r="F7667" t="s">
        <v>5891</v>
      </c>
      <c r="G7667" t="s">
        <v>1717</v>
      </c>
      <c r="H7667">
        <v>2</v>
      </c>
      <c r="I7667">
        <v>33.68</v>
      </c>
      <c r="J7667" s="50">
        <v>67.36</v>
      </c>
      <c r="K7667" t="s">
        <v>1618</v>
      </c>
      <c r="M7667" t="s">
        <v>1629</v>
      </c>
      <c r="N7667">
        <v>17.78</v>
      </c>
      <c r="O7667" s="49">
        <v>44986</v>
      </c>
      <c r="P7667" s="50">
        <v>30.312000000000001</v>
      </c>
    </row>
    <row r="7668" spans="4:16" x14ac:dyDescent="0.2">
      <c r="D7668">
        <v>100004562</v>
      </c>
      <c r="E7668" s="49">
        <v>45112</v>
      </c>
      <c r="F7668" t="s">
        <v>5891</v>
      </c>
      <c r="G7668" t="s">
        <v>1901</v>
      </c>
      <c r="H7668">
        <v>4</v>
      </c>
      <c r="I7668">
        <v>105.77</v>
      </c>
      <c r="J7668" s="50">
        <v>423.08</v>
      </c>
      <c r="K7668" t="s">
        <v>1618</v>
      </c>
      <c r="M7668" t="s">
        <v>1627</v>
      </c>
      <c r="N7668">
        <v>55.82</v>
      </c>
      <c r="O7668" s="49">
        <v>45115</v>
      </c>
      <c r="P7668" s="50">
        <v>190.386</v>
      </c>
    </row>
    <row r="7669" spans="4:16" x14ac:dyDescent="0.2">
      <c r="D7669">
        <v>100004562</v>
      </c>
      <c r="E7669" s="49">
        <v>45244</v>
      </c>
      <c r="F7669" t="s">
        <v>5891</v>
      </c>
      <c r="G7669" t="s">
        <v>2733</v>
      </c>
      <c r="H7669">
        <v>10</v>
      </c>
      <c r="I7669">
        <v>102.04</v>
      </c>
      <c r="J7669" s="50">
        <v>1020.4</v>
      </c>
      <c r="K7669" t="s">
        <v>1618</v>
      </c>
      <c r="M7669" t="s">
        <v>1627</v>
      </c>
      <c r="N7669">
        <v>53.85</v>
      </c>
      <c r="O7669" s="49">
        <v>45249</v>
      </c>
      <c r="P7669" s="50">
        <v>459.18</v>
      </c>
    </row>
    <row r="7670" spans="4:16" x14ac:dyDescent="0.2">
      <c r="D7670">
        <v>100004563</v>
      </c>
      <c r="E7670" s="49">
        <v>45248</v>
      </c>
      <c r="F7670" t="s">
        <v>5892</v>
      </c>
      <c r="G7670" t="s">
        <v>2090</v>
      </c>
      <c r="H7670">
        <v>7</v>
      </c>
      <c r="I7670">
        <v>58.91</v>
      </c>
      <c r="J7670" s="50">
        <v>412.37</v>
      </c>
      <c r="K7670" t="s">
        <v>1618</v>
      </c>
      <c r="M7670" t="s">
        <v>1621</v>
      </c>
      <c r="N7670">
        <v>31.09</v>
      </c>
      <c r="O7670" s="49">
        <v>45252</v>
      </c>
      <c r="P7670" s="50">
        <v>185.56650000000002</v>
      </c>
    </row>
    <row r="7671" spans="4:16" x14ac:dyDescent="0.2">
      <c r="D7671">
        <v>100004564</v>
      </c>
      <c r="E7671" s="49">
        <v>45556</v>
      </c>
      <c r="F7671" t="s">
        <v>5893</v>
      </c>
      <c r="G7671" t="s">
        <v>2005</v>
      </c>
      <c r="H7671">
        <v>2</v>
      </c>
      <c r="I7671">
        <v>70.12</v>
      </c>
      <c r="J7671" s="50">
        <v>140.24</v>
      </c>
      <c r="K7671" t="s">
        <v>1632</v>
      </c>
      <c r="M7671" t="s">
        <v>1627</v>
      </c>
      <c r="N7671">
        <v>37.01</v>
      </c>
      <c r="O7671" s="49">
        <v>45561</v>
      </c>
      <c r="P7671" s="50">
        <v>63.108000000000004</v>
      </c>
    </row>
    <row r="7672" spans="4:16" x14ac:dyDescent="0.2">
      <c r="D7672">
        <v>100004564</v>
      </c>
      <c r="E7672" s="49">
        <v>45423</v>
      </c>
      <c r="F7672" t="s">
        <v>5893</v>
      </c>
      <c r="G7672" t="s">
        <v>1947</v>
      </c>
      <c r="H7672">
        <v>10</v>
      </c>
      <c r="I7672">
        <v>21.85</v>
      </c>
      <c r="J7672" s="50">
        <v>218.5</v>
      </c>
      <c r="K7672" t="s">
        <v>1632</v>
      </c>
      <c r="M7672" t="s">
        <v>1627</v>
      </c>
      <c r="N7672">
        <v>11.53</v>
      </c>
      <c r="O7672" s="49">
        <v>45425</v>
      </c>
      <c r="P7672" s="50">
        <v>98.325000000000003</v>
      </c>
    </row>
    <row r="7673" spans="4:16" x14ac:dyDescent="0.2">
      <c r="D7673">
        <v>100004565</v>
      </c>
      <c r="E7673" s="49">
        <v>44901</v>
      </c>
      <c r="F7673" t="s">
        <v>5894</v>
      </c>
      <c r="G7673" t="s">
        <v>2068</v>
      </c>
      <c r="H7673">
        <v>8</v>
      </c>
      <c r="I7673">
        <v>35.229999999999997</v>
      </c>
      <c r="J7673" s="50">
        <v>281.83999999999997</v>
      </c>
      <c r="K7673" t="s">
        <v>1632</v>
      </c>
      <c r="L7673" t="s">
        <v>2653</v>
      </c>
      <c r="M7673" t="s">
        <v>1619</v>
      </c>
      <c r="N7673">
        <v>18.59</v>
      </c>
      <c r="O7673" s="49">
        <v>44905</v>
      </c>
      <c r="P7673" s="50">
        <v>126.82799999999999</v>
      </c>
    </row>
    <row r="7674" spans="4:16" x14ac:dyDescent="0.2">
      <c r="D7674">
        <v>100004565</v>
      </c>
      <c r="E7674" s="49">
        <v>44859</v>
      </c>
      <c r="F7674" t="s">
        <v>5894</v>
      </c>
      <c r="G7674" t="s">
        <v>1895</v>
      </c>
      <c r="H7674">
        <v>5</v>
      </c>
      <c r="I7674">
        <v>72.36</v>
      </c>
      <c r="J7674" s="50">
        <v>361.8</v>
      </c>
      <c r="K7674" t="s">
        <v>1632</v>
      </c>
      <c r="L7674" t="s">
        <v>2653</v>
      </c>
      <c r="M7674" t="s">
        <v>1629</v>
      </c>
      <c r="N7674">
        <v>38.19</v>
      </c>
      <c r="O7674" s="49">
        <v>44863</v>
      </c>
      <c r="P7674" s="50">
        <v>162.81</v>
      </c>
    </row>
    <row r="7675" spans="4:16" x14ac:dyDescent="0.2">
      <c r="D7675">
        <v>100004565</v>
      </c>
      <c r="E7675" s="49">
        <v>44800</v>
      </c>
      <c r="F7675" t="s">
        <v>5894</v>
      </c>
      <c r="G7675" t="s">
        <v>1941</v>
      </c>
      <c r="H7675">
        <v>1</v>
      </c>
      <c r="I7675">
        <v>36.94</v>
      </c>
      <c r="J7675" s="50">
        <v>36.94</v>
      </c>
      <c r="K7675" t="s">
        <v>1632</v>
      </c>
      <c r="L7675" t="s">
        <v>2653</v>
      </c>
      <c r="M7675" t="s">
        <v>1627</v>
      </c>
      <c r="N7675">
        <v>19.5</v>
      </c>
      <c r="O7675" s="49">
        <v>44803</v>
      </c>
      <c r="P7675" s="50">
        <v>16.623000000000001</v>
      </c>
    </row>
    <row r="7676" spans="4:16" x14ac:dyDescent="0.2">
      <c r="D7676">
        <v>100004566</v>
      </c>
      <c r="E7676" s="49">
        <v>44253</v>
      </c>
      <c r="F7676" t="s">
        <v>5895</v>
      </c>
      <c r="G7676" t="s">
        <v>2042</v>
      </c>
      <c r="H7676">
        <v>6</v>
      </c>
      <c r="I7676">
        <v>24.28</v>
      </c>
      <c r="J7676" s="50">
        <v>145.68</v>
      </c>
      <c r="K7676" t="s">
        <v>1618</v>
      </c>
      <c r="L7676" t="s">
        <v>5896</v>
      </c>
      <c r="M7676" t="s">
        <v>1629</v>
      </c>
      <c r="N7676">
        <v>12.81</v>
      </c>
      <c r="O7676" s="49">
        <v>44254</v>
      </c>
      <c r="P7676" s="50">
        <v>65.556000000000012</v>
      </c>
    </row>
    <row r="7677" spans="4:16" x14ac:dyDescent="0.2">
      <c r="D7677">
        <v>100004567</v>
      </c>
      <c r="E7677" s="49">
        <v>44828</v>
      </c>
      <c r="F7677" t="s">
        <v>5897</v>
      </c>
      <c r="G7677" t="s">
        <v>1623</v>
      </c>
      <c r="H7677">
        <v>1</v>
      </c>
      <c r="I7677">
        <v>44.28</v>
      </c>
      <c r="J7677" s="50">
        <v>44.28</v>
      </c>
      <c r="K7677" t="s">
        <v>1632</v>
      </c>
      <c r="M7677" t="s">
        <v>1627</v>
      </c>
      <c r="N7677">
        <v>23.37</v>
      </c>
      <c r="O7677" s="49">
        <v>44831</v>
      </c>
      <c r="P7677" s="50">
        <v>19.926000000000002</v>
      </c>
    </row>
    <row r="7678" spans="4:16" x14ac:dyDescent="0.2">
      <c r="D7678">
        <v>100004569</v>
      </c>
      <c r="E7678" s="49">
        <v>44521</v>
      </c>
      <c r="F7678" t="s">
        <v>5898</v>
      </c>
      <c r="G7678" t="s">
        <v>1792</v>
      </c>
      <c r="H7678">
        <v>5</v>
      </c>
      <c r="I7678">
        <v>49.07</v>
      </c>
      <c r="J7678" s="50">
        <v>245.35</v>
      </c>
      <c r="K7678" t="s">
        <v>1632</v>
      </c>
      <c r="M7678" t="s">
        <v>1624</v>
      </c>
      <c r="N7678">
        <v>25.9</v>
      </c>
      <c r="O7678" s="49">
        <v>44526</v>
      </c>
      <c r="P7678" s="50">
        <v>110.4075</v>
      </c>
    </row>
    <row r="7679" spans="4:16" x14ac:dyDescent="0.2">
      <c r="D7679">
        <v>100004570</v>
      </c>
      <c r="E7679" s="49">
        <v>45565</v>
      </c>
      <c r="F7679" t="s">
        <v>5899</v>
      </c>
      <c r="G7679" t="s">
        <v>2372</v>
      </c>
      <c r="H7679">
        <v>6</v>
      </c>
      <c r="I7679">
        <v>105.68</v>
      </c>
      <c r="J7679" s="50">
        <v>634.08000000000004</v>
      </c>
      <c r="K7679" t="s">
        <v>1618</v>
      </c>
      <c r="L7679" t="s">
        <v>3731</v>
      </c>
      <c r="M7679" t="s">
        <v>1619</v>
      </c>
      <c r="N7679">
        <v>55.78</v>
      </c>
      <c r="O7679" s="49">
        <v>45567</v>
      </c>
      <c r="P7679" s="50">
        <v>285.33600000000001</v>
      </c>
    </row>
    <row r="7680" spans="4:16" x14ac:dyDescent="0.2">
      <c r="D7680">
        <v>100004570</v>
      </c>
      <c r="E7680" s="49">
        <v>44492</v>
      </c>
      <c r="F7680" t="s">
        <v>5899</v>
      </c>
      <c r="G7680" t="s">
        <v>1808</v>
      </c>
      <c r="H7680">
        <v>10</v>
      </c>
      <c r="I7680">
        <v>37.15</v>
      </c>
      <c r="J7680" s="50">
        <v>371.5</v>
      </c>
      <c r="K7680" t="s">
        <v>1618</v>
      </c>
      <c r="L7680" t="s">
        <v>3731</v>
      </c>
      <c r="M7680" t="s">
        <v>1629</v>
      </c>
      <c r="N7680">
        <v>19.61</v>
      </c>
      <c r="O7680" s="49">
        <v>44494</v>
      </c>
      <c r="P7680" s="50">
        <v>167.17500000000001</v>
      </c>
    </row>
    <row r="7681" spans="4:16" x14ac:dyDescent="0.2">
      <c r="D7681">
        <v>100004570</v>
      </c>
      <c r="E7681" s="49">
        <v>44731</v>
      </c>
      <c r="F7681" t="s">
        <v>5899</v>
      </c>
      <c r="G7681" t="s">
        <v>2078</v>
      </c>
      <c r="H7681">
        <v>10</v>
      </c>
      <c r="I7681">
        <v>12.23</v>
      </c>
      <c r="J7681" s="50">
        <v>122.3</v>
      </c>
      <c r="K7681" t="s">
        <v>1618</v>
      </c>
      <c r="L7681" t="s">
        <v>3731</v>
      </c>
      <c r="M7681" t="s">
        <v>1627</v>
      </c>
      <c r="N7681">
        <v>6.45</v>
      </c>
      <c r="O7681" s="49">
        <v>44734</v>
      </c>
      <c r="P7681" s="50">
        <v>55.034999999999997</v>
      </c>
    </row>
    <row r="7682" spans="4:16" x14ac:dyDescent="0.2">
      <c r="D7682">
        <v>100004571</v>
      </c>
      <c r="E7682" s="49">
        <v>44489</v>
      </c>
      <c r="F7682" t="s">
        <v>5900</v>
      </c>
      <c r="G7682" t="s">
        <v>1985</v>
      </c>
      <c r="H7682">
        <v>3</v>
      </c>
      <c r="I7682">
        <v>56.86</v>
      </c>
      <c r="J7682" s="50">
        <v>170.58</v>
      </c>
      <c r="K7682" t="s">
        <v>1632</v>
      </c>
      <c r="M7682" t="s">
        <v>1629</v>
      </c>
      <c r="N7682">
        <v>30.01</v>
      </c>
      <c r="O7682" s="49">
        <v>44493</v>
      </c>
      <c r="P7682" s="50">
        <v>76.76100000000001</v>
      </c>
    </row>
    <row r="7683" spans="4:16" x14ac:dyDescent="0.2">
      <c r="D7683">
        <v>100004571</v>
      </c>
      <c r="E7683" s="49">
        <v>45115</v>
      </c>
      <c r="F7683" t="s">
        <v>5900</v>
      </c>
      <c r="G7683" t="s">
        <v>1722</v>
      </c>
      <c r="H7683">
        <v>7</v>
      </c>
      <c r="I7683">
        <v>23.37</v>
      </c>
      <c r="J7683" s="50">
        <v>163.59</v>
      </c>
      <c r="K7683" t="s">
        <v>1632</v>
      </c>
      <c r="M7683" t="s">
        <v>1619</v>
      </c>
      <c r="N7683">
        <v>12.33</v>
      </c>
      <c r="O7683" s="49">
        <v>45119</v>
      </c>
      <c r="P7683" s="50">
        <v>73.615499999999997</v>
      </c>
    </row>
    <row r="7684" spans="4:16" x14ac:dyDescent="0.2">
      <c r="D7684">
        <v>100004572</v>
      </c>
      <c r="E7684" s="49">
        <v>44269</v>
      </c>
      <c r="F7684" t="s">
        <v>5901</v>
      </c>
      <c r="G7684" t="s">
        <v>2180</v>
      </c>
      <c r="H7684">
        <v>4</v>
      </c>
      <c r="I7684">
        <v>24.02</v>
      </c>
      <c r="J7684" s="50">
        <v>96.08</v>
      </c>
      <c r="K7684" t="s">
        <v>1632</v>
      </c>
      <c r="L7684" t="s">
        <v>5902</v>
      </c>
      <c r="M7684" t="s">
        <v>1627</v>
      </c>
      <c r="N7684">
        <v>12.68</v>
      </c>
      <c r="O7684" s="49">
        <v>44274</v>
      </c>
      <c r="P7684" s="50">
        <v>43.235999999999997</v>
      </c>
    </row>
    <row r="7685" spans="4:16" x14ac:dyDescent="0.2">
      <c r="D7685">
        <v>100004573</v>
      </c>
      <c r="E7685" s="49">
        <v>44535</v>
      </c>
      <c r="F7685" t="s">
        <v>5903</v>
      </c>
      <c r="G7685" t="s">
        <v>2078</v>
      </c>
      <c r="H7685">
        <v>3</v>
      </c>
      <c r="I7685">
        <v>37.409999999999997</v>
      </c>
      <c r="J7685" s="50">
        <v>112.23</v>
      </c>
      <c r="K7685" t="s">
        <v>1618</v>
      </c>
      <c r="M7685" t="s">
        <v>1629</v>
      </c>
      <c r="N7685">
        <v>19.739999999999998</v>
      </c>
      <c r="O7685" s="49">
        <v>44537</v>
      </c>
      <c r="P7685" s="50">
        <v>50.503500000000003</v>
      </c>
    </row>
    <row r="7686" spans="4:16" x14ac:dyDescent="0.2">
      <c r="D7686">
        <v>100004573</v>
      </c>
      <c r="E7686" s="49">
        <v>44610</v>
      </c>
      <c r="F7686" t="s">
        <v>5903</v>
      </c>
      <c r="G7686" t="s">
        <v>1868</v>
      </c>
      <c r="H7686">
        <v>7</v>
      </c>
      <c r="I7686">
        <v>115.28</v>
      </c>
      <c r="J7686" s="50">
        <v>806.96</v>
      </c>
      <c r="K7686" t="s">
        <v>1618</v>
      </c>
      <c r="M7686" t="s">
        <v>1627</v>
      </c>
      <c r="N7686">
        <v>60.84</v>
      </c>
      <c r="O7686" s="49">
        <v>44614</v>
      </c>
      <c r="P7686" s="50">
        <v>363.13200000000001</v>
      </c>
    </row>
    <row r="7687" spans="4:16" x14ac:dyDescent="0.2">
      <c r="D7687">
        <v>100004573</v>
      </c>
      <c r="E7687" s="49">
        <v>44620</v>
      </c>
      <c r="F7687" t="s">
        <v>5903</v>
      </c>
      <c r="G7687" t="s">
        <v>1932</v>
      </c>
      <c r="H7687">
        <v>1</v>
      </c>
      <c r="I7687">
        <v>67.84</v>
      </c>
      <c r="J7687" s="50">
        <v>67.84</v>
      </c>
      <c r="K7687" t="s">
        <v>1618</v>
      </c>
      <c r="M7687" t="s">
        <v>1627</v>
      </c>
      <c r="N7687">
        <v>35.799999999999997</v>
      </c>
      <c r="O7687" s="49">
        <v>44625</v>
      </c>
      <c r="P7687" s="50">
        <v>30.528000000000002</v>
      </c>
    </row>
    <row r="7688" spans="4:16" x14ac:dyDescent="0.2">
      <c r="D7688">
        <v>100004573</v>
      </c>
      <c r="E7688" s="49">
        <v>45469</v>
      </c>
      <c r="F7688" t="s">
        <v>5903</v>
      </c>
      <c r="G7688" t="s">
        <v>1702</v>
      </c>
      <c r="H7688">
        <v>10</v>
      </c>
      <c r="I7688">
        <v>65.92</v>
      </c>
      <c r="J7688" s="50">
        <v>659.2</v>
      </c>
      <c r="K7688" t="s">
        <v>1618</v>
      </c>
      <c r="M7688" t="s">
        <v>1629</v>
      </c>
      <c r="N7688">
        <v>34.79</v>
      </c>
      <c r="O7688" s="49">
        <v>45472</v>
      </c>
      <c r="P7688" s="50">
        <v>296.64000000000004</v>
      </c>
    </row>
    <row r="7689" spans="4:16" x14ac:dyDescent="0.2">
      <c r="D7689">
        <v>100004574</v>
      </c>
      <c r="E7689" s="49">
        <v>45550</v>
      </c>
      <c r="F7689" t="s">
        <v>5904</v>
      </c>
      <c r="G7689" t="s">
        <v>2151</v>
      </c>
      <c r="H7689">
        <v>5</v>
      </c>
      <c r="I7689">
        <v>95.67</v>
      </c>
      <c r="J7689" s="50">
        <v>478.35</v>
      </c>
      <c r="K7689" t="s">
        <v>1632</v>
      </c>
      <c r="L7689" t="s">
        <v>2944</v>
      </c>
      <c r="M7689" t="s">
        <v>1621</v>
      </c>
      <c r="N7689">
        <v>50.49</v>
      </c>
      <c r="O7689" s="49">
        <v>45551</v>
      </c>
      <c r="P7689" s="50">
        <v>215.25750000000002</v>
      </c>
    </row>
    <row r="7690" spans="4:16" x14ac:dyDescent="0.2">
      <c r="D7690">
        <v>100004574</v>
      </c>
      <c r="E7690" s="49">
        <v>45205</v>
      </c>
      <c r="F7690" t="s">
        <v>5904</v>
      </c>
      <c r="G7690" t="s">
        <v>1707</v>
      </c>
      <c r="H7690">
        <v>4</v>
      </c>
      <c r="I7690">
        <v>98.14</v>
      </c>
      <c r="J7690" s="50">
        <v>392.56</v>
      </c>
      <c r="K7690" t="s">
        <v>1632</v>
      </c>
      <c r="L7690" t="s">
        <v>2944</v>
      </c>
      <c r="M7690" t="s">
        <v>1627</v>
      </c>
      <c r="N7690">
        <v>51.8</v>
      </c>
      <c r="O7690" s="49">
        <v>45209</v>
      </c>
      <c r="P7690" s="50">
        <v>176.65200000000002</v>
      </c>
    </row>
    <row r="7691" spans="4:16" x14ac:dyDescent="0.2">
      <c r="D7691">
        <v>100004575</v>
      </c>
      <c r="E7691" s="49">
        <v>44614</v>
      </c>
      <c r="F7691" t="s">
        <v>5905</v>
      </c>
      <c r="G7691" t="s">
        <v>2003</v>
      </c>
      <c r="H7691">
        <v>1</v>
      </c>
      <c r="I7691">
        <v>51.91</v>
      </c>
      <c r="J7691" s="50">
        <v>51.91</v>
      </c>
      <c r="K7691" t="s">
        <v>1632</v>
      </c>
      <c r="M7691" t="s">
        <v>1619</v>
      </c>
      <c r="N7691">
        <v>27.4</v>
      </c>
      <c r="O7691" s="49">
        <v>44617</v>
      </c>
      <c r="P7691" s="50">
        <v>23.359500000000001</v>
      </c>
    </row>
    <row r="7692" spans="4:16" x14ac:dyDescent="0.2">
      <c r="D7692">
        <v>100004575</v>
      </c>
      <c r="E7692" s="49">
        <v>45431</v>
      </c>
      <c r="F7692" t="s">
        <v>5905</v>
      </c>
      <c r="G7692" t="s">
        <v>1751</v>
      </c>
      <c r="H7692">
        <v>5</v>
      </c>
      <c r="I7692">
        <v>61.79</v>
      </c>
      <c r="J7692" s="50">
        <v>308.95</v>
      </c>
      <c r="K7692" t="s">
        <v>1632</v>
      </c>
      <c r="M7692" t="s">
        <v>1629</v>
      </c>
      <c r="N7692">
        <v>32.61</v>
      </c>
      <c r="O7692" s="49">
        <v>45435</v>
      </c>
      <c r="P7692" s="50">
        <v>139.0275</v>
      </c>
    </row>
    <row r="7693" spans="4:16" x14ac:dyDescent="0.2">
      <c r="D7693">
        <v>100004575</v>
      </c>
      <c r="E7693" s="49">
        <v>45178</v>
      </c>
      <c r="F7693" t="s">
        <v>5905</v>
      </c>
      <c r="G7693" t="s">
        <v>1916</v>
      </c>
      <c r="H7693">
        <v>3</v>
      </c>
      <c r="I7693">
        <v>41.13</v>
      </c>
      <c r="J7693" s="50">
        <v>123.39</v>
      </c>
      <c r="K7693" t="s">
        <v>1632</v>
      </c>
      <c r="M7693" t="s">
        <v>1627</v>
      </c>
      <c r="N7693">
        <v>21.71</v>
      </c>
      <c r="O7693" s="49">
        <v>45180</v>
      </c>
      <c r="P7693" s="50">
        <v>55.525500000000001</v>
      </c>
    </row>
    <row r="7694" spans="4:16" x14ac:dyDescent="0.2">
      <c r="D7694">
        <v>100004575</v>
      </c>
      <c r="E7694" s="49">
        <v>44569</v>
      </c>
      <c r="F7694" t="s">
        <v>5905</v>
      </c>
      <c r="G7694" t="s">
        <v>1715</v>
      </c>
      <c r="H7694">
        <v>6</v>
      </c>
      <c r="I7694">
        <v>86.53</v>
      </c>
      <c r="J7694" s="50">
        <v>519.18000000000006</v>
      </c>
      <c r="K7694" t="s">
        <v>1632</v>
      </c>
      <c r="M7694" t="s">
        <v>1627</v>
      </c>
      <c r="N7694">
        <v>45.67</v>
      </c>
      <c r="O7694" s="49">
        <v>44570</v>
      </c>
      <c r="P7694" s="50">
        <v>233.63100000000003</v>
      </c>
    </row>
    <row r="7695" spans="4:16" x14ac:dyDescent="0.2">
      <c r="D7695">
        <v>100004575</v>
      </c>
      <c r="E7695" s="49">
        <v>44694</v>
      </c>
      <c r="F7695" t="s">
        <v>5905</v>
      </c>
      <c r="G7695" t="s">
        <v>1781</v>
      </c>
      <c r="H7695">
        <v>7</v>
      </c>
      <c r="I7695">
        <v>115.37</v>
      </c>
      <c r="J7695" s="50">
        <v>807.59</v>
      </c>
      <c r="K7695" t="s">
        <v>1632</v>
      </c>
      <c r="M7695" t="s">
        <v>1627</v>
      </c>
      <c r="N7695">
        <v>60.89</v>
      </c>
      <c r="O7695" s="49">
        <v>44695</v>
      </c>
      <c r="P7695" s="50">
        <v>363.41550000000001</v>
      </c>
    </row>
    <row r="7696" spans="4:16" x14ac:dyDescent="0.2">
      <c r="D7696">
        <v>100004575</v>
      </c>
      <c r="E7696" s="49">
        <v>45470</v>
      </c>
      <c r="F7696" t="s">
        <v>5905</v>
      </c>
      <c r="G7696" t="s">
        <v>1953</v>
      </c>
      <c r="H7696">
        <v>10</v>
      </c>
      <c r="I7696">
        <v>55.74</v>
      </c>
      <c r="J7696" s="50">
        <v>557.4</v>
      </c>
      <c r="K7696" t="s">
        <v>1632</v>
      </c>
      <c r="M7696" t="s">
        <v>1624</v>
      </c>
      <c r="N7696">
        <v>29.42</v>
      </c>
      <c r="O7696" s="49">
        <v>45471</v>
      </c>
      <c r="P7696" s="50">
        <v>250.82999999999998</v>
      </c>
    </row>
    <row r="7697" spans="4:16" x14ac:dyDescent="0.2">
      <c r="D7697">
        <v>100004578</v>
      </c>
      <c r="E7697" s="49">
        <v>44553</v>
      </c>
      <c r="F7697" t="s">
        <v>5906</v>
      </c>
      <c r="G7697" t="s">
        <v>2098</v>
      </c>
      <c r="H7697">
        <v>4</v>
      </c>
      <c r="I7697">
        <v>68.48</v>
      </c>
      <c r="J7697" s="50">
        <v>273.92</v>
      </c>
      <c r="K7697" t="s">
        <v>1618</v>
      </c>
      <c r="M7697" t="s">
        <v>1619</v>
      </c>
      <c r="N7697">
        <v>36.14</v>
      </c>
      <c r="O7697" s="49">
        <v>44557</v>
      </c>
      <c r="P7697" s="50">
        <v>123.26400000000001</v>
      </c>
    </row>
    <row r="7698" spans="4:16" x14ac:dyDescent="0.2">
      <c r="D7698">
        <v>100004580</v>
      </c>
      <c r="E7698" s="49">
        <v>44742</v>
      </c>
      <c r="F7698" t="s">
        <v>5907</v>
      </c>
      <c r="G7698" t="s">
        <v>1823</v>
      </c>
      <c r="H7698">
        <v>3</v>
      </c>
      <c r="I7698">
        <v>13.42</v>
      </c>
      <c r="J7698" s="50">
        <v>40.26</v>
      </c>
      <c r="K7698" t="s">
        <v>1632</v>
      </c>
      <c r="M7698" t="s">
        <v>1629</v>
      </c>
      <c r="N7698">
        <v>7.08</v>
      </c>
      <c r="O7698" s="49">
        <v>44744</v>
      </c>
      <c r="P7698" s="50">
        <v>18.117000000000001</v>
      </c>
    </row>
    <row r="7699" spans="4:16" x14ac:dyDescent="0.2">
      <c r="D7699">
        <v>100004580</v>
      </c>
      <c r="E7699" s="49">
        <v>44923</v>
      </c>
      <c r="F7699" t="s">
        <v>5907</v>
      </c>
      <c r="G7699" t="s">
        <v>1955</v>
      </c>
      <c r="H7699">
        <v>2</v>
      </c>
      <c r="I7699">
        <v>48.72</v>
      </c>
      <c r="J7699" s="50">
        <v>97.44</v>
      </c>
      <c r="K7699" t="s">
        <v>1632</v>
      </c>
      <c r="M7699" t="s">
        <v>1621</v>
      </c>
      <c r="N7699">
        <v>25.71</v>
      </c>
      <c r="O7699" s="49">
        <v>44927</v>
      </c>
      <c r="P7699" s="50">
        <v>43.847999999999999</v>
      </c>
    </row>
    <row r="7700" spans="4:16" x14ac:dyDescent="0.2">
      <c r="D7700">
        <v>100004580</v>
      </c>
      <c r="E7700" s="49">
        <v>44280</v>
      </c>
      <c r="F7700" t="s">
        <v>5907</v>
      </c>
      <c r="G7700" t="s">
        <v>1828</v>
      </c>
      <c r="H7700">
        <v>1</v>
      </c>
      <c r="I7700">
        <v>56.44</v>
      </c>
      <c r="J7700" s="50">
        <v>56.44</v>
      </c>
      <c r="K7700" t="s">
        <v>1632</v>
      </c>
      <c r="M7700" t="s">
        <v>1624</v>
      </c>
      <c r="N7700">
        <v>29.79</v>
      </c>
      <c r="O7700" s="49">
        <v>44284</v>
      </c>
      <c r="P7700" s="50">
        <v>25.398</v>
      </c>
    </row>
    <row r="7701" spans="4:16" x14ac:dyDescent="0.2">
      <c r="D7701">
        <v>100004581</v>
      </c>
      <c r="E7701" s="49">
        <v>45587</v>
      </c>
      <c r="F7701" t="s">
        <v>5908</v>
      </c>
      <c r="G7701" t="s">
        <v>1865</v>
      </c>
      <c r="H7701">
        <v>1</v>
      </c>
      <c r="I7701">
        <v>86.53</v>
      </c>
      <c r="J7701" s="50">
        <v>86.53</v>
      </c>
      <c r="K7701" t="s">
        <v>1618</v>
      </c>
      <c r="L7701" t="s">
        <v>5815</v>
      </c>
      <c r="M7701" t="s">
        <v>1629</v>
      </c>
      <c r="N7701">
        <v>45.67</v>
      </c>
      <c r="O7701" s="49">
        <v>45591</v>
      </c>
      <c r="P7701" s="50">
        <v>38.938500000000005</v>
      </c>
    </row>
    <row r="7702" spans="4:16" x14ac:dyDescent="0.2">
      <c r="D7702">
        <v>100004582</v>
      </c>
      <c r="E7702" s="49">
        <v>45121</v>
      </c>
      <c r="F7702" t="s">
        <v>5909</v>
      </c>
      <c r="G7702" t="s">
        <v>1812</v>
      </c>
      <c r="H7702">
        <v>6</v>
      </c>
      <c r="I7702">
        <v>48.03</v>
      </c>
      <c r="J7702" s="50">
        <v>288.18</v>
      </c>
      <c r="K7702" t="s">
        <v>1632</v>
      </c>
      <c r="M7702" t="s">
        <v>1619</v>
      </c>
      <c r="N7702">
        <v>25.35</v>
      </c>
      <c r="O7702" s="49">
        <v>45123</v>
      </c>
      <c r="P7702" s="50">
        <v>129.68100000000001</v>
      </c>
    </row>
    <row r="7703" spans="4:16" x14ac:dyDescent="0.2">
      <c r="D7703">
        <v>100004582</v>
      </c>
      <c r="E7703" s="49">
        <v>44483</v>
      </c>
      <c r="F7703" t="s">
        <v>5909</v>
      </c>
      <c r="G7703" t="s">
        <v>1620</v>
      </c>
      <c r="H7703">
        <v>1</v>
      </c>
      <c r="I7703">
        <v>66.849999999999994</v>
      </c>
      <c r="J7703" s="50">
        <v>66.849999999999994</v>
      </c>
      <c r="K7703" t="s">
        <v>1632</v>
      </c>
      <c r="M7703" t="s">
        <v>1627</v>
      </c>
      <c r="N7703">
        <v>35.28</v>
      </c>
      <c r="O7703" s="49">
        <v>44484</v>
      </c>
      <c r="P7703" s="50">
        <v>30.0825</v>
      </c>
    </row>
    <row r="7704" spans="4:16" x14ac:dyDescent="0.2">
      <c r="D7704">
        <v>100004582</v>
      </c>
      <c r="E7704" s="49">
        <v>45306</v>
      </c>
      <c r="F7704" t="s">
        <v>5909</v>
      </c>
      <c r="G7704" t="s">
        <v>2180</v>
      </c>
      <c r="H7704">
        <v>3</v>
      </c>
      <c r="I7704">
        <v>55.86</v>
      </c>
      <c r="J7704" s="50">
        <v>167.58</v>
      </c>
      <c r="K7704" t="s">
        <v>1632</v>
      </c>
      <c r="M7704" t="s">
        <v>1621</v>
      </c>
      <c r="N7704">
        <v>29.48</v>
      </c>
      <c r="O7704" s="49">
        <v>45307</v>
      </c>
      <c r="P7704" s="50">
        <v>75.411000000000001</v>
      </c>
    </row>
    <row r="7705" spans="4:16" x14ac:dyDescent="0.2">
      <c r="D7705">
        <v>100004582</v>
      </c>
      <c r="E7705" s="49">
        <v>45140</v>
      </c>
      <c r="F7705" t="s">
        <v>5909</v>
      </c>
      <c r="G7705" t="s">
        <v>2255</v>
      </c>
      <c r="H7705">
        <v>1</v>
      </c>
      <c r="I7705">
        <v>79.739999999999995</v>
      </c>
      <c r="J7705" s="50">
        <v>79.739999999999995</v>
      </c>
      <c r="K7705" t="s">
        <v>1632</v>
      </c>
      <c r="M7705" t="s">
        <v>1629</v>
      </c>
      <c r="N7705">
        <v>42.08</v>
      </c>
      <c r="O7705" s="49">
        <v>45141</v>
      </c>
      <c r="P7705" s="50">
        <v>35.882999999999996</v>
      </c>
    </row>
    <row r="7706" spans="4:16" x14ac:dyDescent="0.2">
      <c r="D7706">
        <v>100004584</v>
      </c>
      <c r="E7706" s="49">
        <v>44577</v>
      </c>
      <c r="F7706" t="s">
        <v>5910</v>
      </c>
      <c r="G7706" t="s">
        <v>2393</v>
      </c>
      <c r="H7706">
        <v>10</v>
      </c>
      <c r="I7706">
        <v>94.32</v>
      </c>
      <c r="J7706" s="50">
        <v>943.19999999999993</v>
      </c>
      <c r="K7706" t="s">
        <v>1632</v>
      </c>
      <c r="M7706" t="s">
        <v>1627</v>
      </c>
      <c r="N7706">
        <v>49.78</v>
      </c>
      <c r="O7706" s="49">
        <v>44580</v>
      </c>
      <c r="P7706" s="50">
        <v>424.44</v>
      </c>
    </row>
    <row r="7707" spans="4:16" x14ac:dyDescent="0.2">
      <c r="D7707">
        <v>100004585</v>
      </c>
      <c r="E7707" s="49">
        <v>44440</v>
      </c>
      <c r="F7707" t="s">
        <v>5911</v>
      </c>
      <c r="G7707" t="s">
        <v>2130</v>
      </c>
      <c r="H7707">
        <v>1</v>
      </c>
      <c r="I7707">
        <v>81.34</v>
      </c>
      <c r="J7707" s="50">
        <v>81.34</v>
      </c>
      <c r="K7707" t="s">
        <v>1618</v>
      </c>
      <c r="M7707" t="s">
        <v>1624</v>
      </c>
      <c r="N7707">
        <v>42.93</v>
      </c>
      <c r="O7707" s="49">
        <v>44443</v>
      </c>
      <c r="P7707" s="50">
        <v>36.603000000000002</v>
      </c>
    </row>
    <row r="7708" spans="4:16" x14ac:dyDescent="0.2">
      <c r="D7708">
        <v>100004586</v>
      </c>
      <c r="E7708" s="49">
        <v>44762</v>
      </c>
      <c r="F7708" t="s">
        <v>5912</v>
      </c>
      <c r="G7708" t="s">
        <v>1737</v>
      </c>
      <c r="H7708">
        <v>4</v>
      </c>
      <c r="I7708">
        <v>51.12</v>
      </c>
      <c r="J7708" s="50">
        <v>204.48</v>
      </c>
      <c r="K7708" t="s">
        <v>1618</v>
      </c>
      <c r="M7708" t="s">
        <v>1629</v>
      </c>
      <c r="N7708">
        <v>26.98</v>
      </c>
      <c r="O7708" s="49">
        <v>44765</v>
      </c>
      <c r="P7708" s="50">
        <v>92.015999999999991</v>
      </c>
    </row>
    <row r="7709" spans="4:16" x14ac:dyDescent="0.2">
      <c r="D7709">
        <v>100004586</v>
      </c>
      <c r="E7709" s="49">
        <v>45454</v>
      </c>
      <c r="F7709" t="s">
        <v>5912</v>
      </c>
      <c r="G7709" t="s">
        <v>1670</v>
      </c>
      <c r="H7709">
        <v>1</v>
      </c>
      <c r="I7709">
        <v>119.68</v>
      </c>
      <c r="J7709" s="50">
        <v>119.68</v>
      </c>
      <c r="K7709" t="s">
        <v>1618</v>
      </c>
      <c r="M7709" t="s">
        <v>1621</v>
      </c>
      <c r="N7709">
        <v>63.16</v>
      </c>
      <c r="O7709" s="49">
        <v>45456</v>
      </c>
      <c r="P7709" s="50">
        <v>53.856000000000002</v>
      </c>
    </row>
    <row r="7710" spans="4:16" x14ac:dyDescent="0.2">
      <c r="D7710">
        <v>100004586</v>
      </c>
      <c r="E7710" s="49">
        <v>45185</v>
      </c>
      <c r="F7710" t="s">
        <v>5912</v>
      </c>
      <c r="G7710" t="s">
        <v>1864</v>
      </c>
      <c r="H7710">
        <v>10</v>
      </c>
      <c r="I7710">
        <v>111.07</v>
      </c>
      <c r="J7710" s="50">
        <v>1110.7</v>
      </c>
      <c r="K7710" t="s">
        <v>1618</v>
      </c>
      <c r="M7710" t="s">
        <v>1627</v>
      </c>
      <c r="N7710">
        <v>58.62</v>
      </c>
      <c r="O7710" s="49">
        <v>45190</v>
      </c>
      <c r="P7710" s="50">
        <v>499.81500000000005</v>
      </c>
    </row>
    <row r="7711" spans="4:16" x14ac:dyDescent="0.2">
      <c r="D7711">
        <v>100004586</v>
      </c>
      <c r="E7711" s="49">
        <v>44817</v>
      </c>
      <c r="F7711" t="s">
        <v>5912</v>
      </c>
      <c r="G7711" t="s">
        <v>1944</v>
      </c>
      <c r="H7711">
        <v>1</v>
      </c>
      <c r="I7711">
        <v>45.54</v>
      </c>
      <c r="J7711" s="50">
        <v>45.54</v>
      </c>
      <c r="K7711" t="s">
        <v>1618</v>
      </c>
      <c r="M7711" t="s">
        <v>1627</v>
      </c>
      <c r="N7711">
        <v>24.03</v>
      </c>
      <c r="O7711" s="49">
        <v>44822</v>
      </c>
      <c r="P7711" s="50">
        <v>20.492999999999999</v>
      </c>
    </row>
    <row r="7712" spans="4:16" x14ac:dyDescent="0.2">
      <c r="D7712">
        <v>100004586</v>
      </c>
      <c r="E7712" s="49">
        <v>45287</v>
      </c>
      <c r="F7712" t="s">
        <v>5912</v>
      </c>
      <c r="G7712" t="s">
        <v>2084</v>
      </c>
      <c r="H7712">
        <v>5</v>
      </c>
      <c r="I7712">
        <v>92.17</v>
      </c>
      <c r="J7712" s="50">
        <v>460.85</v>
      </c>
      <c r="K7712" t="s">
        <v>1618</v>
      </c>
      <c r="M7712" t="s">
        <v>1619</v>
      </c>
      <c r="N7712">
        <v>48.64</v>
      </c>
      <c r="O7712" s="49">
        <v>45290</v>
      </c>
      <c r="P7712" s="50">
        <v>207.38250000000002</v>
      </c>
    </row>
    <row r="7713" spans="4:16" x14ac:dyDescent="0.2">
      <c r="D7713">
        <v>100004587</v>
      </c>
      <c r="E7713" s="49">
        <v>45538</v>
      </c>
      <c r="F7713" t="s">
        <v>5913</v>
      </c>
      <c r="G7713" t="s">
        <v>1652</v>
      </c>
      <c r="H7713">
        <v>3</v>
      </c>
      <c r="I7713">
        <v>13.4</v>
      </c>
      <c r="J7713" s="50">
        <v>40.200000000000003</v>
      </c>
      <c r="K7713" t="s">
        <v>1632</v>
      </c>
      <c r="M7713" t="s">
        <v>1629</v>
      </c>
      <c r="N7713">
        <v>7.07</v>
      </c>
      <c r="O7713" s="49">
        <v>45539</v>
      </c>
      <c r="P7713" s="50">
        <v>18.090000000000003</v>
      </c>
    </row>
    <row r="7714" spans="4:16" x14ac:dyDescent="0.2">
      <c r="D7714">
        <v>100004587</v>
      </c>
      <c r="E7714" s="49">
        <v>44458</v>
      </c>
      <c r="F7714" t="s">
        <v>5913</v>
      </c>
      <c r="G7714" t="s">
        <v>2134</v>
      </c>
      <c r="H7714">
        <v>6</v>
      </c>
      <c r="I7714">
        <v>41.76</v>
      </c>
      <c r="J7714" s="50">
        <v>250.56</v>
      </c>
      <c r="K7714" t="s">
        <v>1632</v>
      </c>
      <c r="M7714" t="s">
        <v>1629</v>
      </c>
      <c r="N7714">
        <v>22.04</v>
      </c>
      <c r="O7714" s="49">
        <v>44463</v>
      </c>
      <c r="P7714" s="50">
        <v>112.75200000000001</v>
      </c>
    </row>
    <row r="7715" spans="4:16" x14ac:dyDescent="0.2">
      <c r="D7715">
        <v>100004587</v>
      </c>
      <c r="E7715" s="49">
        <v>45644</v>
      </c>
      <c r="F7715" t="s">
        <v>5913</v>
      </c>
      <c r="G7715" t="s">
        <v>1941</v>
      </c>
      <c r="H7715">
        <v>4</v>
      </c>
      <c r="I7715">
        <v>100.31</v>
      </c>
      <c r="J7715" s="50">
        <v>401.24</v>
      </c>
      <c r="K7715" t="s">
        <v>1632</v>
      </c>
      <c r="M7715" t="s">
        <v>1621</v>
      </c>
      <c r="N7715">
        <v>52.94</v>
      </c>
      <c r="O7715" s="49">
        <v>45647</v>
      </c>
      <c r="P7715" s="50">
        <v>180.55800000000002</v>
      </c>
    </row>
    <row r="7716" spans="4:16" x14ac:dyDescent="0.2">
      <c r="D7716">
        <v>100004588</v>
      </c>
      <c r="E7716" s="49">
        <v>45266</v>
      </c>
      <c r="F7716" t="s">
        <v>5914</v>
      </c>
      <c r="G7716" t="s">
        <v>2331</v>
      </c>
      <c r="H7716">
        <v>1</v>
      </c>
      <c r="I7716">
        <v>63.49</v>
      </c>
      <c r="J7716" s="50">
        <v>63.49</v>
      </c>
      <c r="K7716" t="s">
        <v>1618</v>
      </c>
      <c r="M7716" t="s">
        <v>1619</v>
      </c>
      <c r="N7716">
        <v>33.51</v>
      </c>
      <c r="O7716" s="49">
        <v>45268</v>
      </c>
      <c r="P7716" s="50">
        <v>28.570500000000003</v>
      </c>
    </row>
    <row r="7717" spans="4:16" x14ac:dyDescent="0.2">
      <c r="D7717">
        <v>100004590</v>
      </c>
      <c r="E7717" s="49">
        <v>45515</v>
      </c>
      <c r="F7717" t="s">
        <v>5915</v>
      </c>
      <c r="G7717" t="s">
        <v>2331</v>
      </c>
      <c r="H7717">
        <v>2</v>
      </c>
      <c r="I7717">
        <v>111.63</v>
      </c>
      <c r="J7717" s="50">
        <v>223.26</v>
      </c>
      <c r="K7717" t="s">
        <v>1632</v>
      </c>
      <c r="M7717" t="s">
        <v>1621</v>
      </c>
      <c r="N7717">
        <v>58.92</v>
      </c>
      <c r="O7717" s="49">
        <v>45517</v>
      </c>
      <c r="P7717" s="50">
        <v>100.467</v>
      </c>
    </row>
    <row r="7718" spans="4:16" x14ac:dyDescent="0.2">
      <c r="D7718">
        <v>100004590</v>
      </c>
      <c r="E7718" s="49">
        <v>45221</v>
      </c>
      <c r="F7718" t="s">
        <v>5915</v>
      </c>
      <c r="G7718" t="s">
        <v>1941</v>
      </c>
      <c r="H7718">
        <v>5</v>
      </c>
      <c r="I7718">
        <v>101.92</v>
      </c>
      <c r="J7718" s="50">
        <v>509.6</v>
      </c>
      <c r="K7718" t="s">
        <v>1632</v>
      </c>
      <c r="M7718" t="s">
        <v>1629</v>
      </c>
      <c r="N7718">
        <v>53.79</v>
      </c>
      <c r="O7718" s="49">
        <v>45222</v>
      </c>
      <c r="P7718" s="50">
        <v>229.32000000000002</v>
      </c>
    </row>
    <row r="7719" spans="4:16" x14ac:dyDescent="0.2">
      <c r="D7719">
        <v>100004593</v>
      </c>
      <c r="E7719" s="49">
        <v>45337</v>
      </c>
      <c r="F7719" t="s">
        <v>5916</v>
      </c>
      <c r="G7719" t="s">
        <v>2706</v>
      </c>
      <c r="H7719">
        <v>6</v>
      </c>
      <c r="I7719">
        <v>67.41</v>
      </c>
      <c r="J7719" s="50">
        <v>404.46</v>
      </c>
      <c r="K7719" t="s">
        <v>1618</v>
      </c>
      <c r="L7719" t="s">
        <v>4755</v>
      </c>
      <c r="M7719" t="s">
        <v>1624</v>
      </c>
      <c r="N7719">
        <v>35.58</v>
      </c>
      <c r="O7719" s="49">
        <v>45341</v>
      </c>
      <c r="P7719" s="50">
        <v>182.00700000000001</v>
      </c>
    </row>
    <row r="7720" spans="4:16" x14ac:dyDescent="0.2">
      <c r="D7720">
        <v>100004593</v>
      </c>
      <c r="E7720" s="49">
        <v>45228</v>
      </c>
      <c r="F7720" t="s">
        <v>5916</v>
      </c>
      <c r="G7720" t="s">
        <v>2116</v>
      </c>
      <c r="H7720">
        <v>10</v>
      </c>
      <c r="I7720">
        <v>31.77</v>
      </c>
      <c r="J7720" s="50">
        <v>317.7</v>
      </c>
      <c r="K7720" t="s">
        <v>1618</v>
      </c>
      <c r="L7720" t="s">
        <v>4755</v>
      </c>
      <c r="M7720" t="s">
        <v>1621</v>
      </c>
      <c r="N7720">
        <v>16.77</v>
      </c>
      <c r="O7720" s="49">
        <v>45229</v>
      </c>
      <c r="P7720" s="50">
        <v>142.965</v>
      </c>
    </row>
    <row r="7721" spans="4:16" x14ac:dyDescent="0.2">
      <c r="D7721">
        <v>100004594</v>
      </c>
      <c r="E7721" s="49">
        <v>44718</v>
      </c>
      <c r="F7721" t="s">
        <v>5917</v>
      </c>
      <c r="G7721" t="s">
        <v>1955</v>
      </c>
      <c r="H7721">
        <v>1</v>
      </c>
      <c r="I7721">
        <v>10.27</v>
      </c>
      <c r="J7721" s="50">
        <v>10.27</v>
      </c>
      <c r="K7721" t="s">
        <v>1618</v>
      </c>
      <c r="M7721" t="s">
        <v>1624</v>
      </c>
      <c r="N7721">
        <v>5.42</v>
      </c>
      <c r="O7721" s="49">
        <v>44723</v>
      </c>
      <c r="P7721" s="50">
        <v>4.6215000000000002</v>
      </c>
    </row>
    <row r="7722" spans="4:16" x14ac:dyDescent="0.2">
      <c r="D7722">
        <v>100004595</v>
      </c>
      <c r="E7722" s="49">
        <v>44701</v>
      </c>
      <c r="F7722" t="s">
        <v>5918</v>
      </c>
      <c r="G7722" t="s">
        <v>1669</v>
      </c>
      <c r="H7722">
        <v>8</v>
      </c>
      <c r="I7722">
        <v>68.23</v>
      </c>
      <c r="J7722" s="50">
        <v>545.84</v>
      </c>
      <c r="K7722" t="s">
        <v>1618</v>
      </c>
      <c r="L7722" t="s">
        <v>3632</v>
      </c>
      <c r="M7722" t="s">
        <v>1624</v>
      </c>
      <c r="N7722">
        <v>36.01</v>
      </c>
      <c r="O7722" s="49">
        <v>44702</v>
      </c>
      <c r="P7722" s="50">
        <v>245.62800000000001</v>
      </c>
    </row>
    <row r="7723" spans="4:16" x14ac:dyDescent="0.2">
      <c r="D7723">
        <v>100004595</v>
      </c>
      <c r="E7723" s="49">
        <v>45109</v>
      </c>
      <c r="F7723" t="s">
        <v>5918</v>
      </c>
      <c r="G7723" t="s">
        <v>1688</v>
      </c>
      <c r="H7723">
        <v>9</v>
      </c>
      <c r="I7723">
        <v>28</v>
      </c>
      <c r="J7723" s="50">
        <v>252</v>
      </c>
      <c r="K7723" t="s">
        <v>1618</v>
      </c>
      <c r="L7723" t="s">
        <v>3632</v>
      </c>
      <c r="M7723" t="s">
        <v>1621</v>
      </c>
      <c r="N7723">
        <v>14.78</v>
      </c>
      <c r="O7723" s="49">
        <v>45113</v>
      </c>
      <c r="P7723" s="50">
        <v>113.4</v>
      </c>
    </row>
    <row r="7724" spans="4:16" x14ac:dyDescent="0.2">
      <c r="D7724">
        <v>100004595</v>
      </c>
      <c r="E7724" s="49">
        <v>45276</v>
      </c>
      <c r="F7724" t="s">
        <v>5918</v>
      </c>
      <c r="G7724" t="s">
        <v>2003</v>
      </c>
      <c r="H7724">
        <v>4</v>
      </c>
      <c r="I7724">
        <v>79.7</v>
      </c>
      <c r="J7724" s="50">
        <v>318.8</v>
      </c>
      <c r="K7724" t="s">
        <v>1618</v>
      </c>
      <c r="L7724" t="s">
        <v>3632</v>
      </c>
      <c r="M7724" t="s">
        <v>1624</v>
      </c>
      <c r="N7724">
        <v>42.06</v>
      </c>
      <c r="O7724" s="49">
        <v>45277</v>
      </c>
      <c r="P7724" s="50">
        <v>143.46</v>
      </c>
    </row>
    <row r="7725" spans="4:16" x14ac:dyDescent="0.2">
      <c r="D7725">
        <v>100004595</v>
      </c>
      <c r="E7725" s="49">
        <v>44507</v>
      </c>
      <c r="F7725" t="s">
        <v>5918</v>
      </c>
      <c r="G7725" t="s">
        <v>2278</v>
      </c>
      <c r="H7725">
        <v>5</v>
      </c>
      <c r="I7725">
        <v>87.19</v>
      </c>
      <c r="J7725" s="50">
        <v>435.95</v>
      </c>
      <c r="K7725" t="s">
        <v>1618</v>
      </c>
      <c r="L7725" t="s">
        <v>3632</v>
      </c>
      <c r="M7725" t="s">
        <v>1629</v>
      </c>
      <c r="N7725">
        <v>46.02</v>
      </c>
      <c r="O7725" s="49">
        <v>44512</v>
      </c>
      <c r="P7725" s="50">
        <v>196.17750000000001</v>
      </c>
    </row>
    <row r="7726" spans="4:16" x14ac:dyDescent="0.2">
      <c r="D7726">
        <v>100004598</v>
      </c>
      <c r="E7726" s="49">
        <v>45118</v>
      </c>
      <c r="F7726" t="s">
        <v>4204</v>
      </c>
      <c r="G7726" t="s">
        <v>1770</v>
      </c>
      <c r="H7726">
        <v>4</v>
      </c>
      <c r="I7726">
        <v>39.65</v>
      </c>
      <c r="J7726" s="50">
        <v>158.6</v>
      </c>
      <c r="K7726" t="s">
        <v>1618</v>
      </c>
      <c r="M7726" t="s">
        <v>1619</v>
      </c>
      <c r="N7726">
        <v>20.93</v>
      </c>
      <c r="O7726" s="49">
        <v>45119</v>
      </c>
      <c r="P7726" s="50">
        <v>71.37</v>
      </c>
    </row>
    <row r="7727" spans="4:16" x14ac:dyDescent="0.2">
      <c r="D7727">
        <v>100004598</v>
      </c>
      <c r="E7727" s="49">
        <v>45007</v>
      </c>
      <c r="F7727" t="s">
        <v>4204</v>
      </c>
      <c r="G7727" t="s">
        <v>2633</v>
      </c>
      <c r="H7727">
        <v>6</v>
      </c>
      <c r="I7727">
        <v>84.27</v>
      </c>
      <c r="J7727" s="50">
        <v>505.62</v>
      </c>
      <c r="K7727" t="s">
        <v>1618</v>
      </c>
      <c r="M7727" t="s">
        <v>1627</v>
      </c>
      <c r="N7727">
        <v>44.48</v>
      </c>
      <c r="O7727" s="49">
        <v>45009</v>
      </c>
      <c r="P7727" s="50">
        <v>227.529</v>
      </c>
    </row>
    <row r="7728" spans="4:16" x14ac:dyDescent="0.2">
      <c r="D7728">
        <v>100004599</v>
      </c>
      <c r="E7728" s="49">
        <v>45475</v>
      </c>
      <c r="F7728" t="s">
        <v>5919</v>
      </c>
      <c r="G7728" t="s">
        <v>1897</v>
      </c>
      <c r="H7728">
        <v>2</v>
      </c>
      <c r="I7728">
        <v>66.599999999999994</v>
      </c>
      <c r="J7728" s="50">
        <v>133.19999999999999</v>
      </c>
      <c r="K7728" t="s">
        <v>1618</v>
      </c>
      <c r="M7728" t="s">
        <v>1624</v>
      </c>
      <c r="N7728">
        <v>35.15</v>
      </c>
      <c r="O7728" s="49">
        <v>45480</v>
      </c>
      <c r="P7728" s="50">
        <v>59.94</v>
      </c>
    </row>
    <row r="7729" spans="4:16" x14ac:dyDescent="0.2">
      <c r="D7729">
        <v>100004600</v>
      </c>
      <c r="E7729" s="49">
        <v>44556</v>
      </c>
      <c r="F7729" t="s">
        <v>5920</v>
      </c>
      <c r="G7729" t="s">
        <v>1797</v>
      </c>
      <c r="H7729">
        <v>4</v>
      </c>
      <c r="I7729">
        <v>27.34</v>
      </c>
      <c r="J7729" s="50">
        <v>109.36</v>
      </c>
      <c r="K7729" t="s">
        <v>1632</v>
      </c>
      <c r="L7729" t="s">
        <v>5921</v>
      </c>
      <c r="M7729" t="s">
        <v>1624</v>
      </c>
      <c r="N7729">
        <v>14.43</v>
      </c>
      <c r="O7729" s="49">
        <v>44559</v>
      </c>
      <c r="P7729" s="50">
        <v>49.212000000000003</v>
      </c>
    </row>
    <row r="7730" spans="4:16" x14ac:dyDescent="0.2">
      <c r="D7730">
        <v>100004600</v>
      </c>
      <c r="E7730" s="49">
        <v>45442</v>
      </c>
      <c r="F7730" t="s">
        <v>5920</v>
      </c>
      <c r="G7730" t="s">
        <v>2098</v>
      </c>
      <c r="H7730">
        <v>6</v>
      </c>
      <c r="I7730">
        <v>19.579999999999998</v>
      </c>
      <c r="J7730" s="50">
        <v>117.48</v>
      </c>
      <c r="K7730" t="s">
        <v>1632</v>
      </c>
      <c r="L7730" t="s">
        <v>5921</v>
      </c>
      <c r="M7730" t="s">
        <v>1624</v>
      </c>
      <c r="N7730">
        <v>10.33</v>
      </c>
      <c r="O7730" s="49">
        <v>45444</v>
      </c>
      <c r="P7730" s="50">
        <v>52.866</v>
      </c>
    </row>
    <row r="7731" spans="4:16" x14ac:dyDescent="0.2">
      <c r="D7731">
        <v>100004600</v>
      </c>
      <c r="E7731" s="49">
        <v>44837</v>
      </c>
      <c r="F7731" t="s">
        <v>5920</v>
      </c>
      <c r="G7731" t="s">
        <v>2242</v>
      </c>
      <c r="H7731">
        <v>5</v>
      </c>
      <c r="I7731">
        <v>43.38</v>
      </c>
      <c r="J7731" s="50">
        <v>216.9</v>
      </c>
      <c r="K7731" t="s">
        <v>1632</v>
      </c>
      <c r="L7731" t="s">
        <v>5921</v>
      </c>
      <c r="M7731" t="s">
        <v>1627</v>
      </c>
      <c r="N7731">
        <v>22.89</v>
      </c>
      <c r="O7731" s="49">
        <v>44841</v>
      </c>
      <c r="P7731" s="50">
        <v>97.605000000000004</v>
      </c>
    </row>
    <row r="7732" spans="4:16" x14ac:dyDescent="0.2">
      <c r="D7732">
        <v>100004600</v>
      </c>
      <c r="E7732" s="49">
        <v>44479</v>
      </c>
      <c r="F7732" t="s">
        <v>5920</v>
      </c>
      <c r="G7732" t="s">
        <v>1628</v>
      </c>
      <c r="H7732">
        <v>3</v>
      </c>
      <c r="I7732">
        <v>11.25</v>
      </c>
      <c r="J7732" s="50">
        <v>33.75</v>
      </c>
      <c r="K7732" t="s">
        <v>1632</v>
      </c>
      <c r="L7732" t="s">
        <v>5921</v>
      </c>
      <c r="M7732" t="s">
        <v>1619</v>
      </c>
      <c r="N7732">
        <v>5.94</v>
      </c>
      <c r="O7732" s="49">
        <v>44481</v>
      </c>
      <c r="P7732" s="50">
        <v>15.1875</v>
      </c>
    </row>
    <row r="7733" spans="4:16" x14ac:dyDescent="0.2">
      <c r="D7733">
        <v>100004601</v>
      </c>
      <c r="E7733" s="49">
        <v>45338</v>
      </c>
      <c r="F7733" t="s">
        <v>5922</v>
      </c>
      <c r="G7733" t="s">
        <v>2005</v>
      </c>
      <c r="H7733">
        <v>2</v>
      </c>
      <c r="I7733">
        <v>109.41</v>
      </c>
      <c r="J7733" s="50">
        <v>218.82</v>
      </c>
      <c r="K7733" t="s">
        <v>1618</v>
      </c>
      <c r="M7733" t="s">
        <v>1629</v>
      </c>
      <c r="N7733">
        <v>57.74</v>
      </c>
      <c r="O7733" s="49">
        <v>45341</v>
      </c>
      <c r="P7733" s="50">
        <v>98.468999999999994</v>
      </c>
    </row>
    <row r="7734" spans="4:16" x14ac:dyDescent="0.2">
      <c r="D7734">
        <v>100004602</v>
      </c>
      <c r="E7734" s="49">
        <v>44380</v>
      </c>
      <c r="F7734" t="s">
        <v>5923</v>
      </c>
      <c r="G7734" t="s">
        <v>1985</v>
      </c>
      <c r="H7734">
        <v>1</v>
      </c>
      <c r="I7734">
        <v>60.59</v>
      </c>
      <c r="J7734" s="50">
        <v>60.59</v>
      </c>
      <c r="K7734" t="s">
        <v>1632</v>
      </c>
      <c r="M7734" t="s">
        <v>1619</v>
      </c>
      <c r="N7734">
        <v>31.98</v>
      </c>
      <c r="O7734" s="49">
        <v>44382</v>
      </c>
      <c r="P7734" s="50">
        <v>27.265500000000003</v>
      </c>
    </row>
    <row r="7735" spans="4:16" x14ac:dyDescent="0.2">
      <c r="D7735">
        <v>100004602</v>
      </c>
      <c r="E7735" s="49">
        <v>44214</v>
      </c>
      <c r="F7735" t="s">
        <v>5923</v>
      </c>
      <c r="G7735" t="s">
        <v>2069</v>
      </c>
      <c r="H7735">
        <v>3</v>
      </c>
      <c r="I7735">
        <v>83.66</v>
      </c>
      <c r="J7735" s="50">
        <v>250.98</v>
      </c>
      <c r="K7735" t="s">
        <v>1632</v>
      </c>
      <c r="M7735" t="s">
        <v>1619</v>
      </c>
      <c r="N7735">
        <v>44.15</v>
      </c>
      <c r="O7735" s="49">
        <v>44215</v>
      </c>
      <c r="P7735" s="50">
        <v>112.941</v>
      </c>
    </row>
    <row r="7736" spans="4:16" x14ac:dyDescent="0.2">
      <c r="D7736">
        <v>100004602</v>
      </c>
      <c r="E7736" s="49">
        <v>44538</v>
      </c>
      <c r="F7736" t="s">
        <v>5923</v>
      </c>
      <c r="G7736" t="s">
        <v>1717</v>
      </c>
      <c r="H7736">
        <v>10</v>
      </c>
      <c r="I7736">
        <v>11.32</v>
      </c>
      <c r="J7736" s="50">
        <v>113.2</v>
      </c>
      <c r="K7736" t="s">
        <v>1632</v>
      </c>
      <c r="M7736" t="s">
        <v>1629</v>
      </c>
      <c r="N7736">
        <v>5.97</v>
      </c>
      <c r="O7736" s="49">
        <v>44540</v>
      </c>
      <c r="P7736" s="50">
        <v>50.940000000000005</v>
      </c>
    </row>
    <row r="7737" spans="4:16" x14ac:dyDescent="0.2">
      <c r="D7737">
        <v>100004603</v>
      </c>
      <c r="E7737" s="49">
        <v>44223</v>
      </c>
      <c r="F7737" t="s">
        <v>3732</v>
      </c>
      <c r="G7737" t="s">
        <v>1768</v>
      </c>
      <c r="H7737">
        <v>7</v>
      </c>
      <c r="I7737">
        <v>83.18</v>
      </c>
      <c r="J7737" s="50">
        <v>582.26</v>
      </c>
      <c r="K7737" t="s">
        <v>1618</v>
      </c>
      <c r="L7737" t="s">
        <v>5924</v>
      </c>
      <c r="M7737" t="s">
        <v>1619</v>
      </c>
      <c r="N7737">
        <v>43.9</v>
      </c>
      <c r="O7737" s="49">
        <v>44225</v>
      </c>
      <c r="P7737" s="50">
        <v>262.017</v>
      </c>
    </row>
    <row r="7738" spans="4:16" x14ac:dyDescent="0.2">
      <c r="D7738">
        <v>100004603</v>
      </c>
      <c r="E7738" s="49">
        <v>45560</v>
      </c>
      <c r="F7738" t="s">
        <v>3732</v>
      </c>
      <c r="G7738" t="s">
        <v>1705</v>
      </c>
      <c r="H7738">
        <v>8</v>
      </c>
      <c r="I7738">
        <v>98.72</v>
      </c>
      <c r="J7738" s="50">
        <v>789.76</v>
      </c>
      <c r="K7738" t="s">
        <v>1618</v>
      </c>
      <c r="L7738" t="s">
        <v>5924</v>
      </c>
      <c r="M7738" t="s">
        <v>1624</v>
      </c>
      <c r="N7738">
        <v>52.1</v>
      </c>
      <c r="O7738" s="49">
        <v>45562</v>
      </c>
      <c r="P7738" s="50">
        <v>355.392</v>
      </c>
    </row>
    <row r="7739" spans="4:16" x14ac:dyDescent="0.2">
      <c r="D7739">
        <v>100004603</v>
      </c>
      <c r="E7739" s="49">
        <v>44425</v>
      </c>
      <c r="F7739" t="s">
        <v>3732</v>
      </c>
      <c r="G7739" t="s">
        <v>1726</v>
      </c>
      <c r="H7739">
        <v>9</v>
      </c>
      <c r="I7739">
        <v>41.35</v>
      </c>
      <c r="J7739" s="50">
        <v>372.15</v>
      </c>
      <c r="K7739" t="s">
        <v>1618</v>
      </c>
      <c r="L7739" t="s">
        <v>5924</v>
      </c>
      <c r="M7739" t="s">
        <v>1619</v>
      </c>
      <c r="N7739">
        <v>21.82</v>
      </c>
      <c r="O7739" s="49">
        <v>44428</v>
      </c>
      <c r="P7739" s="50">
        <v>167.4675</v>
      </c>
    </row>
    <row r="7740" spans="4:16" x14ac:dyDescent="0.2">
      <c r="D7740">
        <v>100004604</v>
      </c>
      <c r="E7740" s="49">
        <v>44800</v>
      </c>
      <c r="F7740" t="s">
        <v>5925</v>
      </c>
      <c r="G7740" t="s">
        <v>1792</v>
      </c>
      <c r="H7740">
        <v>1</v>
      </c>
      <c r="I7740">
        <v>97.94</v>
      </c>
      <c r="J7740" s="50">
        <v>97.94</v>
      </c>
      <c r="K7740" t="s">
        <v>1618</v>
      </c>
      <c r="M7740" t="s">
        <v>1627</v>
      </c>
      <c r="N7740">
        <v>51.69</v>
      </c>
      <c r="O7740" s="49">
        <v>44805</v>
      </c>
      <c r="P7740" s="50">
        <v>44.073</v>
      </c>
    </row>
    <row r="7741" spans="4:16" x14ac:dyDescent="0.2">
      <c r="D7741">
        <v>100004604</v>
      </c>
      <c r="E7741" s="49">
        <v>44999</v>
      </c>
      <c r="F7741" t="s">
        <v>5925</v>
      </c>
      <c r="G7741" t="s">
        <v>2007</v>
      </c>
      <c r="H7741">
        <v>5</v>
      </c>
      <c r="I7741">
        <v>43.62</v>
      </c>
      <c r="J7741" s="50">
        <v>218.1</v>
      </c>
      <c r="K7741" t="s">
        <v>1618</v>
      </c>
      <c r="M7741" t="s">
        <v>1627</v>
      </c>
      <c r="N7741">
        <v>23.02</v>
      </c>
      <c r="O7741" s="49">
        <v>45000</v>
      </c>
      <c r="P7741" s="50">
        <v>98.144999999999996</v>
      </c>
    </row>
    <row r="7742" spans="4:16" x14ac:dyDescent="0.2">
      <c r="D7742">
        <v>100004604</v>
      </c>
      <c r="E7742" s="49">
        <v>45564</v>
      </c>
      <c r="F7742" t="s">
        <v>5925</v>
      </c>
      <c r="G7742" t="s">
        <v>1742</v>
      </c>
      <c r="H7742">
        <v>1</v>
      </c>
      <c r="I7742">
        <v>54.84</v>
      </c>
      <c r="J7742" s="50">
        <v>54.84</v>
      </c>
      <c r="K7742" t="s">
        <v>1618</v>
      </c>
      <c r="M7742" t="s">
        <v>1621</v>
      </c>
      <c r="N7742">
        <v>28.94</v>
      </c>
      <c r="O7742" s="49">
        <v>45568</v>
      </c>
      <c r="P7742" s="50">
        <v>24.678000000000001</v>
      </c>
    </row>
    <row r="7743" spans="4:16" x14ac:dyDescent="0.2">
      <c r="D7743">
        <v>100004604</v>
      </c>
      <c r="E7743" s="49">
        <v>45441</v>
      </c>
      <c r="F7743" t="s">
        <v>5925</v>
      </c>
      <c r="G7743" t="s">
        <v>1781</v>
      </c>
      <c r="H7743">
        <v>4</v>
      </c>
      <c r="I7743">
        <v>118.29</v>
      </c>
      <c r="J7743" s="50">
        <v>473.16</v>
      </c>
      <c r="K7743" t="s">
        <v>1618</v>
      </c>
      <c r="M7743" t="s">
        <v>1627</v>
      </c>
      <c r="N7743">
        <v>62.43</v>
      </c>
      <c r="O7743" s="49">
        <v>45445</v>
      </c>
      <c r="P7743" s="50">
        <v>212.92200000000003</v>
      </c>
    </row>
    <row r="7744" spans="4:16" x14ac:dyDescent="0.2">
      <c r="D7744">
        <v>100004605</v>
      </c>
      <c r="E7744" s="49">
        <v>45505</v>
      </c>
      <c r="F7744" t="s">
        <v>5926</v>
      </c>
      <c r="G7744" t="s">
        <v>2019</v>
      </c>
      <c r="H7744">
        <v>2</v>
      </c>
      <c r="I7744">
        <v>51.24</v>
      </c>
      <c r="J7744" s="50">
        <v>102.48</v>
      </c>
      <c r="K7744" t="s">
        <v>1618</v>
      </c>
      <c r="L7744" t="s">
        <v>5927</v>
      </c>
      <c r="M7744" t="s">
        <v>1629</v>
      </c>
      <c r="N7744">
        <v>27.04</v>
      </c>
      <c r="O7744" s="49">
        <v>45507</v>
      </c>
      <c r="P7744" s="50">
        <v>46.116</v>
      </c>
    </row>
    <row r="7745" spans="4:16" x14ac:dyDescent="0.2">
      <c r="D7745">
        <v>100004608</v>
      </c>
      <c r="E7745" s="49">
        <v>45304</v>
      </c>
      <c r="F7745" t="s">
        <v>5928</v>
      </c>
      <c r="G7745" t="s">
        <v>1658</v>
      </c>
      <c r="H7745">
        <v>1</v>
      </c>
      <c r="I7745">
        <v>118.46</v>
      </c>
      <c r="J7745" s="50">
        <v>118.46</v>
      </c>
      <c r="K7745" t="s">
        <v>1632</v>
      </c>
      <c r="M7745" t="s">
        <v>1619</v>
      </c>
      <c r="N7745">
        <v>62.52</v>
      </c>
      <c r="O7745" s="49">
        <v>45308</v>
      </c>
      <c r="P7745" s="50">
        <v>53.306999999999995</v>
      </c>
    </row>
    <row r="7746" spans="4:16" x14ac:dyDescent="0.2">
      <c r="D7746">
        <v>100004609</v>
      </c>
      <c r="E7746" s="49">
        <v>44777</v>
      </c>
      <c r="F7746" t="s">
        <v>5929</v>
      </c>
      <c r="G7746" t="s">
        <v>2174</v>
      </c>
      <c r="H7746">
        <v>1</v>
      </c>
      <c r="I7746">
        <v>93.38</v>
      </c>
      <c r="J7746" s="50">
        <v>93.38</v>
      </c>
      <c r="K7746" t="s">
        <v>1618</v>
      </c>
      <c r="L7746" t="s">
        <v>5930</v>
      </c>
      <c r="M7746" t="s">
        <v>1627</v>
      </c>
      <c r="N7746">
        <v>49.28</v>
      </c>
      <c r="O7746" s="49">
        <v>44779</v>
      </c>
      <c r="P7746" s="50">
        <v>42.021000000000001</v>
      </c>
    </row>
    <row r="7747" spans="4:16" x14ac:dyDescent="0.2">
      <c r="D7747">
        <v>100004609</v>
      </c>
      <c r="E7747" s="49">
        <v>44478</v>
      </c>
      <c r="F7747" t="s">
        <v>5929</v>
      </c>
      <c r="G7747" t="s">
        <v>1842</v>
      </c>
      <c r="H7747">
        <v>7</v>
      </c>
      <c r="I7747">
        <v>107.6</v>
      </c>
      <c r="J7747" s="50">
        <v>753.19999999999993</v>
      </c>
      <c r="K7747" t="s">
        <v>1618</v>
      </c>
      <c r="L7747" t="s">
        <v>5930</v>
      </c>
      <c r="M7747" t="s">
        <v>1629</v>
      </c>
      <c r="N7747">
        <v>56.79</v>
      </c>
      <c r="O7747" s="49">
        <v>44481</v>
      </c>
      <c r="P7747" s="50">
        <v>338.94</v>
      </c>
    </row>
    <row r="7748" spans="4:16" x14ac:dyDescent="0.2">
      <c r="D7748">
        <v>100004609</v>
      </c>
      <c r="E7748" s="49">
        <v>45604</v>
      </c>
      <c r="F7748" t="s">
        <v>5929</v>
      </c>
      <c r="G7748" t="s">
        <v>1663</v>
      </c>
      <c r="H7748">
        <v>9</v>
      </c>
      <c r="I7748">
        <v>17.21</v>
      </c>
      <c r="J7748" s="50">
        <v>154.88999999999999</v>
      </c>
      <c r="K7748" t="s">
        <v>1618</v>
      </c>
      <c r="L7748" t="s">
        <v>5930</v>
      </c>
      <c r="M7748" t="s">
        <v>1629</v>
      </c>
      <c r="N7748">
        <v>9.08</v>
      </c>
      <c r="O7748" s="49">
        <v>45608</v>
      </c>
      <c r="P7748" s="50">
        <v>69.700499999999991</v>
      </c>
    </row>
    <row r="7749" spans="4:16" x14ac:dyDescent="0.2">
      <c r="D7749">
        <v>100004609</v>
      </c>
      <c r="E7749" s="49">
        <v>45267</v>
      </c>
      <c r="F7749" t="s">
        <v>5929</v>
      </c>
      <c r="G7749" t="s">
        <v>1864</v>
      </c>
      <c r="H7749">
        <v>3</v>
      </c>
      <c r="I7749">
        <v>19.3</v>
      </c>
      <c r="J7749" s="50">
        <v>57.900000000000013</v>
      </c>
      <c r="K7749" t="s">
        <v>1618</v>
      </c>
      <c r="L7749" t="s">
        <v>5930</v>
      </c>
      <c r="M7749" t="s">
        <v>1624</v>
      </c>
      <c r="N7749">
        <v>10.19</v>
      </c>
      <c r="O7749" s="49">
        <v>45271</v>
      </c>
      <c r="P7749" s="50">
        <v>26.055000000000007</v>
      </c>
    </row>
    <row r="7750" spans="4:16" x14ac:dyDescent="0.2">
      <c r="D7750">
        <v>100004609</v>
      </c>
      <c r="E7750" s="49">
        <v>44936</v>
      </c>
      <c r="F7750" t="s">
        <v>5929</v>
      </c>
      <c r="G7750" t="s">
        <v>1707</v>
      </c>
      <c r="H7750">
        <v>10</v>
      </c>
      <c r="I7750">
        <v>51.6</v>
      </c>
      <c r="J7750" s="50">
        <v>516</v>
      </c>
      <c r="K7750" t="s">
        <v>1618</v>
      </c>
      <c r="L7750" t="s">
        <v>5930</v>
      </c>
      <c r="M7750" t="s">
        <v>1621</v>
      </c>
      <c r="N7750">
        <v>27.23</v>
      </c>
      <c r="O7750" s="49">
        <v>44937</v>
      </c>
      <c r="P7750" s="50">
        <v>232.20000000000002</v>
      </c>
    </row>
    <row r="7751" spans="4:16" x14ac:dyDescent="0.2">
      <c r="D7751">
        <v>100004610</v>
      </c>
      <c r="E7751" s="49">
        <v>44426</v>
      </c>
      <c r="F7751" t="s">
        <v>5931</v>
      </c>
      <c r="G7751" t="s">
        <v>1932</v>
      </c>
      <c r="H7751">
        <v>10</v>
      </c>
      <c r="I7751">
        <v>49.61</v>
      </c>
      <c r="J7751" s="50">
        <v>496.1</v>
      </c>
      <c r="K7751" t="s">
        <v>1618</v>
      </c>
      <c r="L7751" t="s">
        <v>5182</v>
      </c>
      <c r="M7751" t="s">
        <v>1619</v>
      </c>
      <c r="N7751">
        <v>26.18</v>
      </c>
      <c r="O7751" s="49">
        <v>44429</v>
      </c>
      <c r="P7751" s="50">
        <v>223.245</v>
      </c>
    </row>
    <row r="7752" spans="4:16" x14ac:dyDescent="0.2">
      <c r="D7752">
        <v>100004611</v>
      </c>
      <c r="E7752" s="49">
        <v>44857</v>
      </c>
      <c r="F7752" t="s">
        <v>5932</v>
      </c>
      <c r="G7752" t="s">
        <v>1677</v>
      </c>
      <c r="H7752">
        <v>4</v>
      </c>
      <c r="I7752">
        <v>40.08</v>
      </c>
      <c r="J7752" s="50">
        <v>160.32</v>
      </c>
      <c r="K7752" t="s">
        <v>1618</v>
      </c>
      <c r="M7752" t="s">
        <v>1627</v>
      </c>
      <c r="N7752">
        <v>21.15</v>
      </c>
      <c r="O7752" s="49">
        <v>44861</v>
      </c>
      <c r="P7752" s="50">
        <v>72.144000000000005</v>
      </c>
    </row>
    <row r="7753" spans="4:16" x14ac:dyDescent="0.2">
      <c r="D7753">
        <v>100004612</v>
      </c>
      <c r="E7753" s="49">
        <v>44582</v>
      </c>
      <c r="F7753" t="s">
        <v>5933</v>
      </c>
      <c r="G7753" t="s">
        <v>1880</v>
      </c>
      <c r="H7753">
        <v>6</v>
      </c>
      <c r="I7753">
        <v>39.69</v>
      </c>
      <c r="J7753" s="50">
        <v>238.14</v>
      </c>
      <c r="K7753" t="s">
        <v>1632</v>
      </c>
      <c r="L7753" t="s">
        <v>2284</v>
      </c>
      <c r="M7753" t="s">
        <v>1629</v>
      </c>
      <c r="N7753">
        <v>20.95</v>
      </c>
      <c r="O7753" s="49">
        <v>44584</v>
      </c>
      <c r="P7753" s="50">
        <v>107.163</v>
      </c>
    </row>
    <row r="7754" spans="4:16" x14ac:dyDescent="0.2">
      <c r="D7754">
        <v>100004612</v>
      </c>
      <c r="E7754" s="49">
        <v>44455</v>
      </c>
      <c r="F7754" t="s">
        <v>5933</v>
      </c>
      <c r="G7754" t="s">
        <v>1937</v>
      </c>
      <c r="H7754">
        <v>2</v>
      </c>
      <c r="I7754">
        <v>15.61</v>
      </c>
      <c r="J7754" s="50">
        <v>31.22</v>
      </c>
      <c r="K7754" t="s">
        <v>1632</v>
      </c>
      <c r="L7754" t="s">
        <v>2284</v>
      </c>
      <c r="M7754" t="s">
        <v>1627</v>
      </c>
      <c r="N7754">
        <v>8.24</v>
      </c>
      <c r="O7754" s="49">
        <v>44458</v>
      </c>
      <c r="P7754" s="50">
        <v>14.048999999999999</v>
      </c>
    </row>
    <row r="7755" spans="4:16" x14ac:dyDescent="0.2">
      <c r="D7755">
        <v>100004612</v>
      </c>
      <c r="E7755" s="49">
        <v>44650</v>
      </c>
      <c r="F7755" t="s">
        <v>5933</v>
      </c>
      <c r="G7755" t="s">
        <v>1874</v>
      </c>
      <c r="H7755">
        <v>3</v>
      </c>
      <c r="I7755">
        <v>93.5</v>
      </c>
      <c r="J7755" s="50">
        <v>280.5</v>
      </c>
      <c r="K7755" t="s">
        <v>1632</v>
      </c>
      <c r="L7755" t="s">
        <v>2284</v>
      </c>
      <c r="M7755" t="s">
        <v>1627</v>
      </c>
      <c r="N7755">
        <v>49.35</v>
      </c>
      <c r="O7755" s="49">
        <v>44654</v>
      </c>
      <c r="P7755" s="50">
        <v>126.22500000000001</v>
      </c>
    </row>
    <row r="7756" spans="4:16" x14ac:dyDescent="0.2">
      <c r="D7756">
        <v>100004612</v>
      </c>
      <c r="E7756" s="49">
        <v>45623</v>
      </c>
      <c r="F7756" t="s">
        <v>5933</v>
      </c>
      <c r="G7756" t="s">
        <v>2060</v>
      </c>
      <c r="H7756">
        <v>6</v>
      </c>
      <c r="I7756">
        <v>61.13</v>
      </c>
      <c r="J7756" s="50">
        <v>366.78</v>
      </c>
      <c r="K7756" t="s">
        <v>1632</v>
      </c>
      <c r="L7756" t="s">
        <v>2284</v>
      </c>
      <c r="M7756" t="s">
        <v>1624</v>
      </c>
      <c r="N7756">
        <v>32.26</v>
      </c>
      <c r="O7756" s="49">
        <v>45625</v>
      </c>
      <c r="P7756" s="50">
        <v>165.05099999999999</v>
      </c>
    </row>
    <row r="7757" spans="4:16" x14ac:dyDescent="0.2">
      <c r="D7757">
        <v>100004612</v>
      </c>
      <c r="E7757" s="49">
        <v>45502</v>
      </c>
      <c r="F7757" t="s">
        <v>5933</v>
      </c>
      <c r="G7757" t="s">
        <v>1990</v>
      </c>
      <c r="H7757">
        <v>4</v>
      </c>
      <c r="I7757">
        <v>27.2</v>
      </c>
      <c r="J7757" s="50">
        <v>108.8</v>
      </c>
      <c r="K7757" t="s">
        <v>1632</v>
      </c>
      <c r="L7757" t="s">
        <v>2284</v>
      </c>
      <c r="M7757" t="s">
        <v>1627</v>
      </c>
      <c r="N7757">
        <v>14.36</v>
      </c>
      <c r="O7757" s="49">
        <v>45505</v>
      </c>
      <c r="P7757" s="50">
        <v>48.96</v>
      </c>
    </row>
    <row r="7758" spans="4:16" x14ac:dyDescent="0.2">
      <c r="D7758">
        <v>100004612</v>
      </c>
      <c r="E7758" s="49">
        <v>45295</v>
      </c>
      <c r="F7758" t="s">
        <v>5933</v>
      </c>
      <c r="G7758" t="s">
        <v>2585</v>
      </c>
      <c r="H7758">
        <v>5</v>
      </c>
      <c r="I7758">
        <v>18.39</v>
      </c>
      <c r="J7758" s="50">
        <v>91.95</v>
      </c>
      <c r="K7758" t="s">
        <v>1632</v>
      </c>
      <c r="L7758" t="s">
        <v>2284</v>
      </c>
      <c r="M7758" t="s">
        <v>1629</v>
      </c>
      <c r="N7758">
        <v>9.7100000000000009</v>
      </c>
      <c r="O7758" s="49">
        <v>45300</v>
      </c>
      <c r="P7758" s="50">
        <v>41.377500000000005</v>
      </c>
    </row>
    <row r="7759" spans="4:16" x14ac:dyDescent="0.2">
      <c r="D7759">
        <v>100004613</v>
      </c>
      <c r="E7759" s="49">
        <v>44437</v>
      </c>
      <c r="F7759" t="s">
        <v>5934</v>
      </c>
      <c r="G7759" t="s">
        <v>1963</v>
      </c>
      <c r="H7759">
        <v>4</v>
      </c>
      <c r="I7759">
        <v>95.95</v>
      </c>
      <c r="J7759" s="50">
        <v>383.8</v>
      </c>
      <c r="K7759" t="s">
        <v>1632</v>
      </c>
      <c r="M7759" t="s">
        <v>1624</v>
      </c>
      <c r="N7759">
        <v>50.64</v>
      </c>
      <c r="O7759" s="49">
        <v>44440</v>
      </c>
      <c r="P7759" s="50">
        <v>172.71</v>
      </c>
    </row>
    <row r="7760" spans="4:16" x14ac:dyDescent="0.2">
      <c r="D7760">
        <v>100004613</v>
      </c>
      <c r="E7760" s="49">
        <v>44718</v>
      </c>
      <c r="F7760" t="s">
        <v>5934</v>
      </c>
      <c r="G7760" t="s">
        <v>1749</v>
      </c>
      <c r="H7760">
        <v>10</v>
      </c>
      <c r="I7760">
        <v>30.61</v>
      </c>
      <c r="J7760" s="50">
        <v>306.10000000000002</v>
      </c>
      <c r="K7760" t="s">
        <v>1632</v>
      </c>
      <c r="M7760" t="s">
        <v>1621</v>
      </c>
      <c r="N7760">
        <v>16.16</v>
      </c>
      <c r="O7760" s="49">
        <v>44719</v>
      </c>
      <c r="P7760" s="50">
        <v>137.745</v>
      </c>
    </row>
    <row r="7761" spans="4:16" x14ac:dyDescent="0.2">
      <c r="D7761">
        <v>100004613</v>
      </c>
      <c r="E7761" s="49">
        <v>45461</v>
      </c>
      <c r="F7761" t="s">
        <v>5934</v>
      </c>
      <c r="G7761" t="s">
        <v>1864</v>
      </c>
      <c r="H7761">
        <v>1</v>
      </c>
      <c r="I7761">
        <v>41.33</v>
      </c>
      <c r="J7761" s="50">
        <v>41.33</v>
      </c>
      <c r="K7761" t="s">
        <v>1632</v>
      </c>
      <c r="M7761" t="s">
        <v>1624</v>
      </c>
      <c r="N7761">
        <v>21.81</v>
      </c>
      <c r="O7761" s="49">
        <v>45466</v>
      </c>
      <c r="P7761" s="50">
        <v>18.598500000000001</v>
      </c>
    </row>
    <row r="7762" spans="4:16" x14ac:dyDescent="0.2">
      <c r="D7762">
        <v>100004613</v>
      </c>
      <c r="E7762" s="49">
        <v>44684</v>
      </c>
      <c r="F7762" t="s">
        <v>5934</v>
      </c>
      <c r="G7762" t="s">
        <v>1720</v>
      </c>
      <c r="H7762">
        <v>3</v>
      </c>
      <c r="I7762">
        <v>11.28</v>
      </c>
      <c r="J7762" s="50">
        <v>33.840000000000003</v>
      </c>
      <c r="K7762" t="s">
        <v>1632</v>
      </c>
      <c r="M7762" t="s">
        <v>1619</v>
      </c>
      <c r="N7762">
        <v>5.95</v>
      </c>
      <c r="O7762" s="49">
        <v>44687</v>
      </c>
      <c r="P7762" s="50">
        <v>15.228000000000002</v>
      </c>
    </row>
    <row r="7763" spans="4:16" x14ac:dyDescent="0.2">
      <c r="D7763">
        <v>100004613</v>
      </c>
      <c r="E7763" s="49">
        <v>45028</v>
      </c>
      <c r="F7763" t="s">
        <v>5934</v>
      </c>
      <c r="G7763" t="s">
        <v>1672</v>
      </c>
      <c r="H7763">
        <v>5</v>
      </c>
      <c r="I7763">
        <v>114.85</v>
      </c>
      <c r="J7763" s="50">
        <v>574.25</v>
      </c>
      <c r="K7763" t="s">
        <v>1632</v>
      </c>
      <c r="M7763" t="s">
        <v>1621</v>
      </c>
      <c r="N7763">
        <v>60.61</v>
      </c>
      <c r="O7763" s="49">
        <v>45031</v>
      </c>
      <c r="P7763" s="50">
        <v>258.41250000000002</v>
      </c>
    </row>
    <row r="7764" spans="4:16" x14ac:dyDescent="0.2">
      <c r="D7764">
        <v>100004613</v>
      </c>
      <c r="E7764" s="49">
        <v>44724</v>
      </c>
      <c r="F7764" t="s">
        <v>5934</v>
      </c>
      <c r="G7764" t="s">
        <v>2373</v>
      </c>
      <c r="H7764">
        <v>3</v>
      </c>
      <c r="I7764">
        <v>111.95</v>
      </c>
      <c r="J7764" s="50">
        <v>335.85</v>
      </c>
      <c r="K7764" t="s">
        <v>1632</v>
      </c>
      <c r="M7764" t="s">
        <v>1621</v>
      </c>
      <c r="N7764">
        <v>59.08</v>
      </c>
      <c r="O7764" s="49">
        <v>44727</v>
      </c>
      <c r="P7764" s="50">
        <v>151.13250000000002</v>
      </c>
    </row>
    <row r="7765" spans="4:16" x14ac:dyDescent="0.2">
      <c r="D7765">
        <v>100004613</v>
      </c>
      <c r="E7765" s="49">
        <v>44589</v>
      </c>
      <c r="F7765" t="s">
        <v>5934</v>
      </c>
      <c r="G7765" t="s">
        <v>1762</v>
      </c>
      <c r="H7765">
        <v>7</v>
      </c>
      <c r="I7765">
        <v>13.27</v>
      </c>
      <c r="J7765" s="50">
        <v>92.89</v>
      </c>
      <c r="K7765" t="s">
        <v>1632</v>
      </c>
      <c r="M7765" t="s">
        <v>1619</v>
      </c>
      <c r="N7765">
        <v>7</v>
      </c>
      <c r="O7765" s="49">
        <v>44590</v>
      </c>
      <c r="P7765" s="50">
        <v>41.8005</v>
      </c>
    </row>
    <row r="7766" spans="4:16" x14ac:dyDescent="0.2">
      <c r="D7766">
        <v>100004613</v>
      </c>
      <c r="E7766" s="49">
        <v>44397</v>
      </c>
      <c r="F7766" t="s">
        <v>5934</v>
      </c>
      <c r="G7766" t="s">
        <v>1760</v>
      </c>
      <c r="H7766">
        <v>5</v>
      </c>
      <c r="I7766">
        <v>55.27</v>
      </c>
      <c r="J7766" s="50">
        <v>276.35000000000002</v>
      </c>
      <c r="K7766" t="s">
        <v>1632</v>
      </c>
      <c r="M7766" t="s">
        <v>1621</v>
      </c>
      <c r="N7766">
        <v>29.17</v>
      </c>
      <c r="O7766" s="49">
        <v>44400</v>
      </c>
      <c r="P7766" s="50">
        <v>124.35750000000002</v>
      </c>
    </row>
    <row r="7767" spans="4:16" x14ac:dyDescent="0.2">
      <c r="D7767">
        <v>100004613</v>
      </c>
      <c r="E7767" s="49">
        <v>44391</v>
      </c>
      <c r="F7767" t="s">
        <v>5934</v>
      </c>
      <c r="G7767" t="s">
        <v>1874</v>
      </c>
      <c r="H7767">
        <v>4</v>
      </c>
      <c r="I7767">
        <v>66.239999999999995</v>
      </c>
      <c r="J7767" s="50">
        <v>264.95999999999998</v>
      </c>
      <c r="K7767" t="s">
        <v>1632</v>
      </c>
      <c r="M7767" t="s">
        <v>1619</v>
      </c>
      <c r="N7767">
        <v>34.96</v>
      </c>
      <c r="O7767" s="49">
        <v>44396</v>
      </c>
      <c r="P7767" s="50">
        <v>119.232</v>
      </c>
    </row>
    <row r="7768" spans="4:16" x14ac:dyDescent="0.2">
      <c r="D7768">
        <v>100004614</v>
      </c>
      <c r="E7768" s="49">
        <v>45277</v>
      </c>
      <c r="F7768" t="s">
        <v>5935</v>
      </c>
      <c r="G7768" t="s">
        <v>2330</v>
      </c>
      <c r="H7768">
        <v>4</v>
      </c>
      <c r="I7768">
        <v>93.08</v>
      </c>
      <c r="J7768" s="50">
        <v>372.32</v>
      </c>
      <c r="K7768" t="s">
        <v>1618</v>
      </c>
      <c r="M7768" t="s">
        <v>1624</v>
      </c>
      <c r="N7768">
        <v>49.13</v>
      </c>
      <c r="O7768" s="49">
        <v>45281</v>
      </c>
      <c r="P7768" s="50">
        <v>167.54400000000001</v>
      </c>
    </row>
    <row r="7769" spans="4:16" x14ac:dyDescent="0.2">
      <c r="D7769">
        <v>100004614</v>
      </c>
      <c r="E7769" s="49">
        <v>44964</v>
      </c>
      <c r="F7769" t="s">
        <v>5935</v>
      </c>
      <c r="G7769" t="s">
        <v>2047</v>
      </c>
      <c r="H7769">
        <v>6</v>
      </c>
      <c r="I7769">
        <v>70.75</v>
      </c>
      <c r="J7769" s="50">
        <v>424.5</v>
      </c>
      <c r="K7769" t="s">
        <v>1618</v>
      </c>
      <c r="M7769" t="s">
        <v>1619</v>
      </c>
      <c r="N7769">
        <v>37.340000000000003</v>
      </c>
      <c r="O7769" s="49">
        <v>44965</v>
      </c>
      <c r="P7769" s="50">
        <v>191.02500000000001</v>
      </c>
    </row>
    <row r="7770" spans="4:16" x14ac:dyDescent="0.2">
      <c r="D7770">
        <v>100004616</v>
      </c>
      <c r="E7770" s="49">
        <v>44992</v>
      </c>
      <c r="F7770" t="s">
        <v>5936</v>
      </c>
      <c r="G7770" t="s">
        <v>1760</v>
      </c>
      <c r="H7770">
        <v>8</v>
      </c>
      <c r="I7770">
        <v>44.52</v>
      </c>
      <c r="J7770" s="50">
        <v>356.16</v>
      </c>
      <c r="K7770" t="s">
        <v>1632</v>
      </c>
      <c r="M7770" t="s">
        <v>1621</v>
      </c>
      <c r="N7770">
        <v>23.5</v>
      </c>
      <c r="O7770" s="49">
        <v>44994</v>
      </c>
      <c r="P7770" s="50">
        <v>160.27200000000002</v>
      </c>
    </row>
    <row r="7771" spans="4:16" x14ac:dyDescent="0.2">
      <c r="D7771">
        <v>100004618</v>
      </c>
      <c r="E7771" s="49">
        <v>44209</v>
      </c>
      <c r="F7771" t="s">
        <v>5937</v>
      </c>
      <c r="G7771" t="s">
        <v>2074</v>
      </c>
      <c r="H7771">
        <v>1</v>
      </c>
      <c r="I7771">
        <v>34.450000000000003</v>
      </c>
      <c r="J7771" s="50">
        <v>34.450000000000003</v>
      </c>
      <c r="K7771" t="s">
        <v>1618</v>
      </c>
      <c r="M7771" t="s">
        <v>1629</v>
      </c>
      <c r="N7771">
        <v>18.18</v>
      </c>
      <c r="O7771" s="49">
        <v>44214</v>
      </c>
      <c r="P7771" s="50">
        <v>15.502500000000001</v>
      </c>
    </row>
    <row r="7772" spans="4:16" x14ac:dyDescent="0.2">
      <c r="D7772">
        <v>100004618</v>
      </c>
      <c r="E7772" s="49">
        <v>44458</v>
      </c>
      <c r="F7772" t="s">
        <v>5937</v>
      </c>
      <c r="G7772" t="s">
        <v>1910</v>
      </c>
      <c r="H7772">
        <v>10</v>
      </c>
      <c r="I7772">
        <v>44.71</v>
      </c>
      <c r="J7772" s="50">
        <v>447.1</v>
      </c>
      <c r="K7772" t="s">
        <v>1618</v>
      </c>
      <c r="M7772" t="s">
        <v>1624</v>
      </c>
      <c r="N7772">
        <v>23.6</v>
      </c>
      <c r="O7772" s="49">
        <v>44463</v>
      </c>
      <c r="P7772" s="50">
        <v>201.19500000000002</v>
      </c>
    </row>
    <row r="7773" spans="4:16" x14ac:dyDescent="0.2">
      <c r="D7773">
        <v>100004618</v>
      </c>
      <c r="E7773" s="49">
        <v>45305</v>
      </c>
      <c r="F7773" t="s">
        <v>5937</v>
      </c>
      <c r="G7773" t="s">
        <v>2099</v>
      </c>
      <c r="H7773">
        <v>3</v>
      </c>
      <c r="I7773">
        <v>16.34</v>
      </c>
      <c r="J7773" s="50">
        <v>49.02</v>
      </c>
      <c r="K7773" t="s">
        <v>1618</v>
      </c>
      <c r="M7773" t="s">
        <v>1619</v>
      </c>
      <c r="N7773">
        <v>8.6199999999999992</v>
      </c>
      <c r="O7773" s="49">
        <v>45309</v>
      </c>
      <c r="P7773" s="50">
        <v>22.059000000000001</v>
      </c>
    </row>
    <row r="7774" spans="4:16" x14ac:dyDescent="0.2">
      <c r="D7774">
        <v>100004619</v>
      </c>
      <c r="E7774" s="49">
        <v>44542</v>
      </c>
      <c r="F7774" t="s">
        <v>5938</v>
      </c>
      <c r="G7774" t="s">
        <v>1799</v>
      </c>
      <c r="H7774">
        <v>5</v>
      </c>
      <c r="I7774">
        <v>32.75</v>
      </c>
      <c r="J7774" s="50">
        <v>163.75</v>
      </c>
      <c r="K7774" t="s">
        <v>1618</v>
      </c>
      <c r="M7774" t="s">
        <v>1621</v>
      </c>
      <c r="N7774">
        <v>17.28</v>
      </c>
      <c r="O7774" s="49">
        <v>44547</v>
      </c>
      <c r="P7774" s="50">
        <v>73.6875</v>
      </c>
    </row>
    <row r="7775" spans="4:16" x14ac:dyDescent="0.2">
      <c r="D7775">
        <v>100004623</v>
      </c>
      <c r="E7775" s="49">
        <v>44631</v>
      </c>
      <c r="F7775" t="s">
        <v>5939</v>
      </c>
      <c r="G7775" t="s">
        <v>2581</v>
      </c>
      <c r="H7775">
        <v>2</v>
      </c>
      <c r="I7775">
        <v>33.19</v>
      </c>
      <c r="J7775" s="50">
        <v>66.38</v>
      </c>
      <c r="K7775" t="s">
        <v>1618</v>
      </c>
      <c r="M7775" t="s">
        <v>1621</v>
      </c>
      <c r="N7775">
        <v>17.52</v>
      </c>
      <c r="O7775" s="49">
        <v>44634</v>
      </c>
      <c r="P7775" s="50">
        <v>29.870999999999999</v>
      </c>
    </row>
    <row r="7776" spans="4:16" x14ac:dyDescent="0.2">
      <c r="D7776">
        <v>100004623</v>
      </c>
      <c r="E7776" s="49">
        <v>45188</v>
      </c>
      <c r="F7776" t="s">
        <v>5939</v>
      </c>
      <c r="G7776" t="s">
        <v>2004</v>
      </c>
      <c r="H7776">
        <v>5</v>
      </c>
      <c r="I7776">
        <v>34.979999999999997</v>
      </c>
      <c r="J7776" s="50">
        <v>174.9</v>
      </c>
      <c r="K7776" t="s">
        <v>1618</v>
      </c>
      <c r="M7776" t="s">
        <v>1619</v>
      </c>
      <c r="N7776">
        <v>18.46</v>
      </c>
      <c r="O7776" s="49">
        <v>45189</v>
      </c>
      <c r="P7776" s="50">
        <v>78.704999999999998</v>
      </c>
    </row>
    <row r="7777" spans="4:16" x14ac:dyDescent="0.2">
      <c r="D7777">
        <v>100004625</v>
      </c>
      <c r="E7777" s="49">
        <v>44627</v>
      </c>
      <c r="F7777" t="s">
        <v>5940</v>
      </c>
      <c r="G7777" t="s">
        <v>1922</v>
      </c>
      <c r="H7777">
        <v>5</v>
      </c>
      <c r="I7777">
        <v>64.58</v>
      </c>
      <c r="J7777" s="50">
        <v>322.89999999999998</v>
      </c>
      <c r="K7777" t="s">
        <v>1632</v>
      </c>
      <c r="M7777" t="s">
        <v>1627</v>
      </c>
      <c r="N7777">
        <v>34.08</v>
      </c>
      <c r="O7777" s="49">
        <v>44628</v>
      </c>
      <c r="P7777" s="50">
        <v>145.30500000000001</v>
      </c>
    </row>
    <row r="7778" spans="4:16" x14ac:dyDescent="0.2">
      <c r="D7778">
        <v>100004625</v>
      </c>
      <c r="E7778" s="49">
        <v>44294</v>
      </c>
      <c r="F7778" t="s">
        <v>5940</v>
      </c>
      <c r="G7778" t="s">
        <v>2180</v>
      </c>
      <c r="H7778">
        <v>9</v>
      </c>
      <c r="I7778">
        <v>83.5</v>
      </c>
      <c r="J7778" s="50">
        <v>751.5</v>
      </c>
      <c r="K7778" t="s">
        <v>1632</v>
      </c>
      <c r="M7778" t="s">
        <v>1624</v>
      </c>
      <c r="N7778">
        <v>44.07</v>
      </c>
      <c r="O7778" s="49">
        <v>44299</v>
      </c>
      <c r="P7778" s="50">
        <v>338.17500000000001</v>
      </c>
    </row>
    <row r="7779" spans="4:16" x14ac:dyDescent="0.2">
      <c r="D7779">
        <v>100004625</v>
      </c>
      <c r="E7779" s="49">
        <v>45170</v>
      </c>
      <c r="F7779" t="s">
        <v>5940</v>
      </c>
      <c r="G7779" t="s">
        <v>1690</v>
      </c>
      <c r="H7779">
        <v>9</v>
      </c>
      <c r="I7779">
        <v>106.01</v>
      </c>
      <c r="J7779" s="50">
        <v>954.09</v>
      </c>
      <c r="K7779" t="s">
        <v>1632</v>
      </c>
      <c r="M7779" t="s">
        <v>1629</v>
      </c>
      <c r="N7779">
        <v>55.95</v>
      </c>
      <c r="O7779" s="49">
        <v>45173</v>
      </c>
      <c r="P7779" s="50">
        <v>429.34050000000002</v>
      </c>
    </row>
    <row r="7780" spans="4:16" x14ac:dyDescent="0.2">
      <c r="D7780">
        <v>100004625</v>
      </c>
      <c r="E7780" s="49">
        <v>44794</v>
      </c>
      <c r="F7780" t="s">
        <v>5940</v>
      </c>
      <c r="G7780" t="s">
        <v>2004</v>
      </c>
      <c r="H7780">
        <v>7</v>
      </c>
      <c r="I7780">
        <v>59.64</v>
      </c>
      <c r="J7780" s="50">
        <v>417.48</v>
      </c>
      <c r="K7780" t="s">
        <v>1632</v>
      </c>
      <c r="M7780" t="s">
        <v>1619</v>
      </c>
      <c r="N7780">
        <v>31.48</v>
      </c>
      <c r="O7780" s="49">
        <v>44796</v>
      </c>
      <c r="P7780" s="50">
        <v>187.86600000000001</v>
      </c>
    </row>
    <row r="7781" spans="4:16" x14ac:dyDescent="0.2">
      <c r="D7781">
        <v>100004625</v>
      </c>
      <c r="E7781" s="49">
        <v>44941</v>
      </c>
      <c r="F7781" t="s">
        <v>5940</v>
      </c>
      <c r="G7781" t="s">
        <v>2163</v>
      </c>
      <c r="H7781">
        <v>9</v>
      </c>
      <c r="I7781">
        <v>113.44</v>
      </c>
      <c r="J7781" s="50">
        <v>1020.96</v>
      </c>
      <c r="K7781" t="s">
        <v>1632</v>
      </c>
      <c r="M7781" t="s">
        <v>1629</v>
      </c>
      <c r="N7781">
        <v>59.87</v>
      </c>
      <c r="O7781" s="49">
        <v>44946</v>
      </c>
      <c r="P7781" s="50">
        <v>459.43200000000002</v>
      </c>
    </row>
    <row r="7782" spans="4:16" x14ac:dyDescent="0.2">
      <c r="D7782">
        <v>100004625</v>
      </c>
      <c r="E7782" s="49">
        <v>44706</v>
      </c>
      <c r="F7782" t="s">
        <v>5940</v>
      </c>
      <c r="G7782" t="s">
        <v>2207</v>
      </c>
      <c r="H7782">
        <v>10</v>
      </c>
      <c r="I7782">
        <v>11.14</v>
      </c>
      <c r="J7782" s="50">
        <v>111.4</v>
      </c>
      <c r="K7782" t="s">
        <v>1632</v>
      </c>
      <c r="M7782" t="s">
        <v>1619</v>
      </c>
      <c r="N7782">
        <v>5.88</v>
      </c>
      <c r="O7782" s="49">
        <v>44708</v>
      </c>
      <c r="P7782" s="50">
        <v>50.13</v>
      </c>
    </row>
    <row r="7783" spans="4:16" x14ac:dyDescent="0.2">
      <c r="D7783">
        <v>100004625</v>
      </c>
      <c r="E7783" s="49">
        <v>45244</v>
      </c>
      <c r="F7783" t="s">
        <v>5940</v>
      </c>
      <c r="G7783" t="s">
        <v>1712</v>
      </c>
      <c r="H7783">
        <v>1</v>
      </c>
      <c r="I7783">
        <v>63.44</v>
      </c>
      <c r="J7783" s="50">
        <v>63.44</v>
      </c>
      <c r="K7783" t="s">
        <v>1632</v>
      </c>
      <c r="M7783" t="s">
        <v>1624</v>
      </c>
      <c r="N7783">
        <v>33.479999999999997</v>
      </c>
      <c r="O7783" s="49">
        <v>45245</v>
      </c>
      <c r="P7783" s="50">
        <v>28.547999999999998</v>
      </c>
    </row>
    <row r="7784" spans="4:16" x14ac:dyDescent="0.2">
      <c r="D7784">
        <v>100004625</v>
      </c>
      <c r="E7784" s="49">
        <v>44289</v>
      </c>
      <c r="F7784" t="s">
        <v>5940</v>
      </c>
      <c r="G7784" t="s">
        <v>1855</v>
      </c>
      <c r="H7784">
        <v>4</v>
      </c>
      <c r="I7784">
        <v>64.47</v>
      </c>
      <c r="J7784" s="50">
        <v>257.88</v>
      </c>
      <c r="K7784" t="s">
        <v>1632</v>
      </c>
      <c r="M7784" t="s">
        <v>1624</v>
      </c>
      <c r="N7784">
        <v>34.03</v>
      </c>
      <c r="O7784" s="49">
        <v>44294</v>
      </c>
      <c r="P7784" s="50">
        <v>116.04600000000001</v>
      </c>
    </row>
    <row r="7785" spans="4:16" x14ac:dyDescent="0.2">
      <c r="D7785">
        <v>100004625</v>
      </c>
      <c r="E7785" s="49">
        <v>44580</v>
      </c>
      <c r="F7785" t="s">
        <v>5940</v>
      </c>
      <c r="G7785" t="s">
        <v>2343</v>
      </c>
      <c r="H7785">
        <v>10</v>
      </c>
      <c r="I7785">
        <v>45.69</v>
      </c>
      <c r="J7785" s="50">
        <v>456.9</v>
      </c>
      <c r="K7785" t="s">
        <v>1632</v>
      </c>
      <c r="M7785" t="s">
        <v>1621</v>
      </c>
      <c r="N7785">
        <v>24.11</v>
      </c>
      <c r="O7785" s="49">
        <v>44585</v>
      </c>
      <c r="P7785" s="50">
        <v>205.60499999999999</v>
      </c>
    </row>
    <row r="7786" spans="4:16" x14ac:dyDescent="0.2">
      <c r="D7786">
        <v>100004627</v>
      </c>
      <c r="E7786" s="49">
        <v>45590</v>
      </c>
      <c r="F7786" t="s">
        <v>5941</v>
      </c>
      <c r="G7786" t="s">
        <v>2194</v>
      </c>
      <c r="H7786">
        <v>5</v>
      </c>
      <c r="I7786">
        <v>100.1</v>
      </c>
      <c r="J7786" s="50">
        <v>500.5</v>
      </c>
      <c r="K7786" t="s">
        <v>1618</v>
      </c>
      <c r="M7786" t="s">
        <v>1629</v>
      </c>
      <c r="N7786">
        <v>52.83</v>
      </c>
      <c r="O7786" s="49">
        <v>45593</v>
      </c>
      <c r="P7786" s="50">
        <v>225.22499999999999</v>
      </c>
    </row>
    <row r="7787" spans="4:16" x14ac:dyDescent="0.2">
      <c r="D7787">
        <v>100004628</v>
      </c>
      <c r="E7787" s="49">
        <v>44707</v>
      </c>
      <c r="F7787" t="s">
        <v>5942</v>
      </c>
      <c r="G7787" t="s">
        <v>2302</v>
      </c>
      <c r="H7787">
        <v>5</v>
      </c>
      <c r="I7787">
        <v>23.79</v>
      </c>
      <c r="J7787" s="50">
        <v>118.95</v>
      </c>
      <c r="K7787" t="s">
        <v>1618</v>
      </c>
      <c r="M7787" t="s">
        <v>1629</v>
      </c>
      <c r="N7787">
        <v>12.56</v>
      </c>
      <c r="O7787" s="49">
        <v>44708</v>
      </c>
      <c r="P7787" s="50">
        <v>53.527500000000003</v>
      </c>
    </row>
    <row r="7788" spans="4:16" x14ac:dyDescent="0.2">
      <c r="D7788">
        <v>100004628</v>
      </c>
      <c r="E7788" s="49">
        <v>45493</v>
      </c>
      <c r="F7788" t="s">
        <v>5942</v>
      </c>
      <c r="G7788" t="s">
        <v>2550</v>
      </c>
      <c r="H7788">
        <v>7</v>
      </c>
      <c r="I7788">
        <v>88.22</v>
      </c>
      <c r="J7788" s="50">
        <v>617.54</v>
      </c>
      <c r="K7788" t="s">
        <v>1618</v>
      </c>
      <c r="M7788" t="s">
        <v>1627</v>
      </c>
      <c r="N7788">
        <v>46.56</v>
      </c>
      <c r="O7788" s="49">
        <v>45497</v>
      </c>
      <c r="P7788" s="50">
        <v>277.89299999999997</v>
      </c>
    </row>
    <row r="7789" spans="4:16" x14ac:dyDescent="0.2">
      <c r="D7789">
        <v>100004628</v>
      </c>
      <c r="E7789" s="49">
        <v>45059</v>
      </c>
      <c r="F7789" t="s">
        <v>5942</v>
      </c>
      <c r="G7789" t="s">
        <v>1700</v>
      </c>
      <c r="H7789">
        <v>5</v>
      </c>
      <c r="I7789">
        <v>77.95</v>
      </c>
      <c r="J7789" s="50">
        <v>389.75</v>
      </c>
      <c r="K7789" t="s">
        <v>1618</v>
      </c>
      <c r="M7789" t="s">
        <v>1624</v>
      </c>
      <c r="N7789">
        <v>41.14</v>
      </c>
      <c r="O7789" s="49">
        <v>45061</v>
      </c>
      <c r="P7789" s="50">
        <v>175.38750000000002</v>
      </c>
    </row>
    <row r="7790" spans="4:16" x14ac:dyDescent="0.2">
      <c r="D7790">
        <v>100004628</v>
      </c>
      <c r="E7790" s="49">
        <v>44824</v>
      </c>
      <c r="F7790" t="s">
        <v>5942</v>
      </c>
      <c r="G7790" t="s">
        <v>1634</v>
      </c>
      <c r="H7790">
        <v>10</v>
      </c>
      <c r="I7790">
        <v>97.02</v>
      </c>
      <c r="J7790" s="50">
        <v>970.19999999999993</v>
      </c>
      <c r="K7790" t="s">
        <v>1618</v>
      </c>
      <c r="M7790" t="s">
        <v>1629</v>
      </c>
      <c r="N7790">
        <v>51.2</v>
      </c>
      <c r="O7790" s="49">
        <v>44825</v>
      </c>
      <c r="P7790" s="50">
        <v>436.59</v>
      </c>
    </row>
    <row r="7791" spans="4:16" x14ac:dyDescent="0.2">
      <c r="D7791">
        <v>100004630</v>
      </c>
      <c r="E7791" s="49">
        <v>44750</v>
      </c>
      <c r="F7791" t="s">
        <v>5943</v>
      </c>
      <c r="G7791" t="s">
        <v>2346</v>
      </c>
      <c r="H7791">
        <v>10</v>
      </c>
      <c r="I7791">
        <v>61.52</v>
      </c>
      <c r="J7791" s="50">
        <v>615.20000000000005</v>
      </c>
      <c r="K7791" t="s">
        <v>1618</v>
      </c>
      <c r="L7791" t="s">
        <v>4440</v>
      </c>
      <c r="M7791" t="s">
        <v>1621</v>
      </c>
      <c r="N7791">
        <v>32.47</v>
      </c>
      <c r="O7791" s="49">
        <v>44754</v>
      </c>
      <c r="P7791" s="50">
        <v>276.84000000000003</v>
      </c>
    </row>
    <row r="7792" spans="4:16" x14ac:dyDescent="0.2">
      <c r="D7792">
        <v>100004630</v>
      </c>
      <c r="E7792" s="49">
        <v>45165</v>
      </c>
      <c r="F7792" t="s">
        <v>5943</v>
      </c>
      <c r="G7792" t="s">
        <v>1913</v>
      </c>
      <c r="H7792">
        <v>2</v>
      </c>
      <c r="I7792">
        <v>73.91</v>
      </c>
      <c r="J7792" s="50">
        <v>147.82</v>
      </c>
      <c r="K7792" t="s">
        <v>1618</v>
      </c>
      <c r="L7792" t="s">
        <v>4440</v>
      </c>
      <c r="M7792" t="s">
        <v>1627</v>
      </c>
      <c r="N7792">
        <v>39.01</v>
      </c>
      <c r="O7792" s="49">
        <v>45166</v>
      </c>
      <c r="P7792" s="50">
        <v>66.519000000000005</v>
      </c>
    </row>
    <row r="7793" spans="4:16" x14ac:dyDescent="0.2">
      <c r="D7793">
        <v>100004630</v>
      </c>
      <c r="E7793" s="49">
        <v>44372</v>
      </c>
      <c r="F7793" t="s">
        <v>5943</v>
      </c>
      <c r="G7793" t="s">
        <v>2161</v>
      </c>
      <c r="H7793">
        <v>10</v>
      </c>
      <c r="I7793">
        <v>58.1</v>
      </c>
      <c r="J7793" s="50">
        <v>581</v>
      </c>
      <c r="K7793" t="s">
        <v>1618</v>
      </c>
      <c r="L7793" t="s">
        <v>4440</v>
      </c>
      <c r="M7793" t="s">
        <v>1624</v>
      </c>
      <c r="N7793">
        <v>30.66</v>
      </c>
      <c r="O7793" s="49">
        <v>44373</v>
      </c>
      <c r="P7793" s="50">
        <v>261.45</v>
      </c>
    </row>
    <row r="7794" spans="4:16" x14ac:dyDescent="0.2">
      <c r="D7794">
        <v>100004631</v>
      </c>
      <c r="E7794" s="49">
        <v>44595</v>
      </c>
      <c r="F7794" t="s">
        <v>5944</v>
      </c>
      <c r="G7794" t="s">
        <v>2357</v>
      </c>
      <c r="H7794">
        <v>9</v>
      </c>
      <c r="I7794">
        <v>52.47</v>
      </c>
      <c r="J7794" s="50">
        <v>472.23</v>
      </c>
      <c r="K7794" t="s">
        <v>1618</v>
      </c>
      <c r="M7794" t="s">
        <v>1627</v>
      </c>
      <c r="N7794">
        <v>27.69</v>
      </c>
      <c r="O7794" s="49">
        <v>44599</v>
      </c>
      <c r="P7794" s="50">
        <v>212.5035</v>
      </c>
    </row>
    <row r="7795" spans="4:16" x14ac:dyDescent="0.2">
      <c r="D7795">
        <v>100004632</v>
      </c>
      <c r="E7795" s="49">
        <v>44687</v>
      </c>
      <c r="F7795" t="s">
        <v>5945</v>
      </c>
      <c r="G7795" t="s">
        <v>1646</v>
      </c>
      <c r="H7795">
        <v>9</v>
      </c>
      <c r="I7795">
        <v>39.450000000000003</v>
      </c>
      <c r="J7795" s="50">
        <v>355.05</v>
      </c>
      <c r="K7795" t="s">
        <v>1618</v>
      </c>
      <c r="L7795" t="s">
        <v>3511</v>
      </c>
      <c r="M7795" t="s">
        <v>1629</v>
      </c>
      <c r="N7795">
        <v>20.82</v>
      </c>
      <c r="O7795" s="49">
        <v>44692</v>
      </c>
      <c r="P7795" s="50">
        <v>159.77250000000001</v>
      </c>
    </row>
    <row r="7796" spans="4:16" x14ac:dyDescent="0.2">
      <c r="D7796">
        <v>100004633</v>
      </c>
      <c r="E7796" s="49">
        <v>44881</v>
      </c>
      <c r="F7796" t="s">
        <v>5946</v>
      </c>
      <c r="G7796" t="s">
        <v>2204</v>
      </c>
      <c r="H7796">
        <v>10</v>
      </c>
      <c r="I7796">
        <v>18.34</v>
      </c>
      <c r="J7796" s="50">
        <v>183.4</v>
      </c>
      <c r="K7796" t="s">
        <v>1632</v>
      </c>
      <c r="L7796" t="s">
        <v>5794</v>
      </c>
      <c r="M7796" t="s">
        <v>1627</v>
      </c>
      <c r="N7796">
        <v>9.68</v>
      </c>
      <c r="O7796" s="49">
        <v>44884</v>
      </c>
      <c r="P7796" s="50">
        <v>82.53</v>
      </c>
    </row>
    <row r="7797" spans="4:16" x14ac:dyDescent="0.2">
      <c r="D7797">
        <v>100004633</v>
      </c>
      <c r="E7797" s="49">
        <v>44666</v>
      </c>
      <c r="F7797" t="s">
        <v>5946</v>
      </c>
      <c r="G7797" t="s">
        <v>2230</v>
      </c>
      <c r="H7797">
        <v>1</v>
      </c>
      <c r="I7797">
        <v>51.57</v>
      </c>
      <c r="J7797" s="50">
        <v>51.57</v>
      </c>
      <c r="K7797" t="s">
        <v>1632</v>
      </c>
      <c r="L7797" t="s">
        <v>5794</v>
      </c>
      <c r="M7797" t="s">
        <v>1619</v>
      </c>
      <c r="N7797">
        <v>27.22</v>
      </c>
      <c r="O7797" s="49">
        <v>44671</v>
      </c>
      <c r="P7797" s="50">
        <v>23.206500000000002</v>
      </c>
    </row>
    <row r="7798" spans="4:16" x14ac:dyDescent="0.2">
      <c r="D7798">
        <v>100004633</v>
      </c>
      <c r="E7798" s="49">
        <v>44415</v>
      </c>
      <c r="F7798" t="s">
        <v>5946</v>
      </c>
      <c r="G7798" t="s">
        <v>2158</v>
      </c>
      <c r="H7798">
        <v>2</v>
      </c>
      <c r="I7798">
        <v>114.87</v>
      </c>
      <c r="J7798" s="50">
        <v>229.74</v>
      </c>
      <c r="K7798" t="s">
        <v>1632</v>
      </c>
      <c r="L7798" t="s">
        <v>5794</v>
      </c>
      <c r="M7798" t="s">
        <v>1619</v>
      </c>
      <c r="N7798">
        <v>60.63</v>
      </c>
      <c r="O7798" s="49">
        <v>44419</v>
      </c>
      <c r="P7798" s="50">
        <v>103.38300000000001</v>
      </c>
    </row>
    <row r="7799" spans="4:16" x14ac:dyDescent="0.2">
      <c r="D7799">
        <v>100004634</v>
      </c>
      <c r="E7799" s="49">
        <v>45531</v>
      </c>
      <c r="F7799" t="s">
        <v>5651</v>
      </c>
      <c r="G7799" t="s">
        <v>1971</v>
      </c>
      <c r="H7799">
        <v>2</v>
      </c>
      <c r="I7799">
        <v>50.71</v>
      </c>
      <c r="J7799" s="50">
        <v>101.42</v>
      </c>
      <c r="K7799" t="s">
        <v>1618</v>
      </c>
      <c r="L7799" t="s">
        <v>3087</v>
      </c>
      <c r="M7799" t="s">
        <v>1621</v>
      </c>
      <c r="N7799">
        <v>26.76</v>
      </c>
      <c r="O7799" s="49">
        <v>45536</v>
      </c>
      <c r="P7799" s="50">
        <v>45.639000000000003</v>
      </c>
    </row>
    <row r="7800" spans="4:16" x14ac:dyDescent="0.2">
      <c r="D7800">
        <v>100004636</v>
      </c>
      <c r="E7800" s="49">
        <v>44635</v>
      </c>
      <c r="F7800" t="s">
        <v>5947</v>
      </c>
      <c r="G7800" t="s">
        <v>1932</v>
      </c>
      <c r="H7800">
        <v>4</v>
      </c>
      <c r="I7800">
        <v>75.44</v>
      </c>
      <c r="J7800" s="50">
        <v>301.76</v>
      </c>
      <c r="K7800" t="s">
        <v>1618</v>
      </c>
      <c r="L7800" t="s">
        <v>5948</v>
      </c>
      <c r="M7800" t="s">
        <v>1621</v>
      </c>
      <c r="N7800">
        <v>39.82</v>
      </c>
      <c r="O7800" s="49">
        <v>44639</v>
      </c>
      <c r="P7800" s="50">
        <v>135.792</v>
      </c>
    </row>
    <row r="7801" spans="4:16" x14ac:dyDescent="0.2">
      <c r="D7801">
        <v>100004637</v>
      </c>
      <c r="E7801" s="49">
        <v>44446</v>
      </c>
      <c r="F7801" t="s">
        <v>5949</v>
      </c>
      <c r="G7801" t="s">
        <v>1795</v>
      </c>
      <c r="H7801">
        <v>9</v>
      </c>
      <c r="I7801">
        <v>60.62</v>
      </c>
      <c r="J7801" s="50">
        <v>545.57999999999993</v>
      </c>
      <c r="K7801" t="s">
        <v>1618</v>
      </c>
      <c r="L7801" t="s">
        <v>5950</v>
      </c>
      <c r="M7801" t="s">
        <v>1624</v>
      </c>
      <c r="N7801">
        <v>31.99</v>
      </c>
      <c r="O7801" s="49">
        <v>44449</v>
      </c>
      <c r="P7801" s="50">
        <v>245.51099999999997</v>
      </c>
    </row>
    <row r="7802" spans="4:16" x14ac:dyDescent="0.2">
      <c r="D7802">
        <v>100004637</v>
      </c>
      <c r="E7802" s="49">
        <v>44973</v>
      </c>
      <c r="F7802" t="s">
        <v>5949</v>
      </c>
      <c r="G7802" t="s">
        <v>2269</v>
      </c>
      <c r="H7802">
        <v>5</v>
      </c>
      <c r="I7802">
        <v>67.86</v>
      </c>
      <c r="J7802" s="50">
        <v>339.3</v>
      </c>
      <c r="K7802" t="s">
        <v>1618</v>
      </c>
      <c r="L7802" t="s">
        <v>5950</v>
      </c>
      <c r="M7802" t="s">
        <v>1627</v>
      </c>
      <c r="N7802">
        <v>35.81</v>
      </c>
      <c r="O7802" s="49">
        <v>44978</v>
      </c>
      <c r="P7802" s="50">
        <v>152.685</v>
      </c>
    </row>
    <row r="7803" spans="4:16" x14ac:dyDescent="0.2">
      <c r="D7803">
        <v>100004637</v>
      </c>
      <c r="E7803" s="49">
        <v>44908</v>
      </c>
      <c r="F7803" t="s">
        <v>5949</v>
      </c>
      <c r="G7803" t="s">
        <v>1648</v>
      </c>
      <c r="H7803">
        <v>7</v>
      </c>
      <c r="I7803">
        <v>85.35</v>
      </c>
      <c r="J7803" s="50">
        <v>597.44999999999993</v>
      </c>
      <c r="K7803" t="s">
        <v>1618</v>
      </c>
      <c r="L7803" t="s">
        <v>5950</v>
      </c>
      <c r="M7803" t="s">
        <v>1621</v>
      </c>
      <c r="N7803">
        <v>45.05</v>
      </c>
      <c r="O7803" s="49">
        <v>44913</v>
      </c>
      <c r="P7803" s="50">
        <v>268.85249999999996</v>
      </c>
    </row>
    <row r="7804" spans="4:16" x14ac:dyDescent="0.2">
      <c r="D7804">
        <v>100004638</v>
      </c>
      <c r="E7804" s="49">
        <v>44332</v>
      </c>
      <c r="F7804" t="s">
        <v>5951</v>
      </c>
      <c r="G7804" t="s">
        <v>2301</v>
      </c>
      <c r="H7804">
        <v>8</v>
      </c>
      <c r="I7804">
        <v>113.65</v>
      </c>
      <c r="J7804" s="50">
        <v>909.2</v>
      </c>
      <c r="K7804" t="s">
        <v>1632</v>
      </c>
      <c r="M7804" t="s">
        <v>1624</v>
      </c>
      <c r="N7804">
        <v>59.98</v>
      </c>
      <c r="O7804" s="49">
        <v>44337</v>
      </c>
      <c r="P7804" s="50">
        <v>409.14000000000004</v>
      </c>
    </row>
    <row r="7805" spans="4:16" x14ac:dyDescent="0.2">
      <c r="D7805">
        <v>100004640</v>
      </c>
      <c r="E7805" s="49">
        <v>44878</v>
      </c>
      <c r="F7805" t="s">
        <v>5952</v>
      </c>
      <c r="G7805" t="s">
        <v>2003</v>
      </c>
      <c r="H7805">
        <v>8</v>
      </c>
      <c r="I7805">
        <v>62.77</v>
      </c>
      <c r="J7805" s="50">
        <v>502.16</v>
      </c>
      <c r="K7805" t="s">
        <v>1618</v>
      </c>
      <c r="L7805" t="s">
        <v>5953</v>
      </c>
      <c r="M7805" t="s">
        <v>1624</v>
      </c>
      <c r="N7805">
        <v>33.130000000000003</v>
      </c>
      <c r="O7805" s="49">
        <v>44881</v>
      </c>
      <c r="P7805" s="50">
        <v>225.97200000000001</v>
      </c>
    </row>
    <row r="7806" spans="4:16" x14ac:dyDescent="0.2">
      <c r="D7806">
        <v>100004640</v>
      </c>
      <c r="E7806" s="49">
        <v>45319</v>
      </c>
      <c r="F7806" t="s">
        <v>5952</v>
      </c>
      <c r="G7806" t="s">
        <v>1922</v>
      </c>
      <c r="H7806">
        <v>4</v>
      </c>
      <c r="I7806">
        <v>73.89</v>
      </c>
      <c r="J7806" s="50">
        <v>295.56</v>
      </c>
      <c r="K7806" t="s">
        <v>1618</v>
      </c>
      <c r="L7806" t="s">
        <v>5953</v>
      </c>
      <c r="M7806" t="s">
        <v>1624</v>
      </c>
      <c r="N7806">
        <v>39</v>
      </c>
      <c r="O7806" s="49">
        <v>45322</v>
      </c>
      <c r="P7806" s="50">
        <v>133.00200000000001</v>
      </c>
    </row>
    <row r="7807" spans="4:16" x14ac:dyDescent="0.2">
      <c r="D7807">
        <v>100004641</v>
      </c>
      <c r="E7807" s="49">
        <v>44258</v>
      </c>
      <c r="F7807" t="s">
        <v>5954</v>
      </c>
      <c r="G7807" t="s">
        <v>1672</v>
      </c>
      <c r="H7807">
        <v>10</v>
      </c>
      <c r="I7807">
        <v>81.88</v>
      </c>
      <c r="J7807" s="50">
        <v>818.8</v>
      </c>
      <c r="K7807" t="s">
        <v>1632</v>
      </c>
      <c r="M7807" t="s">
        <v>1621</v>
      </c>
      <c r="N7807">
        <v>43.21</v>
      </c>
      <c r="O7807" s="49">
        <v>44262</v>
      </c>
      <c r="P7807" s="50">
        <v>368.46</v>
      </c>
    </row>
    <row r="7808" spans="4:16" x14ac:dyDescent="0.2">
      <c r="D7808">
        <v>100004642</v>
      </c>
      <c r="E7808" s="49">
        <v>45352</v>
      </c>
      <c r="F7808" t="s">
        <v>5955</v>
      </c>
      <c r="G7808" t="s">
        <v>1945</v>
      </c>
      <c r="H7808">
        <v>1</v>
      </c>
      <c r="I7808">
        <v>117.13</v>
      </c>
      <c r="J7808" s="50">
        <v>117.13</v>
      </c>
      <c r="K7808" t="s">
        <v>1618</v>
      </c>
      <c r="M7808" t="s">
        <v>1621</v>
      </c>
      <c r="N7808">
        <v>61.82</v>
      </c>
      <c r="O7808" s="49">
        <v>45354</v>
      </c>
      <c r="P7808" s="50">
        <v>52.708500000000001</v>
      </c>
    </row>
    <row r="7809" spans="4:16" x14ac:dyDescent="0.2">
      <c r="D7809">
        <v>100004644</v>
      </c>
      <c r="E7809" s="49">
        <v>45498</v>
      </c>
      <c r="F7809" t="s">
        <v>5956</v>
      </c>
      <c r="G7809" t="s">
        <v>1704</v>
      </c>
      <c r="H7809">
        <v>10</v>
      </c>
      <c r="I7809">
        <v>116.27</v>
      </c>
      <c r="J7809" s="50">
        <v>1162.7</v>
      </c>
      <c r="K7809" t="s">
        <v>1618</v>
      </c>
      <c r="M7809" t="s">
        <v>1627</v>
      </c>
      <c r="N7809">
        <v>61.36</v>
      </c>
      <c r="O7809" s="49">
        <v>45501</v>
      </c>
      <c r="P7809" s="50">
        <v>523.21500000000003</v>
      </c>
    </row>
    <row r="7810" spans="4:16" x14ac:dyDescent="0.2">
      <c r="D7810">
        <v>100004644</v>
      </c>
      <c r="E7810" s="49">
        <v>44566</v>
      </c>
      <c r="F7810" t="s">
        <v>5956</v>
      </c>
      <c r="G7810" t="s">
        <v>2447</v>
      </c>
      <c r="H7810">
        <v>5</v>
      </c>
      <c r="I7810">
        <v>67.430000000000007</v>
      </c>
      <c r="J7810" s="50">
        <v>337.15</v>
      </c>
      <c r="K7810" t="s">
        <v>1618</v>
      </c>
      <c r="M7810" t="s">
        <v>1627</v>
      </c>
      <c r="N7810">
        <v>35.590000000000003</v>
      </c>
      <c r="O7810" s="49">
        <v>44568</v>
      </c>
      <c r="P7810" s="50">
        <v>151.7175</v>
      </c>
    </row>
    <row r="7811" spans="4:16" x14ac:dyDescent="0.2">
      <c r="D7811">
        <v>100004644</v>
      </c>
      <c r="E7811" s="49">
        <v>45400</v>
      </c>
      <c r="F7811" t="s">
        <v>5956</v>
      </c>
      <c r="G7811" t="s">
        <v>1956</v>
      </c>
      <c r="H7811">
        <v>7</v>
      </c>
      <c r="I7811">
        <v>12.04</v>
      </c>
      <c r="J7811" s="50">
        <v>84.28</v>
      </c>
      <c r="K7811" t="s">
        <v>1618</v>
      </c>
      <c r="M7811" t="s">
        <v>1629</v>
      </c>
      <c r="N7811">
        <v>6.35</v>
      </c>
      <c r="O7811" s="49">
        <v>45403</v>
      </c>
      <c r="P7811" s="50">
        <v>37.926000000000002</v>
      </c>
    </row>
    <row r="7812" spans="4:16" x14ac:dyDescent="0.2">
      <c r="D7812">
        <v>100004644</v>
      </c>
      <c r="E7812" s="49">
        <v>44204</v>
      </c>
      <c r="F7812" t="s">
        <v>5956</v>
      </c>
      <c r="G7812" t="s">
        <v>1795</v>
      </c>
      <c r="H7812">
        <v>1</v>
      </c>
      <c r="I7812">
        <v>29.06</v>
      </c>
      <c r="J7812" s="50">
        <v>29.06</v>
      </c>
      <c r="K7812" t="s">
        <v>1618</v>
      </c>
      <c r="M7812" t="s">
        <v>1619</v>
      </c>
      <c r="N7812">
        <v>15.34</v>
      </c>
      <c r="O7812" s="49">
        <v>44207</v>
      </c>
      <c r="P7812" s="50">
        <v>13.077</v>
      </c>
    </row>
    <row r="7813" spans="4:16" x14ac:dyDescent="0.2">
      <c r="D7813">
        <v>100004646</v>
      </c>
      <c r="E7813" s="49">
        <v>44843</v>
      </c>
      <c r="F7813" t="s">
        <v>5957</v>
      </c>
      <c r="G7813" t="s">
        <v>1834</v>
      </c>
      <c r="H7813">
        <v>4</v>
      </c>
      <c r="I7813">
        <v>68.81</v>
      </c>
      <c r="J7813" s="50">
        <v>275.24</v>
      </c>
      <c r="K7813" t="s">
        <v>1618</v>
      </c>
      <c r="L7813" t="s">
        <v>2950</v>
      </c>
      <c r="M7813" t="s">
        <v>1619</v>
      </c>
      <c r="N7813">
        <v>36.32</v>
      </c>
      <c r="O7813" s="49">
        <v>44844</v>
      </c>
      <c r="P7813" s="50">
        <v>123.858</v>
      </c>
    </row>
    <row r="7814" spans="4:16" x14ac:dyDescent="0.2">
      <c r="D7814">
        <v>100004647</v>
      </c>
      <c r="E7814" s="49">
        <v>45294</v>
      </c>
      <c r="F7814" t="s">
        <v>5958</v>
      </c>
      <c r="G7814" t="s">
        <v>2706</v>
      </c>
      <c r="H7814">
        <v>1</v>
      </c>
      <c r="I7814">
        <v>44.52</v>
      </c>
      <c r="J7814" s="50">
        <v>44.52</v>
      </c>
      <c r="K7814" t="s">
        <v>1618</v>
      </c>
      <c r="L7814" t="s">
        <v>3835</v>
      </c>
      <c r="M7814" t="s">
        <v>1621</v>
      </c>
      <c r="N7814">
        <v>23.5</v>
      </c>
      <c r="O7814" s="49">
        <v>45295</v>
      </c>
      <c r="P7814" s="50">
        <v>20.034000000000002</v>
      </c>
    </row>
    <row r="7815" spans="4:16" x14ac:dyDescent="0.2">
      <c r="D7815">
        <v>100004647</v>
      </c>
      <c r="E7815" s="49">
        <v>45593</v>
      </c>
      <c r="F7815" t="s">
        <v>5958</v>
      </c>
      <c r="G7815" t="s">
        <v>2306</v>
      </c>
      <c r="H7815">
        <v>10</v>
      </c>
      <c r="I7815">
        <v>100.08</v>
      </c>
      <c r="J7815" s="50">
        <v>1000.8</v>
      </c>
      <c r="K7815" t="s">
        <v>1618</v>
      </c>
      <c r="L7815" t="s">
        <v>3835</v>
      </c>
      <c r="M7815" t="s">
        <v>1621</v>
      </c>
      <c r="N7815">
        <v>52.82</v>
      </c>
      <c r="O7815" s="49">
        <v>45598</v>
      </c>
      <c r="P7815" s="50">
        <v>450.36</v>
      </c>
    </row>
    <row r="7816" spans="4:16" x14ac:dyDescent="0.2">
      <c r="D7816">
        <v>100004647</v>
      </c>
      <c r="E7816" s="49">
        <v>45107</v>
      </c>
      <c r="F7816" t="s">
        <v>5958</v>
      </c>
      <c r="G7816" t="s">
        <v>1834</v>
      </c>
      <c r="H7816">
        <v>10</v>
      </c>
      <c r="I7816">
        <v>52.86</v>
      </c>
      <c r="J7816" s="50">
        <v>528.6</v>
      </c>
      <c r="K7816" t="s">
        <v>1618</v>
      </c>
      <c r="L7816" t="s">
        <v>3835</v>
      </c>
      <c r="M7816" t="s">
        <v>1627</v>
      </c>
      <c r="N7816">
        <v>27.9</v>
      </c>
      <c r="O7816" s="49">
        <v>45108</v>
      </c>
      <c r="P7816" s="50">
        <v>237.87</v>
      </c>
    </row>
    <row r="7817" spans="4:16" x14ac:dyDescent="0.2">
      <c r="D7817">
        <v>100004648</v>
      </c>
      <c r="E7817" s="49">
        <v>44722</v>
      </c>
      <c r="F7817" t="s">
        <v>5959</v>
      </c>
      <c r="G7817" t="s">
        <v>2261</v>
      </c>
      <c r="H7817">
        <v>6</v>
      </c>
      <c r="I7817">
        <v>103.67</v>
      </c>
      <c r="J7817" s="50">
        <v>622.02</v>
      </c>
      <c r="K7817" t="s">
        <v>1618</v>
      </c>
      <c r="M7817" t="s">
        <v>1621</v>
      </c>
      <c r="N7817">
        <v>54.71</v>
      </c>
      <c r="O7817" s="49">
        <v>44727</v>
      </c>
      <c r="P7817" s="50">
        <v>279.90899999999999</v>
      </c>
    </row>
    <row r="7818" spans="4:16" x14ac:dyDescent="0.2">
      <c r="D7818">
        <v>100004648</v>
      </c>
      <c r="E7818" s="49">
        <v>45067</v>
      </c>
      <c r="F7818" t="s">
        <v>5959</v>
      </c>
      <c r="G7818" t="s">
        <v>1842</v>
      </c>
      <c r="H7818">
        <v>2</v>
      </c>
      <c r="I7818">
        <v>63.88</v>
      </c>
      <c r="J7818" s="50">
        <v>127.76</v>
      </c>
      <c r="K7818" t="s">
        <v>1618</v>
      </c>
      <c r="M7818" t="s">
        <v>1624</v>
      </c>
      <c r="N7818">
        <v>33.71</v>
      </c>
      <c r="O7818" s="49">
        <v>45071</v>
      </c>
      <c r="P7818" s="50">
        <v>57.492000000000004</v>
      </c>
    </row>
    <row r="7819" spans="4:16" x14ac:dyDescent="0.2">
      <c r="D7819">
        <v>100004648</v>
      </c>
      <c r="E7819" s="49">
        <v>45141</v>
      </c>
      <c r="F7819" t="s">
        <v>5959</v>
      </c>
      <c r="G7819" t="s">
        <v>1967</v>
      </c>
      <c r="H7819">
        <v>1</v>
      </c>
      <c r="I7819">
        <v>33.74</v>
      </c>
      <c r="J7819" s="50">
        <v>33.74</v>
      </c>
      <c r="K7819" t="s">
        <v>1618</v>
      </c>
      <c r="M7819" t="s">
        <v>1619</v>
      </c>
      <c r="N7819">
        <v>17.809999999999999</v>
      </c>
      <c r="O7819" s="49">
        <v>45144</v>
      </c>
      <c r="P7819" s="50">
        <v>15.183000000000002</v>
      </c>
    </row>
    <row r="7820" spans="4:16" x14ac:dyDescent="0.2">
      <c r="D7820">
        <v>100004649</v>
      </c>
      <c r="E7820" s="49">
        <v>44206</v>
      </c>
      <c r="F7820" t="s">
        <v>5960</v>
      </c>
      <c r="G7820" t="s">
        <v>1736</v>
      </c>
      <c r="H7820">
        <v>9</v>
      </c>
      <c r="I7820">
        <v>28.27</v>
      </c>
      <c r="J7820" s="50">
        <v>254.43</v>
      </c>
      <c r="K7820" t="s">
        <v>1632</v>
      </c>
      <c r="M7820" t="s">
        <v>1621</v>
      </c>
      <c r="N7820">
        <v>14.92</v>
      </c>
      <c r="O7820" s="49">
        <v>44208</v>
      </c>
      <c r="P7820" s="50">
        <v>114.49350000000001</v>
      </c>
    </row>
    <row r="7821" spans="4:16" x14ac:dyDescent="0.2">
      <c r="D7821">
        <v>100004649</v>
      </c>
      <c r="E7821" s="49">
        <v>45383</v>
      </c>
      <c r="F7821" t="s">
        <v>5960</v>
      </c>
      <c r="G7821" t="s">
        <v>2628</v>
      </c>
      <c r="H7821">
        <v>9</v>
      </c>
      <c r="I7821">
        <v>43.45</v>
      </c>
      <c r="J7821" s="50">
        <v>391.05</v>
      </c>
      <c r="K7821" t="s">
        <v>1632</v>
      </c>
      <c r="M7821" t="s">
        <v>1624</v>
      </c>
      <c r="N7821">
        <v>22.93</v>
      </c>
      <c r="O7821" s="49">
        <v>45384</v>
      </c>
      <c r="P7821" s="50">
        <v>175.9725</v>
      </c>
    </row>
    <row r="7822" spans="4:16" x14ac:dyDescent="0.2">
      <c r="D7822">
        <v>100004652</v>
      </c>
      <c r="E7822" s="49">
        <v>44198</v>
      </c>
      <c r="F7822" t="s">
        <v>5961</v>
      </c>
      <c r="G7822" t="s">
        <v>1641</v>
      </c>
      <c r="H7822">
        <v>1</v>
      </c>
      <c r="I7822">
        <v>62.98</v>
      </c>
      <c r="J7822" s="50">
        <v>62.98</v>
      </c>
      <c r="K7822" t="s">
        <v>1618</v>
      </c>
      <c r="M7822" t="s">
        <v>1627</v>
      </c>
      <c r="N7822">
        <v>33.24</v>
      </c>
      <c r="O7822" s="49">
        <v>44199</v>
      </c>
      <c r="P7822" s="50">
        <v>28.340999999999998</v>
      </c>
    </row>
    <row r="7823" spans="4:16" x14ac:dyDescent="0.2">
      <c r="D7823">
        <v>100004652</v>
      </c>
      <c r="E7823" s="49">
        <v>45561</v>
      </c>
      <c r="F7823" t="s">
        <v>5961</v>
      </c>
      <c r="G7823" t="s">
        <v>1712</v>
      </c>
      <c r="H7823">
        <v>4</v>
      </c>
      <c r="I7823">
        <v>33.020000000000003</v>
      </c>
      <c r="J7823" s="50">
        <v>132.08000000000001</v>
      </c>
      <c r="K7823" t="s">
        <v>1618</v>
      </c>
      <c r="M7823" t="s">
        <v>1627</v>
      </c>
      <c r="N7823">
        <v>17.43</v>
      </c>
      <c r="O7823" s="49">
        <v>45562</v>
      </c>
      <c r="P7823" s="50">
        <v>59.436000000000007</v>
      </c>
    </row>
    <row r="7824" spans="4:16" x14ac:dyDescent="0.2">
      <c r="D7824">
        <v>100004652</v>
      </c>
      <c r="E7824" s="49">
        <v>44716</v>
      </c>
      <c r="F7824" t="s">
        <v>5961</v>
      </c>
      <c r="G7824" t="s">
        <v>1950</v>
      </c>
      <c r="H7824">
        <v>9</v>
      </c>
      <c r="I7824">
        <v>58.2</v>
      </c>
      <c r="J7824" s="50">
        <v>523.80000000000007</v>
      </c>
      <c r="K7824" t="s">
        <v>1618</v>
      </c>
      <c r="M7824" t="s">
        <v>1621</v>
      </c>
      <c r="N7824">
        <v>30.72</v>
      </c>
      <c r="O7824" s="49">
        <v>44719</v>
      </c>
      <c r="P7824" s="50">
        <v>235.71000000000004</v>
      </c>
    </row>
    <row r="7825" spans="4:16" x14ac:dyDescent="0.2">
      <c r="D7825">
        <v>100004653</v>
      </c>
      <c r="E7825" s="49">
        <v>45193</v>
      </c>
      <c r="F7825" t="s">
        <v>5962</v>
      </c>
      <c r="G7825" t="s">
        <v>2328</v>
      </c>
      <c r="H7825">
        <v>2</v>
      </c>
      <c r="I7825">
        <v>39.33</v>
      </c>
      <c r="J7825" s="50">
        <v>78.66</v>
      </c>
      <c r="K7825" t="s">
        <v>1618</v>
      </c>
      <c r="L7825" t="s">
        <v>5963</v>
      </c>
      <c r="M7825" t="s">
        <v>1629</v>
      </c>
      <c r="N7825">
        <v>20.76</v>
      </c>
      <c r="O7825" s="49">
        <v>45195</v>
      </c>
      <c r="P7825" s="50">
        <v>35.396999999999998</v>
      </c>
    </row>
    <row r="7826" spans="4:16" x14ac:dyDescent="0.2">
      <c r="D7826">
        <v>100004653</v>
      </c>
      <c r="E7826" s="49">
        <v>44320</v>
      </c>
      <c r="F7826" t="s">
        <v>5962</v>
      </c>
      <c r="G7826" t="s">
        <v>1634</v>
      </c>
      <c r="H7826">
        <v>9</v>
      </c>
      <c r="I7826">
        <v>91.93</v>
      </c>
      <c r="J7826" s="50">
        <v>827.37000000000012</v>
      </c>
      <c r="K7826" t="s">
        <v>1618</v>
      </c>
      <c r="L7826" t="s">
        <v>5963</v>
      </c>
      <c r="M7826" t="s">
        <v>1624</v>
      </c>
      <c r="N7826">
        <v>48.52</v>
      </c>
      <c r="O7826" s="49">
        <v>44325</v>
      </c>
      <c r="P7826" s="50">
        <v>372.31650000000008</v>
      </c>
    </row>
    <row r="7827" spans="4:16" x14ac:dyDescent="0.2">
      <c r="D7827">
        <v>100004654</v>
      </c>
      <c r="E7827" s="49">
        <v>44419</v>
      </c>
      <c r="F7827" t="s">
        <v>5964</v>
      </c>
      <c r="G7827" t="s">
        <v>2163</v>
      </c>
      <c r="H7827">
        <v>3</v>
      </c>
      <c r="I7827">
        <v>100.57</v>
      </c>
      <c r="J7827" s="50">
        <v>301.70999999999998</v>
      </c>
      <c r="K7827" t="s">
        <v>1632</v>
      </c>
      <c r="L7827" t="s">
        <v>5965</v>
      </c>
      <c r="M7827" t="s">
        <v>1624</v>
      </c>
      <c r="N7827">
        <v>53.08</v>
      </c>
      <c r="O7827" s="49">
        <v>44421</v>
      </c>
      <c r="P7827" s="50">
        <v>135.76949999999999</v>
      </c>
    </row>
    <row r="7828" spans="4:16" x14ac:dyDescent="0.2">
      <c r="D7828">
        <v>100004654</v>
      </c>
      <c r="E7828" s="49">
        <v>44364</v>
      </c>
      <c r="F7828" t="s">
        <v>5964</v>
      </c>
      <c r="G7828" t="s">
        <v>1963</v>
      </c>
      <c r="H7828">
        <v>10</v>
      </c>
      <c r="I7828">
        <v>67.31</v>
      </c>
      <c r="J7828" s="50">
        <v>673.1</v>
      </c>
      <c r="K7828" t="s">
        <v>1632</v>
      </c>
      <c r="L7828" t="s">
        <v>5965</v>
      </c>
      <c r="M7828" t="s">
        <v>1627</v>
      </c>
      <c r="N7828">
        <v>35.520000000000003</v>
      </c>
      <c r="O7828" s="49">
        <v>44365</v>
      </c>
      <c r="P7828" s="50">
        <v>302.89500000000004</v>
      </c>
    </row>
    <row r="7829" spans="4:16" x14ac:dyDescent="0.2">
      <c r="D7829">
        <v>100004655</v>
      </c>
      <c r="E7829" s="49">
        <v>44419</v>
      </c>
      <c r="F7829" t="s">
        <v>5966</v>
      </c>
      <c r="G7829" t="s">
        <v>1948</v>
      </c>
      <c r="H7829">
        <v>1</v>
      </c>
      <c r="I7829">
        <v>72.349999999999994</v>
      </c>
      <c r="J7829" s="50">
        <v>72.349999999999994</v>
      </c>
      <c r="K7829" t="s">
        <v>1632</v>
      </c>
      <c r="M7829" t="s">
        <v>1624</v>
      </c>
      <c r="N7829">
        <v>38.18</v>
      </c>
      <c r="O7829" s="49">
        <v>44420</v>
      </c>
      <c r="P7829" s="50">
        <v>32.557499999999997</v>
      </c>
    </row>
    <row r="7830" spans="4:16" x14ac:dyDescent="0.2">
      <c r="D7830">
        <v>100004655</v>
      </c>
      <c r="E7830" s="49">
        <v>44723</v>
      </c>
      <c r="F7830" t="s">
        <v>5966</v>
      </c>
      <c r="G7830" t="s">
        <v>2174</v>
      </c>
      <c r="H7830">
        <v>5</v>
      </c>
      <c r="I7830">
        <v>31.92</v>
      </c>
      <c r="J7830" s="50">
        <v>159.6</v>
      </c>
      <c r="K7830" t="s">
        <v>1632</v>
      </c>
      <c r="M7830" t="s">
        <v>1624</v>
      </c>
      <c r="N7830">
        <v>16.850000000000001</v>
      </c>
      <c r="O7830" s="49">
        <v>44724</v>
      </c>
      <c r="P7830" s="50">
        <v>71.819999999999993</v>
      </c>
    </row>
    <row r="7831" spans="4:16" x14ac:dyDescent="0.2">
      <c r="D7831">
        <v>100004657</v>
      </c>
      <c r="E7831" s="49">
        <v>44573</v>
      </c>
      <c r="F7831" t="s">
        <v>5967</v>
      </c>
      <c r="G7831" t="s">
        <v>1895</v>
      </c>
      <c r="H7831">
        <v>6</v>
      </c>
      <c r="I7831">
        <v>21.25</v>
      </c>
      <c r="J7831" s="50">
        <v>127.5</v>
      </c>
      <c r="K7831" t="s">
        <v>1632</v>
      </c>
      <c r="M7831" t="s">
        <v>1624</v>
      </c>
      <c r="N7831">
        <v>11.22</v>
      </c>
      <c r="O7831" s="49">
        <v>44576</v>
      </c>
      <c r="P7831" s="50">
        <v>57.375</v>
      </c>
    </row>
    <row r="7832" spans="4:16" x14ac:dyDescent="0.2">
      <c r="D7832">
        <v>100004659</v>
      </c>
      <c r="E7832" s="49">
        <v>45399</v>
      </c>
      <c r="F7832" t="s">
        <v>5968</v>
      </c>
      <c r="G7832" t="s">
        <v>2210</v>
      </c>
      <c r="H7832">
        <v>5</v>
      </c>
      <c r="I7832">
        <v>84.35</v>
      </c>
      <c r="J7832" s="50">
        <v>421.75</v>
      </c>
      <c r="K7832" t="s">
        <v>1618</v>
      </c>
      <c r="M7832" t="s">
        <v>1627</v>
      </c>
      <c r="N7832">
        <v>44.52</v>
      </c>
      <c r="O7832" s="49">
        <v>45402</v>
      </c>
      <c r="P7832" s="50">
        <v>189.78749999999999</v>
      </c>
    </row>
    <row r="7833" spans="4:16" x14ac:dyDescent="0.2">
      <c r="D7833">
        <v>100004660</v>
      </c>
      <c r="E7833" s="49">
        <v>45569</v>
      </c>
      <c r="F7833" t="s">
        <v>5969</v>
      </c>
      <c r="G7833" t="s">
        <v>2003</v>
      </c>
      <c r="H7833">
        <v>3</v>
      </c>
      <c r="I7833">
        <v>18.149999999999999</v>
      </c>
      <c r="J7833" s="50">
        <v>54.45</v>
      </c>
      <c r="K7833" t="s">
        <v>1632</v>
      </c>
      <c r="M7833" t="s">
        <v>1619</v>
      </c>
      <c r="N7833">
        <v>9.58</v>
      </c>
      <c r="O7833" s="49">
        <v>45571</v>
      </c>
      <c r="P7833" s="50">
        <v>24.502500000000001</v>
      </c>
    </row>
    <row r="7834" spans="4:16" x14ac:dyDescent="0.2">
      <c r="D7834">
        <v>100004660</v>
      </c>
      <c r="E7834" s="49">
        <v>45519</v>
      </c>
      <c r="F7834" t="s">
        <v>5969</v>
      </c>
      <c r="G7834" t="s">
        <v>1707</v>
      </c>
      <c r="H7834">
        <v>1</v>
      </c>
      <c r="I7834">
        <v>96.84</v>
      </c>
      <c r="J7834" s="50">
        <v>96.84</v>
      </c>
      <c r="K7834" t="s">
        <v>1632</v>
      </c>
      <c r="M7834" t="s">
        <v>1624</v>
      </c>
      <c r="N7834">
        <v>51.11</v>
      </c>
      <c r="O7834" s="49">
        <v>45524</v>
      </c>
      <c r="P7834" s="50">
        <v>43.578000000000003</v>
      </c>
    </row>
    <row r="7835" spans="4:16" x14ac:dyDescent="0.2">
      <c r="D7835">
        <v>100004660</v>
      </c>
      <c r="E7835" s="49">
        <v>45382</v>
      </c>
      <c r="F7835" t="s">
        <v>5969</v>
      </c>
      <c r="G7835" t="s">
        <v>1669</v>
      </c>
      <c r="H7835">
        <v>5</v>
      </c>
      <c r="I7835">
        <v>81.93</v>
      </c>
      <c r="J7835" s="50">
        <v>409.65</v>
      </c>
      <c r="K7835" t="s">
        <v>1632</v>
      </c>
      <c r="M7835" t="s">
        <v>1624</v>
      </c>
      <c r="N7835">
        <v>43.24</v>
      </c>
      <c r="O7835" s="49">
        <v>45385</v>
      </c>
      <c r="P7835" s="50">
        <v>184.3425</v>
      </c>
    </row>
    <row r="7836" spans="4:16" x14ac:dyDescent="0.2">
      <c r="D7836">
        <v>100004660</v>
      </c>
      <c r="E7836" s="49">
        <v>44893</v>
      </c>
      <c r="F7836" t="s">
        <v>5969</v>
      </c>
      <c r="G7836" t="s">
        <v>2217</v>
      </c>
      <c r="H7836">
        <v>9</v>
      </c>
      <c r="I7836">
        <v>100.19</v>
      </c>
      <c r="J7836" s="50">
        <v>901.71</v>
      </c>
      <c r="K7836" t="s">
        <v>1632</v>
      </c>
      <c r="M7836" t="s">
        <v>1621</v>
      </c>
      <c r="N7836">
        <v>52.88</v>
      </c>
      <c r="O7836" s="49">
        <v>44894</v>
      </c>
      <c r="P7836" s="50">
        <v>405.76950000000005</v>
      </c>
    </row>
    <row r="7837" spans="4:16" x14ac:dyDescent="0.2">
      <c r="D7837">
        <v>100004663</v>
      </c>
      <c r="E7837" s="49">
        <v>45336</v>
      </c>
      <c r="F7837" t="s">
        <v>5970</v>
      </c>
      <c r="G7837" t="s">
        <v>1623</v>
      </c>
      <c r="H7837">
        <v>7</v>
      </c>
      <c r="I7837">
        <v>79.22</v>
      </c>
      <c r="J7837" s="50">
        <v>554.54</v>
      </c>
      <c r="K7837" t="s">
        <v>1632</v>
      </c>
      <c r="L7837" t="s">
        <v>5794</v>
      </c>
      <c r="M7837" t="s">
        <v>1621</v>
      </c>
      <c r="N7837">
        <v>41.81</v>
      </c>
      <c r="O7837" s="49">
        <v>45340</v>
      </c>
      <c r="P7837" s="50">
        <v>249.54299999999998</v>
      </c>
    </row>
    <row r="7838" spans="4:16" x14ac:dyDescent="0.2">
      <c r="D7838">
        <v>100004664</v>
      </c>
      <c r="E7838" s="49">
        <v>45020</v>
      </c>
      <c r="F7838" t="s">
        <v>5971</v>
      </c>
      <c r="G7838" t="s">
        <v>1783</v>
      </c>
      <c r="H7838">
        <v>5</v>
      </c>
      <c r="I7838">
        <v>25.02</v>
      </c>
      <c r="J7838" s="50">
        <v>125.1</v>
      </c>
      <c r="K7838" t="s">
        <v>1618</v>
      </c>
      <c r="M7838" t="s">
        <v>1621</v>
      </c>
      <c r="N7838">
        <v>13.2</v>
      </c>
      <c r="O7838" s="49">
        <v>45021</v>
      </c>
      <c r="P7838" s="50">
        <v>56.295000000000002</v>
      </c>
    </row>
    <row r="7839" spans="4:16" x14ac:dyDescent="0.2">
      <c r="D7839">
        <v>100004666</v>
      </c>
      <c r="E7839" s="49">
        <v>44766</v>
      </c>
      <c r="F7839" t="s">
        <v>5972</v>
      </c>
      <c r="G7839" t="s">
        <v>1808</v>
      </c>
      <c r="H7839">
        <v>6</v>
      </c>
      <c r="I7839">
        <v>32.64</v>
      </c>
      <c r="J7839" s="50">
        <v>195.84</v>
      </c>
      <c r="K7839" t="s">
        <v>1618</v>
      </c>
      <c r="L7839" t="s">
        <v>5973</v>
      </c>
      <c r="M7839" t="s">
        <v>1629</v>
      </c>
      <c r="N7839">
        <v>17.23</v>
      </c>
      <c r="O7839" s="49">
        <v>44767</v>
      </c>
      <c r="P7839" s="50">
        <v>88.128</v>
      </c>
    </row>
    <row r="7840" spans="4:16" x14ac:dyDescent="0.2">
      <c r="D7840">
        <v>100004666</v>
      </c>
      <c r="E7840" s="49">
        <v>45336</v>
      </c>
      <c r="F7840" t="s">
        <v>5972</v>
      </c>
      <c r="G7840" t="s">
        <v>3075</v>
      </c>
      <c r="H7840">
        <v>9</v>
      </c>
      <c r="I7840">
        <v>97.74</v>
      </c>
      <c r="J7840" s="50">
        <v>879.66</v>
      </c>
      <c r="K7840" t="s">
        <v>1618</v>
      </c>
      <c r="L7840" t="s">
        <v>5973</v>
      </c>
      <c r="M7840" t="s">
        <v>1619</v>
      </c>
      <c r="N7840">
        <v>51.58</v>
      </c>
      <c r="O7840" s="49">
        <v>45337</v>
      </c>
      <c r="P7840" s="50">
        <v>395.84699999999998</v>
      </c>
    </row>
    <row r="7841" spans="4:16" x14ac:dyDescent="0.2">
      <c r="D7841">
        <v>100004666</v>
      </c>
      <c r="E7841" s="49">
        <v>44636</v>
      </c>
      <c r="F7841" t="s">
        <v>5972</v>
      </c>
      <c r="G7841" t="s">
        <v>1693</v>
      </c>
      <c r="H7841">
        <v>10</v>
      </c>
      <c r="I7841">
        <v>41.85</v>
      </c>
      <c r="J7841" s="50">
        <v>418.5</v>
      </c>
      <c r="K7841" t="s">
        <v>1618</v>
      </c>
      <c r="L7841" t="s">
        <v>5973</v>
      </c>
      <c r="M7841" t="s">
        <v>1627</v>
      </c>
      <c r="N7841">
        <v>22.09</v>
      </c>
      <c r="O7841" s="49">
        <v>44637</v>
      </c>
      <c r="P7841" s="50">
        <v>188.32500000000002</v>
      </c>
    </row>
    <row r="7842" spans="4:16" x14ac:dyDescent="0.2">
      <c r="D7842">
        <v>100004667</v>
      </c>
      <c r="E7842" s="49">
        <v>45545</v>
      </c>
      <c r="F7842" t="s">
        <v>5974</v>
      </c>
      <c r="G7842" t="s">
        <v>1730</v>
      </c>
      <c r="H7842">
        <v>9</v>
      </c>
      <c r="I7842">
        <v>68.150000000000006</v>
      </c>
      <c r="J7842" s="50">
        <v>613.35</v>
      </c>
      <c r="K7842" t="s">
        <v>1632</v>
      </c>
      <c r="M7842" t="s">
        <v>1621</v>
      </c>
      <c r="N7842">
        <v>35.97</v>
      </c>
      <c r="O7842" s="49">
        <v>45548</v>
      </c>
      <c r="P7842" s="50">
        <v>276.00749999999999</v>
      </c>
    </row>
    <row r="7843" spans="4:16" x14ac:dyDescent="0.2">
      <c r="D7843">
        <v>100004667</v>
      </c>
      <c r="E7843" s="49">
        <v>44622</v>
      </c>
      <c r="F7843" t="s">
        <v>5974</v>
      </c>
      <c r="G7843" t="s">
        <v>2331</v>
      </c>
      <c r="H7843">
        <v>5</v>
      </c>
      <c r="I7843">
        <v>62.19</v>
      </c>
      <c r="J7843" s="50">
        <v>310.95</v>
      </c>
      <c r="K7843" t="s">
        <v>1632</v>
      </c>
      <c r="M7843" t="s">
        <v>1627</v>
      </c>
      <c r="N7843">
        <v>32.82</v>
      </c>
      <c r="O7843" s="49">
        <v>44626</v>
      </c>
      <c r="P7843" s="50">
        <v>139.92750000000001</v>
      </c>
    </row>
    <row r="7844" spans="4:16" x14ac:dyDescent="0.2">
      <c r="D7844">
        <v>100004668</v>
      </c>
      <c r="E7844" s="49">
        <v>45459</v>
      </c>
      <c r="F7844" t="s">
        <v>5975</v>
      </c>
      <c r="G7844" t="s">
        <v>1715</v>
      </c>
      <c r="H7844">
        <v>8</v>
      </c>
      <c r="I7844">
        <v>32.380000000000003</v>
      </c>
      <c r="J7844" s="50">
        <v>259.04000000000002</v>
      </c>
      <c r="K7844" t="s">
        <v>1632</v>
      </c>
      <c r="M7844" t="s">
        <v>1624</v>
      </c>
      <c r="N7844">
        <v>17.09</v>
      </c>
      <c r="O7844" s="49">
        <v>45464</v>
      </c>
      <c r="P7844" s="50">
        <v>116.56800000000001</v>
      </c>
    </row>
    <row r="7845" spans="4:16" x14ac:dyDescent="0.2">
      <c r="D7845">
        <v>100004668</v>
      </c>
      <c r="E7845" s="49">
        <v>44277</v>
      </c>
      <c r="F7845" t="s">
        <v>5975</v>
      </c>
      <c r="G7845" t="s">
        <v>2707</v>
      </c>
      <c r="H7845">
        <v>9</v>
      </c>
      <c r="I7845">
        <v>49.49</v>
      </c>
      <c r="J7845" s="50">
        <v>445.41</v>
      </c>
      <c r="K7845" t="s">
        <v>1632</v>
      </c>
      <c r="M7845" t="s">
        <v>1621</v>
      </c>
      <c r="N7845">
        <v>26.12</v>
      </c>
      <c r="O7845" s="49">
        <v>44279</v>
      </c>
      <c r="P7845" s="50">
        <v>200.43450000000001</v>
      </c>
    </row>
    <row r="7846" spans="4:16" x14ac:dyDescent="0.2">
      <c r="D7846">
        <v>100004668</v>
      </c>
      <c r="E7846" s="49">
        <v>45600</v>
      </c>
      <c r="F7846" t="s">
        <v>5975</v>
      </c>
      <c r="G7846" t="s">
        <v>1944</v>
      </c>
      <c r="H7846">
        <v>2</v>
      </c>
      <c r="I7846">
        <v>24.1</v>
      </c>
      <c r="J7846" s="50">
        <v>48.2</v>
      </c>
      <c r="K7846" t="s">
        <v>1632</v>
      </c>
      <c r="M7846" t="s">
        <v>1619</v>
      </c>
      <c r="N7846">
        <v>12.72</v>
      </c>
      <c r="O7846" s="49">
        <v>45601</v>
      </c>
      <c r="P7846" s="50">
        <v>21.69</v>
      </c>
    </row>
    <row r="7847" spans="4:16" x14ac:dyDescent="0.2">
      <c r="D7847">
        <v>100004669</v>
      </c>
      <c r="E7847" s="49">
        <v>44427</v>
      </c>
      <c r="F7847" t="s">
        <v>3892</v>
      </c>
      <c r="G7847" t="s">
        <v>2158</v>
      </c>
      <c r="H7847">
        <v>3</v>
      </c>
      <c r="I7847">
        <v>102.29</v>
      </c>
      <c r="J7847" s="50">
        <v>306.87</v>
      </c>
      <c r="K7847" t="s">
        <v>1632</v>
      </c>
      <c r="M7847" t="s">
        <v>1629</v>
      </c>
      <c r="N7847">
        <v>53.99</v>
      </c>
      <c r="O7847" s="49">
        <v>44431</v>
      </c>
      <c r="P7847" s="50">
        <v>138.0915</v>
      </c>
    </row>
    <row r="7848" spans="4:16" x14ac:dyDescent="0.2">
      <c r="D7848">
        <v>100004670</v>
      </c>
      <c r="E7848" s="49">
        <v>44828</v>
      </c>
      <c r="F7848" t="s">
        <v>5976</v>
      </c>
      <c r="G7848" t="s">
        <v>1699</v>
      </c>
      <c r="H7848">
        <v>4</v>
      </c>
      <c r="I7848">
        <v>81.849999999999994</v>
      </c>
      <c r="J7848" s="50">
        <v>327.39999999999998</v>
      </c>
      <c r="K7848" t="s">
        <v>1618</v>
      </c>
      <c r="M7848" t="s">
        <v>1621</v>
      </c>
      <c r="N7848">
        <v>43.2</v>
      </c>
      <c r="O7848" s="49">
        <v>44830</v>
      </c>
      <c r="P7848" s="50">
        <v>147.32999999999998</v>
      </c>
    </row>
    <row r="7849" spans="4:16" x14ac:dyDescent="0.2">
      <c r="D7849">
        <v>100004670</v>
      </c>
      <c r="E7849" s="49">
        <v>45262</v>
      </c>
      <c r="F7849" t="s">
        <v>5976</v>
      </c>
      <c r="G7849" t="s">
        <v>1636</v>
      </c>
      <c r="H7849">
        <v>7</v>
      </c>
      <c r="I7849">
        <v>62.13</v>
      </c>
      <c r="J7849" s="50">
        <v>434.91</v>
      </c>
      <c r="K7849" t="s">
        <v>1618</v>
      </c>
      <c r="M7849" t="s">
        <v>1621</v>
      </c>
      <c r="N7849">
        <v>32.79</v>
      </c>
      <c r="O7849" s="49">
        <v>45263</v>
      </c>
      <c r="P7849" s="50">
        <v>195.70950000000002</v>
      </c>
    </row>
    <row r="7850" spans="4:16" x14ac:dyDescent="0.2">
      <c r="D7850">
        <v>100004672</v>
      </c>
      <c r="E7850" s="49">
        <v>44739</v>
      </c>
      <c r="F7850" t="s">
        <v>5977</v>
      </c>
      <c r="G7850" t="s">
        <v>2048</v>
      </c>
      <c r="H7850">
        <v>3</v>
      </c>
      <c r="I7850">
        <v>42.48</v>
      </c>
      <c r="J7850" s="50">
        <v>127.44</v>
      </c>
      <c r="K7850" t="s">
        <v>1632</v>
      </c>
      <c r="M7850" t="s">
        <v>1621</v>
      </c>
      <c r="N7850">
        <v>22.42</v>
      </c>
      <c r="O7850" s="49">
        <v>44743</v>
      </c>
      <c r="P7850" s="50">
        <v>57.347999999999999</v>
      </c>
    </row>
    <row r="7851" spans="4:16" x14ac:dyDescent="0.2">
      <c r="D7851">
        <v>100004673</v>
      </c>
      <c r="E7851" s="49">
        <v>45483</v>
      </c>
      <c r="F7851" t="s">
        <v>5978</v>
      </c>
      <c r="G7851" t="s">
        <v>2412</v>
      </c>
      <c r="H7851">
        <v>2</v>
      </c>
      <c r="I7851">
        <v>60.39</v>
      </c>
      <c r="J7851" s="50">
        <v>120.78</v>
      </c>
      <c r="K7851" t="s">
        <v>1618</v>
      </c>
      <c r="M7851" t="s">
        <v>1627</v>
      </c>
      <c r="N7851">
        <v>31.87</v>
      </c>
      <c r="O7851" s="49">
        <v>45486</v>
      </c>
      <c r="P7851" s="50">
        <v>54.350999999999999</v>
      </c>
    </row>
    <row r="7852" spans="4:16" x14ac:dyDescent="0.2">
      <c r="D7852">
        <v>100004673</v>
      </c>
      <c r="E7852" s="49">
        <v>44594</v>
      </c>
      <c r="F7852" t="s">
        <v>5978</v>
      </c>
      <c r="G7852" t="s">
        <v>2343</v>
      </c>
      <c r="H7852">
        <v>8</v>
      </c>
      <c r="I7852">
        <v>48.32</v>
      </c>
      <c r="J7852" s="50">
        <v>386.56</v>
      </c>
      <c r="K7852" t="s">
        <v>1618</v>
      </c>
      <c r="M7852" t="s">
        <v>1619</v>
      </c>
      <c r="N7852">
        <v>25.5</v>
      </c>
      <c r="O7852" s="49">
        <v>44597</v>
      </c>
      <c r="P7852" s="50">
        <v>173.952</v>
      </c>
    </row>
    <row r="7853" spans="4:16" x14ac:dyDescent="0.2">
      <c r="D7853">
        <v>100004674</v>
      </c>
      <c r="E7853" s="49">
        <v>44553</v>
      </c>
      <c r="F7853" t="s">
        <v>5979</v>
      </c>
      <c r="G7853" t="s">
        <v>1781</v>
      </c>
      <c r="H7853">
        <v>8</v>
      </c>
      <c r="I7853">
        <v>39.69</v>
      </c>
      <c r="J7853" s="50">
        <v>317.52</v>
      </c>
      <c r="K7853" t="s">
        <v>1618</v>
      </c>
      <c r="M7853" t="s">
        <v>1629</v>
      </c>
      <c r="N7853">
        <v>20.95</v>
      </c>
      <c r="O7853" s="49">
        <v>44555</v>
      </c>
      <c r="P7853" s="50">
        <v>142.88399999999999</v>
      </c>
    </row>
    <row r="7854" spans="4:16" x14ac:dyDescent="0.2">
      <c r="D7854">
        <v>100004676</v>
      </c>
      <c r="E7854" s="49">
        <v>44295</v>
      </c>
      <c r="F7854" t="s">
        <v>5980</v>
      </c>
      <c r="G7854" t="s">
        <v>1897</v>
      </c>
      <c r="H7854">
        <v>4</v>
      </c>
      <c r="I7854">
        <v>83.91</v>
      </c>
      <c r="J7854" s="50">
        <v>335.64</v>
      </c>
      <c r="K7854" t="s">
        <v>1618</v>
      </c>
      <c r="M7854" t="s">
        <v>1627</v>
      </c>
      <c r="N7854">
        <v>44.29</v>
      </c>
      <c r="O7854" s="49">
        <v>44299</v>
      </c>
      <c r="P7854" s="50">
        <v>151.03800000000001</v>
      </c>
    </row>
    <row r="7855" spans="4:16" x14ac:dyDescent="0.2">
      <c r="D7855">
        <v>100004676</v>
      </c>
      <c r="E7855" s="49">
        <v>45618</v>
      </c>
      <c r="F7855" t="s">
        <v>5980</v>
      </c>
      <c r="G7855" t="s">
        <v>2207</v>
      </c>
      <c r="H7855">
        <v>4</v>
      </c>
      <c r="I7855">
        <v>34.08</v>
      </c>
      <c r="J7855" s="50">
        <v>136.32</v>
      </c>
      <c r="K7855" t="s">
        <v>1618</v>
      </c>
      <c r="M7855" t="s">
        <v>1629</v>
      </c>
      <c r="N7855">
        <v>17.989999999999998</v>
      </c>
      <c r="O7855" s="49">
        <v>45620</v>
      </c>
      <c r="P7855" s="50">
        <v>61.344000000000001</v>
      </c>
    </row>
    <row r="7856" spans="4:16" x14ac:dyDescent="0.2">
      <c r="D7856">
        <v>100004676</v>
      </c>
      <c r="E7856" s="49">
        <v>45312</v>
      </c>
      <c r="F7856" t="s">
        <v>5980</v>
      </c>
      <c r="G7856" t="s">
        <v>1834</v>
      </c>
      <c r="H7856">
        <v>2</v>
      </c>
      <c r="I7856">
        <v>34.04</v>
      </c>
      <c r="J7856" s="50">
        <v>68.08</v>
      </c>
      <c r="K7856" t="s">
        <v>1618</v>
      </c>
      <c r="M7856" t="s">
        <v>1629</v>
      </c>
      <c r="N7856">
        <v>17.97</v>
      </c>
      <c r="O7856" s="49">
        <v>45313</v>
      </c>
      <c r="P7856" s="50">
        <v>30.635999999999999</v>
      </c>
    </row>
    <row r="7857" spans="4:16" x14ac:dyDescent="0.2">
      <c r="D7857">
        <v>100004677</v>
      </c>
      <c r="E7857" s="49">
        <v>45472</v>
      </c>
      <c r="F7857" t="s">
        <v>5981</v>
      </c>
      <c r="G7857" t="s">
        <v>2134</v>
      </c>
      <c r="H7857">
        <v>6</v>
      </c>
      <c r="I7857">
        <v>38.950000000000003</v>
      </c>
      <c r="J7857" s="50">
        <v>233.7</v>
      </c>
      <c r="K7857" t="s">
        <v>1632</v>
      </c>
      <c r="M7857" t="s">
        <v>1629</v>
      </c>
      <c r="N7857">
        <v>20.56</v>
      </c>
      <c r="O7857" s="49">
        <v>45474</v>
      </c>
      <c r="P7857" s="50">
        <v>105.16499999999999</v>
      </c>
    </row>
    <row r="7858" spans="4:16" x14ac:dyDescent="0.2">
      <c r="D7858">
        <v>100004677</v>
      </c>
      <c r="E7858" s="49">
        <v>45136</v>
      </c>
      <c r="F7858" t="s">
        <v>5981</v>
      </c>
      <c r="G7858" t="s">
        <v>1846</v>
      </c>
      <c r="H7858">
        <v>5</v>
      </c>
      <c r="I7858">
        <v>57.87</v>
      </c>
      <c r="J7858" s="50">
        <v>289.35000000000002</v>
      </c>
      <c r="K7858" t="s">
        <v>1632</v>
      </c>
      <c r="M7858" t="s">
        <v>1629</v>
      </c>
      <c r="N7858">
        <v>30.54</v>
      </c>
      <c r="O7858" s="49">
        <v>45139</v>
      </c>
      <c r="P7858" s="50">
        <v>130.20750000000001</v>
      </c>
    </row>
    <row r="7859" spans="4:16" x14ac:dyDescent="0.2">
      <c r="D7859">
        <v>100004677</v>
      </c>
      <c r="E7859" s="49">
        <v>44991</v>
      </c>
      <c r="F7859" t="s">
        <v>5981</v>
      </c>
      <c r="G7859" t="s">
        <v>1709</v>
      </c>
      <c r="H7859">
        <v>7</v>
      </c>
      <c r="I7859">
        <v>28.8</v>
      </c>
      <c r="J7859" s="50">
        <v>201.6</v>
      </c>
      <c r="K7859" t="s">
        <v>1632</v>
      </c>
      <c r="M7859" t="s">
        <v>1624</v>
      </c>
      <c r="N7859">
        <v>15.2</v>
      </c>
      <c r="O7859" s="49">
        <v>44996</v>
      </c>
      <c r="P7859" s="50">
        <v>90.72</v>
      </c>
    </row>
    <row r="7860" spans="4:16" x14ac:dyDescent="0.2">
      <c r="D7860">
        <v>100004678</v>
      </c>
      <c r="E7860" s="49">
        <v>44707</v>
      </c>
      <c r="F7860" t="s">
        <v>5982</v>
      </c>
      <c r="G7860" t="s">
        <v>2323</v>
      </c>
      <c r="H7860">
        <v>7</v>
      </c>
      <c r="I7860">
        <v>56.27</v>
      </c>
      <c r="J7860" s="50">
        <v>393.89</v>
      </c>
      <c r="K7860" t="s">
        <v>1618</v>
      </c>
      <c r="M7860" t="s">
        <v>1619</v>
      </c>
      <c r="N7860">
        <v>29.7</v>
      </c>
      <c r="O7860" s="49">
        <v>44711</v>
      </c>
      <c r="P7860" s="50">
        <v>177.25049999999999</v>
      </c>
    </row>
    <row r="7861" spans="4:16" x14ac:dyDescent="0.2">
      <c r="D7861">
        <v>100004678</v>
      </c>
      <c r="E7861" s="49">
        <v>44308</v>
      </c>
      <c r="F7861" t="s">
        <v>5982</v>
      </c>
      <c r="G7861" t="s">
        <v>1904</v>
      </c>
      <c r="H7861">
        <v>8</v>
      </c>
      <c r="I7861">
        <v>73.73</v>
      </c>
      <c r="J7861" s="50">
        <v>589.84</v>
      </c>
      <c r="K7861" t="s">
        <v>1618</v>
      </c>
      <c r="M7861" t="s">
        <v>1621</v>
      </c>
      <c r="N7861">
        <v>38.909999999999997</v>
      </c>
      <c r="O7861" s="49">
        <v>44309</v>
      </c>
      <c r="P7861" s="50">
        <v>265.428</v>
      </c>
    </row>
    <row r="7862" spans="4:16" x14ac:dyDescent="0.2">
      <c r="D7862">
        <v>100004682</v>
      </c>
      <c r="E7862" s="49">
        <v>45278</v>
      </c>
      <c r="F7862" t="s">
        <v>5983</v>
      </c>
      <c r="G7862" t="s">
        <v>2390</v>
      </c>
      <c r="H7862">
        <v>6</v>
      </c>
      <c r="I7862">
        <v>15.19</v>
      </c>
      <c r="J7862" s="50">
        <v>91.14</v>
      </c>
      <c r="K7862" t="s">
        <v>1618</v>
      </c>
      <c r="L7862" t="s">
        <v>4489</v>
      </c>
      <c r="M7862" t="s">
        <v>1624</v>
      </c>
      <c r="N7862">
        <v>8.02</v>
      </c>
      <c r="O7862" s="49">
        <v>45281</v>
      </c>
      <c r="P7862" s="50">
        <v>41.012999999999998</v>
      </c>
    </row>
    <row r="7863" spans="4:16" x14ac:dyDescent="0.2">
      <c r="D7863">
        <v>100004683</v>
      </c>
      <c r="E7863" s="49">
        <v>44759</v>
      </c>
      <c r="F7863" t="s">
        <v>5984</v>
      </c>
      <c r="G7863" t="s">
        <v>2331</v>
      </c>
      <c r="H7863">
        <v>1</v>
      </c>
      <c r="I7863">
        <v>101.84</v>
      </c>
      <c r="J7863" s="50">
        <v>101.84</v>
      </c>
      <c r="K7863" t="s">
        <v>1618</v>
      </c>
      <c r="M7863" t="s">
        <v>1624</v>
      </c>
      <c r="N7863">
        <v>53.75</v>
      </c>
      <c r="O7863" s="49">
        <v>44761</v>
      </c>
      <c r="P7863" s="50">
        <v>45.828000000000003</v>
      </c>
    </row>
    <row r="7864" spans="4:16" x14ac:dyDescent="0.2">
      <c r="D7864">
        <v>100004684</v>
      </c>
      <c r="E7864" s="49">
        <v>45592</v>
      </c>
      <c r="F7864" t="s">
        <v>5985</v>
      </c>
      <c r="G7864" t="s">
        <v>2004</v>
      </c>
      <c r="H7864">
        <v>4</v>
      </c>
      <c r="I7864">
        <v>113.18</v>
      </c>
      <c r="J7864" s="50">
        <v>452.72</v>
      </c>
      <c r="K7864" t="s">
        <v>1618</v>
      </c>
      <c r="L7864" t="s">
        <v>4435</v>
      </c>
      <c r="M7864" t="s">
        <v>1629</v>
      </c>
      <c r="N7864">
        <v>59.73</v>
      </c>
      <c r="O7864" s="49">
        <v>45597</v>
      </c>
      <c r="P7864" s="50">
        <v>203.72400000000002</v>
      </c>
    </row>
    <row r="7865" spans="4:16" x14ac:dyDescent="0.2">
      <c r="D7865">
        <v>100004684</v>
      </c>
      <c r="E7865" s="49">
        <v>45462</v>
      </c>
      <c r="F7865" t="s">
        <v>5985</v>
      </c>
      <c r="G7865" t="s">
        <v>1721</v>
      </c>
      <c r="H7865">
        <v>8</v>
      </c>
      <c r="I7865">
        <v>55.32</v>
      </c>
      <c r="J7865" s="50">
        <v>442.56</v>
      </c>
      <c r="K7865" t="s">
        <v>1618</v>
      </c>
      <c r="L7865" t="s">
        <v>4435</v>
      </c>
      <c r="M7865" t="s">
        <v>1619</v>
      </c>
      <c r="N7865">
        <v>29.2</v>
      </c>
      <c r="O7865" s="49">
        <v>45463</v>
      </c>
      <c r="P7865" s="50">
        <v>199.15200000000002</v>
      </c>
    </row>
    <row r="7866" spans="4:16" x14ac:dyDescent="0.2">
      <c r="D7866">
        <v>100004685</v>
      </c>
      <c r="E7866" s="49">
        <v>45268</v>
      </c>
      <c r="F7866" t="s">
        <v>5986</v>
      </c>
      <c r="G7866" t="s">
        <v>1628</v>
      </c>
      <c r="H7866">
        <v>9</v>
      </c>
      <c r="I7866">
        <v>95.81</v>
      </c>
      <c r="J7866" s="50">
        <v>862.29</v>
      </c>
      <c r="K7866" t="s">
        <v>1618</v>
      </c>
      <c r="M7866" t="s">
        <v>1621</v>
      </c>
      <c r="N7866">
        <v>50.57</v>
      </c>
      <c r="O7866" s="49">
        <v>45273</v>
      </c>
      <c r="P7866" s="50">
        <v>388.03050000000002</v>
      </c>
    </row>
    <row r="7867" spans="4:16" x14ac:dyDescent="0.2">
      <c r="D7867">
        <v>100004685</v>
      </c>
      <c r="E7867" s="49">
        <v>44548</v>
      </c>
      <c r="F7867" t="s">
        <v>5986</v>
      </c>
      <c r="G7867" t="s">
        <v>1777</v>
      </c>
      <c r="H7867">
        <v>2</v>
      </c>
      <c r="I7867">
        <v>81.72</v>
      </c>
      <c r="J7867" s="50">
        <v>163.44</v>
      </c>
      <c r="K7867" t="s">
        <v>1618</v>
      </c>
      <c r="M7867" t="s">
        <v>1621</v>
      </c>
      <c r="N7867">
        <v>43.13</v>
      </c>
      <c r="O7867" s="49">
        <v>44552</v>
      </c>
      <c r="P7867" s="50">
        <v>73.548000000000002</v>
      </c>
    </row>
    <row r="7868" spans="4:16" x14ac:dyDescent="0.2">
      <c r="D7868">
        <v>100004686</v>
      </c>
      <c r="E7868" s="49">
        <v>45338</v>
      </c>
      <c r="F7868" t="s">
        <v>5987</v>
      </c>
      <c r="G7868" t="s">
        <v>2161</v>
      </c>
      <c r="H7868">
        <v>3</v>
      </c>
      <c r="I7868">
        <v>94.06</v>
      </c>
      <c r="J7868" s="50">
        <v>282.18</v>
      </c>
      <c r="K7868" t="s">
        <v>1618</v>
      </c>
      <c r="M7868" t="s">
        <v>1621</v>
      </c>
      <c r="N7868">
        <v>49.64</v>
      </c>
      <c r="O7868" s="49">
        <v>45339</v>
      </c>
      <c r="P7868" s="50">
        <v>126.98100000000001</v>
      </c>
    </row>
    <row r="7869" spans="4:16" x14ac:dyDescent="0.2">
      <c r="D7869">
        <v>100004688</v>
      </c>
      <c r="E7869" s="49">
        <v>44205</v>
      </c>
      <c r="F7869" t="s">
        <v>5988</v>
      </c>
      <c r="G7869" t="s">
        <v>1626</v>
      </c>
      <c r="H7869">
        <v>7</v>
      </c>
      <c r="I7869">
        <v>62.48</v>
      </c>
      <c r="J7869" s="50">
        <v>437.36</v>
      </c>
      <c r="K7869" t="s">
        <v>1632</v>
      </c>
      <c r="M7869" t="s">
        <v>1621</v>
      </c>
      <c r="N7869">
        <v>32.979999999999997</v>
      </c>
      <c r="O7869" s="49">
        <v>44208</v>
      </c>
      <c r="P7869" s="50">
        <v>196.81200000000001</v>
      </c>
    </row>
    <row r="7870" spans="4:16" x14ac:dyDescent="0.2">
      <c r="D7870">
        <v>100004688</v>
      </c>
      <c r="E7870" s="49">
        <v>44849</v>
      </c>
      <c r="F7870" t="s">
        <v>5988</v>
      </c>
      <c r="G7870" t="s">
        <v>2762</v>
      </c>
      <c r="H7870">
        <v>9</v>
      </c>
      <c r="I7870">
        <v>61.57</v>
      </c>
      <c r="J7870" s="50">
        <v>554.13</v>
      </c>
      <c r="K7870" t="s">
        <v>1632</v>
      </c>
      <c r="M7870" t="s">
        <v>1629</v>
      </c>
      <c r="N7870">
        <v>32.5</v>
      </c>
      <c r="O7870" s="49">
        <v>44854</v>
      </c>
      <c r="P7870" s="50">
        <v>249.35849999999999</v>
      </c>
    </row>
    <row r="7871" spans="4:16" x14ac:dyDescent="0.2">
      <c r="D7871">
        <v>100004688</v>
      </c>
      <c r="E7871" s="49">
        <v>44467</v>
      </c>
      <c r="F7871" t="s">
        <v>5988</v>
      </c>
      <c r="G7871" t="s">
        <v>2060</v>
      </c>
      <c r="H7871">
        <v>7</v>
      </c>
      <c r="I7871">
        <v>77.83</v>
      </c>
      <c r="J7871" s="50">
        <v>544.80999999999995</v>
      </c>
      <c r="K7871" t="s">
        <v>1632</v>
      </c>
      <c r="M7871" t="s">
        <v>1629</v>
      </c>
      <c r="N7871">
        <v>41.08</v>
      </c>
      <c r="O7871" s="49">
        <v>44469</v>
      </c>
      <c r="P7871" s="50">
        <v>245.16449999999998</v>
      </c>
    </row>
    <row r="7872" spans="4:16" x14ac:dyDescent="0.2">
      <c r="D7872">
        <v>100004689</v>
      </c>
      <c r="E7872" s="49">
        <v>45162</v>
      </c>
      <c r="F7872" t="s">
        <v>5989</v>
      </c>
      <c r="G7872" t="s">
        <v>1700</v>
      </c>
      <c r="H7872">
        <v>2</v>
      </c>
      <c r="I7872">
        <v>73.790000000000006</v>
      </c>
      <c r="J7872" s="50">
        <v>147.58000000000001</v>
      </c>
      <c r="K7872" t="s">
        <v>1632</v>
      </c>
      <c r="M7872" t="s">
        <v>1624</v>
      </c>
      <c r="N7872">
        <v>38.94</v>
      </c>
      <c r="O7872" s="49">
        <v>45164</v>
      </c>
      <c r="P7872" s="50">
        <v>66.411000000000001</v>
      </c>
    </row>
    <row r="7873" spans="4:16" x14ac:dyDescent="0.2">
      <c r="D7873">
        <v>100004689</v>
      </c>
      <c r="E7873" s="49">
        <v>45546</v>
      </c>
      <c r="F7873" t="s">
        <v>5989</v>
      </c>
      <c r="G7873" t="s">
        <v>2375</v>
      </c>
      <c r="H7873">
        <v>3</v>
      </c>
      <c r="I7873">
        <v>16.93</v>
      </c>
      <c r="J7873" s="50">
        <v>50.79</v>
      </c>
      <c r="K7873" t="s">
        <v>1632</v>
      </c>
      <c r="M7873" t="s">
        <v>1624</v>
      </c>
      <c r="N7873">
        <v>8.94</v>
      </c>
      <c r="O7873" s="49">
        <v>45548</v>
      </c>
      <c r="P7873" s="50">
        <v>22.855499999999999</v>
      </c>
    </row>
    <row r="7874" spans="4:16" x14ac:dyDescent="0.2">
      <c r="D7874">
        <v>100004690</v>
      </c>
      <c r="E7874" s="49">
        <v>45350</v>
      </c>
      <c r="F7874" t="s">
        <v>5990</v>
      </c>
      <c r="G7874" t="s">
        <v>2302</v>
      </c>
      <c r="H7874">
        <v>8</v>
      </c>
      <c r="I7874">
        <v>54.61</v>
      </c>
      <c r="J7874" s="50">
        <v>436.88</v>
      </c>
      <c r="K7874" t="s">
        <v>1618</v>
      </c>
      <c r="M7874" t="s">
        <v>1621</v>
      </c>
      <c r="N7874">
        <v>28.82</v>
      </c>
      <c r="O7874" s="49">
        <v>45354</v>
      </c>
      <c r="P7874" s="50">
        <v>196.596</v>
      </c>
    </row>
    <row r="7875" spans="4:16" x14ac:dyDescent="0.2">
      <c r="D7875">
        <v>100004690</v>
      </c>
      <c r="E7875" s="49">
        <v>45271</v>
      </c>
      <c r="F7875" t="s">
        <v>5990</v>
      </c>
      <c r="G7875" t="s">
        <v>1932</v>
      </c>
      <c r="H7875">
        <v>3</v>
      </c>
      <c r="I7875">
        <v>71.099999999999994</v>
      </c>
      <c r="J7875" s="50">
        <v>213.3</v>
      </c>
      <c r="K7875" t="s">
        <v>1618</v>
      </c>
      <c r="M7875" t="s">
        <v>1621</v>
      </c>
      <c r="N7875">
        <v>37.520000000000003</v>
      </c>
      <c r="O7875" s="49">
        <v>45276</v>
      </c>
      <c r="P7875" s="50">
        <v>95.985000000000014</v>
      </c>
    </row>
    <row r="7876" spans="4:16" x14ac:dyDescent="0.2">
      <c r="D7876">
        <v>100004691</v>
      </c>
      <c r="E7876" s="49">
        <v>44938</v>
      </c>
      <c r="F7876" t="s">
        <v>5991</v>
      </c>
      <c r="G7876" t="s">
        <v>1686</v>
      </c>
      <c r="H7876">
        <v>7</v>
      </c>
      <c r="I7876">
        <v>27.1</v>
      </c>
      <c r="J7876" s="50">
        <v>189.7</v>
      </c>
      <c r="K7876" t="s">
        <v>1632</v>
      </c>
      <c r="M7876" t="s">
        <v>1624</v>
      </c>
      <c r="N7876">
        <v>14.3</v>
      </c>
      <c r="O7876" s="49">
        <v>44942</v>
      </c>
      <c r="P7876" s="50">
        <v>85.364999999999995</v>
      </c>
    </row>
    <row r="7877" spans="4:16" x14ac:dyDescent="0.2">
      <c r="D7877">
        <v>100004693</v>
      </c>
      <c r="E7877" s="49">
        <v>44466</v>
      </c>
      <c r="F7877" t="s">
        <v>5992</v>
      </c>
      <c r="G7877" t="s">
        <v>1872</v>
      </c>
      <c r="H7877">
        <v>7</v>
      </c>
      <c r="I7877">
        <v>51.83</v>
      </c>
      <c r="J7877" s="50">
        <v>362.81</v>
      </c>
      <c r="K7877" t="s">
        <v>1632</v>
      </c>
      <c r="M7877" t="s">
        <v>1629</v>
      </c>
      <c r="N7877">
        <v>27.35</v>
      </c>
      <c r="O7877" s="49">
        <v>44470</v>
      </c>
      <c r="P7877" s="50">
        <v>163.2645</v>
      </c>
    </row>
    <row r="7878" spans="4:16" x14ac:dyDescent="0.2">
      <c r="D7878">
        <v>100004693</v>
      </c>
      <c r="E7878" s="49">
        <v>45652</v>
      </c>
      <c r="F7878" t="s">
        <v>5992</v>
      </c>
      <c r="G7878" t="s">
        <v>1752</v>
      </c>
      <c r="H7878">
        <v>8</v>
      </c>
      <c r="I7878">
        <v>13.74</v>
      </c>
      <c r="J7878" s="50">
        <v>109.92</v>
      </c>
      <c r="K7878" t="s">
        <v>1632</v>
      </c>
      <c r="M7878" t="s">
        <v>1629</v>
      </c>
      <c r="N7878">
        <v>7.25</v>
      </c>
      <c r="O7878" s="49">
        <v>45654</v>
      </c>
      <c r="P7878" s="50">
        <v>49.463999999999999</v>
      </c>
    </row>
    <row r="7879" spans="4:16" x14ac:dyDescent="0.2">
      <c r="D7879">
        <v>100004693</v>
      </c>
      <c r="E7879" s="49">
        <v>45653</v>
      </c>
      <c r="F7879" t="s">
        <v>5992</v>
      </c>
      <c r="G7879" t="s">
        <v>2068</v>
      </c>
      <c r="H7879">
        <v>9</v>
      </c>
      <c r="I7879">
        <v>102.42</v>
      </c>
      <c r="J7879" s="50">
        <v>921.78</v>
      </c>
      <c r="K7879" t="s">
        <v>1632</v>
      </c>
      <c r="M7879" t="s">
        <v>1627</v>
      </c>
      <c r="N7879">
        <v>54.05</v>
      </c>
      <c r="O7879" s="49">
        <v>45657</v>
      </c>
      <c r="P7879" s="50">
        <v>414.80099999999999</v>
      </c>
    </row>
    <row r="7880" spans="4:16" x14ac:dyDescent="0.2">
      <c r="D7880">
        <v>100004693</v>
      </c>
      <c r="E7880" s="49">
        <v>44628</v>
      </c>
      <c r="F7880" t="s">
        <v>5992</v>
      </c>
      <c r="G7880" t="s">
        <v>3075</v>
      </c>
      <c r="H7880">
        <v>4</v>
      </c>
      <c r="I7880">
        <v>19.62</v>
      </c>
      <c r="J7880" s="50">
        <v>78.48</v>
      </c>
      <c r="K7880" t="s">
        <v>1632</v>
      </c>
      <c r="M7880" t="s">
        <v>1621</v>
      </c>
      <c r="N7880">
        <v>10.35</v>
      </c>
      <c r="O7880" s="49">
        <v>44632</v>
      </c>
      <c r="P7880" s="50">
        <v>35.316000000000003</v>
      </c>
    </row>
    <row r="7881" spans="4:16" x14ac:dyDescent="0.2">
      <c r="D7881">
        <v>100004693</v>
      </c>
      <c r="E7881" s="49">
        <v>45525</v>
      </c>
      <c r="F7881" t="s">
        <v>5992</v>
      </c>
      <c r="G7881" t="s">
        <v>1710</v>
      </c>
      <c r="H7881">
        <v>3</v>
      </c>
      <c r="I7881">
        <v>27.17</v>
      </c>
      <c r="J7881" s="50">
        <v>81.510000000000005</v>
      </c>
      <c r="K7881" t="s">
        <v>1632</v>
      </c>
      <c r="M7881" t="s">
        <v>1624</v>
      </c>
      <c r="N7881">
        <v>14.34</v>
      </c>
      <c r="O7881" s="49">
        <v>45526</v>
      </c>
      <c r="P7881" s="50">
        <v>36.679500000000004</v>
      </c>
    </row>
    <row r="7882" spans="4:16" x14ac:dyDescent="0.2">
      <c r="D7882">
        <v>100004693</v>
      </c>
      <c r="E7882" s="49">
        <v>45561</v>
      </c>
      <c r="F7882" t="s">
        <v>5992</v>
      </c>
      <c r="G7882" t="s">
        <v>1777</v>
      </c>
      <c r="H7882">
        <v>6</v>
      </c>
      <c r="I7882">
        <v>23.51</v>
      </c>
      <c r="J7882" s="50">
        <v>141.06</v>
      </c>
      <c r="K7882" t="s">
        <v>1632</v>
      </c>
      <c r="M7882" t="s">
        <v>1619</v>
      </c>
      <c r="N7882">
        <v>12.41</v>
      </c>
      <c r="O7882" s="49">
        <v>45563</v>
      </c>
      <c r="P7882" s="50">
        <v>63.477000000000004</v>
      </c>
    </row>
    <row r="7883" spans="4:16" x14ac:dyDescent="0.2">
      <c r="D7883">
        <v>100004695</v>
      </c>
      <c r="E7883" s="49">
        <v>45640</v>
      </c>
      <c r="F7883" t="s">
        <v>5993</v>
      </c>
      <c r="G7883" t="s">
        <v>1950</v>
      </c>
      <c r="H7883">
        <v>8</v>
      </c>
      <c r="I7883">
        <v>96.5</v>
      </c>
      <c r="J7883" s="50">
        <v>772</v>
      </c>
      <c r="K7883" t="s">
        <v>1632</v>
      </c>
      <c r="M7883" t="s">
        <v>1619</v>
      </c>
      <c r="N7883">
        <v>50.93</v>
      </c>
      <c r="O7883" s="49">
        <v>45643</v>
      </c>
      <c r="P7883" s="50">
        <v>347.40000000000003</v>
      </c>
    </row>
    <row r="7884" spans="4:16" x14ac:dyDescent="0.2">
      <c r="D7884">
        <v>100004696</v>
      </c>
      <c r="E7884" s="49">
        <v>44720</v>
      </c>
      <c r="F7884" t="s">
        <v>5994</v>
      </c>
      <c r="G7884" t="s">
        <v>1842</v>
      </c>
      <c r="H7884">
        <v>3</v>
      </c>
      <c r="I7884">
        <v>70.489999999999995</v>
      </c>
      <c r="J7884" s="50">
        <v>211.47</v>
      </c>
      <c r="K7884" t="s">
        <v>1632</v>
      </c>
      <c r="L7884" t="s">
        <v>5995</v>
      </c>
      <c r="M7884" t="s">
        <v>1619</v>
      </c>
      <c r="N7884">
        <v>37.200000000000003</v>
      </c>
      <c r="O7884" s="49">
        <v>44723</v>
      </c>
      <c r="P7884" s="50">
        <v>95.161500000000004</v>
      </c>
    </row>
    <row r="7885" spans="4:16" x14ac:dyDescent="0.2">
      <c r="D7885">
        <v>100004696</v>
      </c>
      <c r="E7885" s="49">
        <v>44795</v>
      </c>
      <c r="F7885" t="s">
        <v>5994</v>
      </c>
      <c r="G7885" t="s">
        <v>1895</v>
      </c>
      <c r="H7885">
        <v>6</v>
      </c>
      <c r="I7885">
        <v>107.18</v>
      </c>
      <c r="J7885" s="50">
        <v>643.08000000000004</v>
      </c>
      <c r="K7885" t="s">
        <v>1632</v>
      </c>
      <c r="L7885" t="s">
        <v>5995</v>
      </c>
      <c r="M7885" t="s">
        <v>1629</v>
      </c>
      <c r="N7885">
        <v>56.57</v>
      </c>
      <c r="O7885" s="49">
        <v>44797</v>
      </c>
      <c r="P7885" s="50">
        <v>289.38600000000002</v>
      </c>
    </row>
    <row r="7886" spans="4:16" x14ac:dyDescent="0.2">
      <c r="D7886">
        <v>100004697</v>
      </c>
      <c r="E7886" s="49">
        <v>45446</v>
      </c>
      <c r="F7886" t="s">
        <v>5996</v>
      </c>
      <c r="G7886" t="s">
        <v>1620</v>
      </c>
      <c r="H7886">
        <v>2</v>
      </c>
      <c r="I7886">
        <v>91.3</v>
      </c>
      <c r="J7886" s="50">
        <v>182.6</v>
      </c>
      <c r="K7886" t="s">
        <v>1632</v>
      </c>
      <c r="M7886" t="s">
        <v>1627</v>
      </c>
      <c r="N7886">
        <v>48.19</v>
      </c>
      <c r="O7886" s="49">
        <v>45449</v>
      </c>
      <c r="P7886" s="50">
        <v>82.17</v>
      </c>
    </row>
    <row r="7887" spans="4:16" x14ac:dyDescent="0.2">
      <c r="D7887">
        <v>100004697</v>
      </c>
      <c r="E7887" s="49">
        <v>44980</v>
      </c>
      <c r="F7887" t="s">
        <v>5996</v>
      </c>
      <c r="G7887" t="s">
        <v>1762</v>
      </c>
      <c r="H7887">
        <v>5</v>
      </c>
      <c r="I7887">
        <v>14.9</v>
      </c>
      <c r="J7887" s="50">
        <v>74.5</v>
      </c>
      <c r="K7887" t="s">
        <v>1632</v>
      </c>
      <c r="M7887" t="s">
        <v>1621</v>
      </c>
      <c r="N7887">
        <v>7.86</v>
      </c>
      <c r="O7887" s="49">
        <v>44981</v>
      </c>
      <c r="P7887" s="50">
        <v>33.524999999999999</v>
      </c>
    </row>
    <row r="7888" spans="4:16" x14ac:dyDescent="0.2">
      <c r="D7888">
        <v>100004697</v>
      </c>
      <c r="E7888" s="49">
        <v>45101</v>
      </c>
      <c r="F7888" t="s">
        <v>5996</v>
      </c>
      <c r="G7888" t="s">
        <v>1742</v>
      </c>
      <c r="H7888">
        <v>9</v>
      </c>
      <c r="I7888">
        <v>58.16</v>
      </c>
      <c r="J7888" s="50">
        <v>523.43999999999994</v>
      </c>
      <c r="K7888" t="s">
        <v>1632</v>
      </c>
      <c r="M7888" t="s">
        <v>1624</v>
      </c>
      <c r="N7888">
        <v>30.7</v>
      </c>
      <c r="O7888" s="49">
        <v>45102</v>
      </c>
      <c r="P7888" s="50">
        <v>235.54799999999997</v>
      </c>
    </row>
    <row r="7889" spans="4:16" x14ac:dyDescent="0.2">
      <c r="D7889">
        <v>100004697</v>
      </c>
      <c r="E7889" s="49">
        <v>44367</v>
      </c>
      <c r="F7889" t="s">
        <v>5996</v>
      </c>
      <c r="G7889" t="s">
        <v>1900</v>
      </c>
      <c r="H7889">
        <v>3</v>
      </c>
      <c r="I7889">
        <v>67.86</v>
      </c>
      <c r="J7889" s="50">
        <v>203.58</v>
      </c>
      <c r="K7889" t="s">
        <v>1632</v>
      </c>
      <c r="M7889" t="s">
        <v>1624</v>
      </c>
      <c r="N7889">
        <v>35.81</v>
      </c>
      <c r="O7889" s="49">
        <v>44370</v>
      </c>
      <c r="P7889" s="50">
        <v>91.611000000000004</v>
      </c>
    </row>
    <row r="7890" spans="4:16" x14ac:dyDescent="0.2">
      <c r="D7890">
        <v>100004697</v>
      </c>
      <c r="E7890" s="49">
        <v>44979</v>
      </c>
      <c r="F7890" t="s">
        <v>5996</v>
      </c>
      <c r="G7890" t="s">
        <v>1885</v>
      </c>
      <c r="H7890">
        <v>1</v>
      </c>
      <c r="I7890">
        <v>115.56</v>
      </c>
      <c r="J7890" s="50">
        <v>115.56</v>
      </c>
      <c r="K7890" t="s">
        <v>1632</v>
      </c>
      <c r="M7890" t="s">
        <v>1624</v>
      </c>
      <c r="N7890">
        <v>60.99</v>
      </c>
      <c r="O7890" s="49">
        <v>44982</v>
      </c>
      <c r="P7890" s="50">
        <v>52.002000000000002</v>
      </c>
    </row>
    <row r="7891" spans="4:16" x14ac:dyDescent="0.2">
      <c r="D7891">
        <v>100004699</v>
      </c>
      <c r="E7891" s="49">
        <v>45226</v>
      </c>
      <c r="F7891" t="s">
        <v>4740</v>
      </c>
      <c r="G7891" t="s">
        <v>1691</v>
      </c>
      <c r="H7891">
        <v>10</v>
      </c>
      <c r="I7891">
        <v>52.06</v>
      </c>
      <c r="J7891" s="50">
        <v>520.6</v>
      </c>
      <c r="K7891" t="s">
        <v>1618</v>
      </c>
      <c r="M7891" t="s">
        <v>1624</v>
      </c>
      <c r="N7891">
        <v>27.48</v>
      </c>
      <c r="O7891" s="49">
        <v>45228</v>
      </c>
      <c r="P7891" s="50">
        <v>234.27</v>
      </c>
    </row>
    <row r="7892" spans="4:16" x14ac:dyDescent="0.2">
      <c r="D7892">
        <v>100004701</v>
      </c>
      <c r="E7892" s="49">
        <v>45133</v>
      </c>
      <c r="F7892" t="s">
        <v>5997</v>
      </c>
      <c r="G7892" t="s">
        <v>1672</v>
      </c>
      <c r="H7892">
        <v>5</v>
      </c>
      <c r="I7892">
        <v>44.21</v>
      </c>
      <c r="J7892" s="50">
        <v>221.05</v>
      </c>
      <c r="K7892" t="s">
        <v>1618</v>
      </c>
      <c r="L7892" t="s">
        <v>4992</v>
      </c>
      <c r="M7892" t="s">
        <v>1624</v>
      </c>
      <c r="N7892">
        <v>23.33</v>
      </c>
      <c r="O7892" s="49">
        <v>45136</v>
      </c>
      <c r="P7892" s="50">
        <v>99.472500000000011</v>
      </c>
    </row>
    <row r="7893" spans="4:16" x14ac:dyDescent="0.2">
      <c r="D7893">
        <v>100004701</v>
      </c>
      <c r="E7893" s="49">
        <v>44744</v>
      </c>
      <c r="F7893" t="s">
        <v>5997</v>
      </c>
      <c r="G7893" t="s">
        <v>2174</v>
      </c>
      <c r="H7893">
        <v>4</v>
      </c>
      <c r="I7893">
        <v>60.58</v>
      </c>
      <c r="J7893" s="50">
        <v>242.32</v>
      </c>
      <c r="K7893" t="s">
        <v>1618</v>
      </c>
      <c r="L7893" t="s">
        <v>4992</v>
      </c>
      <c r="M7893" t="s">
        <v>1619</v>
      </c>
      <c r="N7893">
        <v>31.97</v>
      </c>
      <c r="O7893" s="49">
        <v>44749</v>
      </c>
      <c r="P7893" s="50">
        <v>109.044</v>
      </c>
    </row>
    <row r="7894" spans="4:16" x14ac:dyDescent="0.2">
      <c r="D7894">
        <v>100004701</v>
      </c>
      <c r="E7894" s="49">
        <v>44303</v>
      </c>
      <c r="F7894" t="s">
        <v>5997</v>
      </c>
      <c r="G7894" t="s">
        <v>1817</v>
      </c>
      <c r="H7894">
        <v>10</v>
      </c>
      <c r="I7894">
        <v>12.91</v>
      </c>
      <c r="J7894" s="50">
        <v>129.1</v>
      </c>
      <c r="K7894" t="s">
        <v>1618</v>
      </c>
      <c r="L7894" t="s">
        <v>4992</v>
      </c>
      <c r="M7894" t="s">
        <v>1629</v>
      </c>
      <c r="N7894">
        <v>6.81</v>
      </c>
      <c r="O7894" s="49">
        <v>44307</v>
      </c>
      <c r="P7894" s="50">
        <v>58.094999999999999</v>
      </c>
    </row>
    <row r="7895" spans="4:16" x14ac:dyDescent="0.2">
      <c r="D7895">
        <v>100004701</v>
      </c>
      <c r="E7895" s="49">
        <v>44814</v>
      </c>
      <c r="F7895" t="s">
        <v>5997</v>
      </c>
      <c r="G7895" t="s">
        <v>2111</v>
      </c>
      <c r="H7895">
        <v>8</v>
      </c>
      <c r="I7895">
        <v>93.59</v>
      </c>
      <c r="J7895" s="50">
        <v>748.72</v>
      </c>
      <c r="K7895" t="s">
        <v>1618</v>
      </c>
      <c r="L7895" t="s">
        <v>4992</v>
      </c>
      <c r="M7895" t="s">
        <v>1629</v>
      </c>
      <c r="N7895">
        <v>49.39</v>
      </c>
      <c r="O7895" s="49">
        <v>44818</v>
      </c>
      <c r="P7895" s="50">
        <v>336.92400000000004</v>
      </c>
    </row>
    <row r="7896" spans="4:16" x14ac:dyDescent="0.2">
      <c r="D7896">
        <v>100004701</v>
      </c>
      <c r="E7896" s="49">
        <v>44312</v>
      </c>
      <c r="F7896" t="s">
        <v>5997</v>
      </c>
      <c r="G7896" t="s">
        <v>1658</v>
      </c>
      <c r="H7896">
        <v>4</v>
      </c>
      <c r="I7896">
        <v>104.1</v>
      </c>
      <c r="J7896" s="50">
        <v>416.4</v>
      </c>
      <c r="K7896" t="s">
        <v>1618</v>
      </c>
      <c r="L7896" t="s">
        <v>4992</v>
      </c>
      <c r="M7896" t="s">
        <v>1627</v>
      </c>
      <c r="N7896">
        <v>54.94</v>
      </c>
      <c r="O7896" s="49">
        <v>44315</v>
      </c>
      <c r="P7896" s="50">
        <v>187.38</v>
      </c>
    </row>
    <row r="7897" spans="4:16" x14ac:dyDescent="0.2">
      <c r="D7897">
        <v>100004701</v>
      </c>
      <c r="E7897" s="49">
        <v>44448</v>
      </c>
      <c r="F7897" t="s">
        <v>5997</v>
      </c>
      <c r="G7897" t="s">
        <v>2168</v>
      </c>
      <c r="H7897">
        <v>9</v>
      </c>
      <c r="I7897">
        <v>97.45</v>
      </c>
      <c r="J7897" s="50">
        <v>877.05000000000007</v>
      </c>
      <c r="K7897" t="s">
        <v>1618</v>
      </c>
      <c r="L7897" t="s">
        <v>4992</v>
      </c>
      <c r="M7897" t="s">
        <v>1627</v>
      </c>
      <c r="N7897">
        <v>51.43</v>
      </c>
      <c r="O7897" s="49">
        <v>44452</v>
      </c>
      <c r="P7897" s="50">
        <v>394.67250000000001</v>
      </c>
    </row>
    <row r="7898" spans="4:16" x14ac:dyDescent="0.2">
      <c r="D7898">
        <v>100004702</v>
      </c>
      <c r="E7898" s="49">
        <v>44840</v>
      </c>
      <c r="F7898" t="s">
        <v>5998</v>
      </c>
      <c r="G7898" t="s">
        <v>2574</v>
      </c>
      <c r="H7898">
        <v>6</v>
      </c>
      <c r="I7898">
        <v>42.87</v>
      </c>
      <c r="J7898" s="50">
        <v>257.22000000000003</v>
      </c>
      <c r="K7898" t="s">
        <v>1618</v>
      </c>
      <c r="M7898" t="s">
        <v>1624</v>
      </c>
      <c r="N7898">
        <v>22.63</v>
      </c>
      <c r="O7898" s="49">
        <v>44841</v>
      </c>
      <c r="P7898" s="50">
        <v>115.74900000000001</v>
      </c>
    </row>
    <row r="7899" spans="4:16" x14ac:dyDescent="0.2">
      <c r="D7899">
        <v>100004702</v>
      </c>
      <c r="E7899" s="49">
        <v>45216</v>
      </c>
      <c r="F7899" t="s">
        <v>5998</v>
      </c>
      <c r="G7899" t="s">
        <v>1874</v>
      </c>
      <c r="H7899">
        <v>9</v>
      </c>
      <c r="I7899">
        <v>65.73</v>
      </c>
      <c r="J7899" s="50">
        <v>591.57000000000005</v>
      </c>
      <c r="K7899" t="s">
        <v>1618</v>
      </c>
      <c r="M7899" t="s">
        <v>1629</v>
      </c>
      <c r="N7899">
        <v>34.69</v>
      </c>
      <c r="O7899" s="49">
        <v>45219</v>
      </c>
      <c r="P7899" s="50">
        <v>266.20650000000001</v>
      </c>
    </row>
    <row r="7900" spans="4:16" x14ac:dyDescent="0.2">
      <c r="D7900">
        <v>100004703</v>
      </c>
      <c r="E7900" s="49">
        <v>45622</v>
      </c>
      <c r="F7900" t="s">
        <v>5999</v>
      </c>
      <c r="G7900" t="s">
        <v>2323</v>
      </c>
      <c r="H7900">
        <v>3</v>
      </c>
      <c r="I7900">
        <v>67.569999999999993</v>
      </c>
      <c r="J7900" s="50">
        <v>202.71</v>
      </c>
      <c r="K7900" t="s">
        <v>1618</v>
      </c>
      <c r="M7900" t="s">
        <v>1629</v>
      </c>
      <c r="N7900">
        <v>35.659999999999997</v>
      </c>
      <c r="O7900" s="49">
        <v>45626</v>
      </c>
      <c r="P7900" s="50">
        <v>91.219500000000011</v>
      </c>
    </row>
    <row r="7901" spans="4:16" x14ac:dyDescent="0.2">
      <c r="D7901">
        <v>100004703</v>
      </c>
      <c r="E7901" s="49">
        <v>44813</v>
      </c>
      <c r="F7901" t="s">
        <v>5999</v>
      </c>
      <c r="G7901" t="s">
        <v>1767</v>
      </c>
      <c r="H7901">
        <v>6</v>
      </c>
      <c r="I7901">
        <v>10.36</v>
      </c>
      <c r="J7901" s="50">
        <v>62.16</v>
      </c>
      <c r="K7901" t="s">
        <v>1618</v>
      </c>
      <c r="M7901" t="s">
        <v>1629</v>
      </c>
      <c r="N7901">
        <v>5.47</v>
      </c>
      <c r="O7901" s="49">
        <v>44816</v>
      </c>
      <c r="P7901" s="50">
        <v>27.971999999999998</v>
      </c>
    </row>
    <row r="7902" spans="4:16" x14ac:dyDescent="0.2">
      <c r="D7902">
        <v>100004704</v>
      </c>
      <c r="E7902" s="49">
        <v>45390</v>
      </c>
      <c r="F7902" t="s">
        <v>6000</v>
      </c>
      <c r="G7902" t="s">
        <v>2071</v>
      </c>
      <c r="H7902">
        <v>4</v>
      </c>
      <c r="I7902">
        <v>35.020000000000003</v>
      </c>
      <c r="J7902" s="50">
        <v>140.08000000000001</v>
      </c>
      <c r="K7902" t="s">
        <v>1618</v>
      </c>
      <c r="M7902" t="s">
        <v>1629</v>
      </c>
      <c r="N7902">
        <v>18.48</v>
      </c>
      <c r="O7902" s="49">
        <v>45394</v>
      </c>
      <c r="P7902" s="50">
        <v>63.036000000000008</v>
      </c>
    </row>
    <row r="7903" spans="4:16" x14ac:dyDescent="0.2">
      <c r="D7903">
        <v>100004704</v>
      </c>
      <c r="E7903" s="49">
        <v>45017</v>
      </c>
      <c r="F7903" t="s">
        <v>6000</v>
      </c>
      <c r="G7903" t="s">
        <v>1631</v>
      </c>
      <c r="H7903">
        <v>7</v>
      </c>
      <c r="I7903">
        <v>96.57</v>
      </c>
      <c r="J7903" s="50">
        <v>675.99</v>
      </c>
      <c r="K7903" t="s">
        <v>1618</v>
      </c>
      <c r="M7903" t="s">
        <v>1619</v>
      </c>
      <c r="N7903">
        <v>50.97</v>
      </c>
      <c r="O7903" s="49">
        <v>45020</v>
      </c>
      <c r="P7903" s="50">
        <v>304.19550000000004</v>
      </c>
    </row>
    <row r="7904" spans="4:16" x14ac:dyDescent="0.2">
      <c r="D7904">
        <v>100004705</v>
      </c>
      <c r="E7904" s="49">
        <v>44862</v>
      </c>
      <c r="F7904" t="s">
        <v>6001</v>
      </c>
      <c r="G7904" t="s">
        <v>2242</v>
      </c>
      <c r="H7904">
        <v>7</v>
      </c>
      <c r="I7904">
        <v>108.47</v>
      </c>
      <c r="J7904" s="50">
        <v>759.29</v>
      </c>
      <c r="K7904" t="s">
        <v>1632</v>
      </c>
      <c r="M7904" t="s">
        <v>1621</v>
      </c>
      <c r="N7904">
        <v>57.25</v>
      </c>
      <c r="O7904" s="49">
        <v>44863</v>
      </c>
      <c r="P7904" s="50">
        <v>341.68049999999999</v>
      </c>
    </row>
    <row r="7905" spans="4:16" x14ac:dyDescent="0.2">
      <c r="D7905">
        <v>100004705</v>
      </c>
      <c r="E7905" s="49">
        <v>44529</v>
      </c>
      <c r="F7905" t="s">
        <v>6001</v>
      </c>
      <c r="G7905" t="s">
        <v>2025</v>
      </c>
      <c r="H7905">
        <v>2</v>
      </c>
      <c r="I7905">
        <v>26.53</v>
      </c>
      <c r="J7905" s="50">
        <v>53.06</v>
      </c>
      <c r="K7905" t="s">
        <v>1632</v>
      </c>
      <c r="M7905" t="s">
        <v>1627</v>
      </c>
      <c r="N7905">
        <v>14</v>
      </c>
      <c r="O7905" s="49">
        <v>44530</v>
      </c>
      <c r="P7905" s="50">
        <v>23.877000000000002</v>
      </c>
    </row>
    <row r="7906" spans="4:16" x14ac:dyDescent="0.2">
      <c r="D7906">
        <v>100004705</v>
      </c>
      <c r="E7906" s="49">
        <v>44336</v>
      </c>
      <c r="F7906" t="s">
        <v>6001</v>
      </c>
      <c r="G7906" t="s">
        <v>1720</v>
      </c>
      <c r="H7906">
        <v>3</v>
      </c>
      <c r="I7906">
        <v>100.97</v>
      </c>
      <c r="J7906" s="50">
        <v>302.91000000000003</v>
      </c>
      <c r="K7906" t="s">
        <v>1632</v>
      </c>
      <c r="M7906" t="s">
        <v>1619</v>
      </c>
      <c r="N7906">
        <v>53.29</v>
      </c>
      <c r="O7906" s="49">
        <v>44338</v>
      </c>
      <c r="P7906" s="50">
        <v>136.30950000000001</v>
      </c>
    </row>
    <row r="7907" spans="4:16" x14ac:dyDescent="0.2">
      <c r="D7907">
        <v>100004706</v>
      </c>
      <c r="E7907" s="49">
        <v>45636</v>
      </c>
      <c r="F7907" t="s">
        <v>6002</v>
      </c>
      <c r="G7907" t="s">
        <v>1893</v>
      </c>
      <c r="H7907">
        <v>8</v>
      </c>
      <c r="I7907">
        <v>61.14</v>
      </c>
      <c r="J7907" s="50">
        <v>489.12</v>
      </c>
      <c r="K7907" t="s">
        <v>1632</v>
      </c>
      <c r="M7907" t="s">
        <v>1627</v>
      </c>
      <c r="N7907">
        <v>32.270000000000003</v>
      </c>
      <c r="O7907" s="49">
        <v>45639</v>
      </c>
      <c r="P7907" s="50">
        <v>220.10400000000001</v>
      </c>
    </row>
    <row r="7908" spans="4:16" x14ac:dyDescent="0.2">
      <c r="D7908">
        <v>100004709</v>
      </c>
      <c r="E7908" s="49">
        <v>44666</v>
      </c>
      <c r="F7908" t="s">
        <v>6003</v>
      </c>
      <c r="G7908" t="s">
        <v>1691</v>
      </c>
      <c r="H7908">
        <v>6</v>
      </c>
      <c r="I7908">
        <v>119.71</v>
      </c>
      <c r="J7908" s="50">
        <v>718.26</v>
      </c>
      <c r="K7908" t="s">
        <v>1618</v>
      </c>
      <c r="M7908" t="s">
        <v>1624</v>
      </c>
      <c r="N7908">
        <v>63.18</v>
      </c>
      <c r="O7908" s="49">
        <v>44668</v>
      </c>
      <c r="P7908" s="50">
        <v>323.21699999999998</v>
      </c>
    </row>
    <row r="7909" spans="4:16" x14ac:dyDescent="0.2">
      <c r="D7909">
        <v>100004709</v>
      </c>
      <c r="E7909" s="49">
        <v>45426</v>
      </c>
      <c r="F7909" t="s">
        <v>6003</v>
      </c>
      <c r="G7909" t="s">
        <v>2603</v>
      </c>
      <c r="H7909">
        <v>9</v>
      </c>
      <c r="I7909">
        <v>44.96</v>
      </c>
      <c r="J7909" s="50">
        <v>404.64</v>
      </c>
      <c r="K7909" t="s">
        <v>1618</v>
      </c>
      <c r="M7909" t="s">
        <v>1629</v>
      </c>
      <c r="N7909">
        <v>23.73</v>
      </c>
      <c r="O7909" s="49">
        <v>45431</v>
      </c>
      <c r="P7909" s="50">
        <v>182.08799999999999</v>
      </c>
    </row>
    <row r="7910" spans="4:16" x14ac:dyDescent="0.2">
      <c r="D7910">
        <v>100004709</v>
      </c>
      <c r="E7910" s="49">
        <v>44593</v>
      </c>
      <c r="F7910" t="s">
        <v>6003</v>
      </c>
      <c r="G7910" t="s">
        <v>1728</v>
      </c>
      <c r="H7910">
        <v>3</v>
      </c>
      <c r="I7910">
        <v>98.47</v>
      </c>
      <c r="J7910" s="50">
        <v>295.41000000000003</v>
      </c>
      <c r="K7910" t="s">
        <v>1618</v>
      </c>
      <c r="M7910" t="s">
        <v>1621</v>
      </c>
      <c r="N7910">
        <v>51.97</v>
      </c>
      <c r="O7910" s="49">
        <v>44595</v>
      </c>
      <c r="P7910" s="50">
        <v>132.93450000000001</v>
      </c>
    </row>
    <row r="7911" spans="4:16" x14ac:dyDescent="0.2">
      <c r="D7911">
        <v>100004709</v>
      </c>
      <c r="E7911" s="49">
        <v>45497</v>
      </c>
      <c r="F7911" t="s">
        <v>6003</v>
      </c>
      <c r="G7911" t="s">
        <v>1958</v>
      </c>
      <c r="H7911">
        <v>10</v>
      </c>
      <c r="I7911">
        <v>12</v>
      </c>
      <c r="J7911" s="50">
        <v>120</v>
      </c>
      <c r="K7911" t="s">
        <v>1618</v>
      </c>
      <c r="M7911" t="s">
        <v>1621</v>
      </c>
      <c r="N7911">
        <v>6.33</v>
      </c>
      <c r="O7911" s="49">
        <v>45499</v>
      </c>
      <c r="P7911" s="50">
        <v>54</v>
      </c>
    </row>
    <row r="7912" spans="4:16" x14ac:dyDescent="0.2">
      <c r="D7912">
        <v>100004711</v>
      </c>
      <c r="E7912" s="49">
        <v>45122</v>
      </c>
      <c r="F7912" t="s">
        <v>6004</v>
      </c>
      <c r="G7912" t="s">
        <v>2331</v>
      </c>
      <c r="H7912">
        <v>7</v>
      </c>
      <c r="I7912">
        <v>28.11</v>
      </c>
      <c r="J7912" s="50">
        <v>196.77</v>
      </c>
      <c r="K7912" t="s">
        <v>1632</v>
      </c>
      <c r="M7912" t="s">
        <v>1624</v>
      </c>
      <c r="N7912">
        <v>14.84</v>
      </c>
      <c r="O7912" s="49">
        <v>45123</v>
      </c>
      <c r="P7912" s="50">
        <v>88.546500000000009</v>
      </c>
    </row>
    <row r="7913" spans="4:16" x14ac:dyDescent="0.2">
      <c r="D7913">
        <v>100004711</v>
      </c>
      <c r="E7913" s="49">
        <v>45240</v>
      </c>
      <c r="F7913" t="s">
        <v>6004</v>
      </c>
      <c r="G7913" t="s">
        <v>2346</v>
      </c>
      <c r="H7913">
        <v>9</v>
      </c>
      <c r="I7913">
        <v>40.86</v>
      </c>
      <c r="J7913" s="50">
        <v>367.74</v>
      </c>
      <c r="K7913" t="s">
        <v>1632</v>
      </c>
      <c r="M7913" t="s">
        <v>1619</v>
      </c>
      <c r="N7913">
        <v>21.56</v>
      </c>
      <c r="O7913" s="49">
        <v>45245</v>
      </c>
      <c r="P7913" s="50">
        <v>165.483</v>
      </c>
    </row>
    <row r="7914" spans="4:16" x14ac:dyDescent="0.2">
      <c r="D7914">
        <v>100004711</v>
      </c>
      <c r="E7914" s="49">
        <v>44820</v>
      </c>
      <c r="F7914" t="s">
        <v>6004</v>
      </c>
      <c r="G7914" t="s">
        <v>2163</v>
      </c>
      <c r="H7914">
        <v>9</v>
      </c>
      <c r="I7914">
        <v>66.27</v>
      </c>
      <c r="J7914" s="50">
        <v>596.42999999999995</v>
      </c>
      <c r="K7914" t="s">
        <v>1632</v>
      </c>
      <c r="M7914" t="s">
        <v>1624</v>
      </c>
      <c r="N7914">
        <v>34.979999999999997</v>
      </c>
      <c r="O7914" s="49">
        <v>44821</v>
      </c>
      <c r="P7914" s="50">
        <v>268.39349999999996</v>
      </c>
    </row>
    <row r="7915" spans="4:16" x14ac:dyDescent="0.2">
      <c r="D7915">
        <v>100004711</v>
      </c>
      <c r="E7915" s="49">
        <v>45253</v>
      </c>
      <c r="F7915" t="s">
        <v>6004</v>
      </c>
      <c r="G7915" t="s">
        <v>2204</v>
      </c>
      <c r="H7915">
        <v>4</v>
      </c>
      <c r="I7915">
        <v>33.46</v>
      </c>
      <c r="J7915" s="50">
        <v>133.84</v>
      </c>
      <c r="K7915" t="s">
        <v>1632</v>
      </c>
      <c r="M7915" t="s">
        <v>1619</v>
      </c>
      <c r="N7915">
        <v>17.66</v>
      </c>
      <c r="O7915" s="49">
        <v>45257</v>
      </c>
      <c r="P7915" s="50">
        <v>60.228000000000002</v>
      </c>
    </row>
    <row r="7916" spans="4:16" x14ac:dyDescent="0.2">
      <c r="D7916">
        <v>100004712</v>
      </c>
      <c r="E7916" s="49">
        <v>44932</v>
      </c>
      <c r="F7916" t="s">
        <v>6005</v>
      </c>
      <c r="G7916" t="s">
        <v>2084</v>
      </c>
      <c r="H7916">
        <v>2</v>
      </c>
      <c r="I7916">
        <v>24.39</v>
      </c>
      <c r="J7916" s="50">
        <v>48.78</v>
      </c>
      <c r="K7916" t="s">
        <v>1618</v>
      </c>
      <c r="M7916" t="s">
        <v>1619</v>
      </c>
      <c r="N7916">
        <v>12.87</v>
      </c>
      <c r="O7916" s="49">
        <v>44936</v>
      </c>
      <c r="P7916" s="50">
        <v>21.951000000000001</v>
      </c>
    </row>
    <row r="7917" spans="4:16" x14ac:dyDescent="0.2">
      <c r="D7917">
        <v>100004712</v>
      </c>
      <c r="E7917" s="49">
        <v>44749</v>
      </c>
      <c r="F7917" t="s">
        <v>6005</v>
      </c>
      <c r="G7917" t="s">
        <v>1691</v>
      </c>
      <c r="H7917">
        <v>10</v>
      </c>
      <c r="I7917">
        <v>26.99</v>
      </c>
      <c r="J7917" s="50">
        <v>269.89999999999998</v>
      </c>
      <c r="K7917" t="s">
        <v>1618</v>
      </c>
      <c r="M7917" t="s">
        <v>1621</v>
      </c>
      <c r="N7917">
        <v>14.24</v>
      </c>
      <c r="O7917" s="49">
        <v>44750</v>
      </c>
      <c r="P7917" s="50">
        <v>121.455</v>
      </c>
    </row>
    <row r="7918" spans="4:16" x14ac:dyDescent="0.2">
      <c r="D7918">
        <v>100004714</v>
      </c>
      <c r="E7918" s="49">
        <v>45399</v>
      </c>
      <c r="F7918" t="s">
        <v>6006</v>
      </c>
      <c r="G7918" t="s">
        <v>1645</v>
      </c>
      <c r="H7918">
        <v>3</v>
      </c>
      <c r="I7918">
        <v>95.02</v>
      </c>
      <c r="J7918" s="50">
        <v>285.06</v>
      </c>
      <c r="K7918" t="s">
        <v>1618</v>
      </c>
      <c r="L7918" t="s">
        <v>5061</v>
      </c>
      <c r="M7918" t="s">
        <v>1627</v>
      </c>
      <c r="N7918">
        <v>50.15</v>
      </c>
      <c r="O7918" s="49">
        <v>45404</v>
      </c>
      <c r="P7918" s="50">
        <v>128.27700000000002</v>
      </c>
    </row>
    <row r="7919" spans="4:16" x14ac:dyDescent="0.2">
      <c r="D7919">
        <v>100004714</v>
      </c>
      <c r="E7919" s="49">
        <v>45573</v>
      </c>
      <c r="F7919" t="s">
        <v>6006</v>
      </c>
      <c r="G7919" t="s">
        <v>2291</v>
      </c>
      <c r="H7919">
        <v>9</v>
      </c>
      <c r="I7919">
        <v>92.42</v>
      </c>
      <c r="J7919" s="50">
        <v>831.78</v>
      </c>
      <c r="K7919" t="s">
        <v>1618</v>
      </c>
      <c r="L7919" t="s">
        <v>5061</v>
      </c>
      <c r="M7919" t="s">
        <v>1627</v>
      </c>
      <c r="N7919">
        <v>48.78</v>
      </c>
      <c r="O7919" s="49">
        <v>45576</v>
      </c>
      <c r="P7919" s="50">
        <v>374.30099999999999</v>
      </c>
    </row>
    <row r="7920" spans="4:16" x14ac:dyDescent="0.2">
      <c r="D7920">
        <v>100004715</v>
      </c>
      <c r="E7920" s="49">
        <v>45402</v>
      </c>
      <c r="F7920" t="s">
        <v>6007</v>
      </c>
      <c r="G7920" t="s">
        <v>2062</v>
      </c>
      <c r="H7920">
        <v>7</v>
      </c>
      <c r="I7920">
        <v>36.119999999999997</v>
      </c>
      <c r="J7920" s="50">
        <v>252.84</v>
      </c>
      <c r="K7920" t="s">
        <v>1618</v>
      </c>
      <c r="M7920" t="s">
        <v>1624</v>
      </c>
      <c r="N7920">
        <v>19.059999999999999</v>
      </c>
      <c r="O7920" s="49">
        <v>45405</v>
      </c>
      <c r="P7920" s="50">
        <v>113.77800000000001</v>
      </c>
    </row>
    <row r="7921" spans="4:16" x14ac:dyDescent="0.2">
      <c r="D7921">
        <v>100004715</v>
      </c>
      <c r="E7921" s="49">
        <v>45045</v>
      </c>
      <c r="F7921" t="s">
        <v>6007</v>
      </c>
      <c r="G7921" t="s">
        <v>2305</v>
      </c>
      <c r="H7921">
        <v>1</v>
      </c>
      <c r="I7921">
        <v>82.87</v>
      </c>
      <c r="J7921" s="50">
        <v>82.87</v>
      </c>
      <c r="K7921" t="s">
        <v>1618</v>
      </c>
      <c r="M7921" t="s">
        <v>1624</v>
      </c>
      <c r="N7921">
        <v>43.74</v>
      </c>
      <c r="O7921" s="49">
        <v>45048</v>
      </c>
      <c r="P7921" s="50">
        <v>37.291500000000006</v>
      </c>
    </row>
    <row r="7922" spans="4:16" x14ac:dyDescent="0.2">
      <c r="D7922">
        <v>100004716</v>
      </c>
      <c r="E7922" s="49">
        <v>44472</v>
      </c>
      <c r="F7922" t="s">
        <v>6008</v>
      </c>
      <c r="G7922" t="s">
        <v>2207</v>
      </c>
      <c r="H7922">
        <v>8</v>
      </c>
      <c r="I7922">
        <v>90.74</v>
      </c>
      <c r="J7922" s="50">
        <v>725.92</v>
      </c>
      <c r="K7922" t="s">
        <v>1632</v>
      </c>
      <c r="M7922" t="s">
        <v>1619</v>
      </c>
      <c r="N7922">
        <v>47.89</v>
      </c>
      <c r="O7922" s="49">
        <v>44473</v>
      </c>
      <c r="P7922" s="50">
        <v>326.66399999999999</v>
      </c>
    </row>
    <row r="7923" spans="4:16" x14ac:dyDescent="0.2">
      <c r="D7923">
        <v>100004717</v>
      </c>
      <c r="E7923" s="49">
        <v>44601</v>
      </c>
      <c r="F7923" t="s">
        <v>6009</v>
      </c>
      <c r="G7923" t="s">
        <v>1834</v>
      </c>
      <c r="H7923">
        <v>7</v>
      </c>
      <c r="I7923">
        <v>95.84</v>
      </c>
      <c r="J7923" s="50">
        <v>670.88</v>
      </c>
      <c r="K7923" t="s">
        <v>1632</v>
      </c>
      <c r="M7923" t="s">
        <v>1621</v>
      </c>
      <c r="N7923">
        <v>50.58</v>
      </c>
      <c r="O7923" s="49">
        <v>44604</v>
      </c>
      <c r="P7923" s="50">
        <v>301.89600000000002</v>
      </c>
    </row>
    <row r="7924" spans="4:16" x14ac:dyDescent="0.2">
      <c r="D7924">
        <v>100004718</v>
      </c>
      <c r="E7924" s="49">
        <v>45619</v>
      </c>
      <c r="F7924" t="s">
        <v>6010</v>
      </c>
      <c r="G7924" t="s">
        <v>1958</v>
      </c>
      <c r="H7924">
        <v>5</v>
      </c>
      <c r="I7924">
        <v>51.72</v>
      </c>
      <c r="J7924" s="50">
        <v>258.60000000000002</v>
      </c>
      <c r="K7924" t="s">
        <v>1618</v>
      </c>
      <c r="M7924" t="s">
        <v>1621</v>
      </c>
      <c r="N7924">
        <v>27.3</v>
      </c>
      <c r="O7924" s="49">
        <v>45623</v>
      </c>
      <c r="P7924" s="50">
        <v>116.37000000000002</v>
      </c>
    </row>
    <row r="7925" spans="4:16" x14ac:dyDescent="0.2">
      <c r="D7925">
        <v>100004718</v>
      </c>
      <c r="E7925" s="49">
        <v>45067</v>
      </c>
      <c r="F7925" t="s">
        <v>6010</v>
      </c>
      <c r="G7925" t="s">
        <v>2041</v>
      </c>
      <c r="H7925">
        <v>7</v>
      </c>
      <c r="I7925">
        <v>40.909999999999997</v>
      </c>
      <c r="J7925" s="50">
        <v>286.37</v>
      </c>
      <c r="K7925" t="s">
        <v>1618</v>
      </c>
      <c r="M7925" t="s">
        <v>1627</v>
      </c>
      <c r="N7925">
        <v>21.59</v>
      </c>
      <c r="O7925" s="49">
        <v>45072</v>
      </c>
      <c r="P7925" s="50">
        <v>128.8665</v>
      </c>
    </row>
    <row r="7926" spans="4:16" x14ac:dyDescent="0.2">
      <c r="D7926">
        <v>100004719</v>
      </c>
      <c r="E7926" s="49">
        <v>44812</v>
      </c>
      <c r="F7926" t="s">
        <v>6011</v>
      </c>
      <c r="G7926" t="s">
        <v>2090</v>
      </c>
      <c r="H7926">
        <v>10</v>
      </c>
      <c r="I7926">
        <v>47.45</v>
      </c>
      <c r="J7926" s="50">
        <v>474.5</v>
      </c>
      <c r="K7926" t="s">
        <v>1632</v>
      </c>
      <c r="M7926" t="s">
        <v>1619</v>
      </c>
      <c r="N7926">
        <v>25.04</v>
      </c>
      <c r="O7926" s="49">
        <v>44817</v>
      </c>
      <c r="P7926" s="50">
        <v>213.52500000000001</v>
      </c>
    </row>
    <row r="7927" spans="4:16" x14ac:dyDescent="0.2">
      <c r="D7927">
        <v>100004719</v>
      </c>
      <c r="E7927" s="49">
        <v>45029</v>
      </c>
      <c r="F7927" t="s">
        <v>6011</v>
      </c>
      <c r="G7927" t="s">
        <v>1748</v>
      </c>
      <c r="H7927">
        <v>3</v>
      </c>
      <c r="I7927">
        <v>105.72</v>
      </c>
      <c r="J7927" s="50">
        <v>317.16000000000003</v>
      </c>
      <c r="K7927" t="s">
        <v>1632</v>
      </c>
      <c r="M7927" t="s">
        <v>1629</v>
      </c>
      <c r="N7927">
        <v>55.8</v>
      </c>
      <c r="O7927" s="49">
        <v>45033</v>
      </c>
      <c r="P7927" s="50">
        <v>142.72200000000001</v>
      </c>
    </row>
    <row r="7928" spans="4:16" x14ac:dyDescent="0.2">
      <c r="D7928">
        <v>100004719</v>
      </c>
      <c r="E7928" s="49">
        <v>44288</v>
      </c>
      <c r="F7928" t="s">
        <v>6011</v>
      </c>
      <c r="G7928" t="s">
        <v>3075</v>
      </c>
      <c r="H7928">
        <v>9</v>
      </c>
      <c r="I7928">
        <v>41.56</v>
      </c>
      <c r="J7928" s="50">
        <v>374.04</v>
      </c>
      <c r="K7928" t="s">
        <v>1632</v>
      </c>
      <c r="M7928" t="s">
        <v>1621</v>
      </c>
      <c r="N7928">
        <v>21.93</v>
      </c>
      <c r="O7928" s="49">
        <v>44289</v>
      </c>
      <c r="P7928" s="50">
        <v>168.31800000000001</v>
      </c>
    </row>
    <row r="7929" spans="4:16" x14ac:dyDescent="0.2">
      <c r="D7929">
        <v>100004719</v>
      </c>
      <c r="E7929" s="49">
        <v>45644</v>
      </c>
      <c r="F7929" t="s">
        <v>6011</v>
      </c>
      <c r="G7929" t="s">
        <v>2060</v>
      </c>
      <c r="H7929">
        <v>4</v>
      </c>
      <c r="I7929">
        <v>94.66</v>
      </c>
      <c r="J7929" s="50">
        <v>378.64</v>
      </c>
      <c r="K7929" t="s">
        <v>1632</v>
      </c>
      <c r="M7929" t="s">
        <v>1621</v>
      </c>
      <c r="N7929">
        <v>49.96</v>
      </c>
      <c r="O7929" s="49">
        <v>45649</v>
      </c>
      <c r="P7929" s="50">
        <v>170.38800000000001</v>
      </c>
    </row>
    <row r="7930" spans="4:16" x14ac:dyDescent="0.2">
      <c r="D7930">
        <v>100004719</v>
      </c>
      <c r="E7930" s="49">
        <v>44292</v>
      </c>
      <c r="F7930" t="s">
        <v>6011</v>
      </c>
      <c r="G7930" t="s">
        <v>2099</v>
      </c>
      <c r="H7930">
        <v>1</v>
      </c>
      <c r="I7930">
        <v>74.489999999999995</v>
      </c>
      <c r="J7930" s="50">
        <v>74.489999999999995</v>
      </c>
      <c r="K7930" t="s">
        <v>1632</v>
      </c>
      <c r="M7930" t="s">
        <v>1627</v>
      </c>
      <c r="N7930">
        <v>39.31</v>
      </c>
      <c r="O7930" s="49">
        <v>44294</v>
      </c>
      <c r="P7930" s="50">
        <v>33.520499999999998</v>
      </c>
    </row>
    <row r="7931" spans="4:16" x14ac:dyDescent="0.2">
      <c r="D7931">
        <v>100004720</v>
      </c>
      <c r="E7931" s="49">
        <v>45244</v>
      </c>
      <c r="F7931" t="s">
        <v>6012</v>
      </c>
      <c r="G7931" t="s">
        <v>1872</v>
      </c>
      <c r="H7931">
        <v>9</v>
      </c>
      <c r="I7931">
        <v>70.31</v>
      </c>
      <c r="J7931" s="50">
        <v>632.79</v>
      </c>
      <c r="K7931" t="s">
        <v>1632</v>
      </c>
      <c r="M7931" t="s">
        <v>1624</v>
      </c>
      <c r="N7931">
        <v>37.11</v>
      </c>
      <c r="O7931" s="49">
        <v>45248</v>
      </c>
      <c r="P7931" s="50">
        <v>284.75549999999998</v>
      </c>
    </row>
    <row r="7932" spans="4:16" x14ac:dyDescent="0.2">
      <c r="D7932">
        <v>100004723</v>
      </c>
      <c r="E7932" s="49">
        <v>45404</v>
      </c>
      <c r="F7932" t="s">
        <v>6013</v>
      </c>
      <c r="G7932" t="s">
        <v>2745</v>
      </c>
      <c r="H7932">
        <v>4</v>
      </c>
      <c r="I7932">
        <v>34.450000000000003</v>
      </c>
      <c r="J7932" s="50">
        <v>137.80000000000001</v>
      </c>
      <c r="K7932" t="s">
        <v>1618</v>
      </c>
      <c r="M7932" t="s">
        <v>1621</v>
      </c>
      <c r="N7932">
        <v>18.18</v>
      </c>
      <c r="O7932" s="49">
        <v>45408</v>
      </c>
      <c r="P7932" s="50">
        <v>62.010000000000005</v>
      </c>
    </row>
    <row r="7933" spans="4:16" x14ac:dyDescent="0.2">
      <c r="D7933">
        <v>100004724</v>
      </c>
      <c r="E7933" s="49">
        <v>44326</v>
      </c>
      <c r="F7933" t="s">
        <v>6014</v>
      </c>
      <c r="G7933" t="s">
        <v>2210</v>
      </c>
      <c r="H7933">
        <v>2</v>
      </c>
      <c r="I7933">
        <v>41.75</v>
      </c>
      <c r="J7933" s="50">
        <v>83.5</v>
      </c>
      <c r="K7933" t="s">
        <v>1618</v>
      </c>
      <c r="L7933" t="s">
        <v>6015</v>
      </c>
      <c r="M7933" t="s">
        <v>1624</v>
      </c>
      <c r="N7933">
        <v>22.03</v>
      </c>
      <c r="O7933" s="49">
        <v>44328</v>
      </c>
      <c r="P7933" s="50">
        <v>37.575000000000003</v>
      </c>
    </row>
    <row r="7934" spans="4:16" x14ac:dyDescent="0.2">
      <c r="D7934">
        <v>100004725</v>
      </c>
      <c r="E7934" s="49">
        <v>44767</v>
      </c>
      <c r="F7934" t="s">
        <v>6016</v>
      </c>
      <c r="G7934" t="s">
        <v>2431</v>
      </c>
      <c r="H7934">
        <v>5</v>
      </c>
      <c r="I7934">
        <v>64.73</v>
      </c>
      <c r="J7934" s="50">
        <v>323.64999999999998</v>
      </c>
      <c r="K7934" t="s">
        <v>1618</v>
      </c>
      <c r="L7934" t="s">
        <v>5435</v>
      </c>
      <c r="M7934" t="s">
        <v>1627</v>
      </c>
      <c r="N7934">
        <v>34.159999999999997</v>
      </c>
      <c r="O7934" s="49">
        <v>44772</v>
      </c>
      <c r="P7934" s="50">
        <v>145.64249999999998</v>
      </c>
    </row>
    <row r="7935" spans="4:16" x14ac:dyDescent="0.2">
      <c r="D7935">
        <v>100004725</v>
      </c>
      <c r="E7935" s="49">
        <v>44695</v>
      </c>
      <c r="F7935" t="s">
        <v>6016</v>
      </c>
      <c r="G7935" t="s">
        <v>1864</v>
      </c>
      <c r="H7935">
        <v>6</v>
      </c>
      <c r="I7935">
        <v>65.010000000000005</v>
      </c>
      <c r="J7935" s="50">
        <v>390.06000000000012</v>
      </c>
      <c r="K7935" t="s">
        <v>1618</v>
      </c>
      <c r="L7935" t="s">
        <v>5435</v>
      </c>
      <c r="M7935" t="s">
        <v>1621</v>
      </c>
      <c r="N7935">
        <v>34.31</v>
      </c>
      <c r="O7935" s="49">
        <v>44698</v>
      </c>
      <c r="P7935" s="50">
        <v>175.52700000000004</v>
      </c>
    </row>
    <row r="7936" spans="4:16" x14ac:dyDescent="0.2">
      <c r="D7936">
        <v>100004732</v>
      </c>
      <c r="E7936" s="49">
        <v>45077</v>
      </c>
      <c r="F7936" t="s">
        <v>2245</v>
      </c>
      <c r="G7936" t="s">
        <v>2038</v>
      </c>
      <c r="H7936">
        <v>7</v>
      </c>
      <c r="I7936">
        <v>101.2</v>
      </c>
      <c r="J7936" s="50">
        <v>708.4</v>
      </c>
      <c r="K7936" t="s">
        <v>1618</v>
      </c>
      <c r="M7936" t="s">
        <v>1621</v>
      </c>
      <c r="N7936">
        <v>53.41</v>
      </c>
      <c r="O7936" s="49">
        <v>45082</v>
      </c>
      <c r="P7936" s="50">
        <v>318.77999999999997</v>
      </c>
    </row>
    <row r="7937" spans="4:16" x14ac:dyDescent="0.2">
      <c r="D7937">
        <v>100004733</v>
      </c>
      <c r="E7937" s="49">
        <v>45397</v>
      </c>
      <c r="F7937" t="s">
        <v>6017</v>
      </c>
      <c r="G7937" t="s">
        <v>2192</v>
      </c>
      <c r="H7937">
        <v>2</v>
      </c>
      <c r="I7937">
        <v>108.7</v>
      </c>
      <c r="J7937" s="50">
        <v>217.4</v>
      </c>
      <c r="K7937" t="s">
        <v>1618</v>
      </c>
      <c r="M7937" t="s">
        <v>1624</v>
      </c>
      <c r="N7937">
        <v>57.37</v>
      </c>
      <c r="O7937" s="49">
        <v>45402</v>
      </c>
      <c r="P7937" s="50">
        <v>97.83</v>
      </c>
    </row>
    <row r="7938" spans="4:16" x14ac:dyDescent="0.2">
      <c r="D7938">
        <v>100004734</v>
      </c>
      <c r="E7938" s="49">
        <v>44424</v>
      </c>
      <c r="F7938" t="s">
        <v>6018</v>
      </c>
      <c r="G7938" t="s">
        <v>1731</v>
      </c>
      <c r="H7938">
        <v>7</v>
      </c>
      <c r="I7938">
        <v>66.14</v>
      </c>
      <c r="J7938" s="50">
        <v>462.98</v>
      </c>
      <c r="K7938" t="s">
        <v>1618</v>
      </c>
      <c r="L7938" t="s">
        <v>6019</v>
      </c>
      <c r="M7938" t="s">
        <v>1619</v>
      </c>
      <c r="N7938">
        <v>34.909999999999997</v>
      </c>
      <c r="O7938" s="49">
        <v>44427</v>
      </c>
      <c r="P7938" s="50">
        <v>208.34100000000001</v>
      </c>
    </row>
    <row r="7939" spans="4:16" x14ac:dyDescent="0.2">
      <c r="D7939">
        <v>100004734</v>
      </c>
      <c r="E7939" s="49">
        <v>45454</v>
      </c>
      <c r="F7939" t="s">
        <v>6018</v>
      </c>
      <c r="G7939" t="s">
        <v>2291</v>
      </c>
      <c r="H7939">
        <v>6</v>
      </c>
      <c r="I7939">
        <v>43.7</v>
      </c>
      <c r="J7939" s="50">
        <v>262.2</v>
      </c>
      <c r="K7939" t="s">
        <v>1618</v>
      </c>
      <c r="L7939" t="s">
        <v>6019</v>
      </c>
      <c r="M7939" t="s">
        <v>1624</v>
      </c>
      <c r="N7939">
        <v>23.06</v>
      </c>
      <c r="O7939" s="49">
        <v>45459</v>
      </c>
      <c r="P7939" s="50">
        <v>117.99</v>
      </c>
    </row>
    <row r="7940" spans="4:16" x14ac:dyDescent="0.2">
      <c r="D7940">
        <v>100004735</v>
      </c>
      <c r="E7940" s="49">
        <v>45587</v>
      </c>
      <c r="F7940" t="s">
        <v>6020</v>
      </c>
      <c r="G7940" t="s">
        <v>1807</v>
      </c>
      <c r="H7940">
        <v>1</v>
      </c>
      <c r="I7940">
        <v>20.34</v>
      </c>
      <c r="J7940" s="50">
        <v>20.34</v>
      </c>
      <c r="K7940" t="s">
        <v>1618</v>
      </c>
      <c r="M7940" t="s">
        <v>1624</v>
      </c>
      <c r="N7940">
        <v>10.73</v>
      </c>
      <c r="O7940" s="49">
        <v>45591</v>
      </c>
      <c r="P7940" s="50">
        <v>9.1530000000000005</v>
      </c>
    </row>
    <row r="7941" spans="4:16" x14ac:dyDescent="0.2">
      <c r="D7941">
        <v>100004735</v>
      </c>
      <c r="E7941" s="49">
        <v>45120</v>
      </c>
      <c r="F7941" t="s">
        <v>6020</v>
      </c>
      <c r="G7941" t="s">
        <v>1963</v>
      </c>
      <c r="H7941">
        <v>8</v>
      </c>
      <c r="I7941">
        <v>96.03</v>
      </c>
      <c r="J7941" s="50">
        <v>768.24</v>
      </c>
      <c r="K7941" t="s">
        <v>1618</v>
      </c>
      <c r="M7941" t="s">
        <v>1621</v>
      </c>
      <c r="N7941">
        <v>50.68</v>
      </c>
      <c r="O7941" s="49">
        <v>45121</v>
      </c>
      <c r="P7941" s="50">
        <v>345.70800000000003</v>
      </c>
    </row>
    <row r="7942" spans="4:16" x14ac:dyDescent="0.2">
      <c r="D7942">
        <v>100004736</v>
      </c>
      <c r="E7942" s="49">
        <v>44937</v>
      </c>
      <c r="F7942" t="s">
        <v>6021</v>
      </c>
      <c r="G7942" t="s">
        <v>2278</v>
      </c>
      <c r="H7942">
        <v>4</v>
      </c>
      <c r="I7942">
        <v>60.39</v>
      </c>
      <c r="J7942" s="50">
        <v>241.56</v>
      </c>
      <c r="K7942" t="s">
        <v>1618</v>
      </c>
      <c r="L7942" t="s">
        <v>6022</v>
      </c>
      <c r="M7942" t="s">
        <v>1627</v>
      </c>
      <c r="N7942">
        <v>31.87</v>
      </c>
      <c r="O7942" s="49">
        <v>44939</v>
      </c>
      <c r="P7942" s="50">
        <v>108.702</v>
      </c>
    </row>
    <row r="7943" spans="4:16" x14ac:dyDescent="0.2">
      <c r="D7943">
        <v>100004737</v>
      </c>
      <c r="E7943" s="49">
        <v>44304</v>
      </c>
      <c r="F7943" t="s">
        <v>6023</v>
      </c>
      <c r="G7943" t="s">
        <v>1868</v>
      </c>
      <c r="H7943">
        <v>6</v>
      </c>
      <c r="I7943">
        <v>116.6</v>
      </c>
      <c r="J7943" s="50">
        <v>699.59999999999991</v>
      </c>
      <c r="K7943" t="s">
        <v>1618</v>
      </c>
      <c r="M7943" t="s">
        <v>1627</v>
      </c>
      <c r="N7943">
        <v>61.54</v>
      </c>
      <c r="O7943" s="49">
        <v>44309</v>
      </c>
      <c r="P7943" s="50">
        <v>314.82</v>
      </c>
    </row>
    <row r="7944" spans="4:16" x14ac:dyDescent="0.2">
      <c r="D7944">
        <v>100004737</v>
      </c>
      <c r="E7944" s="49">
        <v>45009</v>
      </c>
      <c r="F7944" t="s">
        <v>6023</v>
      </c>
      <c r="G7944" t="s">
        <v>2485</v>
      </c>
      <c r="H7944">
        <v>1</v>
      </c>
      <c r="I7944">
        <v>22.08</v>
      </c>
      <c r="J7944" s="50">
        <v>22.08</v>
      </c>
      <c r="K7944" t="s">
        <v>1618</v>
      </c>
      <c r="M7944" t="s">
        <v>1621</v>
      </c>
      <c r="N7944">
        <v>11.65</v>
      </c>
      <c r="O7944" s="49">
        <v>45013</v>
      </c>
      <c r="P7944" s="50">
        <v>9.9359999999999999</v>
      </c>
    </row>
    <row r="7945" spans="4:16" x14ac:dyDescent="0.2">
      <c r="D7945">
        <v>100004737</v>
      </c>
      <c r="E7945" s="49">
        <v>44524</v>
      </c>
      <c r="F7945" t="s">
        <v>6023</v>
      </c>
      <c r="G7945" t="s">
        <v>1910</v>
      </c>
      <c r="H7945">
        <v>7</v>
      </c>
      <c r="I7945">
        <v>17.690000000000001</v>
      </c>
      <c r="J7945" s="50">
        <v>123.83</v>
      </c>
      <c r="K7945" t="s">
        <v>1618</v>
      </c>
      <c r="M7945" t="s">
        <v>1627</v>
      </c>
      <c r="N7945">
        <v>9.34</v>
      </c>
      <c r="O7945" s="49">
        <v>44526</v>
      </c>
      <c r="P7945" s="50">
        <v>55.723500000000001</v>
      </c>
    </row>
    <row r="7946" spans="4:16" x14ac:dyDescent="0.2">
      <c r="D7946">
        <v>100004739</v>
      </c>
      <c r="E7946" s="49">
        <v>45536</v>
      </c>
      <c r="F7946" t="s">
        <v>6024</v>
      </c>
      <c r="G7946" t="s">
        <v>1953</v>
      </c>
      <c r="H7946">
        <v>8</v>
      </c>
      <c r="I7946">
        <v>33</v>
      </c>
      <c r="J7946" s="50">
        <v>264</v>
      </c>
      <c r="K7946" t="s">
        <v>1632</v>
      </c>
      <c r="L7946" t="s">
        <v>4136</v>
      </c>
      <c r="M7946" t="s">
        <v>1621</v>
      </c>
      <c r="N7946">
        <v>17.420000000000002</v>
      </c>
      <c r="O7946" s="49">
        <v>45540</v>
      </c>
      <c r="P7946" s="50">
        <v>118.8</v>
      </c>
    </row>
    <row r="7947" spans="4:16" x14ac:dyDescent="0.2">
      <c r="D7947">
        <v>100004739</v>
      </c>
      <c r="E7947" s="49">
        <v>45446</v>
      </c>
      <c r="F7947" t="s">
        <v>6024</v>
      </c>
      <c r="G7947" t="s">
        <v>2291</v>
      </c>
      <c r="H7947">
        <v>8</v>
      </c>
      <c r="I7947">
        <v>69.459999999999994</v>
      </c>
      <c r="J7947" s="50">
        <v>555.67999999999995</v>
      </c>
      <c r="K7947" t="s">
        <v>1632</v>
      </c>
      <c r="L7947" t="s">
        <v>4136</v>
      </c>
      <c r="M7947" t="s">
        <v>1619</v>
      </c>
      <c r="N7947">
        <v>36.659999999999997</v>
      </c>
      <c r="O7947" s="49">
        <v>45451</v>
      </c>
      <c r="P7947" s="50">
        <v>250.05599999999998</v>
      </c>
    </row>
    <row r="7948" spans="4:16" x14ac:dyDescent="0.2">
      <c r="D7948">
        <v>100004739</v>
      </c>
      <c r="E7948" s="49">
        <v>45270</v>
      </c>
      <c r="F7948" t="s">
        <v>6024</v>
      </c>
      <c r="G7948" t="s">
        <v>1702</v>
      </c>
      <c r="H7948">
        <v>4</v>
      </c>
      <c r="I7948">
        <v>94.51</v>
      </c>
      <c r="J7948" s="50">
        <v>378.04</v>
      </c>
      <c r="K7948" t="s">
        <v>1632</v>
      </c>
      <c r="L7948" t="s">
        <v>4136</v>
      </c>
      <c r="M7948" t="s">
        <v>1621</v>
      </c>
      <c r="N7948">
        <v>49.88</v>
      </c>
      <c r="O7948" s="49">
        <v>45272</v>
      </c>
      <c r="P7948" s="50">
        <v>170.11800000000002</v>
      </c>
    </row>
    <row r="7949" spans="4:16" x14ac:dyDescent="0.2">
      <c r="D7949">
        <v>100004740</v>
      </c>
      <c r="E7949" s="49">
        <v>44851</v>
      </c>
      <c r="F7949" t="s">
        <v>6025</v>
      </c>
      <c r="G7949" t="s">
        <v>2707</v>
      </c>
      <c r="H7949">
        <v>3</v>
      </c>
      <c r="I7949">
        <v>55.94</v>
      </c>
      <c r="J7949" s="50">
        <v>167.82</v>
      </c>
      <c r="K7949" t="s">
        <v>1618</v>
      </c>
      <c r="M7949" t="s">
        <v>1624</v>
      </c>
      <c r="N7949">
        <v>29.52</v>
      </c>
      <c r="O7949" s="49">
        <v>44856</v>
      </c>
      <c r="P7949" s="50">
        <v>75.519000000000005</v>
      </c>
    </row>
    <row r="7950" spans="4:16" x14ac:dyDescent="0.2">
      <c r="D7950">
        <v>100004740</v>
      </c>
      <c r="E7950" s="49">
        <v>45219</v>
      </c>
      <c r="F7950" t="s">
        <v>6025</v>
      </c>
      <c r="G7950" t="s">
        <v>2357</v>
      </c>
      <c r="H7950">
        <v>2</v>
      </c>
      <c r="I7950">
        <v>30.62</v>
      </c>
      <c r="J7950" s="50">
        <v>61.24</v>
      </c>
      <c r="K7950" t="s">
        <v>1618</v>
      </c>
      <c r="M7950" t="s">
        <v>1624</v>
      </c>
      <c r="N7950">
        <v>16.16</v>
      </c>
      <c r="O7950" s="49">
        <v>45223</v>
      </c>
      <c r="P7950" s="50">
        <v>27.558</v>
      </c>
    </row>
    <row r="7951" spans="4:16" x14ac:dyDescent="0.2">
      <c r="D7951">
        <v>100004742</v>
      </c>
      <c r="E7951" s="49">
        <v>44270</v>
      </c>
      <c r="F7951" t="s">
        <v>3056</v>
      </c>
      <c r="G7951" t="s">
        <v>1695</v>
      </c>
      <c r="H7951">
        <v>9</v>
      </c>
      <c r="I7951">
        <v>32.57</v>
      </c>
      <c r="J7951" s="50">
        <v>293.13</v>
      </c>
      <c r="K7951" t="s">
        <v>1618</v>
      </c>
      <c r="M7951" t="s">
        <v>1621</v>
      </c>
      <c r="N7951">
        <v>17.190000000000001</v>
      </c>
      <c r="O7951" s="49">
        <v>44271</v>
      </c>
      <c r="P7951" s="50">
        <v>131.9085</v>
      </c>
    </row>
    <row r="7952" spans="4:16" x14ac:dyDescent="0.2">
      <c r="D7952">
        <v>100004742</v>
      </c>
      <c r="E7952" s="49">
        <v>44745</v>
      </c>
      <c r="F7952" t="s">
        <v>3056</v>
      </c>
      <c r="G7952" t="s">
        <v>1971</v>
      </c>
      <c r="H7952">
        <v>4</v>
      </c>
      <c r="I7952">
        <v>61.79</v>
      </c>
      <c r="J7952" s="50">
        <v>247.16</v>
      </c>
      <c r="K7952" t="s">
        <v>1618</v>
      </c>
      <c r="M7952" t="s">
        <v>1621</v>
      </c>
      <c r="N7952">
        <v>32.61</v>
      </c>
      <c r="O7952" s="49">
        <v>44750</v>
      </c>
      <c r="P7952" s="50">
        <v>111.22199999999999</v>
      </c>
    </row>
    <row r="7953" spans="4:16" x14ac:dyDescent="0.2">
      <c r="D7953">
        <v>100004742</v>
      </c>
      <c r="E7953" s="49">
        <v>44603</v>
      </c>
      <c r="F7953" t="s">
        <v>3056</v>
      </c>
      <c r="G7953" t="s">
        <v>1731</v>
      </c>
      <c r="H7953">
        <v>3</v>
      </c>
      <c r="I7953">
        <v>38.86</v>
      </c>
      <c r="J7953" s="50">
        <v>116.58</v>
      </c>
      <c r="K7953" t="s">
        <v>1618</v>
      </c>
      <c r="M7953" t="s">
        <v>1619</v>
      </c>
      <c r="N7953">
        <v>20.51</v>
      </c>
      <c r="O7953" s="49">
        <v>44608</v>
      </c>
      <c r="P7953" s="50">
        <v>52.460999999999999</v>
      </c>
    </row>
    <row r="7954" spans="4:16" x14ac:dyDescent="0.2">
      <c r="D7954">
        <v>100004743</v>
      </c>
      <c r="E7954" s="49">
        <v>44798</v>
      </c>
      <c r="F7954" t="s">
        <v>6026</v>
      </c>
      <c r="G7954" t="s">
        <v>1739</v>
      </c>
      <c r="H7954">
        <v>1</v>
      </c>
      <c r="I7954">
        <v>108.73</v>
      </c>
      <c r="J7954" s="50">
        <v>108.73</v>
      </c>
      <c r="K7954" t="s">
        <v>1632</v>
      </c>
      <c r="M7954" t="s">
        <v>1621</v>
      </c>
      <c r="N7954">
        <v>57.38</v>
      </c>
      <c r="O7954" s="49">
        <v>44802</v>
      </c>
      <c r="P7954" s="50">
        <v>48.9285</v>
      </c>
    </row>
    <row r="7955" spans="4:16" x14ac:dyDescent="0.2">
      <c r="D7955">
        <v>100004743</v>
      </c>
      <c r="E7955" s="49">
        <v>44427</v>
      </c>
      <c r="F7955" t="s">
        <v>6026</v>
      </c>
      <c r="G7955" t="s">
        <v>1945</v>
      </c>
      <c r="H7955">
        <v>8</v>
      </c>
      <c r="I7955">
        <v>97.89</v>
      </c>
      <c r="J7955" s="50">
        <v>783.12</v>
      </c>
      <c r="K7955" t="s">
        <v>1632</v>
      </c>
      <c r="M7955" t="s">
        <v>1627</v>
      </c>
      <c r="N7955">
        <v>51.66</v>
      </c>
      <c r="O7955" s="49">
        <v>44429</v>
      </c>
      <c r="P7955" s="50">
        <v>352.404</v>
      </c>
    </row>
    <row r="7956" spans="4:16" x14ac:dyDescent="0.2">
      <c r="D7956">
        <v>100004743</v>
      </c>
      <c r="E7956" s="49">
        <v>45137</v>
      </c>
      <c r="F7956" t="s">
        <v>6026</v>
      </c>
      <c r="G7956" t="s">
        <v>1939</v>
      </c>
      <c r="H7956">
        <v>7</v>
      </c>
      <c r="I7956">
        <v>43.54</v>
      </c>
      <c r="J7956" s="50">
        <v>304.77999999999997</v>
      </c>
      <c r="K7956" t="s">
        <v>1632</v>
      </c>
      <c r="M7956" t="s">
        <v>1619</v>
      </c>
      <c r="N7956">
        <v>22.98</v>
      </c>
      <c r="O7956" s="49">
        <v>45139</v>
      </c>
      <c r="P7956" s="50">
        <v>137.15099999999998</v>
      </c>
    </row>
    <row r="7957" spans="4:16" x14ac:dyDescent="0.2">
      <c r="D7957">
        <v>100004744</v>
      </c>
      <c r="E7957" s="49">
        <v>44877</v>
      </c>
      <c r="F7957" t="s">
        <v>6027</v>
      </c>
      <c r="G7957" t="s">
        <v>1815</v>
      </c>
      <c r="H7957">
        <v>5</v>
      </c>
      <c r="I7957">
        <v>108.16</v>
      </c>
      <c r="J7957" s="50">
        <v>540.79999999999995</v>
      </c>
      <c r="K7957" t="s">
        <v>1632</v>
      </c>
      <c r="M7957" t="s">
        <v>1624</v>
      </c>
      <c r="N7957">
        <v>57.08</v>
      </c>
      <c r="O7957" s="49">
        <v>44878</v>
      </c>
      <c r="P7957" s="50">
        <v>243.35999999999999</v>
      </c>
    </row>
    <row r="7958" spans="4:16" x14ac:dyDescent="0.2">
      <c r="D7958">
        <v>100004745</v>
      </c>
      <c r="E7958" s="49">
        <v>45081</v>
      </c>
      <c r="F7958" t="s">
        <v>6028</v>
      </c>
      <c r="G7958" t="s">
        <v>2007</v>
      </c>
      <c r="H7958">
        <v>6</v>
      </c>
      <c r="I7958">
        <v>13.03</v>
      </c>
      <c r="J7958" s="50">
        <v>78.179999999999993</v>
      </c>
      <c r="K7958" t="s">
        <v>1618</v>
      </c>
      <c r="L7958" t="s">
        <v>5043</v>
      </c>
      <c r="M7958" t="s">
        <v>1627</v>
      </c>
      <c r="N7958">
        <v>6.88</v>
      </c>
      <c r="O7958" s="49">
        <v>45082</v>
      </c>
      <c r="P7958" s="50">
        <v>35.180999999999997</v>
      </c>
    </row>
    <row r="7959" spans="4:16" x14ac:dyDescent="0.2">
      <c r="D7959">
        <v>100004746</v>
      </c>
      <c r="E7959" s="49">
        <v>44216</v>
      </c>
      <c r="F7959" t="s">
        <v>6029</v>
      </c>
      <c r="G7959" t="s">
        <v>1714</v>
      </c>
      <c r="H7959">
        <v>9</v>
      </c>
      <c r="I7959">
        <v>47.55</v>
      </c>
      <c r="J7959" s="50">
        <v>427.95</v>
      </c>
      <c r="K7959" t="s">
        <v>1618</v>
      </c>
      <c r="L7959" t="s">
        <v>6030</v>
      </c>
      <c r="M7959" t="s">
        <v>1627</v>
      </c>
      <c r="N7959">
        <v>25.1</v>
      </c>
      <c r="O7959" s="49">
        <v>44218</v>
      </c>
      <c r="P7959" s="50">
        <v>192.57749999999999</v>
      </c>
    </row>
    <row r="7960" spans="4:16" x14ac:dyDescent="0.2">
      <c r="D7960">
        <v>100004746</v>
      </c>
      <c r="E7960" s="49">
        <v>44392</v>
      </c>
      <c r="F7960" t="s">
        <v>6029</v>
      </c>
      <c r="G7960" t="s">
        <v>1719</v>
      </c>
      <c r="H7960">
        <v>10</v>
      </c>
      <c r="I7960">
        <v>63.15</v>
      </c>
      <c r="J7960" s="50">
        <v>631.5</v>
      </c>
      <c r="K7960" t="s">
        <v>1618</v>
      </c>
      <c r="L7960" t="s">
        <v>6030</v>
      </c>
      <c r="M7960" t="s">
        <v>1621</v>
      </c>
      <c r="N7960">
        <v>33.33</v>
      </c>
      <c r="O7960" s="49">
        <v>44397</v>
      </c>
      <c r="P7960" s="50">
        <v>284.17500000000001</v>
      </c>
    </row>
    <row r="7961" spans="4:16" x14ac:dyDescent="0.2">
      <c r="D7961">
        <v>100004748</v>
      </c>
      <c r="E7961" s="49">
        <v>45032</v>
      </c>
      <c r="F7961" t="s">
        <v>6031</v>
      </c>
      <c r="G7961" t="s">
        <v>1801</v>
      </c>
      <c r="H7961">
        <v>7</v>
      </c>
      <c r="I7961">
        <v>69.56</v>
      </c>
      <c r="J7961" s="50">
        <v>486.92</v>
      </c>
      <c r="K7961" t="s">
        <v>1618</v>
      </c>
      <c r="M7961" t="s">
        <v>1627</v>
      </c>
      <c r="N7961">
        <v>36.71</v>
      </c>
      <c r="O7961" s="49">
        <v>45037</v>
      </c>
      <c r="P7961" s="50">
        <v>219.114</v>
      </c>
    </row>
    <row r="7962" spans="4:16" x14ac:dyDescent="0.2">
      <c r="D7962">
        <v>100004748</v>
      </c>
      <c r="E7962" s="49">
        <v>44870</v>
      </c>
      <c r="F7962" t="s">
        <v>6031</v>
      </c>
      <c r="G7962" t="s">
        <v>1932</v>
      </c>
      <c r="H7962">
        <v>7</v>
      </c>
      <c r="I7962">
        <v>117.37</v>
      </c>
      <c r="J7962" s="50">
        <v>821.59</v>
      </c>
      <c r="K7962" t="s">
        <v>1618</v>
      </c>
      <c r="M7962" t="s">
        <v>1627</v>
      </c>
      <c r="N7962">
        <v>61.94</v>
      </c>
      <c r="O7962" s="49">
        <v>44875</v>
      </c>
      <c r="P7962" s="50">
        <v>369.71550000000002</v>
      </c>
    </row>
    <row r="7963" spans="4:16" x14ac:dyDescent="0.2">
      <c r="D7963">
        <v>100004749</v>
      </c>
      <c r="E7963" s="49">
        <v>45403</v>
      </c>
      <c r="F7963" t="s">
        <v>6032</v>
      </c>
      <c r="G7963" t="s">
        <v>1722</v>
      </c>
      <c r="H7963">
        <v>2</v>
      </c>
      <c r="I7963">
        <v>112.45</v>
      </c>
      <c r="J7963" s="50">
        <v>224.9</v>
      </c>
      <c r="K7963" t="s">
        <v>1618</v>
      </c>
      <c r="L7963" t="s">
        <v>6033</v>
      </c>
      <c r="M7963" t="s">
        <v>1619</v>
      </c>
      <c r="N7963">
        <v>59.35</v>
      </c>
      <c r="O7963" s="49">
        <v>45405</v>
      </c>
      <c r="P7963" s="50">
        <v>101.205</v>
      </c>
    </row>
    <row r="7964" spans="4:16" x14ac:dyDescent="0.2">
      <c r="D7964">
        <v>100004749</v>
      </c>
      <c r="E7964" s="49">
        <v>45261</v>
      </c>
      <c r="F7964" t="s">
        <v>6032</v>
      </c>
      <c r="G7964" t="s">
        <v>1948</v>
      </c>
      <c r="H7964">
        <v>4</v>
      </c>
      <c r="I7964">
        <v>99.63</v>
      </c>
      <c r="J7964" s="50">
        <v>398.52</v>
      </c>
      <c r="K7964" t="s">
        <v>1618</v>
      </c>
      <c r="L7964" t="s">
        <v>6033</v>
      </c>
      <c r="M7964" t="s">
        <v>1621</v>
      </c>
      <c r="N7964">
        <v>52.58</v>
      </c>
      <c r="O7964" s="49">
        <v>45266</v>
      </c>
      <c r="P7964" s="50">
        <v>179.334</v>
      </c>
    </row>
    <row r="7965" spans="4:16" x14ac:dyDescent="0.2">
      <c r="D7965">
        <v>100004750</v>
      </c>
      <c r="E7965" s="49">
        <v>44890</v>
      </c>
      <c r="F7965" t="s">
        <v>6034</v>
      </c>
      <c r="G7965" t="s">
        <v>2111</v>
      </c>
      <c r="H7965">
        <v>8</v>
      </c>
      <c r="I7965">
        <v>87.48</v>
      </c>
      <c r="J7965" s="50">
        <v>699.84</v>
      </c>
      <c r="K7965" t="s">
        <v>1618</v>
      </c>
      <c r="M7965" t="s">
        <v>1627</v>
      </c>
      <c r="N7965">
        <v>46.17</v>
      </c>
      <c r="O7965" s="49">
        <v>44894</v>
      </c>
      <c r="P7965" s="50">
        <v>314.928</v>
      </c>
    </row>
    <row r="7966" spans="4:16" x14ac:dyDescent="0.2">
      <c r="D7966">
        <v>100004750</v>
      </c>
      <c r="E7966" s="49">
        <v>44912</v>
      </c>
      <c r="F7966" t="s">
        <v>6034</v>
      </c>
      <c r="G7966" t="s">
        <v>1712</v>
      </c>
      <c r="H7966">
        <v>4</v>
      </c>
      <c r="I7966">
        <v>64.91</v>
      </c>
      <c r="J7966" s="50">
        <v>259.64</v>
      </c>
      <c r="K7966" t="s">
        <v>1618</v>
      </c>
      <c r="M7966" t="s">
        <v>1629</v>
      </c>
      <c r="N7966">
        <v>34.26</v>
      </c>
      <c r="O7966" s="49">
        <v>44915</v>
      </c>
      <c r="P7966" s="50">
        <v>116.83799999999999</v>
      </c>
    </row>
    <row r="7967" spans="4:16" x14ac:dyDescent="0.2">
      <c r="D7967">
        <v>100004751</v>
      </c>
      <c r="E7967" s="49">
        <v>45059</v>
      </c>
      <c r="F7967" t="s">
        <v>6035</v>
      </c>
      <c r="G7967" t="s">
        <v>2344</v>
      </c>
      <c r="H7967">
        <v>1</v>
      </c>
      <c r="I7967">
        <v>51.44</v>
      </c>
      <c r="J7967" s="50">
        <v>51.44</v>
      </c>
      <c r="K7967" t="s">
        <v>1618</v>
      </c>
      <c r="M7967" t="s">
        <v>1624</v>
      </c>
      <c r="N7967">
        <v>27.15</v>
      </c>
      <c r="O7967" s="49">
        <v>45064</v>
      </c>
      <c r="P7967" s="50">
        <v>23.148</v>
      </c>
    </row>
    <row r="7968" spans="4:16" x14ac:dyDescent="0.2">
      <c r="D7968">
        <v>100004752</v>
      </c>
      <c r="E7968" s="49">
        <v>44565</v>
      </c>
      <c r="F7968" t="s">
        <v>6036</v>
      </c>
      <c r="G7968" t="s">
        <v>1928</v>
      </c>
      <c r="H7968">
        <v>4</v>
      </c>
      <c r="I7968">
        <v>46.12</v>
      </c>
      <c r="J7968" s="50">
        <v>184.48</v>
      </c>
      <c r="K7968" t="s">
        <v>1618</v>
      </c>
      <c r="M7968" t="s">
        <v>1627</v>
      </c>
      <c r="N7968">
        <v>24.34</v>
      </c>
      <c r="O7968" s="49">
        <v>44570</v>
      </c>
      <c r="P7968" s="50">
        <v>83.015999999999991</v>
      </c>
    </row>
    <row r="7969" spans="4:16" x14ac:dyDescent="0.2">
      <c r="D7969">
        <v>100004752</v>
      </c>
      <c r="E7969" s="49">
        <v>45107</v>
      </c>
      <c r="F7969" t="s">
        <v>6036</v>
      </c>
      <c r="G7969" t="s">
        <v>1652</v>
      </c>
      <c r="H7969">
        <v>9</v>
      </c>
      <c r="I7969">
        <v>110.74</v>
      </c>
      <c r="J7969" s="50">
        <v>996.66</v>
      </c>
      <c r="K7969" t="s">
        <v>1618</v>
      </c>
      <c r="M7969" t="s">
        <v>1627</v>
      </c>
      <c r="N7969">
        <v>58.45</v>
      </c>
      <c r="O7969" s="49">
        <v>45109</v>
      </c>
      <c r="P7969" s="50">
        <v>448.49700000000001</v>
      </c>
    </row>
    <row r="7970" spans="4:16" x14ac:dyDescent="0.2">
      <c r="D7970">
        <v>100004752</v>
      </c>
      <c r="E7970" s="49">
        <v>44855</v>
      </c>
      <c r="F7970" t="s">
        <v>6036</v>
      </c>
      <c r="G7970" t="s">
        <v>1978</v>
      </c>
      <c r="H7970">
        <v>2</v>
      </c>
      <c r="I7970">
        <v>106.32</v>
      </c>
      <c r="J7970" s="50">
        <v>212.64</v>
      </c>
      <c r="K7970" t="s">
        <v>1618</v>
      </c>
      <c r="M7970" t="s">
        <v>1619</v>
      </c>
      <c r="N7970">
        <v>56.11</v>
      </c>
      <c r="O7970" s="49">
        <v>44859</v>
      </c>
      <c r="P7970" s="50">
        <v>95.688000000000002</v>
      </c>
    </row>
    <row r="7971" spans="4:16" x14ac:dyDescent="0.2">
      <c r="D7971">
        <v>100004752</v>
      </c>
      <c r="E7971" s="49">
        <v>45431</v>
      </c>
      <c r="F7971" t="s">
        <v>6036</v>
      </c>
      <c r="G7971" t="s">
        <v>2240</v>
      </c>
      <c r="H7971">
        <v>3</v>
      </c>
      <c r="I7971">
        <v>105.79</v>
      </c>
      <c r="J7971" s="50">
        <v>317.37</v>
      </c>
      <c r="K7971" t="s">
        <v>1618</v>
      </c>
      <c r="M7971" t="s">
        <v>1621</v>
      </c>
      <c r="N7971">
        <v>55.83</v>
      </c>
      <c r="O7971" s="49">
        <v>45434</v>
      </c>
      <c r="P7971" s="50">
        <v>142.81650000000002</v>
      </c>
    </row>
    <row r="7972" spans="4:16" x14ac:dyDescent="0.2">
      <c r="D7972">
        <v>100004752</v>
      </c>
      <c r="E7972" s="49">
        <v>45198</v>
      </c>
      <c r="F7972" t="s">
        <v>6036</v>
      </c>
      <c r="G7972" t="s">
        <v>1922</v>
      </c>
      <c r="H7972">
        <v>2</v>
      </c>
      <c r="I7972">
        <v>67.44</v>
      </c>
      <c r="J7972" s="50">
        <v>134.88</v>
      </c>
      <c r="K7972" t="s">
        <v>1618</v>
      </c>
      <c r="M7972" t="s">
        <v>1624</v>
      </c>
      <c r="N7972">
        <v>35.590000000000003</v>
      </c>
      <c r="O7972" s="49">
        <v>45202</v>
      </c>
      <c r="P7972" s="50">
        <v>60.695999999999998</v>
      </c>
    </row>
    <row r="7973" spans="4:16" x14ac:dyDescent="0.2">
      <c r="D7973">
        <v>100004755</v>
      </c>
      <c r="E7973" s="49">
        <v>45119</v>
      </c>
      <c r="F7973" t="s">
        <v>6037</v>
      </c>
      <c r="G7973" t="s">
        <v>2168</v>
      </c>
      <c r="H7973">
        <v>3</v>
      </c>
      <c r="I7973">
        <v>59.89</v>
      </c>
      <c r="J7973" s="50">
        <v>179.67</v>
      </c>
      <c r="K7973" t="s">
        <v>1618</v>
      </c>
      <c r="M7973" t="s">
        <v>1621</v>
      </c>
      <c r="N7973">
        <v>31.61</v>
      </c>
      <c r="O7973" s="49">
        <v>45123</v>
      </c>
      <c r="P7973" s="50">
        <v>80.851500000000001</v>
      </c>
    </row>
    <row r="7974" spans="4:16" x14ac:dyDescent="0.2">
      <c r="D7974">
        <v>100004755</v>
      </c>
      <c r="E7974" s="49">
        <v>44698</v>
      </c>
      <c r="F7974" t="s">
        <v>6037</v>
      </c>
      <c r="G7974" t="s">
        <v>1710</v>
      </c>
      <c r="H7974">
        <v>5</v>
      </c>
      <c r="I7974">
        <v>65.930000000000007</v>
      </c>
      <c r="J7974" s="50">
        <v>329.65</v>
      </c>
      <c r="K7974" t="s">
        <v>1618</v>
      </c>
      <c r="M7974" t="s">
        <v>1627</v>
      </c>
      <c r="N7974">
        <v>34.799999999999997</v>
      </c>
      <c r="O7974" s="49">
        <v>44699</v>
      </c>
      <c r="P7974" s="50">
        <v>148.3425</v>
      </c>
    </row>
    <row r="7975" spans="4:16" x14ac:dyDescent="0.2">
      <c r="D7975">
        <v>100004757</v>
      </c>
      <c r="E7975" s="49">
        <v>44785</v>
      </c>
      <c r="F7975" t="s">
        <v>6038</v>
      </c>
      <c r="G7975" t="s">
        <v>2161</v>
      </c>
      <c r="H7975">
        <v>1</v>
      </c>
      <c r="I7975">
        <v>107.65</v>
      </c>
      <c r="J7975" s="50">
        <v>107.65</v>
      </c>
      <c r="K7975" t="s">
        <v>1618</v>
      </c>
      <c r="M7975" t="s">
        <v>1619</v>
      </c>
      <c r="N7975">
        <v>56.81</v>
      </c>
      <c r="O7975" s="49">
        <v>44790</v>
      </c>
      <c r="P7975" s="50">
        <v>48.442500000000003</v>
      </c>
    </row>
    <row r="7976" spans="4:16" x14ac:dyDescent="0.2">
      <c r="D7976">
        <v>100004757</v>
      </c>
      <c r="E7976" s="49">
        <v>44207</v>
      </c>
      <c r="F7976" t="s">
        <v>6038</v>
      </c>
      <c r="G7976" t="s">
        <v>2484</v>
      </c>
      <c r="H7976">
        <v>2</v>
      </c>
      <c r="I7976">
        <v>85.79</v>
      </c>
      <c r="J7976" s="50">
        <v>171.58</v>
      </c>
      <c r="K7976" t="s">
        <v>1618</v>
      </c>
      <c r="M7976" t="s">
        <v>1627</v>
      </c>
      <c r="N7976">
        <v>45.28</v>
      </c>
      <c r="O7976" s="49">
        <v>44210</v>
      </c>
      <c r="P7976" s="50">
        <v>77.211000000000013</v>
      </c>
    </row>
    <row r="7977" spans="4:16" x14ac:dyDescent="0.2">
      <c r="D7977">
        <v>100004757</v>
      </c>
      <c r="E7977" s="49">
        <v>45168</v>
      </c>
      <c r="F7977" t="s">
        <v>6038</v>
      </c>
      <c r="G7977" t="s">
        <v>1729</v>
      </c>
      <c r="H7977">
        <v>7</v>
      </c>
      <c r="I7977">
        <v>58.97</v>
      </c>
      <c r="J7977" s="50">
        <v>412.79</v>
      </c>
      <c r="K7977" t="s">
        <v>1618</v>
      </c>
      <c r="M7977" t="s">
        <v>1621</v>
      </c>
      <c r="N7977">
        <v>31.12</v>
      </c>
      <c r="O7977" s="49">
        <v>45169</v>
      </c>
      <c r="P7977" s="50">
        <v>185.75550000000001</v>
      </c>
    </row>
    <row r="7978" spans="4:16" x14ac:dyDescent="0.2">
      <c r="D7978">
        <v>100004757</v>
      </c>
      <c r="E7978" s="49">
        <v>45241</v>
      </c>
      <c r="F7978" t="s">
        <v>6038</v>
      </c>
      <c r="G7978" t="s">
        <v>2550</v>
      </c>
      <c r="H7978">
        <v>6</v>
      </c>
      <c r="I7978">
        <v>84.08</v>
      </c>
      <c r="J7978" s="50">
        <v>504.48</v>
      </c>
      <c r="K7978" t="s">
        <v>1618</v>
      </c>
      <c r="M7978" t="s">
        <v>1627</v>
      </c>
      <c r="N7978">
        <v>44.38</v>
      </c>
      <c r="O7978" s="49">
        <v>45245</v>
      </c>
      <c r="P7978" s="50">
        <v>227.01600000000002</v>
      </c>
    </row>
    <row r="7979" spans="4:16" x14ac:dyDescent="0.2">
      <c r="D7979">
        <v>100004758</v>
      </c>
      <c r="E7979" s="49">
        <v>44956</v>
      </c>
      <c r="F7979" t="s">
        <v>6039</v>
      </c>
      <c r="G7979" t="s">
        <v>1783</v>
      </c>
      <c r="H7979">
        <v>8</v>
      </c>
      <c r="I7979">
        <v>76.97</v>
      </c>
      <c r="J7979" s="50">
        <v>615.76</v>
      </c>
      <c r="K7979" t="s">
        <v>1618</v>
      </c>
      <c r="M7979" t="s">
        <v>1621</v>
      </c>
      <c r="N7979">
        <v>40.619999999999997</v>
      </c>
      <c r="O7979" s="49">
        <v>44960</v>
      </c>
      <c r="P7979" s="50">
        <v>277.09199999999998</v>
      </c>
    </row>
    <row r="7980" spans="4:16" x14ac:dyDescent="0.2">
      <c r="D7980">
        <v>100004758</v>
      </c>
      <c r="E7980" s="49">
        <v>44565</v>
      </c>
      <c r="F7980" t="s">
        <v>6039</v>
      </c>
      <c r="G7980" t="s">
        <v>1922</v>
      </c>
      <c r="H7980">
        <v>8</v>
      </c>
      <c r="I7980">
        <v>43.68</v>
      </c>
      <c r="J7980" s="50">
        <v>349.44</v>
      </c>
      <c r="K7980" t="s">
        <v>1618</v>
      </c>
      <c r="M7980" t="s">
        <v>1621</v>
      </c>
      <c r="N7980">
        <v>23.05</v>
      </c>
      <c r="O7980" s="49">
        <v>44569</v>
      </c>
      <c r="P7980" s="50">
        <v>157.24799999999999</v>
      </c>
    </row>
    <row r="7981" spans="4:16" x14ac:dyDescent="0.2">
      <c r="D7981">
        <v>100004758</v>
      </c>
      <c r="E7981" s="49">
        <v>44643</v>
      </c>
      <c r="F7981" t="s">
        <v>6039</v>
      </c>
      <c r="G7981" t="s">
        <v>1650</v>
      </c>
      <c r="H7981">
        <v>6</v>
      </c>
      <c r="I7981">
        <v>87.55</v>
      </c>
      <c r="J7981" s="50">
        <v>525.29999999999995</v>
      </c>
      <c r="K7981" t="s">
        <v>1618</v>
      </c>
      <c r="M7981" t="s">
        <v>1627</v>
      </c>
      <c r="N7981">
        <v>46.21</v>
      </c>
      <c r="O7981" s="49">
        <v>44644</v>
      </c>
      <c r="P7981" s="50">
        <v>236.38499999999999</v>
      </c>
    </row>
    <row r="7982" spans="4:16" x14ac:dyDescent="0.2">
      <c r="D7982">
        <v>100004760</v>
      </c>
      <c r="E7982" s="49">
        <v>44234</v>
      </c>
      <c r="F7982" t="s">
        <v>6040</v>
      </c>
      <c r="G7982" t="s">
        <v>2101</v>
      </c>
      <c r="H7982">
        <v>5</v>
      </c>
      <c r="I7982">
        <v>90.04</v>
      </c>
      <c r="J7982" s="50">
        <v>450.2</v>
      </c>
      <c r="K7982" t="s">
        <v>1618</v>
      </c>
      <c r="M7982" t="s">
        <v>1627</v>
      </c>
      <c r="N7982">
        <v>47.52</v>
      </c>
      <c r="O7982" s="49">
        <v>44235</v>
      </c>
      <c r="P7982" s="50">
        <v>202.59</v>
      </c>
    </row>
    <row r="7983" spans="4:16" x14ac:dyDescent="0.2">
      <c r="D7983">
        <v>100004761</v>
      </c>
      <c r="E7983" s="49">
        <v>44341</v>
      </c>
      <c r="F7983" t="s">
        <v>6041</v>
      </c>
      <c r="G7983" t="s">
        <v>1742</v>
      </c>
      <c r="H7983">
        <v>3</v>
      </c>
      <c r="I7983">
        <v>117.21</v>
      </c>
      <c r="J7983" s="50">
        <v>351.63</v>
      </c>
      <c r="K7983" t="s">
        <v>1618</v>
      </c>
      <c r="M7983" t="s">
        <v>1619</v>
      </c>
      <c r="N7983">
        <v>61.86</v>
      </c>
      <c r="O7983" s="49">
        <v>44346</v>
      </c>
      <c r="P7983" s="50">
        <v>158.23349999999999</v>
      </c>
    </row>
    <row r="7984" spans="4:16" x14ac:dyDescent="0.2">
      <c r="D7984">
        <v>100004761</v>
      </c>
      <c r="E7984" s="49">
        <v>45423</v>
      </c>
      <c r="F7984" t="s">
        <v>6041</v>
      </c>
      <c r="G7984" t="s">
        <v>2514</v>
      </c>
      <c r="H7984">
        <v>5</v>
      </c>
      <c r="I7984">
        <v>102.29</v>
      </c>
      <c r="J7984" s="50">
        <v>511.45</v>
      </c>
      <c r="K7984" t="s">
        <v>1618</v>
      </c>
      <c r="M7984" t="s">
        <v>1624</v>
      </c>
      <c r="N7984">
        <v>53.99</v>
      </c>
      <c r="O7984" s="49">
        <v>45424</v>
      </c>
      <c r="P7984" s="50">
        <v>230.1525</v>
      </c>
    </row>
    <row r="7985" spans="4:16" x14ac:dyDescent="0.2">
      <c r="D7985">
        <v>100004761</v>
      </c>
      <c r="E7985" s="49">
        <v>44465</v>
      </c>
      <c r="F7985" t="s">
        <v>6041</v>
      </c>
      <c r="G7985" t="s">
        <v>1830</v>
      </c>
      <c r="H7985">
        <v>9</v>
      </c>
      <c r="I7985">
        <v>96.36</v>
      </c>
      <c r="J7985" s="50">
        <v>867.24</v>
      </c>
      <c r="K7985" t="s">
        <v>1618</v>
      </c>
      <c r="M7985" t="s">
        <v>1627</v>
      </c>
      <c r="N7985">
        <v>50.86</v>
      </c>
      <c r="O7985" s="49">
        <v>44467</v>
      </c>
      <c r="P7985" s="50">
        <v>390.25800000000004</v>
      </c>
    </row>
    <row r="7986" spans="4:16" x14ac:dyDescent="0.2">
      <c r="D7986">
        <v>100004761</v>
      </c>
      <c r="E7986" s="49">
        <v>44551</v>
      </c>
      <c r="F7986" t="s">
        <v>6041</v>
      </c>
      <c r="G7986" t="s">
        <v>2291</v>
      </c>
      <c r="H7986">
        <v>8</v>
      </c>
      <c r="I7986">
        <v>55.97</v>
      </c>
      <c r="J7986" s="50">
        <v>447.76</v>
      </c>
      <c r="K7986" t="s">
        <v>1618</v>
      </c>
      <c r="M7986" t="s">
        <v>1619</v>
      </c>
      <c r="N7986">
        <v>29.54</v>
      </c>
      <c r="O7986" s="49">
        <v>44554</v>
      </c>
      <c r="P7986" s="50">
        <v>201.49199999999999</v>
      </c>
    </row>
    <row r="7987" spans="4:16" x14ac:dyDescent="0.2">
      <c r="D7987">
        <v>100004763</v>
      </c>
      <c r="E7987" s="49">
        <v>44737</v>
      </c>
      <c r="F7987" t="s">
        <v>6042</v>
      </c>
      <c r="G7987" t="s">
        <v>1712</v>
      </c>
      <c r="H7987">
        <v>8</v>
      </c>
      <c r="I7987">
        <v>93.45</v>
      </c>
      <c r="J7987" s="50">
        <v>747.6</v>
      </c>
      <c r="K7987" t="s">
        <v>1632</v>
      </c>
      <c r="L7987" t="s">
        <v>6043</v>
      </c>
      <c r="M7987" t="s">
        <v>1624</v>
      </c>
      <c r="N7987">
        <v>49.32</v>
      </c>
      <c r="O7987" s="49">
        <v>44739</v>
      </c>
      <c r="P7987" s="50">
        <v>336.42</v>
      </c>
    </row>
    <row r="7988" spans="4:16" x14ac:dyDescent="0.2">
      <c r="D7988">
        <v>100004764</v>
      </c>
      <c r="E7988" s="49">
        <v>44955</v>
      </c>
      <c r="F7988" t="s">
        <v>6044</v>
      </c>
      <c r="G7988" t="s">
        <v>2207</v>
      </c>
      <c r="H7988">
        <v>7</v>
      </c>
      <c r="I7988">
        <v>116.28</v>
      </c>
      <c r="J7988" s="50">
        <v>813.96</v>
      </c>
      <c r="K7988" t="s">
        <v>1632</v>
      </c>
      <c r="M7988" t="s">
        <v>1621</v>
      </c>
      <c r="N7988">
        <v>61.37</v>
      </c>
      <c r="O7988" s="49">
        <v>44956</v>
      </c>
      <c r="P7988" s="50">
        <v>366.28200000000004</v>
      </c>
    </row>
    <row r="7989" spans="4:16" x14ac:dyDescent="0.2">
      <c r="D7989">
        <v>100004765</v>
      </c>
      <c r="E7989" s="49">
        <v>45274</v>
      </c>
      <c r="F7989" t="s">
        <v>6045</v>
      </c>
      <c r="G7989" t="s">
        <v>2692</v>
      </c>
      <c r="H7989">
        <v>2</v>
      </c>
      <c r="I7989">
        <v>31.27</v>
      </c>
      <c r="J7989" s="50">
        <v>62.54</v>
      </c>
      <c r="K7989" t="s">
        <v>1618</v>
      </c>
      <c r="M7989" t="s">
        <v>1619</v>
      </c>
      <c r="N7989">
        <v>16.5</v>
      </c>
      <c r="O7989" s="49">
        <v>45275</v>
      </c>
      <c r="P7989" s="50">
        <v>28.143000000000001</v>
      </c>
    </row>
    <row r="7990" spans="4:16" x14ac:dyDescent="0.2">
      <c r="D7990">
        <v>100004766</v>
      </c>
      <c r="E7990" s="49">
        <v>44940</v>
      </c>
      <c r="F7990" t="s">
        <v>4288</v>
      </c>
      <c r="G7990" t="s">
        <v>2485</v>
      </c>
      <c r="H7990">
        <v>4</v>
      </c>
      <c r="I7990">
        <v>79.180000000000007</v>
      </c>
      <c r="J7990" s="50">
        <v>316.72000000000003</v>
      </c>
      <c r="K7990" t="s">
        <v>1618</v>
      </c>
      <c r="M7990" t="s">
        <v>1621</v>
      </c>
      <c r="N7990">
        <v>41.79</v>
      </c>
      <c r="O7990" s="49">
        <v>44945</v>
      </c>
      <c r="P7990" s="50">
        <v>142.52400000000003</v>
      </c>
    </row>
    <row r="7991" spans="4:16" x14ac:dyDescent="0.2">
      <c r="D7991">
        <v>100004767</v>
      </c>
      <c r="E7991" s="49">
        <v>45619</v>
      </c>
      <c r="F7991" t="s">
        <v>6046</v>
      </c>
      <c r="G7991" t="s">
        <v>1671</v>
      </c>
      <c r="H7991">
        <v>1</v>
      </c>
      <c r="I7991">
        <v>22.25</v>
      </c>
      <c r="J7991" s="50">
        <v>22.25</v>
      </c>
      <c r="K7991" t="s">
        <v>1632</v>
      </c>
      <c r="M7991" t="s">
        <v>1624</v>
      </c>
      <c r="N7991">
        <v>11.74</v>
      </c>
      <c r="O7991" s="49">
        <v>45621</v>
      </c>
      <c r="P7991" s="50">
        <v>10.012500000000001</v>
      </c>
    </row>
    <row r="7992" spans="4:16" x14ac:dyDescent="0.2">
      <c r="D7992">
        <v>100004770</v>
      </c>
      <c r="E7992" s="49">
        <v>45073</v>
      </c>
      <c r="F7992" t="s">
        <v>6047</v>
      </c>
      <c r="G7992" t="s">
        <v>1641</v>
      </c>
      <c r="H7992">
        <v>10</v>
      </c>
      <c r="I7992">
        <v>60.9</v>
      </c>
      <c r="J7992" s="50">
        <v>609</v>
      </c>
      <c r="K7992" t="s">
        <v>1618</v>
      </c>
      <c r="M7992" t="s">
        <v>1627</v>
      </c>
      <c r="N7992">
        <v>32.14</v>
      </c>
      <c r="O7992" s="49">
        <v>45078</v>
      </c>
      <c r="P7992" s="50">
        <v>274.05</v>
      </c>
    </row>
    <row r="7993" spans="4:16" x14ac:dyDescent="0.2">
      <c r="D7993">
        <v>100004770</v>
      </c>
      <c r="E7993" s="49">
        <v>44934</v>
      </c>
      <c r="F7993" t="s">
        <v>6047</v>
      </c>
      <c r="G7993" t="s">
        <v>1799</v>
      </c>
      <c r="H7993">
        <v>10</v>
      </c>
      <c r="I7993">
        <v>21.99</v>
      </c>
      <c r="J7993" s="50">
        <v>219.9</v>
      </c>
      <c r="K7993" t="s">
        <v>1618</v>
      </c>
      <c r="M7993" t="s">
        <v>1619</v>
      </c>
      <c r="N7993">
        <v>11.61</v>
      </c>
      <c r="O7993" s="49">
        <v>44939</v>
      </c>
      <c r="P7993" s="50">
        <v>98.954999999999998</v>
      </c>
    </row>
    <row r="7994" spans="4:16" x14ac:dyDescent="0.2">
      <c r="D7994">
        <v>100004770</v>
      </c>
      <c r="E7994" s="49">
        <v>44224</v>
      </c>
      <c r="F7994" t="s">
        <v>6047</v>
      </c>
      <c r="G7994" t="s">
        <v>2142</v>
      </c>
      <c r="H7994">
        <v>1</v>
      </c>
      <c r="I7994">
        <v>82.87</v>
      </c>
      <c r="J7994" s="50">
        <v>82.87</v>
      </c>
      <c r="K7994" t="s">
        <v>1618</v>
      </c>
      <c r="M7994" t="s">
        <v>1627</v>
      </c>
      <c r="N7994">
        <v>43.74</v>
      </c>
      <c r="O7994" s="49">
        <v>44225</v>
      </c>
      <c r="P7994" s="50">
        <v>37.291500000000006</v>
      </c>
    </row>
    <row r="7995" spans="4:16" x14ac:dyDescent="0.2">
      <c r="D7995">
        <v>100004771</v>
      </c>
      <c r="E7995" s="49">
        <v>44577</v>
      </c>
      <c r="F7995" t="s">
        <v>6048</v>
      </c>
      <c r="G7995" t="s">
        <v>1842</v>
      </c>
      <c r="H7995">
        <v>4</v>
      </c>
      <c r="I7995">
        <v>78.37</v>
      </c>
      <c r="J7995" s="50">
        <v>313.48</v>
      </c>
      <c r="K7995" t="s">
        <v>1632</v>
      </c>
      <c r="M7995" t="s">
        <v>1627</v>
      </c>
      <c r="N7995">
        <v>41.36</v>
      </c>
      <c r="O7995" s="49">
        <v>44580</v>
      </c>
      <c r="P7995" s="50">
        <v>141.066</v>
      </c>
    </row>
    <row r="7996" spans="4:16" x14ac:dyDescent="0.2">
      <c r="D7996">
        <v>100004772</v>
      </c>
      <c r="E7996" s="49">
        <v>44284</v>
      </c>
      <c r="F7996" t="s">
        <v>6049</v>
      </c>
      <c r="G7996" t="s">
        <v>1866</v>
      </c>
      <c r="H7996">
        <v>6</v>
      </c>
      <c r="I7996">
        <v>18.8</v>
      </c>
      <c r="J7996" s="50">
        <v>112.8</v>
      </c>
      <c r="K7996" t="s">
        <v>1618</v>
      </c>
      <c r="M7996" t="s">
        <v>1621</v>
      </c>
      <c r="N7996">
        <v>9.92</v>
      </c>
      <c r="O7996" s="49">
        <v>44288</v>
      </c>
      <c r="P7996" s="50">
        <v>50.76</v>
      </c>
    </row>
    <row r="7997" spans="4:16" x14ac:dyDescent="0.2">
      <c r="D7997">
        <v>100004772</v>
      </c>
      <c r="E7997" s="49">
        <v>45196</v>
      </c>
      <c r="F7997" t="s">
        <v>6049</v>
      </c>
      <c r="G7997" t="s">
        <v>2255</v>
      </c>
      <c r="H7997">
        <v>10</v>
      </c>
      <c r="I7997">
        <v>87.5</v>
      </c>
      <c r="J7997" s="50">
        <v>875</v>
      </c>
      <c r="K7997" t="s">
        <v>1618</v>
      </c>
      <c r="M7997" t="s">
        <v>1619</v>
      </c>
      <c r="N7997">
        <v>46.18</v>
      </c>
      <c r="O7997" s="49">
        <v>45200</v>
      </c>
      <c r="P7997" s="50">
        <v>393.75</v>
      </c>
    </row>
    <row r="7998" spans="4:16" x14ac:dyDescent="0.2">
      <c r="D7998">
        <v>100004772</v>
      </c>
      <c r="E7998" s="49">
        <v>44825</v>
      </c>
      <c r="F7998" t="s">
        <v>6049</v>
      </c>
      <c r="G7998" t="s">
        <v>1722</v>
      </c>
      <c r="H7998">
        <v>1</v>
      </c>
      <c r="I7998">
        <v>109.19</v>
      </c>
      <c r="J7998" s="50">
        <v>109.19</v>
      </c>
      <c r="K7998" t="s">
        <v>1618</v>
      </c>
      <c r="M7998" t="s">
        <v>1629</v>
      </c>
      <c r="N7998">
        <v>57.63</v>
      </c>
      <c r="O7998" s="49">
        <v>44829</v>
      </c>
      <c r="P7998" s="50">
        <v>49.1355</v>
      </c>
    </row>
    <row r="7999" spans="4:16" x14ac:dyDescent="0.2">
      <c r="D7999">
        <v>100004775</v>
      </c>
      <c r="E7999" s="49">
        <v>45427</v>
      </c>
      <c r="F7999" t="s">
        <v>6050</v>
      </c>
      <c r="G7999" t="s">
        <v>1758</v>
      </c>
      <c r="H7999">
        <v>10</v>
      </c>
      <c r="I7999">
        <v>37.19</v>
      </c>
      <c r="J7999" s="50">
        <v>371.9</v>
      </c>
      <c r="K7999" t="s">
        <v>1632</v>
      </c>
      <c r="L7999" t="s">
        <v>2114</v>
      </c>
      <c r="M7999" t="s">
        <v>1621</v>
      </c>
      <c r="N7999">
        <v>19.63</v>
      </c>
      <c r="O7999" s="49">
        <v>45428</v>
      </c>
      <c r="P7999" s="50">
        <v>167.35499999999999</v>
      </c>
    </row>
    <row r="8000" spans="4:16" x14ac:dyDescent="0.2">
      <c r="D8000">
        <v>100004776</v>
      </c>
      <c r="E8000" s="49">
        <v>45251</v>
      </c>
      <c r="F8000" t="s">
        <v>6051</v>
      </c>
      <c r="G8000" t="s">
        <v>1792</v>
      </c>
      <c r="H8000">
        <v>5</v>
      </c>
      <c r="I8000">
        <v>87.08</v>
      </c>
      <c r="J8000" s="50">
        <v>435.4</v>
      </c>
      <c r="K8000" t="s">
        <v>1632</v>
      </c>
      <c r="L8000" t="s">
        <v>6052</v>
      </c>
      <c r="M8000" t="s">
        <v>1621</v>
      </c>
      <c r="N8000">
        <v>45.96</v>
      </c>
      <c r="O8000" s="49">
        <v>45255</v>
      </c>
      <c r="P8000" s="50">
        <v>195.93</v>
      </c>
    </row>
    <row r="8001" spans="4:16" x14ac:dyDescent="0.2">
      <c r="D8001">
        <v>100004777</v>
      </c>
      <c r="E8001" s="49">
        <v>45550</v>
      </c>
      <c r="F8001" t="s">
        <v>6053</v>
      </c>
      <c r="G8001" t="s">
        <v>1766</v>
      </c>
      <c r="H8001">
        <v>4</v>
      </c>
      <c r="I8001">
        <v>68.36</v>
      </c>
      <c r="J8001" s="50">
        <v>273.44</v>
      </c>
      <c r="K8001" t="s">
        <v>1618</v>
      </c>
      <c r="L8001" t="s">
        <v>4328</v>
      </c>
      <c r="M8001" t="s">
        <v>1629</v>
      </c>
      <c r="N8001">
        <v>36.08</v>
      </c>
      <c r="O8001" s="49">
        <v>45555</v>
      </c>
      <c r="P8001" s="50">
        <v>123.048</v>
      </c>
    </row>
    <row r="8002" spans="4:16" x14ac:dyDescent="0.2">
      <c r="D8002">
        <v>100004778</v>
      </c>
      <c r="E8002" s="49">
        <v>44650</v>
      </c>
      <c r="F8002" t="s">
        <v>6054</v>
      </c>
      <c r="G8002" t="s">
        <v>2372</v>
      </c>
      <c r="H8002">
        <v>2</v>
      </c>
      <c r="I8002">
        <v>96.04</v>
      </c>
      <c r="J8002" s="50">
        <v>192.08</v>
      </c>
      <c r="K8002" t="s">
        <v>1618</v>
      </c>
      <c r="L8002" t="s">
        <v>6055</v>
      </c>
      <c r="M8002" t="s">
        <v>1624</v>
      </c>
      <c r="N8002">
        <v>50.69</v>
      </c>
      <c r="O8002" s="49">
        <v>44653</v>
      </c>
      <c r="P8002" s="50">
        <v>86.436000000000007</v>
      </c>
    </row>
    <row r="8003" spans="4:16" x14ac:dyDescent="0.2">
      <c r="D8003">
        <v>100004778</v>
      </c>
      <c r="E8003" s="49">
        <v>44557</v>
      </c>
      <c r="F8003" t="s">
        <v>6054</v>
      </c>
      <c r="G8003" t="s">
        <v>2130</v>
      </c>
      <c r="H8003">
        <v>9</v>
      </c>
      <c r="I8003">
        <v>20.51</v>
      </c>
      <c r="J8003" s="50">
        <v>184.59</v>
      </c>
      <c r="K8003" t="s">
        <v>1618</v>
      </c>
      <c r="L8003" t="s">
        <v>6055</v>
      </c>
      <c r="M8003" t="s">
        <v>1629</v>
      </c>
      <c r="N8003">
        <v>10.82</v>
      </c>
      <c r="O8003" s="49">
        <v>44560</v>
      </c>
      <c r="P8003" s="50">
        <v>83.0655</v>
      </c>
    </row>
    <row r="8004" spans="4:16" x14ac:dyDescent="0.2">
      <c r="D8004">
        <v>100004779</v>
      </c>
      <c r="E8004" s="49">
        <v>44381</v>
      </c>
      <c r="F8004" t="s">
        <v>6056</v>
      </c>
      <c r="G8004" t="s">
        <v>1768</v>
      </c>
      <c r="H8004">
        <v>1</v>
      </c>
      <c r="I8004">
        <v>48.76</v>
      </c>
      <c r="J8004" s="50">
        <v>48.76</v>
      </c>
      <c r="K8004" t="s">
        <v>1618</v>
      </c>
      <c r="M8004" t="s">
        <v>1621</v>
      </c>
      <c r="N8004">
        <v>25.73</v>
      </c>
      <c r="O8004" s="49">
        <v>44383</v>
      </c>
      <c r="P8004" s="50">
        <v>21.942</v>
      </c>
    </row>
    <row r="8005" spans="4:16" x14ac:dyDescent="0.2">
      <c r="D8005">
        <v>100004779</v>
      </c>
      <c r="E8005" s="49">
        <v>45142</v>
      </c>
      <c r="F8005" t="s">
        <v>6056</v>
      </c>
      <c r="G8005" t="s">
        <v>2416</v>
      </c>
      <c r="H8005">
        <v>6</v>
      </c>
      <c r="I8005">
        <v>107.91</v>
      </c>
      <c r="J8005" s="50">
        <v>647.46</v>
      </c>
      <c r="K8005" t="s">
        <v>1618</v>
      </c>
      <c r="M8005" t="s">
        <v>1624</v>
      </c>
      <c r="N8005">
        <v>56.95</v>
      </c>
      <c r="O8005" s="49">
        <v>45144</v>
      </c>
      <c r="P8005" s="50">
        <v>291.35700000000003</v>
      </c>
    </row>
    <row r="8006" spans="4:16" x14ac:dyDescent="0.2">
      <c r="D8006">
        <v>100004780</v>
      </c>
      <c r="E8006" s="49">
        <v>45411</v>
      </c>
      <c r="F8006" t="s">
        <v>6057</v>
      </c>
      <c r="G8006" t="s">
        <v>2603</v>
      </c>
      <c r="H8006">
        <v>1</v>
      </c>
      <c r="I8006">
        <v>119.79</v>
      </c>
      <c r="J8006" s="50">
        <v>119.79</v>
      </c>
      <c r="K8006" t="s">
        <v>1632</v>
      </c>
      <c r="M8006" t="s">
        <v>1627</v>
      </c>
      <c r="N8006">
        <v>63.22</v>
      </c>
      <c r="O8006" s="49">
        <v>45416</v>
      </c>
      <c r="P8006" s="50">
        <v>53.905500000000004</v>
      </c>
    </row>
    <row r="8007" spans="4:16" x14ac:dyDescent="0.2">
      <c r="D8007">
        <v>100004781</v>
      </c>
      <c r="E8007" s="49">
        <v>44744</v>
      </c>
      <c r="F8007" t="s">
        <v>6058</v>
      </c>
      <c r="G8007" t="s">
        <v>2698</v>
      </c>
      <c r="H8007">
        <v>10</v>
      </c>
      <c r="I8007">
        <v>95.07</v>
      </c>
      <c r="J8007" s="50">
        <v>950.69999999999993</v>
      </c>
      <c r="K8007" t="s">
        <v>1632</v>
      </c>
      <c r="M8007" t="s">
        <v>1621</v>
      </c>
      <c r="N8007">
        <v>50.18</v>
      </c>
      <c r="O8007" s="49">
        <v>44749</v>
      </c>
      <c r="P8007" s="50">
        <v>427.815</v>
      </c>
    </row>
    <row r="8008" spans="4:16" x14ac:dyDescent="0.2">
      <c r="D8008">
        <v>100004781</v>
      </c>
      <c r="E8008" s="49">
        <v>45152</v>
      </c>
      <c r="F8008" t="s">
        <v>6058</v>
      </c>
      <c r="G8008" t="s">
        <v>1664</v>
      </c>
      <c r="H8008">
        <v>9</v>
      </c>
      <c r="I8008">
        <v>27.31</v>
      </c>
      <c r="J8008" s="50">
        <v>245.79</v>
      </c>
      <c r="K8008" t="s">
        <v>1632</v>
      </c>
      <c r="M8008" t="s">
        <v>1624</v>
      </c>
      <c r="N8008">
        <v>14.41</v>
      </c>
      <c r="O8008" s="49">
        <v>45156</v>
      </c>
      <c r="P8008" s="50">
        <v>110.60549999999999</v>
      </c>
    </row>
    <row r="8009" spans="4:16" x14ac:dyDescent="0.2">
      <c r="D8009">
        <v>100004783</v>
      </c>
      <c r="E8009" s="49">
        <v>44745</v>
      </c>
      <c r="F8009" t="s">
        <v>6059</v>
      </c>
      <c r="G8009" t="s">
        <v>2074</v>
      </c>
      <c r="H8009">
        <v>9</v>
      </c>
      <c r="I8009">
        <v>70.02</v>
      </c>
      <c r="J8009" s="50">
        <v>630.17999999999995</v>
      </c>
      <c r="K8009" t="s">
        <v>1618</v>
      </c>
      <c r="M8009" t="s">
        <v>1621</v>
      </c>
      <c r="N8009">
        <v>36.950000000000003</v>
      </c>
      <c r="O8009" s="49">
        <v>44746</v>
      </c>
      <c r="P8009" s="50">
        <v>283.58099999999996</v>
      </c>
    </row>
    <row r="8010" spans="4:16" x14ac:dyDescent="0.2">
      <c r="D8010">
        <v>100004783</v>
      </c>
      <c r="E8010" s="49">
        <v>44319</v>
      </c>
      <c r="F8010" t="s">
        <v>6059</v>
      </c>
      <c r="G8010" t="s">
        <v>1639</v>
      </c>
      <c r="H8010">
        <v>1</v>
      </c>
      <c r="I8010">
        <v>33.44</v>
      </c>
      <c r="J8010" s="50">
        <v>33.44</v>
      </c>
      <c r="K8010" t="s">
        <v>1618</v>
      </c>
      <c r="M8010" t="s">
        <v>1627</v>
      </c>
      <c r="N8010">
        <v>17.649999999999999</v>
      </c>
      <c r="O8010" s="49">
        <v>44320</v>
      </c>
      <c r="P8010" s="50">
        <v>15.048</v>
      </c>
    </row>
    <row r="8011" spans="4:16" x14ac:dyDescent="0.2">
      <c r="D8011">
        <v>100004783</v>
      </c>
      <c r="E8011" s="49">
        <v>44696</v>
      </c>
      <c r="F8011" t="s">
        <v>6059</v>
      </c>
      <c r="G8011" t="s">
        <v>1950</v>
      </c>
      <c r="H8011">
        <v>4</v>
      </c>
      <c r="I8011">
        <v>107.82</v>
      </c>
      <c r="J8011" s="50">
        <v>431.28</v>
      </c>
      <c r="K8011" t="s">
        <v>1618</v>
      </c>
      <c r="M8011" t="s">
        <v>1624</v>
      </c>
      <c r="N8011">
        <v>56.9</v>
      </c>
      <c r="O8011" s="49">
        <v>44698</v>
      </c>
      <c r="P8011" s="50">
        <v>194.07599999999999</v>
      </c>
    </row>
    <row r="8012" spans="4:16" x14ac:dyDescent="0.2">
      <c r="D8012">
        <v>100004784</v>
      </c>
      <c r="E8012" s="49">
        <v>44919</v>
      </c>
      <c r="F8012" t="s">
        <v>6060</v>
      </c>
      <c r="G8012" t="s">
        <v>2062</v>
      </c>
      <c r="H8012">
        <v>8</v>
      </c>
      <c r="I8012">
        <v>24.02</v>
      </c>
      <c r="J8012" s="50">
        <v>192.16</v>
      </c>
      <c r="K8012" t="s">
        <v>1632</v>
      </c>
      <c r="M8012" t="s">
        <v>1629</v>
      </c>
      <c r="N8012">
        <v>12.68</v>
      </c>
      <c r="O8012" s="49">
        <v>44920</v>
      </c>
      <c r="P8012" s="50">
        <v>86.471999999999994</v>
      </c>
    </row>
    <row r="8013" spans="4:16" x14ac:dyDescent="0.2">
      <c r="D8013">
        <v>100004784</v>
      </c>
      <c r="E8013" s="49">
        <v>44250</v>
      </c>
      <c r="F8013" t="s">
        <v>6060</v>
      </c>
      <c r="G8013" t="s">
        <v>2213</v>
      </c>
      <c r="H8013">
        <v>9</v>
      </c>
      <c r="I8013">
        <v>92.61</v>
      </c>
      <c r="J8013" s="50">
        <v>833.49</v>
      </c>
      <c r="K8013" t="s">
        <v>1632</v>
      </c>
      <c r="M8013" t="s">
        <v>1627</v>
      </c>
      <c r="N8013">
        <v>48.88</v>
      </c>
      <c r="O8013" s="49">
        <v>44255</v>
      </c>
      <c r="P8013" s="50">
        <v>375.07050000000004</v>
      </c>
    </row>
    <row r="8014" spans="4:16" x14ac:dyDescent="0.2">
      <c r="D8014">
        <v>100004784</v>
      </c>
      <c r="E8014" s="49">
        <v>44865</v>
      </c>
      <c r="F8014" t="s">
        <v>6060</v>
      </c>
      <c r="G8014" t="s">
        <v>2745</v>
      </c>
      <c r="H8014">
        <v>1</v>
      </c>
      <c r="I8014">
        <v>118.15</v>
      </c>
      <c r="J8014" s="50">
        <v>118.15</v>
      </c>
      <c r="K8014" t="s">
        <v>1632</v>
      </c>
      <c r="M8014" t="s">
        <v>1627</v>
      </c>
      <c r="N8014">
        <v>62.36</v>
      </c>
      <c r="O8014" s="49">
        <v>44866</v>
      </c>
      <c r="P8014" s="50">
        <v>53.167500000000004</v>
      </c>
    </row>
    <row r="8015" spans="4:16" x14ac:dyDescent="0.2">
      <c r="D8015">
        <v>100004785</v>
      </c>
      <c r="E8015" s="49">
        <v>44928</v>
      </c>
      <c r="F8015" t="s">
        <v>6061</v>
      </c>
      <c r="G8015" t="s">
        <v>1922</v>
      </c>
      <c r="H8015">
        <v>8</v>
      </c>
      <c r="I8015">
        <v>115.31</v>
      </c>
      <c r="J8015" s="50">
        <v>922.48</v>
      </c>
      <c r="K8015" t="s">
        <v>1618</v>
      </c>
      <c r="M8015" t="s">
        <v>1624</v>
      </c>
      <c r="N8015">
        <v>60.86</v>
      </c>
      <c r="O8015" s="49">
        <v>44933</v>
      </c>
      <c r="P8015" s="50">
        <v>415.11600000000004</v>
      </c>
    </row>
    <row r="8016" spans="4:16" x14ac:dyDescent="0.2">
      <c r="D8016">
        <v>100004787</v>
      </c>
      <c r="E8016" s="49">
        <v>44623</v>
      </c>
      <c r="F8016" t="s">
        <v>6062</v>
      </c>
      <c r="G8016" t="s">
        <v>2084</v>
      </c>
      <c r="H8016">
        <v>10</v>
      </c>
      <c r="I8016">
        <v>28.57</v>
      </c>
      <c r="J8016" s="50">
        <v>285.7</v>
      </c>
      <c r="K8016" t="s">
        <v>1618</v>
      </c>
      <c r="L8016" t="s">
        <v>6063</v>
      </c>
      <c r="M8016" t="s">
        <v>1621</v>
      </c>
      <c r="N8016">
        <v>15.08</v>
      </c>
      <c r="O8016" s="49">
        <v>44625</v>
      </c>
      <c r="P8016" s="50">
        <v>128.565</v>
      </c>
    </row>
    <row r="8017" spans="4:16" x14ac:dyDescent="0.2">
      <c r="D8017">
        <v>100004788</v>
      </c>
      <c r="E8017" s="49">
        <v>45535</v>
      </c>
      <c r="F8017" t="s">
        <v>5722</v>
      </c>
      <c r="G8017" t="s">
        <v>1932</v>
      </c>
      <c r="H8017">
        <v>1</v>
      </c>
      <c r="I8017">
        <v>37.020000000000003</v>
      </c>
      <c r="J8017" s="50">
        <v>37.020000000000003</v>
      </c>
      <c r="K8017" t="s">
        <v>1618</v>
      </c>
      <c r="M8017" t="s">
        <v>1627</v>
      </c>
      <c r="N8017">
        <v>19.54</v>
      </c>
      <c r="O8017" s="49">
        <v>45538</v>
      </c>
      <c r="P8017" s="50">
        <v>16.659000000000002</v>
      </c>
    </row>
    <row r="8018" spans="4:16" x14ac:dyDescent="0.2">
      <c r="D8018">
        <v>100004788</v>
      </c>
      <c r="E8018" s="49">
        <v>45133</v>
      </c>
      <c r="F8018" t="s">
        <v>5722</v>
      </c>
      <c r="G8018" t="s">
        <v>2412</v>
      </c>
      <c r="H8018">
        <v>6</v>
      </c>
      <c r="I8018">
        <v>95.23</v>
      </c>
      <c r="J8018" s="50">
        <v>571.38</v>
      </c>
      <c r="K8018" t="s">
        <v>1618</v>
      </c>
      <c r="M8018" t="s">
        <v>1629</v>
      </c>
      <c r="N8018">
        <v>50.26</v>
      </c>
      <c r="O8018" s="49">
        <v>45137</v>
      </c>
      <c r="P8018" s="50">
        <v>257.12099999999998</v>
      </c>
    </row>
    <row r="8019" spans="4:16" x14ac:dyDescent="0.2">
      <c r="D8019">
        <v>100004788</v>
      </c>
      <c r="E8019" s="49">
        <v>44726</v>
      </c>
      <c r="F8019" t="s">
        <v>5722</v>
      </c>
      <c r="G8019" t="s">
        <v>1733</v>
      </c>
      <c r="H8019">
        <v>4</v>
      </c>
      <c r="I8019">
        <v>75.66</v>
      </c>
      <c r="J8019" s="50">
        <v>302.64</v>
      </c>
      <c r="K8019" t="s">
        <v>1618</v>
      </c>
      <c r="M8019" t="s">
        <v>1619</v>
      </c>
      <c r="N8019">
        <v>39.93</v>
      </c>
      <c r="O8019" s="49">
        <v>44730</v>
      </c>
      <c r="P8019" s="50">
        <v>136.18799999999999</v>
      </c>
    </row>
    <row r="8020" spans="4:16" x14ac:dyDescent="0.2">
      <c r="D8020">
        <v>100004789</v>
      </c>
      <c r="E8020" s="49">
        <v>45362</v>
      </c>
      <c r="F8020" t="s">
        <v>6064</v>
      </c>
      <c r="G8020" t="s">
        <v>1825</v>
      </c>
      <c r="H8020">
        <v>3</v>
      </c>
      <c r="I8020">
        <v>97.22</v>
      </c>
      <c r="J8020" s="50">
        <v>291.66000000000003</v>
      </c>
      <c r="K8020" t="s">
        <v>1632</v>
      </c>
      <c r="L8020" t="s">
        <v>6065</v>
      </c>
      <c r="M8020" t="s">
        <v>1619</v>
      </c>
      <c r="N8020">
        <v>51.31</v>
      </c>
      <c r="O8020" s="49">
        <v>45364</v>
      </c>
      <c r="P8020" s="50">
        <v>131.24700000000001</v>
      </c>
    </row>
    <row r="8021" spans="4:16" x14ac:dyDescent="0.2">
      <c r="D8021">
        <v>100004789</v>
      </c>
      <c r="E8021" s="49">
        <v>44690</v>
      </c>
      <c r="F8021" t="s">
        <v>6064</v>
      </c>
      <c r="G8021" t="s">
        <v>1902</v>
      </c>
      <c r="H8021">
        <v>1</v>
      </c>
      <c r="I8021">
        <v>21.89</v>
      </c>
      <c r="J8021" s="50">
        <v>21.89</v>
      </c>
      <c r="K8021" t="s">
        <v>1632</v>
      </c>
      <c r="L8021" t="s">
        <v>6065</v>
      </c>
      <c r="M8021" t="s">
        <v>1621</v>
      </c>
      <c r="N8021">
        <v>11.55</v>
      </c>
      <c r="O8021" s="49">
        <v>44692</v>
      </c>
      <c r="P8021" s="50">
        <v>9.8505000000000003</v>
      </c>
    </row>
    <row r="8022" spans="4:16" x14ac:dyDescent="0.2">
      <c r="D8022">
        <v>100004789</v>
      </c>
      <c r="E8022" s="49">
        <v>45252</v>
      </c>
      <c r="F8022" t="s">
        <v>6064</v>
      </c>
      <c r="G8022" t="s">
        <v>2766</v>
      </c>
      <c r="H8022">
        <v>1</v>
      </c>
      <c r="I8022">
        <v>83.95</v>
      </c>
      <c r="J8022" s="50">
        <v>83.95</v>
      </c>
      <c r="K8022" t="s">
        <v>1632</v>
      </c>
      <c r="L8022" t="s">
        <v>6065</v>
      </c>
      <c r="M8022" t="s">
        <v>1629</v>
      </c>
      <c r="N8022">
        <v>44.31</v>
      </c>
      <c r="O8022" s="49">
        <v>45255</v>
      </c>
      <c r="P8022" s="50">
        <v>37.777500000000003</v>
      </c>
    </row>
    <row r="8023" spans="4:16" x14ac:dyDescent="0.2">
      <c r="D8023">
        <v>100004791</v>
      </c>
      <c r="E8023" s="49">
        <v>45157</v>
      </c>
      <c r="F8023" t="s">
        <v>6066</v>
      </c>
      <c r="G8023" t="s">
        <v>2174</v>
      </c>
      <c r="H8023">
        <v>8</v>
      </c>
      <c r="I8023">
        <v>73.400000000000006</v>
      </c>
      <c r="J8023" s="50">
        <v>587.20000000000005</v>
      </c>
      <c r="K8023" t="s">
        <v>1618</v>
      </c>
      <c r="M8023" t="s">
        <v>1619</v>
      </c>
      <c r="N8023">
        <v>38.74</v>
      </c>
      <c r="O8023" s="49">
        <v>45162</v>
      </c>
      <c r="P8023" s="50">
        <v>264.24</v>
      </c>
    </row>
    <row r="8024" spans="4:16" x14ac:dyDescent="0.2">
      <c r="D8024">
        <v>100004793</v>
      </c>
      <c r="E8024" s="49">
        <v>44593</v>
      </c>
      <c r="F8024" t="s">
        <v>6067</v>
      </c>
      <c r="G8024" t="s">
        <v>2217</v>
      </c>
      <c r="H8024">
        <v>6</v>
      </c>
      <c r="I8024">
        <v>99</v>
      </c>
      <c r="J8024" s="50">
        <v>594</v>
      </c>
      <c r="K8024" t="s">
        <v>1618</v>
      </c>
      <c r="L8024" t="s">
        <v>6068</v>
      </c>
      <c r="M8024" t="s">
        <v>1629</v>
      </c>
      <c r="N8024">
        <v>52.25</v>
      </c>
      <c r="O8024" s="49">
        <v>44596</v>
      </c>
      <c r="P8024" s="50">
        <v>267.3</v>
      </c>
    </row>
    <row r="8025" spans="4:16" x14ac:dyDescent="0.2">
      <c r="D8025">
        <v>100004793</v>
      </c>
      <c r="E8025" s="49">
        <v>45235</v>
      </c>
      <c r="F8025" t="s">
        <v>6067</v>
      </c>
      <c r="G8025" t="s">
        <v>2090</v>
      </c>
      <c r="H8025">
        <v>7</v>
      </c>
      <c r="I8025">
        <v>94.67</v>
      </c>
      <c r="J8025" s="50">
        <v>662.69</v>
      </c>
      <c r="K8025" t="s">
        <v>1618</v>
      </c>
      <c r="L8025" t="s">
        <v>6068</v>
      </c>
      <c r="M8025" t="s">
        <v>1624</v>
      </c>
      <c r="N8025">
        <v>49.96</v>
      </c>
      <c r="O8025" s="49">
        <v>45236</v>
      </c>
      <c r="P8025" s="50">
        <v>298.21050000000002</v>
      </c>
    </row>
    <row r="8026" spans="4:16" x14ac:dyDescent="0.2">
      <c r="D8026">
        <v>100004793</v>
      </c>
      <c r="E8026" s="49">
        <v>45446</v>
      </c>
      <c r="F8026" t="s">
        <v>6067</v>
      </c>
      <c r="G8026" t="s">
        <v>1748</v>
      </c>
      <c r="H8026">
        <v>3</v>
      </c>
      <c r="I8026">
        <v>22.55</v>
      </c>
      <c r="J8026" s="50">
        <v>67.650000000000006</v>
      </c>
      <c r="K8026" t="s">
        <v>1618</v>
      </c>
      <c r="L8026" t="s">
        <v>6068</v>
      </c>
      <c r="M8026" t="s">
        <v>1629</v>
      </c>
      <c r="N8026">
        <v>11.9</v>
      </c>
      <c r="O8026" s="49">
        <v>45447</v>
      </c>
      <c r="P8026" s="50">
        <v>30.442500000000003</v>
      </c>
    </row>
    <row r="8027" spans="4:16" x14ac:dyDescent="0.2">
      <c r="D8027">
        <v>100004794</v>
      </c>
      <c r="E8027" s="49">
        <v>45418</v>
      </c>
      <c r="F8027" t="s">
        <v>6069</v>
      </c>
      <c r="G8027" t="s">
        <v>1955</v>
      </c>
      <c r="H8027">
        <v>6</v>
      </c>
      <c r="I8027">
        <v>73.03</v>
      </c>
      <c r="J8027" s="50">
        <v>438.18</v>
      </c>
      <c r="K8027" t="s">
        <v>1618</v>
      </c>
      <c r="M8027" t="s">
        <v>1624</v>
      </c>
      <c r="N8027">
        <v>38.54</v>
      </c>
      <c r="O8027" s="49">
        <v>45420</v>
      </c>
      <c r="P8027" s="50">
        <v>197.18100000000001</v>
      </c>
    </row>
    <row r="8028" spans="4:16" x14ac:dyDescent="0.2">
      <c r="D8028">
        <v>100004795</v>
      </c>
      <c r="E8028" s="49">
        <v>45011</v>
      </c>
      <c r="F8028" t="s">
        <v>6070</v>
      </c>
      <c r="G8028" t="s">
        <v>2447</v>
      </c>
      <c r="H8028">
        <v>1</v>
      </c>
      <c r="I8028">
        <v>105.01</v>
      </c>
      <c r="J8028" s="50">
        <v>105.01</v>
      </c>
      <c r="K8028" t="s">
        <v>1632</v>
      </c>
      <c r="M8028" t="s">
        <v>1627</v>
      </c>
      <c r="N8028">
        <v>55.42</v>
      </c>
      <c r="O8028" s="49">
        <v>45016</v>
      </c>
      <c r="P8028" s="50">
        <v>47.2545</v>
      </c>
    </row>
    <row r="8029" spans="4:16" x14ac:dyDescent="0.2">
      <c r="D8029">
        <v>100004797</v>
      </c>
      <c r="E8029" s="49">
        <v>45128</v>
      </c>
      <c r="F8029" t="s">
        <v>6071</v>
      </c>
      <c r="G8029" t="s">
        <v>2038</v>
      </c>
      <c r="H8029">
        <v>2</v>
      </c>
      <c r="I8029">
        <v>22.64</v>
      </c>
      <c r="J8029" s="50">
        <v>45.28</v>
      </c>
      <c r="K8029" t="s">
        <v>1632</v>
      </c>
      <c r="M8029" t="s">
        <v>1629</v>
      </c>
      <c r="N8029">
        <v>11.95</v>
      </c>
      <c r="O8029" s="49">
        <v>45130</v>
      </c>
      <c r="P8029" s="50">
        <v>20.376000000000001</v>
      </c>
    </row>
    <row r="8030" spans="4:16" x14ac:dyDescent="0.2">
      <c r="D8030">
        <v>100004797</v>
      </c>
      <c r="E8030" s="49">
        <v>45146</v>
      </c>
      <c r="F8030" t="s">
        <v>6071</v>
      </c>
      <c r="G8030" t="s">
        <v>1828</v>
      </c>
      <c r="H8030">
        <v>6</v>
      </c>
      <c r="I8030">
        <v>54.05</v>
      </c>
      <c r="J8030" s="50">
        <v>324.3</v>
      </c>
      <c r="K8030" t="s">
        <v>1632</v>
      </c>
      <c r="M8030" t="s">
        <v>1619</v>
      </c>
      <c r="N8030">
        <v>28.53</v>
      </c>
      <c r="O8030" s="49">
        <v>45150</v>
      </c>
      <c r="P8030" s="50">
        <v>145.935</v>
      </c>
    </row>
    <row r="8031" spans="4:16" x14ac:dyDescent="0.2">
      <c r="D8031">
        <v>100004797</v>
      </c>
      <c r="E8031" s="49">
        <v>45521</v>
      </c>
      <c r="F8031" t="s">
        <v>6071</v>
      </c>
      <c r="G8031" t="s">
        <v>2242</v>
      </c>
      <c r="H8031">
        <v>7</v>
      </c>
      <c r="I8031">
        <v>90.53</v>
      </c>
      <c r="J8031" s="50">
        <v>633.71</v>
      </c>
      <c r="K8031" t="s">
        <v>1632</v>
      </c>
      <c r="M8031" t="s">
        <v>1627</v>
      </c>
      <c r="N8031">
        <v>47.78</v>
      </c>
      <c r="O8031" s="49">
        <v>45523</v>
      </c>
      <c r="P8031" s="50">
        <v>285.16950000000003</v>
      </c>
    </row>
    <row r="8032" spans="4:16" x14ac:dyDescent="0.2">
      <c r="D8032">
        <v>100004797</v>
      </c>
      <c r="E8032" s="49">
        <v>44579</v>
      </c>
      <c r="F8032" t="s">
        <v>6071</v>
      </c>
      <c r="G8032" t="s">
        <v>2418</v>
      </c>
      <c r="H8032">
        <v>3</v>
      </c>
      <c r="I8032">
        <v>10.119999999999999</v>
      </c>
      <c r="J8032" s="50">
        <v>30.36</v>
      </c>
      <c r="K8032" t="s">
        <v>1632</v>
      </c>
      <c r="M8032" t="s">
        <v>1627</v>
      </c>
      <c r="N8032">
        <v>5.34</v>
      </c>
      <c r="O8032" s="49">
        <v>44582</v>
      </c>
      <c r="P8032" s="50">
        <v>13.662000000000001</v>
      </c>
    </row>
    <row r="8033" spans="4:16" x14ac:dyDescent="0.2">
      <c r="D8033">
        <v>100004798</v>
      </c>
      <c r="E8033" s="49">
        <v>44610</v>
      </c>
      <c r="F8033" t="s">
        <v>6072</v>
      </c>
      <c r="G8033" t="s">
        <v>1617</v>
      </c>
      <c r="H8033">
        <v>6</v>
      </c>
      <c r="I8033">
        <v>98.45</v>
      </c>
      <c r="J8033" s="50">
        <v>590.70000000000005</v>
      </c>
      <c r="K8033" t="s">
        <v>1618</v>
      </c>
      <c r="L8033" t="s">
        <v>4499</v>
      </c>
      <c r="M8033" t="s">
        <v>1621</v>
      </c>
      <c r="N8033">
        <v>51.96</v>
      </c>
      <c r="O8033" s="49">
        <v>44613</v>
      </c>
      <c r="P8033" s="50">
        <v>265.81500000000005</v>
      </c>
    </row>
    <row r="8034" spans="4:16" x14ac:dyDescent="0.2">
      <c r="D8034">
        <v>100004798</v>
      </c>
      <c r="E8034" s="49">
        <v>44909</v>
      </c>
      <c r="F8034" t="s">
        <v>6072</v>
      </c>
      <c r="G8034" t="s">
        <v>2613</v>
      </c>
      <c r="H8034">
        <v>10</v>
      </c>
      <c r="I8034">
        <v>33.659999999999997</v>
      </c>
      <c r="J8034" s="50">
        <v>336.6</v>
      </c>
      <c r="K8034" t="s">
        <v>1618</v>
      </c>
      <c r="L8034" t="s">
        <v>4499</v>
      </c>
      <c r="M8034" t="s">
        <v>1624</v>
      </c>
      <c r="N8034">
        <v>17.760000000000002</v>
      </c>
      <c r="O8034" s="49">
        <v>44911</v>
      </c>
      <c r="P8034" s="50">
        <v>151.47000000000003</v>
      </c>
    </row>
    <row r="8035" spans="4:16" x14ac:dyDescent="0.2">
      <c r="D8035">
        <v>100004800</v>
      </c>
      <c r="E8035" s="49">
        <v>44385</v>
      </c>
      <c r="F8035" t="s">
        <v>6073</v>
      </c>
      <c r="G8035" t="s">
        <v>1650</v>
      </c>
      <c r="H8035">
        <v>1</v>
      </c>
      <c r="I8035">
        <v>43.05</v>
      </c>
      <c r="J8035" s="50">
        <v>43.05</v>
      </c>
      <c r="K8035" t="s">
        <v>1632</v>
      </c>
      <c r="M8035" t="s">
        <v>1627</v>
      </c>
      <c r="N8035">
        <v>22.72</v>
      </c>
      <c r="O8035" s="49">
        <v>44390</v>
      </c>
      <c r="P8035" s="50">
        <v>19.372499999999999</v>
      </c>
    </row>
    <row r="8036" spans="4:16" x14ac:dyDescent="0.2">
      <c r="D8036">
        <v>100004802</v>
      </c>
      <c r="E8036" s="49">
        <v>45477</v>
      </c>
      <c r="F8036" t="s">
        <v>6074</v>
      </c>
      <c r="G8036" t="s">
        <v>2658</v>
      </c>
      <c r="H8036">
        <v>10</v>
      </c>
      <c r="I8036">
        <v>12.77</v>
      </c>
      <c r="J8036" s="50">
        <v>127.7</v>
      </c>
      <c r="K8036" t="s">
        <v>1618</v>
      </c>
      <c r="M8036" t="s">
        <v>1621</v>
      </c>
      <c r="N8036">
        <v>6.74</v>
      </c>
      <c r="O8036" s="49">
        <v>45482</v>
      </c>
      <c r="P8036" s="50">
        <v>57.465000000000003</v>
      </c>
    </row>
    <row r="8037" spans="4:16" x14ac:dyDescent="0.2">
      <c r="D8037">
        <v>100004802</v>
      </c>
      <c r="E8037" s="49">
        <v>44364</v>
      </c>
      <c r="F8037" t="s">
        <v>6074</v>
      </c>
      <c r="G8037" t="s">
        <v>1872</v>
      </c>
      <c r="H8037">
        <v>4</v>
      </c>
      <c r="I8037">
        <v>64.72</v>
      </c>
      <c r="J8037" s="50">
        <v>258.88</v>
      </c>
      <c r="K8037" t="s">
        <v>1618</v>
      </c>
      <c r="M8037" t="s">
        <v>1627</v>
      </c>
      <c r="N8037">
        <v>34.159999999999997</v>
      </c>
      <c r="O8037" s="49">
        <v>44366</v>
      </c>
      <c r="P8037" s="50">
        <v>116.496</v>
      </c>
    </row>
    <row r="8038" spans="4:16" x14ac:dyDescent="0.2">
      <c r="D8038">
        <v>100004805</v>
      </c>
      <c r="E8038" s="49">
        <v>45375</v>
      </c>
      <c r="F8038" t="s">
        <v>6075</v>
      </c>
      <c r="G8038" t="s">
        <v>2207</v>
      </c>
      <c r="H8038">
        <v>4</v>
      </c>
      <c r="I8038">
        <v>58.72</v>
      </c>
      <c r="J8038" s="50">
        <v>234.88</v>
      </c>
      <c r="K8038" t="s">
        <v>1618</v>
      </c>
      <c r="M8038" t="s">
        <v>1624</v>
      </c>
      <c r="N8038">
        <v>30.99</v>
      </c>
      <c r="O8038" s="49">
        <v>45378</v>
      </c>
      <c r="P8038" s="50">
        <v>105.696</v>
      </c>
    </row>
    <row r="8039" spans="4:16" x14ac:dyDescent="0.2">
      <c r="D8039">
        <v>100004806</v>
      </c>
      <c r="E8039" s="49">
        <v>45283</v>
      </c>
      <c r="F8039" t="s">
        <v>6076</v>
      </c>
      <c r="G8039" t="s">
        <v>2337</v>
      </c>
      <c r="H8039">
        <v>7</v>
      </c>
      <c r="I8039">
        <v>25.57</v>
      </c>
      <c r="J8039" s="50">
        <v>178.99</v>
      </c>
      <c r="K8039" t="s">
        <v>1618</v>
      </c>
      <c r="M8039" t="s">
        <v>1619</v>
      </c>
      <c r="N8039">
        <v>13.5</v>
      </c>
      <c r="O8039" s="49">
        <v>45284</v>
      </c>
      <c r="P8039" s="50">
        <v>80.545500000000004</v>
      </c>
    </row>
    <row r="8040" spans="4:16" x14ac:dyDescent="0.2">
      <c r="D8040">
        <v>100004807</v>
      </c>
      <c r="E8040" s="49">
        <v>44327</v>
      </c>
      <c r="F8040" t="s">
        <v>6077</v>
      </c>
      <c r="G8040" t="s">
        <v>1808</v>
      </c>
      <c r="H8040">
        <v>7</v>
      </c>
      <c r="I8040">
        <v>23.1</v>
      </c>
      <c r="J8040" s="50">
        <v>161.69999999999999</v>
      </c>
      <c r="K8040" t="s">
        <v>1632</v>
      </c>
      <c r="L8040" t="s">
        <v>5950</v>
      </c>
      <c r="M8040" t="s">
        <v>1624</v>
      </c>
      <c r="N8040">
        <v>12.19</v>
      </c>
      <c r="O8040" s="49">
        <v>44332</v>
      </c>
      <c r="P8040" s="50">
        <v>72.765000000000001</v>
      </c>
    </row>
    <row r="8041" spans="4:16" x14ac:dyDescent="0.2">
      <c r="D8041">
        <v>100004807</v>
      </c>
      <c r="E8041" s="49">
        <v>45417</v>
      </c>
      <c r="F8041" t="s">
        <v>6077</v>
      </c>
      <c r="G8041" t="s">
        <v>2130</v>
      </c>
      <c r="H8041">
        <v>1</v>
      </c>
      <c r="I8041">
        <v>51.95</v>
      </c>
      <c r="J8041" s="50">
        <v>51.95</v>
      </c>
      <c r="K8041" t="s">
        <v>1632</v>
      </c>
      <c r="L8041" t="s">
        <v>5950</v>
      </c>
      <c r="M8041" t="s">
        <v>1621</v>
      </c>
      <c r="N8041">
        <v>27.42</v>
      </c>
      <c r="O8041" s="49">
        <v>45418</v>
      </c>
      <c r="P8041" s="50">
        <v>23.377500000000001</v>
      </c>
    </row>
    <row r="8042" spans="4:16" x14ac:dyDescent="0.2">
      <c r="D8042">
        <v>100004810</v>
      </c>
      <c r="E8042" s="49">
        <v>45329</v>
      </c>
      <c r="F8042" t="s">
        <v>6078</v>
      </c>
      <c r="G8042" t="s">
        <v>1766</v>
      </c>
      <c r="H8042">
        <v>4</v>
      </c>
      <c r="I8042">
        <v>27.29</v>
      </c>
      <c r="J8042" s="50">
        <v>109.16</v>
      </c>
      <c r="K8042" t="s">
        <v>1632</v>
      </c>
      <c r="M8042" t="s">
        <v>1624</v>
      </c>
      <c r="N8042">
        <v>14.4</v>
      </c>
      <c r="O8042" s="49">
        <v>45334</v>
      </c>
      <c r="P8042" s="50">
        <v>49.122</v>
      </c>
    </row>
    <row r="8043" spans="4:16" x14ac:dyDescent="0.2">
      <c r="D8043">
        <v>100004810</v>
      </c>
      <c r="E8043" s="49">
        <v>45069</v>
      </c>
      <c r="F8043" t="s">
        <v>6078</v>
      </c>
      <c r="G8043" t="s">
        <v>1728</v>
      </c>
      <c r="H8043">
        <v>6</v>
      </c>
      <c r="I8043">
        <v>10.82</v>
      </c>
      <c r="J8043" s="50">
        <v>64.92</v>
      </c>
      <c r="K8043" t="s">
        <v>1632</v>
      </c>
      <c r="M8043" t="s">
        <v>1624</v>
      </c>
      <c r="N8043">
        <v>5.71</v>
      </c>
      <c r="O8043" s="49">
        <v>45073</v>
      </c>
      <c r="P8043" s="50">
        <v>29.214000000000002</v>
      </c>
    </row>
    <row r="8044" spans="4:16" x14ac:dyDescent="0.2">
      <c r="D8044">
        <v>100004810</v>
      </c>
      <c r="E8044" s="49">
        <v>45563</v>
      </c>
      <c r="F8044" t="s">
        <v>6078</v>
      </c>
      <c r="G8044" t="s">
        <v>1645</v>
      </c>
      <c r="H8044">
        <v>7</v>
      </c>
      <c r="I8044">
        <v>107.09</v>
      </c>
      <c r="J8044" s="50">
        <v>749.63</v>
      </c>
      <c r="K8044" t="s">
        <v>1632</v>
      </c>
      <c r="M8044" t="s">
        <v>1624</v>
      </c>
      <c r="N8044">
        <v>56.52</v>
      </c>
      <c r="O8044" s="49">
        <v>45567</v>
      </c>
      <c r="P8044" s="50">
        <v>337.33350000000002</v>
      </c>
    </row>
    <row r="8045" spans="4:16" x14ac:dyDescent="0.2">
      <c r="D8045">
        <v>100004811</v>
      </c>
      <c r="E8045" s="49">
        <v>44447</v>
      </c>
      <c r="F8045" t="s">
        <v>6079</v>
      </c>
      <c r="G8045" t="s">
        <v>1844</v>
      </c>
      <c r="H8045">
        <v>8</v>
      </c>
      <c r="I8045">
        <v>79.97</v>
      </c>
      <c r="J8045" s="50">
        <v>639.76</v>
      </c>
      <c r="K8045" t="s">
        <v>1618</v>
      </c>
      <c r="M8045" t="s">
        <v>1621</v>
      </c>
      <c r="N8045">
        <v>42.21</v>
      </c>
      <c r="O8045" s="49">
        <v>44449</v>
      </c>
      <c r="P8045" s="50">
        <v>287.892</v>
      </c>
    </row>
    <row r="8046" spans="4:16" x14ac:dyDescent="0.2">
      <c r="D8046">
        <v>100004811</v>
      </c>
      <c r="E8046" s="49">
        <v>45486</v>
      </c>
      <c r="F8046" t="s">
        <v>6079</v>
      </c>
      <c r="G8046" t="s">
        <v>1827</v>
      </c>
      <c r="H8046">
        <v>5</v>
      </c>
      <c r="I8046">
        <v>109.02</v>
      </c>
      <c r="J8046" s="50">
        <v>545.1</v>
      </c>
      <c r="K8046" t="s">
        <v>1618</v>
      </c>
      <c r="M8046" t="s">
        <v>1624</v>
      </c>
      <c r="N8046">
        <v>57.54</v>
      </c>
      <c r="O8046" s="49">
        <v>45489</v>
      </c>
      <c r="P8046" s="50">
        <v>245.29500000000002</v>
      </c>
    </row>
    <row r="8047" spans="4:16" x14ac:dyDescent="0.2">
      <c r="D8047">
        <v>100004811</v>
      </c>
      <c r="E8047" s="49">
        <v>44374</v>
      </c>
      <c r="F8047" t="s">
        <v>6079</v>
      </c>
      <c r="G8047" t="s">
        <v>1714</v>
      </c>
      <c r="H8047">
        <v>9</v>
      </c>
      <c r="I8047">
        <v>29.89</v>
      </c>
      <c r="J8047" s="50">
        <v>269.01</v>
      </c>
      <c r="K8047" t="s">
        <v>1618</v>
      </c>
      <c r="M8047" t="s">
        <v>1621</v>
      </c>
      <c r="N8047">
        <v>15.78</v>
      </c>
      <c r="O8047" s="49">
        <v>44378</v>
      </c>
      <c r="P8047" s="50">
        <v>121.0545</v>
      </c>
    </row>
    <row r="8048" spans="4:16" x14ac:dyDescent="0.2">
      <c r="D8048">
        <v>100004812</v>
      </c>
      <c r="E8048" s="49">
        <v>44717</v>
      </c>
      <c r="F8048" t="s">
        <v>6080</v>
      </c>
      <c r="G8048" t="s">
        <v>1674</v>
      </c>
      <c r="H8048">
        <v>5</v>
      </c>
      <c r="I8048">
        <v>11.11</v>
      </c>
      <c r="J8048" s="50">
        <v>55.55</v>
      </c>
      <c r="K8048" t="s">
        <v>1618</v>
      </c>
      <c r="M8048" t="s">
        <v>1629</v>
      </c>
      <c r="N8048">
        <v>5.86</v>
      </c>
      <c r="O8048" s="49">
        <v>44721</v>
      </c>
      <c r="P8048" s="50">
        <v>24.997499999999999</v>
      </c>
    </row>
    <row r="8049" spans="4:16" x14ac:dyDescent="0.2">
      <c r="D8049">
        <v>100004813</v>
      </c>
      <c r="E8049" s="49">
        <v>44814</v>
      </c>
      <c r="F8049" t="s">
        <v>6081</v>
      </c>
      <c r="G8049" t="s">
        <v>1671</v>
      </c>
      <c r="H8049">
        <v>7</v>
      </c>
      <c r="I8049">
        <v>10.79</v>
      </c>
      <c r="J8049" s="50">
        <v>75.53</v>
      </c>
      <c r="K8049" t="s">
        <v>1618</v>
      </c>
      <c r="L8049" t="s">
        <v>2469</v>
      </c>
      <c r="M8049" t="s">
        <v>1629</v>
      </c>
      <c r="N8049">
        <v>5.69</v>
      </c>
      <c r="O8049" s="49">
        <v>44818</v>
      </c>
      <c r="P8049" s="50">
        <v>33.988500000000002</v>
      </c>
    </row>
    <row r="8050" spans="4:16" x14ac:dyDescent="0.2">
      <c r="D8050">
        <v>100004813</v>
      </c>
      <c r="E8050" s="49">
        <v>44326</v>
      </c>
      <c r="F8050" t="s">
        <v>6081</v>
      </c>
      <c r="G8050" t="s">
        <v>1895</v>
      </c>
      <c r="H8050">
        <v>4</v>
      </c>
      <c r="I8050">
        <v>84.31</v>
      </c>
      <c r="J8050" s="50">
        <v>337.24</v>
      </c>
      <c r="K8050" t="s">
        <v>1618</v>
      </c>
      <c r="L8050" t="s">
        <v>2469</v>
      </c>
      <c r="M8050" t="s">
        <v>1624</v>
      </c>
      <c r="N8050">
        <v>44.5</v>
      </c>
      <c r="O8050" s="49">
        <v>44330</v>
      </c>
      <c r="P8050" s="50">
        <v>151.75800000000001</v>
      </c>
    </row>
    <row r="8051" spans="4:16" x14ac:dyDescent="0.2">
      <c r="D8051">
        <v>100004813</v>
      </c>
      <c r="E8051" s="49">
        <v>45478</v>
      </c>
      <c r="F8051" t="s">
        <v>6081</v>
      </c>
      <c r="G8051" t="s">
        <v>2373</v>
      </c>
      <c r="H8051">
        <v>1</v>
      </c>
      <c r="I8051">
        <v>105.38</v>
      </c>
      <c r="J8051" s="50">
        <v>105.38</v>
      </c>
      <c r="K8051" t="s">
        <v>1618</v>
      </c>
      <c r="L8051" t="s">
        <v>2469</v>
      </c>
      <c r="M8051" t="s">
        <v>1627</v>
      </c>
      <c r="N8051">
        <v>55.62</v>
      </c>
      <c r="O8051" s="49">
        <v>45480</v>
      </c>
      <c r="P8051" s="50">
        <v>47.420999999999999</v>
      </c>
    </row>
    <row r="8052" spans="4:16" x14ac:dyDescent="0.2">
      <c r="D8052">
        <v>100004813</v>
      </c>
      <c r="E8052" s="49">
        <v>44994</v>
      </c>
      <c r="F8052" t="s">
        <v>6081</v>
      </c>
      <c r="G8052" t="s">
        <v>1828</v>
      </c>
      <c r="H8052">
        <v>9</v>
      </c>
      <c r="I8052">
        <v>71.69</v>
      </c>
      <c r="J8052" s="50">
        <v>645.21</v>
      </c>
      <c r="K8052" t="s">
        <v>1618</v>
      </c>
      <c r="L8052" t="s">
        <v>2469</v>
      </c>
      <c r="M8052" t="s">
        <v>1629</v>
      </c>
      <c r="N8052">
        <v>37.840000000000003</v>
      </c>
      <c r="O8052" s="49">
        <v>44995</v>
      </c>
      <c r="P8052" s="50">
        <v>290.34450000000004</v>
      </c>
    </row>
    <row r="8053" spans="4:16" x14ac:dyDescent="0.2">
      <c r="D8053">
        <v>100004814</v>
      </c>
      <c r="E8053" s="49">
        <v>45000</v>
      </c>
      <c r="F8053" t="s">
        <v>6082</v>
      </c>
      <c r="G8053" t="s">
        <v>1853</v>
      </c>
      <c r="H8053">
        <v>6</v>
      </c>
      <c r="I8053">
        <v>82.54</v>
      </c>
      <c r="J8053" s="50">
        <v>495.24</v>
      </c>
      <c r="K8053" t="s">
        <v>1618</v>
      </c>
      <c r="M8053" t="s">
        <v>1624</v>
      </c>
      <c r="N8053">
        <v>43.56</v>
      </c>
      <c r="O8053" s="49">
        <v>45001</v>
      </c>
      <c r="P8053" s="50">
        <v>222.858</v>
      </c>
    </row>
    <row r="8054" spans="4:16" x14ac:dyDescent="0.2">
      <c r="D8054">
        <v>100004814</v>
      </c>
      <c r="E8054" s="49">
        <v>44742</v>
      </c>
      <c r="F8054" t="s">
        <v>6082</v>
      </c>
      <c r="G8054" t="s">
        <v>2038</v>
      </c>
      <c r="H8054">
        <v>6</v>
      </c>
      <c r="I8054">
        <v>113.48</v>
      </c>
      <c r="J8054" s="50">
        <v>680.88</v>
      </c>
      <c r="K8054" t="s">
        <v>1618</v>
      </c>
      <c r="M8054" t="s">
        <v>1619</v>
      </c>
      <c r="N8054">
        <v>59.89</v>
      </c>
      <c r="O8054" s="49">
        <v>44743</v>
      </c>
      <c r="P8054" s="50">
        <v>306.39600000000002</v>
      </c>
    </row>
    <row r="8055" spans="4:16" x14ac:dyDescent="0.2">
      <c r="D8055">
        <v>100004815</v>
      </c>
      <c r="E8055" s="49">
        <v>44255</v>
      </c>
      <c r="F8055" t="s">
        <v>6083</v>
      </c>
      <c r="G8055" t="s">
        <v>2111</v>
      </c>
      <c r="H8055">
        <v>3</v>
      </c>
      <c r="I8055">
        <v>117.52</v>
      </c>
      <c r="J8055" s="50">
        <v>352.56</v>
      </c>
      <c r="K8055" t="s">
        <v>1632</v>
      </c>
      <c r="M8055" t="s">
        <v>1621</v>
      </c>
      <c r="N8055">
        <v>62.02</v>
      </c>
      <c r="O8055" s="49">
        <v>44257</v>
      </c>
      <c r="P8055" s="50">
        <v>158.65200000000002</v>
      </c>
    </row>
    <row r="8056" spans="4:16" x14ac:dyDescent="0.2">
      <c r="D8056">
        <v>100004816</v>
      </c>
      <c r="E8056" s="49">
        <v>44228</v>
      </c>
      <c r="F8056" t="s">
        <v>6084</v>
      </c>
      <c r="G8056" t="s">
        <v>1663</v>
      </c>
      <c r="H8056">
        <v>10</v>
      </c>
      <c r="I8056">
        <v>68.790000000000006</v>
      </c>
      <c r="J8056" s="50">
        <v>687.90000000000009</v>
      </c>
      <c r="K8056" t="s">
        <v>1618</v>
      </c>
      <c r="M8056" t="s">
        <v>1621</v>
      </c>
      <c r="N8056">
        <v>36.31</v>
      </c>
      <c r="O8056" s="49">
        <v>44231</v>
      </c>
      <c r="P8056" s="50">
        <v>309.55500000000006</v>
      </c>
    </row>
    <row r="8057" spans="4:16" x14ac:dyDescent="0.2">
      <c r="D8057">
        <v>100004816</v>
      </c>
      <c r="E8057" s="49">
        <v>45236</v>
      </c>
      <c r="F8057" t="s">
        <v>6084</v>
      </c>
      <c r="G8057" t="s">
        <v>2269</v>
      </c>
      <c r="H8057">
        <v>2</v>
      </c>
      <c r="I8057">
        <v>99.79</v>
      </c>
      <c r="J8057" s="50">
        <v>199.58</v>
      </c>
      <c r="K8057" t="s">
        <v>1618</v>
      </c>
      <c r="M8057" t="s">
        <v>1629</v>
      </c>
      <c r="N8057">
        <v>52.67</v>
      </c>
      <c r="O8057" s="49">
        <v>45241</v>
      </c>
      <c r="P8057" s="50">
        <v>89.811000000000007</v>
      </c>
    </row>
    <row r="8058" spans="4:16" x14ac:dyDescent="0.2">
      <c r="D8058">
        <v>100004816</v>
      </c>
      <c r="E8058" s="49">
        <v>44439</v>
      </c>
      <c r="F8058" t="s">
        <v>6084</v>
      </c>
      <c r="G8058" t="s">
        <v>1717</v>
      </c>
      <c r="H8058">
        <v>9</v>
      </c>
      <c r="I8058">
        <v>107.37</v>
      </c>
      <c r="J8058" s="50">
        <v>966.33</v>
      </c>
      <c r="K8058" t="s">
        <v>1618</v>
      </c>
      <c r="M8058" t="s">
        <v>1627</v>
      </c>
      <c r="N8058">
        <v>56.67</v>
      </c>
      <c r="O8058" s="49">
        <v>44444</v>
      </c>
      <c r="P8058" s="50">
        <v>434.8485</v>
      </c>
    </row>
    <row r="8059" spans="4:16" x14ac:dyDescent="0.2">
      <c r="D8059">
        <v>100004817</v>
      </c>
      <c r="E8059" s="49">
        <v>45487</v>
      </c>
      <c r="F8059" t="s">
        <v>6085</v>
      </c>
      <c r="G8059" t="s">
        <v>1963</v>
      </c>
      <c r="H8059">
        <v>5</v>
      </c>
      <c r="I8059">
        <v>67.7</v>
      </c>
      <c r="J8059" s="50">
        <v>338.5</v>
      </c>
      <c r="K8059" t="s">
        <v>1618</v>
      </c>
      <c r="L8059" t="s">
        <v>6086</v>
      </c>
      <c r="M8059" t="s">
        <v>1627</v>
      </c>
      <c r="N8059">
        <v>35.729999999999997</v>
      </c>
      <c r="O8059" s="49">
        <v>45491</v>
      </c>
      <c r="P8059" s="50">
        <v>152.32500000000002</v>
      </c>
    </row>
    <row r="8060" spans="4:16" x14ac:dyDescent="0.2">
      <c r="D8060">
        <v>100004817</v>
      </c>
      <c r="E8060" s="49">
        <v>44953</v>
      </c>
      <c r="F8060" t="s">
        <v>6085</v>
      </c>
      <c r="G8060" t="s">
        <v>2064</v>
      </c>
      <c r="H8060">
        <v>2</v>
      </c>
      <c r="I8060">
        <v>78.61</v>
      </c>
      <c r="J8060" s="50">
        <v>157.22</v>
      </c>
      <c r="K8060" t="s">
        <v>1618</v>
      </c>
      <c r="L8060" t="s">
        <v>6086</v>
      </c>
      <c r="M8060" t="s">
        <v>1629</v>
      </c>
      <c r="N8060">
        <v>41.49</v>
      </c>
      <c r="O8060" s="49">
        <v>44958</v>
      </c>
      <c r="P8060" s="50">
        <v>70.748999999999995</v>
      </c>
    </row>
    <row r="8061" spans="4:16" x14ac:dyDescent="0.2">
      <c r="D8061">
        <v>100004817</v>
      </c>
      <c r="E8061" s="49">
        <v>44703</v>
      </c>
      <c r="F8061" t="s">
        <v>6085</v>
      </c>
      <c r="G8061" t="s">
        <v>1853</v>
      </c>
      <c r="H8061">
        <v>9</v>
      </c>
      <c r="I8061">
        <v>113.85</v>
      </c>
      <c r="J8061" s="50">
        <v>1024.6500000000001</v>
      </c>
      <c r="K8061" t="s">
        <v>1618</v>
      </c>
      <c r="L8061" t="s">
        <v>6086</v>
      </c>
      <c r="M8061" t="s">
        <v>1627</v>
      </c>
      <c r="N8061">
        <v>60.09</v>
      </c>
      <c r="O8061" s="49">
        <v>44708</v>
      </c>
      <c r="P8061" s="50">
        <v>461.09250000000003</v>
      </c>
    </row>
    <row r="8062" spans="4:16" x14ac:dyDescent="0.2">
      <c r="D8062">
        <v>100004818</v>
      </c>
      <c r="E8062" s="49">
        <v>44623</v>
      </c>
      <c r="F8062" t="s">
        <v>6087</v>
      </c>
      <c r="G8062" t="s">
        <v>1808</v>
      </c>
      <c r="H8062">
        <v>6</v>
      </c>
      <c r="I8062">
        <v>76.89</v>
      </c>
      <c r="J8062" s="50">
        <v>461.34</v>
      </c>
      <c r="K8062" t="s">
        <v>1632</v>
      </c>
      <c r="M8062" t="s">
        <v>1629</v>
      </c>
      <c r="N8062">
        <v>40.58</v>
      </c>
      <c r="O8062" s="49">
        <v>44628</v>
      </c>
      <c r="P8062" s="50">
        <v>207.60299999999998</v>
      </c>
    </row>
    <row r="8063" spans="4:16" x14ac:dyDescent="0.2">
      <c r="D8063">
        <v>100004818</v>
      </c>
      <c r="E8063" s="49">
        <v>44767</v>
      </c>
      <c r="F8063" t="s">
        <v>6087</v>
      </c>
      <c r="G8063" t="s">
        <v>1855</v>
      </c>
      <c r="H8063">
        <v>6</v>
      </c>
      <c r="I8063">
        <v>49.77</v>
      </c>
      <c r="J8063" s="50">
        <v>298.62</v>
      </c>
      <c r="K8063" t="s">
        <v>1632</v>
      </c>
      <c r="M8063" t="s">
        <v>1627</v>
      </c>
      <c r="N8063">
        <v>26.27</v>
      </c>
      <c r="O8063" s="49">
        <v>44771</v>
      </c>
      <c r="P8063" s="50">
        <v>134.37900000000002</v>
      </c>
    </row>
    <row r="8064" spans="4:16" x14ac:dyDescent="0.2">
      <c r="D8064">
        <v>100004819</v>
      </c>
      <c r="E8064" s="49">
        <v>45298</v>
      </c>
      <c r="F8064" t="s">
        <v>6088</v>
      </c>
      <c r="G8064" t="s">
        <v>1808</v>
      </c>
      <c r="H8064">
        <v>2</v>
      </c>
      <c r="I8064">
        <v>104.04</v>
      </c>
      <c r="J8064" s="50">
        <v>208.08</v>
      </c>
      <c r="K8064" t="s">
        <v>1618</v>
      </c>
      <c r="M8064" t="s">
        <v>1621</v>
      </c>
      <c r="N8064">
        <v>54.91</v>
      </c>
      <c r="O8064" s="49">
        <v>45301</v>
      </c>
      <c r="P8064" s="50">
        <v>93.63600000000001</v>
      </c>
    </row>
    <row r="8065" spans="4:16" x14ac:dyDescent="0.2">
      <c r="D8065">
        <v>100004819</v>
      </c>
      <c r="E8065" s="49">
        <v>44377</v>
      </c>
      <c r="F8065" t="s">
        <v>6088</v>
      </c>
      <c r="G8065" t="s">
        <v>2603</v>
      </c>
      <c r="H8065">
        <v>3</v>
      </c>
      <c r="I8065">
        <v>26.84</v>
      </c>
      <c r="J8065" s="50">
        <v>80.52</v>
      </c>
      <c r="K8065" t="s">
        <v>1618</v>
      </c>
      <c r="M8065" t="s">
        <v>1629</v>
      </c>
      <c r="N8065">
        <v>14.17</v>
      </c>
      <c r="O8065" s="49">
        <v>44380</v>
      </c>
      <c r="P8065" s="50">
        <v>36.234000000000002</v>
      </c>
    </row>
    <row r="8066" spans="4:16" x14ac:dyDescent="0.2">
      <c r="D8066">
        <v>100004819</v>
      </c>
      <c r="E8066" s="49">
        <v>45389</v>
      </c>
      <c r="F8066" t="s">
        <v>6088</v>
      </c>
      <c r="G8066" t="s">
        <v>1712</v>
      </c>
      <c r="H8066">
        <v>3</v>
      </c>
      <c r="I8066">
        <v>12.23</v>
      </c>
      <c r="J8066" s="50">
        <v>36.69</v>
      </c>
      <c r="K8066" t="s">
        <v>1618</v>
      </c>
      <c r="M8066" t="s">
        <v>1627</v>
      </c>
      <c r="N8066">
        <v>6.45</v>
      </c>
      <c r="O8066" s="49">
        <v>45393</v>
      </c>
      <c r="P8066" s="50">
        <v>16.5105</v>
      </c>
    </row>
    <row r="8067" spans="4:16" x14ac:dyDescent="0.2">
      <c r="D8067">
        <v>100004820</v>
      </c>
      <c r="E8067" s="49">
        <v>44530</v>
      </c>
      <c r="F8067" t="s">
        <v>2221</v>
      </c>
      <c r="G8067" t="s">
        <v>2204</v>
      </c>
      <c r="H8067">
        <v>2</v>
      </c>
      <c r="I8067">
        <v>97.99</v>
      </c>
      <c r="J8067" s="50">
        <v>195.98</v>
      </c>
      <c r="K8067" t="s">
        <v>1632</v>
      </c>
      <c r="L8067" t="s">
        <v>5230</v>
      </c>
      <c r="M8067" t="s">
        <v>1619</v>
      </c>
      <c r="N8067">
        <v>51.72</v>
      </c>
      <c r="O8067" s="49">
        <v>44535</v>
      </c>
      <c r="P8067" s="50">
        <v>88.191000000000003</v>
      </c>
    </row>
    <row r="8068" spans="4:16" x14ac:dyDescent="0.2">
      <c r="D8068">
        <v>100004821</v>
      </c>
      <c r="E8068" s="49">
        <v>44682</v>
      </c>
      <c r="F8068" t="s">
        <v>6089</v>
      </c>
      <c r="G8068" t="s">
        <v>1890</v>
      </c>
      <c r="H8068">
        <v>5</v>
      </c>
      <c r="I8068">
        <v>116.21</v>
      </c>
      <c r="J8068" s="50">
        <v>581.04999999999995</v>
      </c>
      <c r="K8068" t="s">
        <v>1632</v>
      </c>
      <c r="M8068" t="s">
        <v>1629</v>
      </c>
      <c r="N8068">
        <v>61.33</v>
      </c>
      <c r="O8068" s="49">
        <v>44687</v>
      </c>
      <c r="P8068" s="50">
        <v>261.47249999999997</v>
      </c>
    </row>
    <row r="8069" spans="4:16" x14ac:dyDescent="0.2">
      <c r="D8069">
        <v>100004822</v>
      </c>
      <c r="E8069" s="49">
        <v>44399</v>
      </c>
      <c r="F8069" t="s">
        <v>6090</v>
      </c>
      <c r="G8069" t="s">
        <v>1950</v>
      </c>
      <c r="H8069">
        <v>1</v>
      </c>
      <c r="I8069">
        <v>28.49</v>
      </c>
      <c r="J8069" s="50">
        <v>28.49</v>
      </c>
      <c r="K8069" t="s">
        <v>1632</v>
      </c>
      <c r="M8069" t="s">
        <v>1624</v>
      </c>
      <c r="N8069">
        <v>15.04</v>
      </c>
      <c r="O8069" s="49">
        <v>44403</v>
      </c>
      <c r="P8069" s="50">
        <v>12.820499999999999</v>
      </c>
    </row>
    <row r="8070" spans="4:16" x14ac:dyDescent="0.2">
      <c r="D8070">
        <v>100004822</v>
      </c>
      <c r="E8070" s="49">
        <v>45170</v>
      </c>
      <c r="F8070" t="s">
        <v>6090</v>
      </c>
      <c r="G8070" t="s">
        <v>1967</v>
      </c>
      <c r="H8070">
        <v>7</v>
      </c>
      <c r="I8070">
        <v>77.34</v>
      </c>
      <c r="J8070" s="50">
        <v>541.38</v>
      </c>
      <c r="K8070" t="s">
        <v>1632</v>
      </c>
      <c r="M8070" t="s">
        <v>1624</v>
      </c>
      <c r="N8070">
        <v>40.82</v>
      </c>
      <c r="O8070" s="49">
        <v>45173</v>
      </c>
      <c r="P8070" s="50">
        <v>243.62100000000001</v>
      </c>
    </row>
    <row r="8071" spans="4:16" x14ac:dyDescent="0.2">
      <c r="D8071">
        <v>100004822</v>
      </c>
      <c r="E8071" s="49">
        <v>45478</v>
      </c>
      <c r="F8071" t="s">
        <v>6090</v>
      </c>
      <c r="G8071" t="s">
        <v>1744</v>
      </c>
      <c r="H8071">
        <v>7</v>
      </c>
      <c r="I8071">
        <v>60.45</v>
      </c>
      <c r="J8071" s="50">
        <v>423.15</v>
      </c>
      <c r="K8071" t="s">
        <v>1632</v>
      </c>
      <c r="M8071" t="s">
        <v>1619</v>
      </c>
      <c r="N8071">
        <v>31.9</v>
      </c>
      <c r="O8071" s="49">
        <v>45481</v>
      </c>
      <c r="P8071" s="50">
        <v>190.41749999999999</v>
      </c>
    </row>
    <row r="8072" spans="4:16" x14ac:dyDescent="0.2">
      <c r="D8072">
        <v>100004822</v>
      </c>
      <c r="E8072" s="49">
        <v>44640</v>
      </c>
      <c r="F8072" t="s">
        <v>6090</v>
      </c>
      <c r="G8072" t="s">
        <v>1880</v>
      </c>
      <c r="H8072">
        <v>7</v>
      </c>
      <c r="I8072">
        <v>42.88</v>
      </c>
      <c r="J8072" s="50">
        <v>300.16000000000003</v>
      </c>
      <c r="K8072" t="s">
        <v>1632</v>
      </c>
      <c r="M8072" t="s">
        <v>1621</v>
      </c>
      <c r="N8072">
        <v>22.63</v>
      </c>
      <c r="O8072" s="49">
        <v>44644</v>
      </c>
      <c r="P8072" s="50">
        <v>135.072</v>
      </c>
    </row>
    <row r="8073" spans="4:16" x14ac:dyDescent="0.2">
      <c r="D8073">
        <v>100004822</v>
      </c>
      <c r="E8073" s="49">
        <v>44914</v>
      </c>
      <c r="F8073" t="s">
        <v>6090</v>
      </c>
      <c r="G8073" t="s">
        <v>1817</v>
      </c>
      <c r="H8073">
        <v>8</v>
      </c>
      <c r="I8073">
        <v>75.849999999999994</v>
      </c>
      <c r="J8073" s="50">
        <v>606.79999999999995</v>
      </c>
      <c r="K8073" t="s">
        <v>1632</v>
      </c>
      <c r="M8073" t="s">
        <v>1624</v>
      </c>
      <c r="N8073">
        <v>40.03</v>
      </c>
      <c r="O8073" s="49">
        <v>44919</v>
      </c>
      <c r="P8073" s="50">
        <v>273.06</v>
      </c>
    </row>
    <row r="8074" spans="4:16" x14ac:dyDescent="0.2">
      <c r="D8074">
        <v>100004823</v>
      </c>
      <c r="E8074" s="49">
        <v>44218</v>
      </c>
      <c r="F8074" t="s">
        <v>6091</v>
      </c>
      <c r="G8074" t="s">
        <v>1877</v>
      </c>
      <c r="H8074">
        <v>6</v>
      </c>
      <c r="I8074">
        <v>87.01</v>
      </c>
      <c r="J8074" s="50">
        <v>522.06000000000006</v>
      </c>
      <c r="K8074" t="s">
        <v>1632</v>
      </c>
      <c r="M8074" t="s">
        <v>1621</v>
      </c>
      <c r="N8074">
        <v>45.92</v>
      </c>
      <c r="O8074" s="49">
        <v>44221</v>
      </c>
      <c r="P8074" s="50">
        <v>234.92700000000002</v>
      </c>
    </row>
    <row r="8075" spans="4:16" x14ac:dyDescent="0.2">
      <c r="D8075">
        <v>100004823</v>
      </c>
      <c r="E8075" s="49">
        <v>44582</v>
      </c>
      <c r="F8075" t="s">
        <v>6091</v>
      </c>
      <c r="G8075" t="s">
        <v>2431</v>
      </c>
      <c r="H8075">
        <v>9</v>
      </c>
      <c r="I8075">
        <v>102.57</v>
      </c>
      <c r="J8075" s="50">
        <v>923.12999999999988</v>
      </c>
      <c r="K8075" t="s">
        <v>1632</v>
      </c>
      <c r="M8075" t="s">
        <v>1629</v>
      </c>
      <c r="N8075">
        <v>54.13</v>
      </c>
      <c r="O8075" s="49">
        <v>44584</v>
      </c>
      <c r="P8075" s="50">
        <v>415.40849999999995</v>
      </c>
    </row>
    <row r="8076" spans="4:16" x14ac:dyDescent="0.2">
      <c r="D8076">
        <v>100004824</v>
      </c>
      <c r="E8076" s="49">
        <v>45394</v>
      </c>
      <c r="F8076" t="s">
        <v>6092</v>
      </c>
      <c r="G8076" t="s">
        <v>1982</v>
      </c>
      <c r="H8076">
        <v>3</v>
      </c>
      <c r="I8076">
        <v>86.17</v>
      </c>
      <c r="J8076" s="50">
        <v>258.51</v>
      </c>
      <c r="K8076" t="s">
        <v>1618</v>
      </c>
      <c r="M8076" t="s">
        <v>1619</v>
      </c>
      <c r="N8076">
        <v>45.48</v>
      </c>
      <c r="O8076" s="49">
        <v>45399</v>
      </c>
      <c r="P8076" s="50">
        <v>116.3295</v>
      </c>
    </row>
    <row r="8077" spans="4:16" x14ac:dyDescent="0.2">
      <c r="D8077">
        <v>100004825</v>
      </c>
      <c r="E8077" s="49">
        <v>45415</v>
      </c>
      <c r="F8077" t="s">
        <v>6093</v>
      </c>
      <c r="G8077" t="s">
        <v>1900</v>
      </c>
      <c r="H8077">
        <v>5</v>
      </c>
      <c r="I8077">
        <v>78.790000000000006</v>
      </c>
      <c r="J8077" s="50">
        <v>393.95</v>
      </c>
      <c r="K8077" t="s">
        <v>1632</v>
      </c>
      <c r="M8077" t="s">
        <v>1627</v>
      </c>
      <c r="N8077">
        <v>41.58</v>
      </c>
      <c r="O8077" s="49">
        <v>45417</v>
      </c>
      <c r="P8077" s="50">
        <v>177.2775</v>
      </c>
    </row>
    <row r="8078" spans="4:16" x14ac:dyDescent="0.2">
      <c r="D8078">
        <v>100004825</v>
      </c>
      <c r="E8078" s="49">
        <v>45276</v>
      </c>
      <c r="F8078" t="s">
        <v>6093</v>
      </c>
      <c r="G8078" t="s">
        <v>1775</v>
      </c>
      <c r="H8078">
        <v>5</v>
      </c>
      <c r="I8078">
        <v>30.86</v>
      </c>
      <c r="J8078" s="50">
        <v>154.30000000000001</v>
      </c>
      <c r="K8078" t="s">
        <v>1632</v>
      </c>
      <c r="M8078" t="s">
        <v>1624</v>
      </c>
      <c r="N8078">
        <v>16.29</v>
      </c>
      <c r="O8078" s="49">
        <v>45281</v>
      </c>
      <c r="P8078" s="50">
        <v>69.435000000000002</v>
      </c>
    </row>
    <row r="8079" spans="4:16" x14ac:dyDescent="0.2">
      <c r="D8079">
        <v>100004825</v>
      </c>
      <c r="E8079" s="49">
        <v>45205</v>
      </c>
      <c r="F8079" t="s">
        <v>6093</v>
      </c>
      <c r="G8079" t="s">
        <v>2375</v>
      </c>
      <c r="H8079">
        <v>7</v>
      </c>
      <c r="I8079">
        <v>112.13</v>
      </c>
      <c r="J8079" s="50">
        <v>784.91</v>
      </c>
      <c r="K8079" t="s">
        <v>1632</v>
      </c>
      <c r="M8079" t="s">
        <v>1627</v>
      </c>
      <c r="N8079">
        <v>59.18</v>
      </c>
      <c r="O8079" s="49">
        <v>45210</v>
      </c>
      <c r="P8079" s="50">
        <v>353.20949999999999</v>
      </c>
    </row>
    <row r="8080" spans="4:16" x14ac:dyDescent="0.2">
      <c r="D8080">
        <v>100004826</v>
      </c>
      <c r="E8080" s="49">
        <v>45210</v>
      </c>
      <c r="F8080" t="s">
        <v>6094</v>
      </c>
      <c r="G8080" t="s">
        <v>1653</v>
      </c>
      <c r="H8080">
        <v>3</v>
      </c>
      <c r="I8080">
        <v>92.52</v>
      </c>
      <c r="J8080" s="50">
        <v>277.56</v>
      </c>
      <c r="K8080" t="s">
        <v>1632</v>
      </c>
      <c r="M8080" t="s">
        <v>1627</v>
      </c>
      <c r="N8080">
        <v>48.83</v>
      </c>
      <c r="O8080" s="49">
        <v>45213</v>
      </c>
      <c r="P8080" s="50">
        <v>124.902</v>
      </c>
    </row>
    <row r="8081" spans="4:16" x14ac:dyDescent="0.2">
      <c r="D8081">
        <v>100004827</v>
      </c>
      <c r="E8081" s="49">
        <v>45294</v>
      </c>
      <c r="F8081" t="s">
        <v>6095</v>
      </c>
      <c r="G8081" t="s">
        <v>1947</v>
      </c>
      <c r="H8081">
        <v>1</v>
      </c>
      <c r="I8081">
        <v>97.12</v>
      </c>
      <c r="J8081" s="50">
        <v>97.12</v>
      </c>
      <c r="K8081" t="s">
        <v>1618</v>
      </c>
      <c r="M8081" t="s">
        <v>1629</v>
      </c>
      <c r="N8081">
        <v>51.26</v>
      </c>
      <c r="O8081" s="49">
        <v>45295</v>
      </c>
      <c r="P8081" s="50">
        <v>43.704000000000001</v>
      </c>
    </row>
    <row r="8082" spans="4:16" x14ac:dyDescent="0.2">
      <c r="D8082">
        <v>100004828</v>
      </c>
      <c r="E8082" s="49">
        <v>45571</v>
      </c>
      <c r="F8082" t="s">
        <v>6096</v>
      </c>
      <c r="G8082" t="s">
        <v>1928</v>
      </c>
      <c r="H8082">
        <v>4</v>
      </c>
      <c r="I8082">
        <v>68.760000000000005</v>
      </c>
      <c r="J8082" s="50">
        <v>275.04000000000002</v>
      </c>
      <c r="K8082" t="s">
        <v>1618</v>
      </c>
      <c r="M8082" t="s">
        <v>1624</v>
      </c>
      <c r="N8082">
        <v>36.29</v>
      </c>
      <c r="O8082" s="49">
        <v>45572</v>
      </c>
      <c r="P8082" s="50">
        <v>123.76800000000001</v>
      </c>
    </row>
    <row r="8083" spans="4:16" x14ac:dyDescent="0.2">
      <c r="D8083">
        <v>100004830</v>
      </c>
      <c r="E8083" s="49">
        <v>44661</v>
      </c>
      <c r="F8083" t="s">
        <v>6097</v>
      </c>
      <c r="G8083" t="s">
        <v>2079</v>
      </c>
      <c r="H8083">
        <v>2</v>
      </c>
      <c r="I8083">
        <v>87.36</v>
      </c>
      <c r="J8083" s="50">
        <v>174.72</v>
      </c>
      <c r="K8083" t="s">
        <v>1618</v>
      </c>
      <c r="M8083" t="s">
        <v>1627</v>
      </c>
      <c r="N8083">
        <v>46.11</v>
      </c>
      <c r="O8083" s="49">
        <v>44665</v>
      </c>
      <c r="P8083" s="50">
        <v>78.623999999999995</v>
      </c>
    </row>
    <row r="8084" spans="4:16" x14ac:dyDescent="0.2">
      <c r="D8084">
        <v>100004832</v>
      </c>
      <c r="E8084" s="49">
        <v>45133</v>
      </c>
      <c r="F8084" t="s">
        <v>6098</v>
      </c>
      <c r="G8084" t="s">
        <v>1827</v>
      </c>
      <c r="H8084">
        <v>10</v>
      </c>
      <c r="I8084">
        <v>111.62</v>
      </c>
      <c r="J8084" s="50">
        <v>1116.2</v>
      </c>
      <c r="K8084" t="s">
        <v>1618</v>
      </c>
      <c r="L8084" t="s">
        <v>6099</v>
      </c>
      <c r="M8084" t="s">
        <v>1624</v>
      </c>
      <c r="N8084">
        <v>58.91</v>
      </c>
      <c r="O8084" s="49">
        <v>45137</v>
      </c>
      <c r="P8084" s="50">
        <v>502.29</v>
      </c>
    </row>
    <row r="8085" spans="4:16" x14ac:dyDescent="0.2">
      <c r="D8085">
        <v>100004834</v>
      </c>
      <c r="E8085" s="49">
        <v>44367</v>
      </c>
      <c r="F8085" t="s">
        <v>2598</v>
      </c>
      <c r="G8085" t="s">
        <v>1948</v>
      </c>
      <c r="H8085">
        <v>6</v>
      </c>
      <c r="I8085">
        <v>80.599999999999994</v>
      </c>
      <c r="J8085" s="50">
        <v>483.6</v>
      </c>
      <c r="K8085" t="s">
        <v>1632</v>
      </c>
      <c r="M8085" t="s">
        <v>1619</v>
      </c>
      <c r="N8085">
        <v>42.54</v>
      </c>
      <c r="O8085" s="49">
        <v>44368</v>
      </c>
      <c r="P8085" s="50">
        <v>217.62</v>
      </c>
    </row>
    <row r="8086" spans="4:16" x14ac:dyDescent="0.2">
      <c r="D8086">
        <v>100004834</v>
      </c>
      <c r="E8086" s="49">
        <v>44477</v>
      </c>
      <c r="F8086" t="s">
        <v>2598</v>
      </c>
      <c r="G8086" t="s">
        <v>1758</v>
      </c>
      <c r="H8086">
        <v>5</v>
      </c>
      <c r="I8086">
        <v>99.81</v>
      </c>
      <c r="J8086" s="50">
        <v>499.05</v>
      </c>
      <c r="K8086" t="s">
        <v>1632</v>
      </c>
      <c r="M8086" t="s">
        <v>1627</v>
      </c>
      <c r="N8086">
        <v>52.68</v>
      </c>
      <c r="O8086" s="49">
        <v>44479</v>
      </c>
      <c r="P8086" s="50">
        <v>224.57250000000002</v>
      </c>
    </row>
    <row r="8087" spans="4:16" x14ac:dyDescent="0.2">
      <c r="D8087">
        <v>100004835</v>
      </c>
      <c r="E8087" s="49">
        <v>45001</v>
      </c>
      <c r="F8087" t="s">
        <v>6100</v>
      </c>
      <c r="G8087" t="s">
        <v>1842</v>
      </c>
      <c r="H8087">
        <v>3</v>
      </c>
      <c r="I8087">
        <v>52.5</v>
      </c>
      <c r="J8087" s="50">
        <v>157.5</v>
      </c>
      <c r="K8087" t="s">
        <v>1632</v>
      </c>
      <c r="M8087" t="s">
        <v>1621</v>
      </c>
      <c r="N8087">
        <v>27.71</v>
      </c>
      <c r="O8087" s="49">
        <v>45005</v>
      </c>
      <c r="P8087" s="50">
        <v>70.875</v>
      </c>
    </row>
    <row r="8088" spans="4:16" x14ac:dyDescent="0.2">
      <c r="D8088">
        <v>100004836</v>
      </c>
      <c r="E8088" s="49">
        <v>45550</v>
      </c>
      <c r="F8088" t="s">
        <v>6101</v>
      </c>
      <c r="G8088" t="s">
        <v>2090</v>
      </c>
      <c r="H8088">
        <v>5</v>
      </c>
      <c r="I8088">
        <v>77.39</v>
      </c>
      <c r="J8088" s="50">
        <v>386.95</v>
      </c>
      <c r="K8088" t="s">
        <v>1618</v>
      </c>
      <c r="M8088" t="s">
        <v>1627</v>
      </c>
      <c r="N8088">
        <v>40.840000000000003</v>
      </c>
      <c r="O8088" s="49">
        <v>45552</v>
      </c>
      <c r="P8088" s="50">
        <v>174.1275</v>
      </c>
    </row>
    <row r="8089" spans="4:16" x14ac:dyDescent="0.2">
      <c r="D8089">
        <v>100004836</v>
      </c>
      <c r="E8089" s="49">
        <v>44382</v>
      </c>
      <c r="F8089" t="s">
        <v>6101</v>
      </c>
      <c r="G8089" t="s">
        <v>2079</v>
      </c>
      <c r="H8089">
        <v>9</v>
      </c>
      <c r="I8089">
        <v>68.819999999999993</v>
      </c>
      <c r="J8089" s="50">
        <v>619.37999999999988</v>
      </c>
      <c r="K8089" t="s">
        <v>1618</v>
      </c>
      <c r="M8089" t="s">
        <v>1629</v>
      </c>
      <c r="N8089">
        <v>36.32</v>
      </c>
      <c r="O8089" s="49">
        <v>44385</v>
      </c>
      <c r="P8089" s="50">
        <v>278.72099999999995</v>
      </c>
    </row>
    <row r="8090" spans="4:16" x14ac:dyDescent="0.2">
      <c r="D8090">
        <v>100004837</v>
      </c>
      <c r="E8090" s="49">
        <v>44379</v>
      </c>
      <c r="F8090" t="s">
        <v>6102</v>
      </c>
      <c r="G8090" t="s">
        <v>2514</v>
      </c>
      <c r="H8090">
        <v>9</v>
      </c>
      <c r="I8090">
        <v>39.04</v>
      </c>
      <c r="J8090" s="50">
        <v>351.36</v>
      </c>
      <c r="K8090" t="s">
        <v>1618</v>
      </c>
      <c r="M8090" t="s">
        <v>1627</v>
      </c>
      <c r="N8090">
        <v>20.6</v>
      </c>
      <c r="O8090" s="49">
        <v>44382</v>
      </c>
      <c r="P8090" s="50">
        <v>158.11200000000002</v>
      </c>
    </row>
    <row r="8091" spans="4:16" x14ac:dyDescent="0.2">
      <c r="D8091">
        <v>100004837</v>
      </c>
      <c r="E8091" s="49">
        <v>45071</v>
      </c>
      <c r="F8091" t="s">
        <v>6102</v>
      </c>
      <c r="G8091" t="s">
        <v>2485</v>
      </c>
      <c r="H8091">
        <v>7</v>
      </c>
      <c r="I8091">
        <v>51.33</v>
      </c>
      <c r="J8091" s="50">
        <v>359.31</v>
      </c>
      <c r="K8091" t="s">
        <v>1618</v>
      </c>
      <c r="M8091" t="s">
        <v>1627</v>
      </c>
      <c r="N8091">
        <v>27.09</v>
      </c>
      <c r="O8091" s="49">
        <v>45074</v>
      </c>
      <c r="P8091" s="50">
        <v>161.68950000000001</v>
      </c>
    </row>
    <row r="8092" spans="4:16" x14ac:dyDescent="0.2">
      <c r="D8092">
        <v>100004837</v>
      </c>
      <c r="E8092" s="49">
        <v>44583</v>
      </c>
      <c r="F8092" t="s">
        <v>6102</v>
      </c>
      <c r="G8092" t="s">
        <v>2210</v>
      </c>
      <c r="H8092">
        <v>7</v>
      </c>
      <c r="I8092">
        <v>118.8</v>
      </c>
      <c r="J8092" s="50">
        <v>831.6</v>
      </c>
      <c r="K8092" t="s">
        <v>1618</v>
      </c>
      <c r="M8092" t="s">
        <v>1624</v>
      </c>
      <c r="N8092">
        <v>62.7</v>
      </c>
      <c r="O8092" s="49">
        <v>44584</v>
      </c>
      <c r="P8092" s="50">
        <v>374.22</v>
      </c>
    </row>
    <row r="8093" spans="4:16" x14ac:dyDescent="0.2">
      <c r="D8093">
        <v>100004837</v>
      </c>
      <c r="E8093" s="49">
        <v>45368</v>
      </c>
      <c r="F8093" t="s">
        <v>6102</v>
      </c>
      <c r="G8093" t="s">
        <v>1825</v>
      </c>
      <c r="H8093">
        <v>7</v>
      </c>
      <c r="I8093">
        <v>89.17</v>
      </c>
      <c r="J8093" s="50">
        <v>624.19000000000005</v>
      </c>
      <c r="K8093" t="s">
        <v>1618</v>
      </c>
      <c r="M8093" t="s">
        <v>1619</v>
      </c>
      <c r="N8093">
        <v>47.06</v>
      </c>
      <c r="O8093" s="49">
        <v>45371</v>
      </c>
      <c r="P8093" s="50">
        <v>280.88550000000004</v>
      </c>
    </row>
    <row r="8094" spans="4:16" x14ac:dyDescent="0.2">
      <c r="D8094">
        <v>100004837</v>
      </c>
      <c r="E8094" s="49">
        <v>45414</v>
      </c>
      <c r="F8094" t="s">
        <v>6102</v>
      </c>
      <c r="G8094" t="s">
        <v>2194</v>
      </c>
      <c r="H8094">
        <v>6</v>
      </c>
      <c r="I8094">
        <v>111.76</v>
      </c>
      <c r="J8094" s="50">
        <v>670.56000000000006</v>
      </c>
      <c r="K8094" t="s">
        <v>1618</v>
      </c>
      <c r="M8094" t="s">
        <v>1624</v>
      </c>
      <c r="N8094">
        <v>58.98</v>
      </c>
      <c r="O8094" s="49">
        <v>45419</v>
      </c>
      <c r="P8094" s="50">
        <v>301.75200000000001</v>
      </c>
    </row>
    <row r="8095" spans="4:16" x14ac:dyDescent="0.2">
      <c r="D8095">
        <v>100004838</v>
      </c>
      <c r="E8095" s="49">
        <v>44824</v>
      </c>
      <c r="F8095" t="s">
        <v>6103</v>
      </c>
      <c r="G8095" t="s">
        <v>2039</v>
      </c>
      <c r="H8095">
        <v>6</v>
      </c>
      <c r="I8095">
        <v>108.79</v>
      </c>
      <c r="J8095" s="50">
        <v>652.74</v>
      </c>
      <c r="K8095" t="s">
        <v>1632</v>
      </c>
      <c r="M8095" t="s">
        <v>1627</v>
      </c>
      <c r="N8095">
        <v>57.42</v>
      </c>
      <c r="O8095" s="49">
        <v>44829</v>
      </c>
      <c r="P8095" s="50">
        <v>293.733</v>
      </c>
    </row>
    <row r="8096" spans="4:16" x14ac:dyDescent="0.2">
      <c r="D8096">
        <v>100004838</v>
      </c>
      <c r="E8096" s="49">
        <v>45105</v>
      </c>
      <c r="F8096" t="s">
        <v>6103</v>
      </c>
      <c r="G8096" t="s">
        <v>2003</v>
      </c>
      <c r="H8096">
        <v>1</v>
      </c>
      <c r="I8096">
        <v>19.989999999999998</v>
      </c>
      <c r="J8096" s="50">
        <v>19.989999999999998</v>
      </c>
      <c r="K8096" t="s">
        <v>1632</v>
      </c>
      <c r="M8096" t="s">
        <v>1627</v>
      </c>
      <c r="N8096">
        <v>10.55</v>
      </c>
      <c r="O8096" s="49">
        <v>45106</v>
      </c>
      <c r="P8096" s="50">
        <v>8.9954999999999998</v>
      </c>
    </row>
    <row r="8097" spans="4:16" x14ac:dyDescent="0.2">
      <c r="D8097">
        <v>100004841</v>
      </c>
      <c r="E8097" s="49">
        <v>44519</v>
      </c>
      <c r="F8097" t="s">
        <v>6104</v>
      </c>
      <c r="G8097" t="s">
        <v>2050</v>
      </c>
      <c r="H8097">
        <v>6</v>
      </c>
      <c r="I8097">
        <v>73.819999999999993</v>
      </c>
      <c r="J8097" s="50">
        <v>442.92</v>
      </c>
      <c r="K8097" t="s">
        <v>1618</v>
      </c>
      <c r="M8097" t="s">
        <v>1627</v>
      </c>
      <c r="N8097">
        <v>38.96</v>
      </c>
      <c r="O8097" s="49">
        <v>44521</v>
      </c>
      <c r="P8097" s="50">
        <v>199.31400000000002</v>
      </c>
    </row>
    <row r="8098" spans="4:16" x14ac:dyDescent="0.2">
      <c r="D8098">
        <v>100004842</v>
      </c>
      <c r="E8098" s="49">
        <v>44380</v>
      </c>
      <c r="F8098" t="s">
        <v>6105</v>
      </c>
      <c r="G8098" t="s">
        <v>2766</v>
      </c>
      <c r="H8098">
        <v>10</v>
      </c>
      <c r="I8098">
        <v>20.76</v>
      </c>
      <c r="J8098" s="50">
        <v>207.6</v>
      </c>
      <c r="K8098" t="s">
        <v>1618</v>
      </c>
      <c r="M8098" t="s">
        <v>1624</v>
      </c>
      <c r="N8098">
        <v>10.96</v>
      </c>
      <c r="O8098" s="49">
        <v>44381</v>
      </c>
      <c r="P8098" s="50">
        <v>93.42</v>
      </c>
    </row>
    <row r="8099" spans="4:16" x14ac:dyDescent="0.2">
      <c r="D8099">
        <v>100004842</v>
      </c>
      <c r="E8099" s="49">
        <v>45016</v>
      </c>
      <c r="F8099" t="s">
        <v>6105</v>
      </c>
      <c r="G8099" t="s">
        <v>2574</v>
      </c>
      <c r="H8099">
        <v>2</v>
      </c>
      <c r="I8099">
        <v>59.89</v>
      </c>
      <c r="J8099" s="50">
        <v>119.78</v>
      </c>
      <c r="K8099" t="s">
        <v>1618</v>
      </c>
      <c r="M8099" t="s">
        <v>1619</v>
      </c>
      <c r="N8099">
        <v>31.61</v>
      </c>
      <c r="O8099" s="49">
        <v>45018</v>
      </c>
      <c r="P8099" s="50">
        <v>53.901000000000003</v>
      </c>
    </row>
    <row r="8100" spans="4:16" x14ac:dyDescent="0.2">
      <c r="D8100">
        <v>100004842</v>
      </c>
      <c r="E8100" s="49">
        <v>44991</v>
      </c>
      <c r="F8100" t="s">
        <v>6105</v>
      </c>
      <c r="G8100" t="s">
        <v>1738</v>
      </c>
      <c r="H8100">
        <v>2</v>
      </c>
      <c r="I8100">
        <v>38.840000000000003</v>
      </c>
      <c r="J8100" s="50">
        <v>77.680000000000007</v>
      </c>
      <c r="K8100" t="s">
        <v>1618</v>
      </c>
      <c r="M8100" t="s">
        <v>1619</v>
      </c>
      <c r="N8100">
        <v>20.5</v>
      </c>
      <c r="O8100" s="49">
        <v>44996</v>
      </c>
      <c r="P8100" s="50">
        <v>34.956000000000003</v>
      </c>
    </row>
    <row r="8101" spans="4:16" x14ac:dyDescent="0.2">
      <c r="D8101">
        <v>100004845</v>
      </c>
      <c r="E8101" s="49">
        <v>44698</v>
      </c>
      <c r="F8101" t="s">
        <v>6106</v>
      </c>
      <c r="G8101" t="s">
        <v>2412</v>
      </c>
      <c r="H8101">
        <v>4</v>
      </c>
      <c r="I8101">
        <v>53.7</v>
      </c>
      <c r="J8101" s="50">
        <v>214.8</v>
      </c>
      <c r="K8101" t="s">
        <v>1632</v>
      </c>
      <c r="M8101" t="s">
        <v>1619</v>
      </c>
      <c r="N8101">
        <v>28.34</v>
      </c>
      <c r="O8101" s="49">
        <v>44699</v>
      </c>
      <c r="P8101" s="50">
        <v>96.660000000000011</v>
      </c>
    </row>
    <row r="8102" spans="4:16" x14ac:dyDescent="0.2">
      <c r="D8102">
        <v>100004847</v>
      </c>
      <c r="E8102" s="49">
        <v>44754</v>
      </c>
      <c r="F8102" t="s">
        <v>6107</v>
      </c>
      <c r="G8102" t="s">
        <v>1856</v>
      </c>
      <c r="H8102">
        <v>10</v>
      </c>
      <c r="I8102">
        <v>98.25</v>
      </c>
      <c r="J8102" s="50">
        <v>982.5</v>
      </c>
      <c r="K8102" t="s">
        <v>1632</v>
      </c>
      <c r="L8102" t="s">
        <v>5490</v>
      </c>
      <c r="M8102" t="s">
        <v>1621</v>
      </c>
      <c r="N8102">
        <v>51.85</v>
      </c>
      <c r="O8102" s="49">
        <v>44755</v>
      </c>
      <c r="P8102" s="50">
        <v>442.125</v>
      </c>
    </row>
    <row r="8103" spans="4:16" x14ac:dyDescent="0.2">
      <c r="D8103">
        <v>100004847</v>
      </c>
      <c r="E8103" s="49">
        <v>45544</v>
      </c>
      <c r="F8103" t="s">
        <v>6107</v>
      </c>
      <c r="G8103" t="s">
        <v>1978</v>
      </c>
      <c r="H8103">
        <v>10</v>
      </c>
      <c r="I8103">
        <v>82.78</v>
      </c>
      <c r="J8103" s="50">
        <v>827.8</v>
      </c>
      <c r="K8103" t="s">
        <v>1632</v>
      </c>
      <c r="L8103" t="s">
        <v>5490</v>
      </c>
      <c r="M8103" t="s">
        <v>1624</v>
      </c>
      <c r="N8103">
        <v>43.69</v>
      </c>
      <c r="O8103" s="49">
        <v>45546</v>
      </c>
      <c r="P8103" s="50">
        <v>372.51</v>
      </c>
    </row>
    <row r="8104" spans="4:16" x14ac:dyDescent="0.2">
      <c r="D8104">
        <v>100004848</v>
      </c>
      <c r="E8104" s="49">
        <v>44909</v>
      </c>
      <c r="F8104" t="s">
        <v>6108</v>
      </c>
      <c r="G8104" t="s">
        <v>1658</v>
      </c>
      <c r="H8104">
        <v>8</v>
      </c>
      <c r="I8104">
        <v>55.8</v>
      </c>
      <c r="J8104" s="50">
        <v>446.4</v>
      </c>
      <c r="K8104" t="s">
        <v>1618</v>
      </c>
      <c r="M8104" t="s">
        <v>1619</v>
      </c>
      <c r="N8104">
        <v>29.45</v>
      </c>
      <c r="O8104" s="49">
        <v>44912</v>
      </c>
      <c r="P8104" s="50">
        <v>200.88</v>
      </c>
    </row>
    <row r="8105" spans="4:16" x14ac:dyDescent="0.2">
      <c r="D8105">
        <v>100004848</v>
      </c>
      <c r="E8105" s="49">
        <v>45240</v>
      </c>
      <c r="F8105" t="s">
        <v>6108</v>
      </c>
      <c r="G8105" t="s">
        <v>1910</v>
      </c>
      <c r="H8105">
        <v>4</v>
      </c>
      <c r="I8105">
        <v>76.55</v>
      </c>
      <c r="J8105" s="50">
        <v>306.2</v>
      </c>
      <c r="K8105" t="s">
        <v>1618</v>
      </c>
      <c r="M8105" t="s">
        <v>1627</v>
      </c>
      <c r="N8105">
        <v>40.4</v>
      </c>
      <c r="O8105" s="49">
        <v>45241</v>
      </c>
      <c r="P8105" s="50">
        <v>137.79</v>
      </c>
    </row>
    <row r="8106" spans="4:16" x14ac:dyDescent="0.2">
      <c r="D8106">
        <v>100004849</v>
      </c>
      <c r="E8106" s="49">
        <v>44984</v>
      </c>
      <c r="F8106" t="s">
        <v>6109</v>
      </c>
      <c r="G8106" t="s">
        <v>1647</v>
      </c>
      <c r="H8106">
        <v>5</v>
      </c>
      <c r="I8106">
        <v>102.52</v>
      </c>
      <c r="J8106" s="50">
        <v>512.6</v>
      </c>
      <c r="K8106" t="s">
        <v>1618</v>
      </c>
      <c r="M8106" t="s">
        <v>1629</v>
      </c>
      <c r="N8106">
        <v>54.11</v>
      </c>
      <c r="O8106" s="49">
        <v>44987</v>
      </c>
      <c r="P8106" s="50">
        <v>230.67000000000002</v>
      </c>
    </row>
    <row r="8107" spans="4:16" x14ac:dyDescent="0.2">
      <c r="D8107">
        <v>100004849</v>
      </c>
      <c r="E8107" s="49">
        <v>45244</v>
      </c>
      <c r="F8107" t="s">
        <v>6109</v>
      </c>
      <c r="G8107" t="s">
        <v>2766</v>
      </c>
      <c r="H8107">
        <v>6</v>
      </c>
      <c r="I8107">
        <v>94.55</v>
      </c>
      <c r="J8107" s="50">
        <v>567.29999999999995</v>
      </c>
      <c r="K8107" t="s">
        <v>1618</v>
      </c>
      <c r="M8107" t="s">
        <v>1627</v>
      </c>
      <c r="N8107">
        <v>49.9</v>
      </c>
      <c r="O8107" s="49">
        <v>45248</v>
      </c>
      <c r="P8107" s="50">
        <v>255.285</v>
      </c>
    </row>
    <row r="8108" spans="4:16" x14ac:dyDescent="0.2">
      <c r="D8108">
        <v>100004849</v>
      </c>
      <c r="E8108" s="49">
        <v>44462</v>
      </c>
      <c r="F8108" t="s">
        <v>6109</v>
      </c>
      <c r="G8108" t="s">
        <v>1937</v>
      </c>
      <c r="H8108">
        <v>2</v>
      </c>
      <c r="I8108">
        <v>60.68</v>
      </c>
      <c r="J8108" s="50">
        <v>121.36</v>
      </c>
      <c r="K8108" t="s">
        <v>1618</v>
      </c>
      <c r="M8108" t="s">
        <v>1624</v>
      </c>
      <c r="N8108">
        <v>32.03</v>
      </c>
      <c r="O8108" s="49">
        <v>44464</v>
      </c>
      <c r="P8108" s="50">
        <v>54.612000000000002</v>
      </c>
    </row>
    <row r="8109" spans="4:16" x14ac:dyDescent="0.2">
      <c r="D8109">
        <v>100004850</v>
      </c>
      <c r="E8109" s="49">
        <v>44371</v>
      </c>
      <c r="F8109" t="s">
        <v>6110</v>
      </c>
      <c r="G8109" t="s">
        <v>2042</v>
      </c>
      <c r="H8109">
        <v>10</v>
      </c>
      <c r="I8109">
        <v>105.25</v>
      </c>
      <c r="J8109" s="50">
        <v>1052.5</v>
      </c>
      <c r="K8109" t="s">
        <v>1632</v>
      </c>
      <c r="M8109" t="s">
        <v>1621</v>
      </c>
      <c r="N8109">
        <v>55.55</v>
      </c>
      <c r="O8109" s="49">
        <v>44375</v>
      </c>
      <c r="P8109" s="50">
        <v>473.625</v>
      </c>
    </row>
    <row r="8110" spans="4:16" x14ac:dyDescent="0.2">
      <c r="D8110">
        <v>100004851</v>
      </c>
      <c r="E8110" s="49">
        <v>44228</v>
      </c>
      <c r="F8110" t="s">
        <v>5688</v>
      </c>
      <c r="G8110" t="s">
        <v>1749</v>
      </c>
      <c r="H8110">
        <v>1</v>
      </c>
      <c r="I8110">
        <v>55.93</v>
      </c>
      <c r="J8110" s="50">
        <v>55.93</v>
      </c>
      <c r="K8110" t="s">
        <v>1632</v>
      </c>
      <c r="M8110" t="s">
        <v>1619</v>
      </c>
      <c r="N8110">
        <v>29.52</v>
      </c>
      <c r="O8110" s="49">
        <v>44229</v>
      </c>
      <c r="P8110" s="50">
        <v>25.168500000000002</v>
      </c>
    </row>
    <row r="8111" spans="4:16" x14ac:dyDescent="0.2">
      <c r="D8111">
        <v>100004851</v>
      </c>
      <c r="E8111" s="49">
        <v>44957</v>
      </c>
      <c r="F8111" t="s">
        <v>5688</v>
      </c>
      <c r="G8111" t="s">
        <v>2071</v>
      </c>
      <c r="H8111">
        <v>8</v>
      </c>
      <c r="I8111">
        <v>60.43</v>
      </c>
      <c r="J8111" s="50">
        <v>483.44</v>
      </c>
      <c r="K8111" t="s">
        <v>1632</v>
      </c>
      <c r="M8111" t="s">
        <v>1629</v>
      </c>
      <c r="N8111">
        <v>31.89</v>
      </c>
      <c r="O8111" s="49">
        <v>44959</v>
      </c>
      <c r="P8111" s="50">
        <v>217.548</v>
      </c>
    </row>
    <row r="8112" spans="4:16" x14ac:dyDescent="0.2">
      <c r="D8112">
        <v>100004852</v>
      </c>
      <c r="E8112" s="49">
        <v>45480</v>
      </c>
      <c r="F8112" t="s">
        <v>6111</v>
      </c>
      <c r="G8112" t="s">
        <v>2465</v>
      </c>
      <c r="H8112">
        <v>6</v>
      </c>
      <c r="I8112">
        <v>74.14</v>
      </c>
      <c r="J8112" s="50">
        <v>444.84</v>
      </c>
      <c r="K8112" t="s">
        <v>1618</v>
      </c>
      <c r="M8112" t="s">
        <v>1627</v>
      </c>
      <c r="N8112">
        <v>39.130000000000003</v>
      </c>
      <c r="O8112" s="49">
        <v>45483</v>
      </c>
      <c r="P8112" s="50">
        <v>200.178</v>
      </c>
    </row>
    <row r="8113" spans="4:16" x14ac:dyDescent="0.2">
      <c r="D8113">
        <v>100004852</v>
      </c>
      <c r="E8113" s="49">
        <v>45011</v>
      </c>
      <c r="F8113" t="s">
        <v>6111</v>
      </c>
      <c r="G8113" t="s">
        <v>1775</v>
      </c>
      <c r="H8113">
        <v>9</v>
      </c>
      <c r="I8113">
        <v>96.31</v>
      </c>
      <c r="J8113" s="50">
        <v>866.79</v>
      </c>
      <c r="K8113" t="s">
        <v>1618</v>
      </c>
      <c r="M8113" t="s">
        <v>1629</v>
      </c>
      <c r="N8113">
        <v>50.83</v>
      </c>
      <c r="O8113" s="49">
        <v>45012</v>
      </c>
      <c r="P8113" s="50">
        <v>390.05549999999999</v>
      </c>
    </row>
    <row r="8114" spans="4:16" x14ac:dyDescent="0.2">
      <c r="D8114">
        <v>100004852</v>
      </c>
      <c r="E8114" s="49">
        <v>45105</v>
      </c>
      <c r="F8114" t="s">
        <v>6111</v>
      </c>
      <c r="G8114" t="s">
        <v>1690</v>
      </c>
      <c r="H8114">
        <v>2</v>
      </c>
      <c r="I8114">
        <v>47.45</v>
      </c>
      <c r="J8114" s="50">
        <v>94.9</v>
      </c>
      <c r="K8114" t="s">
        <v>1618</v>
      </c>
      <c r="M8114" t="s">
        <v>1624</v>
      </c>
      <c r="N8114">
        <v>25.04</v>
      </c>
      <c r="O8114" s="49">
        <v>45106</v>
      </c>
      <c r="P8114" s="50">
        <v>42.705000000000005</v>
      </c>
    </row>
    <row r="8115" spans="4:16" x14ac:dyDescent="0.2">
      <c r="D8115">
        <v>100004852</v>
      </c>
      <c r="E8115" s="49">
        <v>45006</v>
      </c>
      <c r="F8115" t="s">
        <v>6111</v>
      </c>
      <c r="G8115" t="s">
        <v>2063</v>
      </c>
      <c r="H8115">
        <v>9</v>
      </c>
      <c r="I8115">
        <v>110.74</v>
      </c>
      <c r="J8115" s="50">
        <v>996.66</v>
      </c>
      <c r="K8115" t="s">
        <v>1618</v>
      </c>
      <c r="M8115" t="s">
        <v>1621</v>
      </c>
      <c r="N8115">
        <v>58.45</v>
      </c>
      <c r="O8115" s="49">
        <v>45011</v>
      </c>
      <c r="P8115" s="50">
        <v>448.49700000000001</v>
      </c>
    </row>
    <row r="8116" spans="4:16" x14ac:dyDescent="0.2">
      <c r="D8116">
        <v>100004853</v>
      </c>
      <c r="E8116" s="49">
        <v>45542</v>
      </c>
      <c r="F8116" t="s">
        <v>6112</v>
      </c>
      <c r="G8116" t="s">
        <v>1801</v>
      </c>
      <c r="H8116">
        <v>5</v>
      </c>
      <c r="I8116">
        <v>27.76</v>
      </c>
      <c r="J8116" s="50">
        <v>138.80000000000001</v>
      </c>
      <c r="K8116" t="s">
        <v>1618</v>
      </c>
      <c r="M8116" t="s">
        <v>1629</v>
      </c>
      <c r="N8116">
        <v>14.65</v>
      </c>
      <c r="O8116" s="49">
        <v>45546</v>
      </c>
      <c r="P8116" s="50">
        <v>62.460000000000008</v>
      </c>
    </row>
    <row r="8117" spans="4:16" x14ac:dyDescent="0.2">
      <c r="D8117">
        <v>100004854</v>
      </c>
      <c r="E8117" s="49">
        <v>44564</v>
      </c>
      <c r="F8117" t="s">
        <v>6113</v>
      </c>
      <c r="G8117" t="s">
        <v>2269</v>
      </c>
      <c r="H8117">
        <v>5</v>
      </c>
      <c r="I8117">
        <v>24.21</v>
      </c>
      <c r="J8117" s="50">
        <v>121.05</v>
      </c>
      <c r="K8117" t="s">
        <v>1618</v>
      </c>
      <c r="M8117" t="s">
        <v>1624</v>
      </c>
      <c r="N8117">
        <v>12.78</v>
      </c>
      <c r="O8117" s="49">
        <v>44569</v>
      </c>
      <c r="P8117" s="50">
        <v>54.472499999999997</v>
      </c>
    </row>
    <row r="8118" spans="4:16" x14ac:dyDescent="0.2">
      <c r="D8118">
        <v>100004855</v>
      </c>
      <c r="E8118" s="49">
        <v>45136</v>
      </c>
      <c r="F8118" t="s">
        <v>6114</v>
      </c>
      <c r="G8118" t="s">
        <v>1928</v>
      </c>
      <c r="H8118">
        <v>8</v>
      </c>
      <c r="I8118">
        <v>68.8</v>
      </c>
      <c r="J8118" s="50">
        <v>550.4</v>
      </c>
      <c r="K8118" t="s">
        <v>1618</v>
      </c>
      <c r="L8118" t="s">
        <v>4435</v>
      </c>
      <c r="M8118" t="s">
        <v>1619</v>
      </c>
      <c r="N8118">
        <v>36.31</v>
      </c>
      <c r="O8118" s="49">
        <v>45140</v>
      </c>
      <c r="P8118" s="50">
        <v>247.68</v>
      </c>
    </row>
    <row r="8119" spans="4:16" x14ac:dyDescent="0.2">
      <c r="D8119">
        <v>100004855</v>
      </c>
      <c r="E8119" s="49">
        <v>45341</v>
      </c>
      <c r="F8119" t="s">
        <v>6114</v>
      </c>
      <c r="G8119" t="s">
        <v>1928</v>
      </c>
      <c r="H8119">
        <v>7</v>
      </c>
      <c r="I8119">
        <v>13.93</v>
      </c>
      <c r="J8119" s="50">
        <v>97.509999999999991</v>
      </c>
      <c r="K8119" t="s">
        <v>1618</v>
      </c>
      <c r="L8119" t="s">
        <v>4435</v>
      </c>
      <c r="M8119" t="s">
        <v>1619</v>
      </c>
      <c r="N8119">
        <v>7.35</v>
      </c>
      <c r="O8119" s="49">
        <v>45342</v>
      </c>
      <c r="P8119" s="50">
        <v>43.8795</v>
      </c>
    </row>
    <row r="8120" spans="4:16" x14ac:dyDescent="0.2">
      <c r="D8120">
        <v>100004855</v>
      </c>
      <c r="E8120" s="49">
        <v>44507</v>
      </c>
      <c r="F8120" t="s">
        <v>6114</v>
      </c>
      <c r="G8120" t="s">
        <v>1758</v>
      </c>
      <c r="H8120">
        <v>5</v>
      </c>
      <c r="I8120">
        <v>45.26</v>
      </c>
      <c r="J8120" s="50">
        <v>226.3</v>
      </c>
      <c r="K8120" t="s">
        <v>1618</v>
      </c>
      <c r="L8120" t="s">
        <v>4435</v>
      </c>
      <c r="M8120" t="s">
        <v>1624</v>
      </c>
      <c r="N8120">
        <v>23.89</v>
      </c>
      <c r="O8120" s="49">
        <v>44509</v>
      </c>
      <c r="P8120" s="50">
        <v>101.83500000000001</v>
      </c>
    </row>
    <row r="8121" spans="4:16" x14ac:dyDescent="0.2">
      <c r="D8121">
        <v>100004856</v>
      </c>
      <c r="E8121" s="49">
        <v>44387</v>
      </c>
      <c r="F8121" t="s">
        <v>6115</v>
      </c>
      <c r="G8121" t="s">
        <v>1953</v>
      </c>
      <c r="H8121">
        <v>1</v>
      </c>
      <c r="I8121">
        <v>46.88</v>
      </c>
      <c r="J8121" s="50">
        <v>46.88</v>
      </c>
      <c r="K8121" t="s">
        <v>1618</v>
      </c>
      <c r="M8121" t="s">
        <v>1629</v>
      </c>
      <c r="N8121">
        <v>24.74</v>
      </c>
      <c r="O8121" s="49">
        <v>44389</v>
      </c>
      <c r="P8121" s="50">
        <v>21.096</v>
      </c>
    </row>
    <row r="8122" spans="4:16" x14ac:dyDescent="0.2">
      <c r="D8122">
        <v>100004856</v>
      </c>
      <c r="E8122" s="49">
        <v>45162</v>
      </c>
      <c r="F8122" t="s">
        <v>6115</v>
      </c>
      <c r="G8122" t="s">
        <v>2278</v>
      </c>
      <c r="H8122">
        <v>6</v>
      </c>
      <c r="I8122">
        <v>32.299999999999997</v>
      </c>
      <c r="J8122" s="50">
        <v>193.8</v>
      </c>
      <c r="K8122" t="s">
        <v>1618</v>
      </c>
      <c r="M8122" t="s">
        <v>1619</v>
      </c>
      <c r="N8122">
        <v>17.05</v>
      </c>
      <c r="O8122" s="49">
        <v>45163</v>
      </c>
      <c r="P8122" s="50">
        <v>87.210000000000008</v>
      </c>
    </row>
    <row r="8123" spans="4:16" x14ac:dyDescent="0.2">
      <c r="D8123">
        <v>100004856</v>
      </c>
      <c r="E8123" s="49">
        <v>44291</v>
      </c>
      <c r="F8123" t="s">
        <v>6115</v>
      </c>
      <c r="G8123" t="s">
        <v>2194</v>
      </c>
      <c r="H8123">
        <v>7</v>
      </c>
      <c r="I8123">
        <v>58.89</v>
      </c>
      <c r="J8123" s="50">
        <v>412.23</v>
      </c>
      <c r="K8123" t="s">
        <v>1618</v>
      </c>
      <c r="M8123" t="s">
        <v>1624</v>
      </c>
      <c r="N8123">
        <v>31.08</v>
      </c>
      <c r="O8123" s="49">
        <v>44294</v>
      </c>
      <c r="P8123" s="50">
        <v>185.5035</v>
      </c>
    </row>
    <row r="8124" spans="4:16" x14ac:dyDescent="0.2">
      <c r="D8124">
        <v>100004857</v>
      </c>
      <c r="E8124" s="49">
        <v>44537</v>
      </c>
      <c r="F8124" t="s">
        <v>6116</v>
      </c>
      <c r="G8124" t="s">
        <v>2134</v>
      </c>
      <c r="H8124">
        <v>5</v>
      </c>
      <c r="I8124">
        <v>106.13</v>
      </c>
      <c r="J8124" s="50">
        <v>530.65</v>
      </c>
      <c r="K8124" t="s">
        <v>1618</v>
      </c>
      <c r="L8124" t="s">
        <v>5459</v>
      </c>
      <c r="M8124" t="s">
        <v>1627</v>
      </c>
      <c r="N8124">
        <v>56.01</v>
      </c>
      <c r="O8124" s="49">
        <v>44541</v>
      </c>
      <c r="P8124" s="50">
        <v>238.79249999999999</v>
      </c>
    </row>
    <row r="8125" spans="4:16" x14ac:dyDescent="0.2">
      <c r="D8125">
        <v>100004857</v>
      </c>
      <c r="E8125" s="49">
        <v>45224</v>
      </c>
      <c r="F8125" t="s">
        <v>6116</v>
      </c>
      <c r="G8125" t="s">
        <v>1976</v>
      </c>
      <c r="H8125">
        <v>6</v>
      </c>
      <c r="I8125">
        <v>90.53</v>
      </c>
      <c r="J8125" s="50">
        <v>543.18000000000006</v>
      </c>
      <c r="K8125" t="s">
        <v>1618</v>
      </c>
      <c r="L8125" t="s">
        <v>5459</v>
      </c>
      <c r="M8125" t="s">
        <v>1627</v>
      </c>
      <c r="N8125">
        <v>47.78</v>
      </c>
      <c r="O8125" s="49">
        <v>45226</v>
      </c>
      <c r="P8125" s="50">
        <v>244.43100000000004</v>
      </c>
    </row>
    <row r="8126" spans="4:16" x14ac:dyDescent="0.2">
      <c r="D8126">
        <v>100004857</v>
      </c>
      <c r="E8126" s="49">
        <v>45019</v>
      </c>
      <c r="F8126" t="s">
        <v>6116</v>
      </c>
      <c r="G8126" t="s">
        <v>2048</v>
      </c>
      <c r="H8126">
        <v>2</v>
      </c>
      <c r="I8126">
        <v>100.86</v>
      </c>
      <c r="J8126" s="50">
        <v>201.72</v>
      </c>
      <c r="K8126" t="s">
        <v>1618</v>
      </c>
      <c r="L8126" t="s">
        <v>5459</v>
      </c>
      <c r="M8126" t="s">
        <v>1627</v>
      </c>
      <c r="N8126">
        <v>53.23</v>
      </c>
      <c r="O8126" s="49">
        <v>45021</v>
      </c>
      <c r="P8126" s="50">
        <v>90.774000000000001</v>
      </c>
    </row>
    <row r="8127" spans="4:16" x14ac:dyDescent="0.2">
      <c r="D8127">
        <v>100004857</v>
      </c>
      <c r="E8127" s="49">
        <v>44248</v>
      </c>
      <c r="F8127" t="s">
        <v>6116</v>
      </c>
      <c r="G8127" t="s">
        <v>2182</v>
      </c>
      <c r="H8127">
        <v>5</v>
      </c>
      <c r="I8127">
        <v>109.85</v>
      </c>
      <c r="J8127" s="50">
        <v>549.25</v>
      </c>
      <c r="K8127" t="s">
        <v>1618</v>
      </c>
      <c r="L8127" t="s">
        <v>5459</v>
      </c>
      <c r="M8127" t="s">
        <v>1629</v>
      </c>
      <c r="N8127">
        <v>57.98</v>
      </c>
      <c r="O8127" s="49">
        <v>44253</v>
      </c>
      <c r="P8127" s="50">
        <v>247.16249999999999</v>
      </c>
    </row>
    <row r="8128" spans="4:16" x14ac:dyDescent="0.2">
      <c r="D8128">
        <v>100004857</v>
      </c>
      <c r="E8128" s="49">
        <v>45263</v>
      </c>
      <c r="F8128" t="s">
        <v>6116</v>
      </c>
      <c r="G8128" t="s">
        <v>1701</v>
      </c>
      <c r="H8128">
        <v>2</v>
      </c>
      <c r="I8128">
        <v>53.92</v>
      </c>
      <c r="J8128" s="50">
        <v>107.84</v>
      </c>
      <c r="K8128" t="s">
        <v>1618</v>
      </c>
      <c r="L8128" t="s">
        <v>5459</v>
      </c>
      <c r="M8128" t="s">
        <v>1627</v>
      </c>
      <c r="N8128">
        <v>28.46</v>
      </c>
      <c r="O8128" s="49">
        <v>45265</v>
      </c>
      <c r="P8128" s="50">
        <v>48.528000000000006</v>
      </c>
    </row>
    <row r="8129" spans="4:16" x14ac:dyDescent="0.2">
      <c r="D8129">
        <v>100004860</v>
      </c>
      <c r="E8129" s="49">
        <v>44361</v>
      </c>
      <c r="F8129" t="s">
        <v>6117</v>
      </c>
      <c r="G8129" t="s">
        <v>2180</v>
      </c>
      <c r="H8129">
        <v>2</v>
      </c>
      <c r="I8129">
        <v>56.46</v>
      </c>
      <c r="J8129" s="50">
        <v>112.92</v>
      </c>
      <c r="K8129" t="s">
        <v>1618</v>
      </c>
      <c r="M8129" t="s">
        <v>1627</v>
      </c>
      <c r="N8129">
        <v>29.8</v>
      </c>
      <c r="O8129" s="49">
        <v>44366</v>
      </c>
      <c r="P8129" s="50">
        <v>50.814</v>
      </c>
    </row>
    <row r="8130" spans="4:16" x14ac:dyDescent="0.2">
      <c r="D8130">
        <v>100004862</v>
      </c>
      <c r="E8130" s="49">
        <v>44282</v>
      </c>
      <c r="F8130" t="s">
        <v>6118</v>
      </c>
      <c r="G8130" t="s">
        <v>2378</v>
      </c>
      <c r="H8130">
        <v>10</v>
      </c>
      <c r="I8130">
        <v>31.04</v>
      </c>
      <c r="J8130" s="50">
        <v>310.39999999999998</v>
      </c>
      <c r="K8130" t="s">
        <v>1618</v>
      </c>
      <c r="M8130" t="s">
        <v>1621</v>
      </c>
      <c r="N8130">
        <v>16.38</v>
      </c>
      <c r="O8130" s="49">
        <v>44287</v>
      </c>
      <c r="P8130" s="50">
        <v>139.68</v>
      </c>
    </row>
    <row r="8131" spans="4:16" x14ac:dyDescent="0.2">
      <c r="D8131">
        <v>100004863</v>
      </c>
      <c r="E8131" s="49">
        <v>44617</v>
      </c>
      <c r="F8131" t="s">
        <v>6119</v>
      </c>
      <c r="G8131" t="s">
        <v>1663</v>
      </c>
      <c r="H8131">
        <v>6</v>
      </c>
      <c r="I8131">
        <v>52.1</v>
      </c>
      <c r="J8131" s="50">
        <v>312.60000000000002</v>
      </c>
      <c r="K8131" t="s">
        <v>1632</v>
      </c>
      <c r="M8131" t="s">
        <v>1619</v>
      </c>
      <c r="N8131">
        <v>27.5</v>
      </c>
      <c r="O8131" s="49">
        <v>44620</v>
      </c>
      <c r="P8131" s="50">
        <v>140.67000000000002</v>
      </c>
    </row>
    <row r="8132" spans="4:16" x14ac:dyDescent="0.2">
      <c r="D8132">
        <v>100004863</v>
      </c>
      <c r="E8132" s="49">
        <v>44796</v>
      </c>
      <c r="F8132" t="s">
        <v>6119</v>
      </c>
      <c r="G8132" t="s">
        <v>1658</v>
      </c>
      <c r="H8132">
        <v>10</v>
      </c>
      <c r="I8132">
        <v>81.03</v>
      </c>
      <c r="J8132" s="50">
        <v>810.3</v>
      </c>
      <c r="K8132" t="s">
        <v>1632</v>
      </c>
      <c r="M8132" t="s">
        <v>1624</v>
      </c>
      <c r="N8132">
        <v>42.77</v>
      </c>
      <c r="O8132" s="49">
        <v>44800</v>
      </c>
      <c r="P8132" s="50">
        <v>364.63499999999999</v>
      </c>
    </row>
    <row r="8133" spans="4:16" x14ac:dyDescent="0.2">
      <c r="D8133">
        <v>100004863</v>
      </c>
      <c r="E8133" s="49">
        <v>45269</v>
      </c>
      <c r="F8133" t="s">
        <v>6119</v>
      </c>
      <c r="G8133" t="s">
        <v>2145</v>
      </c>
      <c r="H8133">
        <v>2</v>
      </c>
      <c r="I8133">
        <v>66.92</v>
      </c>
      <c r="J8133" s="50">
        <v>133.84</v>
      </c>
      <c r="K8133" t="s">
        <v>1632</v>
      </c>
      <c r="M8133" t="s">
        <v>1624</v>
      </c>
      <c r="N8133">
        <v>35.32</v>
      </c>
      <c r="O8133" s="49">
        <v>45272</v>
      </c>
      <c r="P8133" s="50">
        <v>60.228000000000002</v>
      </c>
    </row>
    <row r="8134" spans="4:16" x14ac:dyDescent="0.2">
      <c r="D8134">
        <v>100004863</v>
      </c>
      <c r="E8134" s="49">
        <v>44952</v>
      </c>
      <c r="F8134" t="s">
        <v>6119</v>
      </c>
      <c r="G8134" t="s">
        <v>2633</v>
      </c>
      <c r="H8134">
        <v>4</v>
      </c>
      <c r="I8134">
        <v>103.56</v>
      </c>
      <c r="J8134" s="50">
        <v>414.24</v>
      </c>
      <c r="K8134" t="s">
        <v>1632</v>
      </c>
      <c r="M8134" t="s">
        <v>1627</v>
      </c>
      <c r="N8134">
        <v>54.66</v>
      </c>
      <c r="O8134" s="49">
        <v>44957</v>
      </c>
      <c r="P8134" s="50">
        <v>186.40800000000002</v>
      </c>
    </row>
    <row r="8135" spans="4:16" x14ac:dyDescent="0.2">
      <c r="D8135">
        <v>100004863</v>
      </c>
      <c r="E8135" s="49">
        <v>45346</v>
      </c>
      <c r="F8135" t="s">
        <v>6119</v>
      </c>
      <c r="G8135" t="s">
        <v>1815</v>
      </c>
      <c r="H8135">
        <v>5</v>
      </c>
      <c r="I8135">
        <v>73.88</v>
      </c>
      <c r="J8135" s="50">
        <v>369.4</v>
      </c>
      <c r="K8135" t="s">
        <v>1632</v>
      </c>
      <c r="M8135" t="s">
        <v>1621</v>
      </c>
      <c r="N8135">
        <v>38.99</v>
      </c>
      <c r="O8135" s="49">
        <v>45351</v>
      </c>
      <c r="P8135" s="50">
        <v>166.23</v>
      </c>
    </row>
    <row r="8136" spans="4:16" x14ac:dyDescent="0.2">
      <c r="D8136">
        <v>100004863</v>
      </c>
      <c r="E8136" s="49">
        <v>45248</v>
      </c>
      <c r="F8136" t="s">
        <v>6119</v>
      </c>
      <c r="G8136" t="s">
        <v>1675</v>
      </c>
      <c r="H8136">
        <v>2</v>
      </c>
      <c r="I8136">
        <v>114.01</v>
      </c>
      <c r="J8136" s="50">
        <v>228.02</v>
      </c>
      <c r="K8136" t="s">
        <v>1632</v>
      </c>
      <c r="M8136" t="s">
        <v>1621</v>
      </c>
      <c r="N8136">
        <v>60.17</v>
      </c>
      <c r="O8136" s="49">
        <v>45253</v>
      </c>
      <c r="P8136" s="50">
        <v>102.60900000000001</v>
      </c>
    </row>
    <row r="8137" spans="4:16" x14ac:dyDescent="0.2">
      <c r="D8137">
        <v>100004863</v>
      </c>
      <c r="E8137" s="49">
        <v>44277</v>
      </c>
      <c r="F8137" t="s">
        <v>6119</v>
      </c>
      <c r="G8137" t="s">
        <v>1681</v>
      </c>
      <c r="H8137">
        <v>9</v>
      </c>
      <c r="I8137">
        <v>45.43</v>
      </c>
      <c r="J8137" s="50">
        <v>408.87</v>
      </c>
      <c r="K8137" t="s">
        <v>1632</v>
      </c>
      <c r="M8137" t="s">
        <v>1619</v>
      </c>
      <c r="N8137">
        <v>23.98</v>
      </c>
      <c r="O8137" s="49">
        <v>44281</v>
      </c>
      <c r="P8137" s="50">
        <v>183.9915</v>
      </c>
    </row>
    <row r="8138" spans="4:16" x14ac:dyDescent="0.2">
      <c r="D8138">
        <v>100004865</v>
      </c>
      <c r="E8138" s="49">
        <v>45134</v>
      </c>
      <c r="F8138" t="s">
        <v>1813</v>
      </c>
      <c r="G8138" t="s">
        <v>2207</v>
      </c>
      <c r="H8138">
        <v>10</v>
      </c>
      <c r="I8138">
        <v>115.03</v>
      </c>
      <c r="J8138" s="50">
        <v>1150.3</v>
      </c>
      <c r="K8138" t="s">
        <v>1618</v>
      </c>
      <c r="M8138" t="s">
        <v>1621</v>
      </c>
      <c r="N8138">
        <v>60.71</v>
      </c>
      <c r="O8138" s="49">
        <v>45138</v>
      </c>
      <c r="P8138" s="50">
        <v>517.63499999999999</v>
      </c>
    </row>
    <row r="8139" spans="4:16" x14ac:dyDescent="0.2">
      <c r="D8139">
        <v>100004866</v>
      </c>
      <c r="E8139" s="49">
        <v>44611</v>
      </c>
      <c r="F8139" t="s">
        <v>6120</v>
      </c>
      <c r="G8139" t="s">
        <v>1767</v>
      </c>
      <c r="H8139">
        <v>1</v>
      </c>
      <c r="I8139">
        <v>98.25</v>
      </c>
      <c r="J8139" s="50">
        <v>98.25</v>
      </c>
      <c r="K8139" t="s">
        <v>1618</v>
      </c>
      <c r="M8139" t="s">
        <v>1624</v>
      </c>
      <c r="N8139">
        <v>51.85</v>
      </c>
      <c r="O8139" s="49">
        <v>44614</v>
      </c>
      <c r="P8139" s="50">
        <v>44.212499999999999</v>
      </c>
    </row>
    <row r="8140" spans="4:16" x14ac:dyDescent="0.2">
      <c r="D8140">
        <v>100004866</v>
      </c>
      <c r="E8140" s="49">
        <v>45102</v>
      </c>
      <c r="F8140" t="s">
        <v>6120</v>
      </c>
      <c r="G8140" t="s">
        <v>2132</v>
      </c>
      <c r="H8140">
        <v>3</v>
      </c>
      <c r="I8140">
        <v>93.6</v>
      </c>
      <c r="J8140" s="50">
        <v>280.8</v>
      </c>
      <c r="K8140" t="s">
        <v>1618</v>
      </c>
      <c r="M8140" t="s">
        <v>1629</v>
      </c>
      <c r="N8140">
        <v>49.4</v>
      </c>
      <c r="O8140" s="49">
        <v>45103</v>
      </c>
      <c r="P8140" s="50">
        <v>126.36000000000001</v>
      </c>
    </row>
    <row r="8141" spans="4:16" x14ac:dyDescent="0.2">
      <c r="D8141">
        <v>100004868</v>
      </c>
      <c r="E8141" s="49">
        <v>44305</v>
      </c>
      <c r="F8141" t="s">
        <v>6121</v>
      </c>
      <c r="G8141" t="s">
        <v>2581</v>
      </c>
      <c r="H8141">
        <v>4</v>
      </c>
      <c r="I8141">
        <v>90.75</v>
      </c>
      <c r="J8141" s="50">
        <v>363</v>
      </c>
      <c r="K8141" t="s">
        <v>1618</v>
      </c>
      <c r="M8141" t="s">
        <v>1619</v>
      </c>
      <c r="N8141">
        <v>47.9</v>
      </c>
      <c r="O8141" s="49">
        <v>44310</v>
      </c>
      <c r="P8141" s="50">
        <v>163.35</v>
      </c>
    </row>
    <row r="8142" spans="4:16" x14ac:dyDescent="0.2">
      <c r="D8142">
        <v>100004868</v>
      </c>
      <c r="E8142" s="49">
        <v>45166</v>
      </c>
      <c r="F8142" t="s">
        <v>6121</v>
      </c>
      <c r="G8142" t="s">
        <v>1723</v>
      </c>
      <c r="H8142">
        <v>10</v>
      </c>
      <c r="I8142">
        <v>13.26</v>
      </c>
      <c r="J8142" s="50">
        <v>132.6</v>
      </c>
      <c r="K8142" t="s">
        <v>1618</v>
      </c>
      <c r="M8142" t="s">
        <v>1619</v>
      </c>
      <c r="N8142">
        <v>7</v>
      </c>
      <c r="O8142" s="49">
        <v>45171</v>
      </c>
      <c r="P8142" s="50">
        <v>59.67</v>
      </c>
    </row>
    <row r="8143" spans="4:16" x14ac:dyDescent="0.2">
      <c r="D8143">
        <v>100004868</v>
      </c>
      <c r="E8143" s="49">
        <v>44971</v>
      </c>
      <c r="F8143" t="s">
        <v>6121</v>
      </c>
      <c r="G8143" t="s">
        <v>2278</v>
      </c>
      <c r="H8143">
        <v>3</v>
      </c>
      <c r="I8143">
        <v>56.51</v>
      </c>
      <c r="J8143" s="50">
        <v>169.53</v>
      </c>
      <c r="K8143" t="s">
        <v>1618</v>
      </c>
      <c r="M8143" t="s">
        <v>1627</v>
      </c>
      <c r="N8143">
        <v>29.82</v>
      </c>
      <c r="O8143" s="49">
        <v>44974</v>
      </c>
      <c r="P8143" s="50">
        <v>76.288499999999999</v>
      </c>
    </row>
    <row r="8144" spans="4:16" x14ac:dyDescent="0.2">
      <c r="D8144">
        <v>100004868</v>
      </c>
      <c r="E8144" s="49">
        <v>44879</v>
      </c>
      <c r="F8144" t="s">
        <v>6121</v>
      </c>
      <c r="G8144" t="s">
        <v>2305</v>
      </c>
      <c r="H8144">
        <v>3</v>
      </c>
      <c r="I8144">
        <v>15.89</v>
      </c>
      <c r="J8144" s="50">
        <v>47.67</v>
      </c>
      <c r="K8144" t="s">
        <v>1618</v>
      </c>
      <c r="M8144" t="s">
        <v>1619</v>
      </c>
      <c r="N8144">
        <v>8.39</v>
      </c>
      <c r="O8144" s="49">
        <v>44883</v>
      </c>
      <c r="P8144" s="50">
        <v>21.451500000000003</v>
      </c>
    </row>
    <row r="8145" spans="4:16" x14ac:dyDescent="0.2">
      <c r="D8145">
        <v>100004868</v>
      </c>
      <c r="E8145" s="49">
        <v>44609</v>
      </c>
      <c r="F8145" t="s">
        <v>6121</v>
      </c>
      <c r="G8145" t="s">
        <v>2099</v>
      </c>
      <c r="H8145">
        <v>3</v>
      </c>
      <c r="I8145">
        <v>99.4</v>
      </c>
      <c r="J8145" s="50">
        <v>298.2</v>
      </c>
      <c r="K8145" t="s">
        <v>1618</v>
      </c>
      <c r="M8145" t="s">
        <v>1621</v>
      </c>
      <c r="N8145">
        <v>52.46</v>
      </c>
      <c r="O8145" s="49">
        <v>44613</v>
      </c>
      <c r="P8145" s="50">
        <v>134.19</v>
      </c>
    </row>
    <row r="8146" spans="4:16" x14ac:dyDescent="0.2">
      <c r="D8146">
        <v>100004868</v>
      </c>
      <c r="E8146" s="49">
        <v>44241</v>
      </c>
      <c r="F8146" t="s">
        <v>6121</v>
      </c>
      <c r="G8146" t="s">
        <v>1742</v>
      </c>
      <c r="H8146">
        <v>8</v>
      </c>
      <c r="I8146">
        <v>71.47</v>
      </c>
      <c r="J8146" s="50">
        <v>571.76</v>
      </c>
      <c r="K8146" t="s">
        <v>1618</v>
      </c>
      <c r="M8146" t="s">
        <v>1627</v>
      </c>
      <c r="N8146">
        <v>37.72</v>
      </c>
      <c r="O8146" s="49">
        <v>44246</v>
      </c>
      <c r="P8146" s="50">
        <v>257.29200000000003</v>
      </c>
    </row>
    <row r="8147" spans="4:16" x14ac:dyDescent="0.2">
      <c r="D8147">
        <v>100004869</v>
      </c>
      <c r="E8147" s="49">
        <v>44996</v>
      </c>
      <c r="F8147" t="s">
        <v>6122</v>
      </c>
      <c r="G8147" t="s">
        <v>2078</v>
      </c>
      <c r="H8147">
        <v>8</v>
      </c>
      <c r="I8147">
        <v>65.44</v>
      </c>
      <c r="J8147" s="50">
        <v>523.52</v>
      </c>
      <c r="K8147" t="s">
        <v>1618</v>
      </c>
      <c r="L8147" t="s">
        <v>6123</v>
      </c>
      <c r="M8147" t="s">
        <v>1624</v>
      </c>
      <c r="N8147">
        <v>34.54</v>
      </c>
      <c r="O8147" s="49">
        <v>44997</v>
      </c>
      <c r="P8147" s="50">
        <v>235.584</v>
      </c>
    </row>
    <row r="8148" spans="4:16" x14ac:dyDescent="0.2">
      <c r="D8148">
        <v>100004869</v>
      </c>
      <c r="E8148" s="49">
        <v>45596</v>
      </c>
      <c r="F8148" t="s">
        <v>6122</v>
      </c>
      <c r="G8148" t="s">
        <v>1658</v>
      </c>
      <c r="H8148">
        <v>1</v>
      </c>
      <c r="I8148">
        <v>88.56</v>
      </c>
      <c r="J8148" s="50">
        <v>88.56</v>
      </c>
      <c r="K8148" t="s">
        <v>1618</v>
      </c>
      <c r="L8148" t="s">
        <v>6123</v>
      </c>
      <c r="M8148" t="s">
        <v>1629</v>
      </c>
      <c r="N8148">
        <v>46.74</v>
      </c>
      <c r="O8148" s="49">
        <v>45601</v>
      </c>
      <c r="P8148" s="50">
        <v>39.852000000000004</v>
      </c>
    </row>
    <row r="8149" spans="4:16" x14ac:dyDescent="0.2">
      <c r="D8149">
        <v>100004870</v>
      </c>
      <c r="E8149" s="49">
        <v>44378</v>
      </c>
      <c r="F8149" t="s">
        <v>6124</v>
      </c>
      <c r="G8149" t="s">
        <v>1731</v>
      </c>
      <c r="H8149">
        <v>8</v>
      </c>
      <c r="I8149">
        <v>29.96</v>
      </c>
      <c r="J8149" s="50">
        <v>239.68</v>
      </c>
      <c r="K8149" t="s">
        <v>1618</v>
      </c>
      <c r="M8149" t="s">
        <v>1627</v>
      </c>
      <c r="N8149">
        <v>15.81</v>
      </c>
      <c r="O8149" s="49">
        <v>44382</v>
      </c>
      <c r="P8149" s="50">
        <v>107.85600000000001</v>
      </c>
    </row>
    <row r="8150" spans="4:16" x14ac:dyDescent="0.2">
      <c r="D8150">
        <v>100004870</v>
      </c>
      <c r="E8150" s="49">
        <v>44871</v>
      </c>
      <c r="F8150" t="s">
        <v>6124</v>
      </c>
      <c r="G8150" t="s">
        <v>1787</v>
      </c>
      <c r="H8150">
        <v>8</v>
      </c>
      <c r="I8150">
        <v>33.630000000000003</v>
      </c>
      <c r="J8150" s="50">
        <v>269.04000000000002</v>
      </c>
      <c r="K8150" t="s">
        <v>1618</v>
      </c>
      <c r="M8150" t="s">
        <v>1619</v>
      </c>
      <c r="N8150">
        <v>17.75</v>
      </c>
      <c r="O8150" s="49">
        <v>44875</v>
      </c>
      <c r="P8150" s="50">
        <v>121.06800000000001</v>
      </c>
    </row>
    <row r="8151" spans="4:16" x14ac:dyDescent="0.2">
      <c r="D8151">
        <v>100004871</v>
      </c>
      <c r="E8151" s="49">
        <v>45149</v>
      </c>
      <c r="F8151" t="s">
        <v>6125</v>
      </c>
      <c r="G8151" t="s">
        <v>1928</v>
      </c>
      <c r="H8151">
        <v>9</v>
      </c>
      <c r="I8151">
        <v>54.03</v>
      </c>
      <c r="J8151" s="50">
        <v>486.27</v>
      </c>
      <c r="K8151" t="s">
        <v>1618</v>
      </c>
      <c r="M8151" t="s">
        <v>1619</v>
      </c>
      <c r="N8151">
        <v>28.52</v>
      </c>
      <c r="O8151" s="49">
        <v>45150</v>
      </c>
      <c r="P8151" s="50">
        <v>218.82149999999999</v>
      </c>
    </row>
    <row r="8152" spans="4:16" x14ac:dyDescent="0.2">
      <c r="D8152">
        <v>100004872</v>
      </c>
      <c r="E8152" s="49">
        <v>44565</v>
      </c>
      <c r="F8152" t="s">
        <v>6126</v>
      </c>
      <c r="G8152" t="s">
        <v>1651</v>
      </c>
      <c r="H8152">
        <v>7</v>
      </c>
      <c r="I8152">
        <v>31.91</v>
      </c>
      <c r="J8152" s="50">
        <v>223.37</v>
      </c>
      <c r="K8152" t="s">
        <v>1632</v>
      </c>
      <c r="M8152" t="s">
        <v>1619</v>
      </c>
      <c r="N8152">
        <v>16.84</v>
      </c>
      <c r="O8152" s="49">
        <v>44569</v>
      </c>
      <c r="P8152" s="50">
        <v>100.51650000000001</v>
      </c>
    </row>
    <row r="8153" spans="4:16" x14ac:dyDescent="0.2">
      <c r="D8153">
        <v>100004873</v>
      </c>
      <c r="E8153" s="49">
        <v>44370</v>
      </c>
      <c r="F8153" t="s">
        <v>6127</v>
      </c>
      <c r="G8153" t="s">
        <v>2585</v>
      </c>
      <c r="H8153">
        <v>2</v>
      </c>
      <c r="I8153">
        <v>59.68</v>
      </c>
      <c r="J8153" s="50">
        <v>119.36</v>
      </c>
      <c r="K8153" t="s">
        <v>1618</v>
      </c>
      <c r="L8153" t="s">
        <v>6128</v>
      </c>
      <c r="M8153" t="s">
        <v>1619</v>
      </c>
      <c r="N8153">
        <v>31.5</v>
      </c>
      <c r="O8153" s="49">
        <v>44375</v>
      </c>
      <c r="P8153" s="50">
        <v>53.712000000000003</v>
      </c>
    </row>
    <row r="8154" spans="4:16" x14ac:dyDescent="0.2">
      <c r="D8154">
        <v>100004873</v>
      </c>
      <c r="E8154" s="49">
        <v>44300</v>
      </c>
      <c r="F8154" t="s">
        <v>6127</v>
      </c>
      <c r="G8154" t="s">
        <v>2023</v>
      </c>
      <c r="H8154">
        <v>7</v>
      </c>
      <c r="I8154">
        <v>32.96</v>
      </c>
      <c r="J8154" s="50">
        <v>230.72</v>
      </c>
      <c r="K8154" t="s">
        <v>1618</v>
      </c>
      <c r="L8154" t="s">
        <v>6128</v>
      </c>
      <c r="M8154" t="s">
        <v>1621</v>
      </c>
      <c r="N8154">
        <v>17.399999999999999</v>
      </c>
      <c r="O8154" s="49">
        <v>44302</v>
      </c>
      <c r="P8154" s="50">
        <v>103.824</v>
      </c>
    </row>
    <row r="8155" spans="4:16" x14ac:dyDescent="0.2">
      <c r="D8155">
        <v>100004875</v>
      </c>
      <c r="E8155" s="49">
        <v>45032</v>
      </c>
      <c r="F8155" t="s">
        <v>4441</v>
      </c>
      <c r="G8155" t="s">
        <v>1967</v>
      </c>
      <c r="H8155">
        <v>7</v>
      </c>
      <c r="I8155">
        <v>72.41</v>
      </c>
      <c r="J8155" s="50">
        <v>506.87</v>
      </c>
      <c r="K8155" t="s">
        <v>1618</v>
      </c>
      <c r="M8155" t="s">
        <v>1621</v>
      </c>
      <c r="N8155">
        <v>38.22</v>
      </c>
      <c r="O8155" s="49">
        <v>45034</v>
      </c>
      <c r="P8155" s="50">
        <v>228.0915</v>
      </c>
    </row>
    <row r="8156" spans="4:16" x14ac:dyDescent="0.2">
      <c r="D8156">
        <v>100004877</v>
      </c>
      <c r="E8156" s="49">
        <v>45113</v>
      </c>
      <c r="F8156" t="s">
        <v>6129</v>
      </c>
      <c r="G8156" t="s">
        <v>1953</v>
      </c>
      <c r="H8156">
        <v>3</v>
      </c>
      <c r="I8156">
        <v>26.16</v>
      </c>
      <c r="J8156" s="50">
        <v>78.48</v>
      </c>
      <c r="K8156" t="s">
        <v>1632</v>
      </c>
      <c r="M8156" t="s">
        <v>1624</v>
      </c>
      <c r="N8156">
        <v>13.81</v>
      </c>
      <c r="O8156" s="49">
        <v>45117</v>
      </c>
      <c r="P8156" s="50">
        <v>35.316000000000003</v>
      </c>
    </row>
    <row r="8157" spans="4:16" x14ac:dyDescent="0.2">
      <c r="D8157">
        <v>100004878</v>
      </c>
      <c r="E8157" s="49">
        <v>45023</v>
      </c>
      <c r="F8157" t="s">
        <v>6130</v>
      </c>
      <c r="G8157" t="s">
        <v>1794</v>
      </c>
      <c r="H8157">
        <v>7</v>
      </c>
      <c r="I8157">
        <v>61.05</v>
      </c>
      <c r="J8157" s="50">
        <v>427.35</v>
      </c>
      <c r="K8157" t="s">
        <v>1618</v>
      </c>
      <c r="L8157" t="s">
        <v>5787</v>
      </c>
      <c r="M8157" t="s">
        <v>1619</v>
      </c>
      <c r="N8157">
        <v>32.22</v>
      </c>
      <c r="O8157" s="49">
        <v>45025</v>
      </c>
      <c r="P8157" s="50">
        <v>192.3075</v>
      </c>
    </row>
    <row r="8158" spans="4:16" x14ac:dyDescent="0.2">
      <c r="D8158">
        <v>100004879</v>
      </c>
      <c r="E8158" s="49">
        <v>45358</v>
      </c>
      <c r="F8158" t="s">
        <v>4518</v>
      </c>
      <c r="G8158" t="s">
        <v>1721</v>
      </c>
      <c r="H8158">
        <v>7</v>
      </c>
      <c r="I8158">
        <v>112.95</v>
      </c>
      <c r="J8158" s="50">
        <v>790.65</v>
      </c>
      <c r="K8158" t="s">
        <v>1618</v>
      </c>
      <c r="L8158" t="s">
        <v>3691</v>
      </c>
      <c r="M8158" t="s">
        <v>1624</v>
      </c>
      <c r="N8158">
        <v>59.61</v>
      </c>
      <c r="O8158" s="49">
        <v>45360</v>
      </c>
      <c r="P8158" s="50">
        <v>355.79250000000002</v>
      </c>
    </row>
    <row r="8159" spans="4:16" x14ac:dyDescent="0.2">
      <c r="D8159">
        <v>100004879</v>
      </c>
      <c r="E8159" s="49">
        <v>45258</v>
      </c>
      <c r="F8159" t="s">
        <v>4518</v>
      </c>
      <c r="G8159" t="s">
        <v>1641</v>
      </c>
      <c r="H8159">
        <v>8</v>
      </c>
      <c r="I8159">
        <v>29.83</v>
      </c>
      <c r="J8159" s="50">
        <v>238.64</v>
      </c>
      <c r="K8159" t="s">
        <v>1618</v>
      </c>
      <c r="L8159" t="s">
        <v>3691</v>
      </c>
      <c r="M8159" t="s">
        <v>1629</v>
      </c>
      <c r="N8159">
        <v>15.74</v>
      </c>
      <c r="O8159" s="49">
        <v>45261</v>
      </c>
      <c r="P8159" s="50">
        <v>107.38799999999999</v>
      </c>
    </row>
    <row r="8160" spans="4:16" x14ac:dyDescent="0.2">
      <c r="D8160">
        <v>100004880</v>
      </c>
      <c r="E8160" s="49">
        <v>45279</v>
      </c>
      <c r="F8160" t="s">
        <v>6131</v>
      </c>
      <c r="G8160" t="s">
        <v>1767</v>
      </c>
      <c r="H8160">
        <v>7</v>
      </c>
      <c r="I8160">
        <v>65.209999999999994</v>
      </c>
      <c r="J8160" s="50">
        <v>456.47</v>
      </c>
      <c r="K8160" t="s">
        <v>1618</v>
      </c>
      <c r="M8160" t="s">
        <v>1619</v>
      </c>
      <c r="N8160">
        <v>34.42</v>
      </c>
      <c r="O8160" s="49">
        <v>45280</v>
      </c>
      <c r="P8160" s="50">
        <v>205.41150000000002</v>
      </c>
    </row>
    <row r="8161" spans="4:16" x14ac:dyDescent="0.2">
      <c r="D8161">
        <v>100004880</v>
      </c>
      <c r="E8161" s="49">
        <v>44519</v>
      </c>
      <c r="F8161" t="s">
        <v>6131</v>
      </c>
      <c r="G8161" t="s">
        <v>1644</v>
      </c>
      <c r="H8161">
        <v>3</v>
      </c>
      <c r="I8161">
        <v>104.91</v>
      </c>
      <c r="J8161" s="50">
        <v>314.73</v>
      </c>
      <c r="K8161" t="s">
        <v>1618</v>
      </c>
      <c r="M8161" t="s">
        <v>1621</v>
      </c>
      <c r="N8161">
        <v>55.37</v>
      </c>
      <c r="O8161" s="49">
        <v>44522</v>
      </c>
      <c r="P8161" s="50">
        <v>141.6285</v>
      </c>
    </row>
    <row r="8162" spans="4:16" x14ac:dyDescent="0.2">
      <c r="D8162">
        <v>100004880</v>
      </c>
      <c r="E8162" s="49">
        <v>45018</v>
      </c>
      <c r="F8162" t="s">
        <v>6131</v>
      </c>
      <c r="G8162" t="s">
        <v>2003</v>
      </c>
      <c r="H8162">
        <v>6</v>
      </c>
      <c r="I8162">
        <v>59.5</v>
      </c>
      <c r="J8162" s="50">
        <v>357</v>
      </c>
      <c r="K8162" t="s">
        <v>1618</v>
      </c>
      <c r="M8162" t="s">
        <v>1621</v>
      </c>
      <c r="N8162">
        <v>31.4</v>
      </c>
      <c r="O8162" s="49">
        <v>45020</v>
      </c>
      <c r="P8162" s="50">
        <v>160.65</v>
      </c>
    </row>
    <row r="8163" spans="4:16" x14ac:dyDescent="0.2">
      <c r="D8163">
        <v>100004880</v>
      </c>
      <c r="E8163" s="49">
        <v>45038</v>
      </c>
      <c r="F8163" t="s">
        <v>6131</v>
      </c>
      <c r="G8163" t="s">
        <v>2130</v>
      </c>
      <c r="H8163">
        <v>1</v>
      </c>
      <c r="I8163">
        <v>17.93</v>
      </c>
      <c r="J8163" s="50">
        <v>17.93</v>
      </c>
      <c r="K8163" t="s">
        <v>1618</v>
      </c>
      <c r="M8163" t="s">
        <v>1619</v>
      </c>
      <c r="N8163">
        <v>9.4600000000000009</v>
      </c>
      <c r="O8163" s="49">
        <v>45040</v>
      </c>
      <c r="P8163" s="50">
        <v>8.0685000000000002</v>
      </c>
    </row>
    <row r="8164" spans="4:16" x14ac:dyDescent="0.2">
      <c r="D8164">
        <v>100004880</v>
      </c>
      <c r="E8164" s="49">
        <v>45049</v>
      </c>
      <c r="F8164" t="s">
        <v>6131</v>
      </c>
      <c r="G8164" t="s">
        <v>1781</v>
      </c>
      <c r="H8164">
        <v>10</v>
      </c>
      <c r="I8164">
        <v>87.24</v>
      </c>
      <c r="J8164" s="50">
        <v>872.4</v>
      </c>
      <c r="K8164" t="s">
        <v>1618</v>
      </c>
      <c r="M8164" t="s">
        <v>1629</v>
      </c>
      <c r="N8164">
        <v>46.04</v>
      </c>
      <c r="O8164" s="49">
        <v>45052</v>
      </c>
      <c r="P8164" s="50">
        <v>392.58</v>
      </c>
    </row>
    <row r="8165" spans="4:16" x14ac:dyDescent="0.2">
      <c r="D8165">
        <v>100004881</v>
      </c>
      <c r="E8165" s="49">
        <v>45633</v>
      </c>
      <c r="F8165" t="s">
        <v>6132</v>
      </c>
      <c r="G8165" t="s">
        <v>1655</v>
      </c>
      <c r="H8165">
        <v>4</v>
      </c>
      <c r="I8165">
        <v>101.99</v>
      </c>
      <c r="J8165" s="50">
        <v>407.96</v>
      </c>
      <c r="K8165" t="s">
        <v>1632</v>
      </c>
      <c r="M8165" t="s">
        <v>1629</v>
      </c>
      <c r="N8165">
        <v>53.83</v>
      </c>
      <c r="O8165" s="49">
        <v>45634</v>
      </c>
      <c r="P8165" s="50">
        <v>183.58199999999999</v>
      </c>
    </row>
    <row r="8166" spans="4:16" x14ac:dyDescent="0.2">
      <c r="D8166">
        <v>100004881</v>
      </c>
      <c r="E8166" s="49">
        <v>44271</v>
      </c>
      <c r="F8166" t="s">
        <v>6132</v>
      </c>
      <c r="G8166" t="s">
        <v>1727</v>
      </c>
      <c r="H8166">
        <v>10</v>
      </c>
      <c r="I8166">
        <v>42.99</v>
      </c>
      <c r="J8166" s="50">
        <v>429.9</v>
      </c>
      <c r="K8166" t="s">
        <v>1632</v>
      </c>
      <c r="M8166" t="s">
        <v>1621</v>
      </c>
      <c r="N8166">
        <v>22.69</v>
      </c>
      <c r="O8166" s="49">
        <v>44274</v>
      </c>
      <c r="P8166" s="50">
        <v>193.45499999999998</v>
      </c>
    </row>
    <row r="8167" spans="4:16" x14ac:dyDescent="0.2">
      <c r="D8167">
        <v>100004882</v>
      </c>
      <c r="E8167" s="49">
        <v>44303</v>
      </c>
      <c r="F8167" t="s">
        <v>6133</v>
      </c>
      <c r="G8167" t="s">
        <v>1722</v>
      </c>
      <c r="H8167">
        <v>5</v>
      </c>
      <c r="I8167">
        <v>109.02</v>
      </c>
      <c r="J8167" s="50">
        <v>545.1</v>
      </c>
      <c r="K8167" t="s">
        <v>1618</v>
      </c>
      <c r="M8167" t="s">
        <v>1629</v>
      </c>
      <c r="N8167">
        <v>57.54</v>
      </c>
      <c r="O8167" s="49">
        <v>44307</v>
      </c>
      <c r="P8167" s="50">
        <v>245.29500000000002</v>
      </c>
    </row>
    <row r="8168" spans="4:16" x14ac:dyDescent="0.2">
      <c r="D8168">
        <v>100004882</v>
      </c>
      <c r="E8168" s="49">
        <v>44818</v>
      </c>
      <c r="F8168" t="s">
        <v>6133</v>
      </c>
      <c r="G8168" t="s">
        <v>2182</v>
      </c>
      <c r="H8168">
        <v>2</v>
      </c>
      <c r="I8168">
        <v>72.05</v>
      </c>
      <c r="J8168" s="50">
        <v>144.1</v>
      </c>
      <c r="K8168" t="s">
        <v>1618</v>
      </c>
      <c r="M8168" t="s">
        <v>1629</v>
      </c>
      <c r="N8168">
        <v>38.03</v>
      </c>
      <c r="O8168" s="49">
        <v>44822</v>
      </c>
      <c r="P8168" s="50">
        <v>64.844999999999999</v>
      </c>
    </row>
    <row r="8169" spans="4:16" x14ac:dyDescent="0.2">
      <c r="D8169">
        <v>100004883</v>
      </c>
      <c r="E8169" s="49">
        <v>45323</v>
      </c>
      <c r="F8169" t="s">
        <v>6134</v>
      </c>
      <c r="G8169" t="s">
        <v>2628</v>
      </c>
      <c r="H8169">
        <v>1</v>
      </c>
      <c r="I8169">
        <v>110.14</v>
      </c>
      <c r="J8169" s="50">
        <v>110.14</v>
      </c>
      <c r="K8169" t="s">
        <v>1618</v>
      </c>
      <c r="L8169" t="s">
        <v>1996</v>
      </c>
      <c r="M8169" t="s">
        <v>1624</v>
      </c>
      <c r="N8169">
        <v>58.13</v>
      </c>
      <c r="O8169" s="49">
        <v>45328</v>
      </c>
      <c r="P8169" s="50">
        <v>49.563000000000002</v>
      </c>
    </row>
    <row r="8170" spans="4:16" x14ac:dyDescent="0.2">
      <c r="D8170">
        <v>100004883</v>
      </c>
      <c r="E8170" s="49">
        <v>45120</v>
      </c>
      <c r="F8170" t="s">
        <v>6134</v>
      </c>
      <c r="G8170" t="s">
        <v>1929</v>
      </c>
      <c r="H8170">
        <v>2</v>
      </c>
      <c r="I8170">
        <v>89.58</v>
      </c>
      <c r="J8170" s="50">
        <v>179.16</v>
      </c>
      <c r="K8170" t="s">
        <v>1618</v>
      </c>
      <c r="L8170" t="s">
        <v>1996</v>
      </c>
      <c r="M8170" t="s">
        <v>1619</v>
      </c>
      <c r="N8170">
        <v>47.28</v>
      </c>
      <c r="O8170" s="49">
        <v>45125</v>
      </c>
      <c r="P8170" s="50">
        <v>80.622</v>
      </c>
    </row>
    <row r="8171" spans="4:16" x14ac:dyDescent="0.2">
      <c r="D8171">
        <v>100004883</v>
      </c>
      <c r="E8171" s="49">
        <v>45181</v>
      </c>
      <c r="F8171" t="s">
        <v>6134</v>
      </c>
      <c r="G8171" t="s">
        <v>1807</v>
      </c>
      <c r="H8171">
        <v>2</v>
      </c>
      <c r="I8171">
        <v>13.04</v>
      </c>
      <c r="J8171" s="50">
        <v>26.08</v>
      </c>
      <c r="K8171" t="s">
        <v>1618</v>
      </c>
      <c r="L8171" t="s">
        <v>1996</v>
      </c>
      <c r="M8171" t="s">
        <v>1627</v>
      </c>
      <c r="N8171">
        <v>6.88</v>
      </c>
      <c r="O8171" s="49">
        <v>45186</v>
      </c>
      <c r="P8171" s="50">
        <v>11.735999999999999</v>
      </c>
    </row>
    <row r="8172" spans="4:16" x14ac:dyDescent="0.2">
      <c r="D8172">
        <v>100004883</v>
      </c>
      <c r="E8172" s="49">
        <v>44845</v>
      </c>
      <c r="F8172" t="s">
        <v>6134</v>
      </c>
      <c r="G8172" t="s">
        <v>2447</v>
      </c>
      <c r="H8172">
        <v>8</v>
      </c>
      <c r="I8172">
        <v>21.47</v>
      </c>
      <c r="J8172" s="50">
        <v>171.76</v>
      </c>
      <c r="K8172" t="s">
        <v>1618</v>
      </c>
      <c r="L8172" t="s">
        <v>1996</v>
      </c>
      <c r="M8172" t="s">
        <v>1627</v>
      </c>
      <c r="N8172">
        <v>11.33</v>
      </c>
      <c r="O8172" s="49">
        <v>44850</v>
      </c>
      <c r="P8172" s="50">
        <v>77.292000000000002</v>
      </c>
    </row>
    <row r="8173" spans="4:16" x14ac:dyDescent="0.2">
      <c r="D8173">
        <v>100004884</v>
      </c>
      <c r="E8173" s="49">
        <v>44973</v>
      </c>
      <c r="F8173" t="s">
        <v>6135</v>
      </c>
      <c r="G8173" t="s">
        <v>1641</v>
      </c>
      <c r="H8173">
        <v>7</v>
      </c>
      <c r="I8173">
        <v>116.25</v>
      </c>
      <c r="J8173" s="50">
        <v>813.75</v>
      </c>
      <c r="K8173" t="s">
        <v>1632</v>
      </c>
      <c r="M8173" t="s">
        <v>1624</v>
      </c>
      <c r="N8173">
        <v>61.35</v>
      </c>
      <c r="O8173" s="49">
        <v>44975</v>
      </c>
      <c r="P8173" s="50">
        <v>366.1875</v>
      </c>
    </row>
    <row r="8174" spans="4:16" x14ac:dyDescent="0.2">
      <c r="D8174">
        <v>100004884</v>
      </c>
      <c r="E8174" s="49">
        <v>45437</v>
      </c>
      <c r="F8174" t="s">
        <v>6135</v>
      </c>
      <c r="G8174" t="s">
        <v>2344</v>
      </c>
      <c r="H8174">
        <v>5</v>
      </c>
      <c r="I8174">
        <v>67.16</v>
      </c>
      <c r="J8174" s="50">
        <v>335.8</v>
      </c>
      <c r="K8174" t="s">
        <v>1632</v>
      </c>
      <c r="M8174" t="s">
        <v>1619</v>
      </c>
      <c r="N8174">
        <v>35.450000000000003</v>
      </c>
      <c r="O8174" s="49">
        <v>45442</v>
      </c>
      <c r="P8174" s="50">
        <v>151.11000000000001</v>
      </c>
    </row>
    <row r="8175" spans="4:16" x14ac:dyDescent="0.2">
      <c r="D8175">
        <v>100004885</v>
      </c>
      <c r="E8175" s="49">
        <v>45530</v>
      </c>
      <c r="F8175" t="s">
        <v>6136</v>
      </c>
      <c r="G8175" t="s">
        <v>2255</v>
      </c>
      <c r="H8175">
        <v>4</v>
      </c>
      <c r="I8175">
        <v>49.76</v>
      </c>
      <c r="J8175" s="50">
        <v>199.04</v>
      </c>
      <c r="K8175" t="s">
        <v>1632</v>
      </c>
      <c r="L8175" t="s">
        <v>6137</v>
      </c>
      <c r="M8175" t="s">
        <v>1624</v>
      </c>
      <c r="N8175">
        <v>26.26</v>
      </c>
      <c r="O8175" s="49">
        <v>45531</v>
      </c>
      <c r="P8175" s="50">
        <v>89.567999999999998</v>
      </c>
    </row>
    <row r="8176" spans="4:16" x14ac:dyDescent="0.2">
      <c r="D8176">
        <v>100004885</v>
      </c>
      <c r="E8176" s="49">
        <v>44561</v>
      </c>
      <c r="F8176" t="s">
        <v>6136</v>
      </c>
      <c r="G8176" t="s">
        <v>2733</v>
      </c>
      <c r="H8176">
        <v>6</v>
      </c>
      <c r="I8176">
        <v>34.64</v>
      </c>
      <c r="J8176" s="50">
        <v>207.84</v>
      </c>
      <c r="K8176" t="s">
        <v>1632</v>
      </c>
      <c r="L8176" t="s">
        <v>6137</v>
      </c>
      <c r="M8176" t="s">
        <v>1627</v>
      </c>
      <c r="N8176">
        <v>18.28</v>
      </c>
      <c r="O8176" s="49">
        <v>44563</v>
      </c>
      <c r="P8176" s="50">
        <v>93.528000000000006</v>
      </c>
    </row>
    <row r="8177" spans="4:16" x14ac:dyDescent="0.2">
      <c r="D8177">
        <v>100004887</v>
      </c>
      <c r="E8177" s="49">
        <v>44743</v>
      </c>
      <c r="F8177" t="s">
        <v>6138</v>
      </c>
      <c r="G8177" t="s">
        <v>2182</v>
      </c>
      <c r="H8177">
        <v>5</v>
      </c>
      <c r="I8177">
        <v>61.89</v>
      </c>
      <c r="J8177" s="50">
        <v>309.45</v>
      </c>
      <c r="K8177" t="s">
        <v>1632</v>
      </c>
      <c r="M8177" t="s">
        <v>1619</v>
      </c>
      <c r="N8177">
        <v>32.659999999999997</v>
      </c>
      <c r="O8177" s="49">
        <v>44744</v>
      </c>
      <c r="P8177" s="50">
        <v>139.2525</v>
      </c>
    </row>
    <row r="8178" spans="4:16" x14ac:dyDescent="0.2">
      <c r="D8178">
        <v>100004888</v>
      </c>
      <c r="E8178" s="49">
        <v>45287</v>
      </c>
      <c r="F8178" t="s">
        <v>6139</v>
      </c>
      <c r="G8178" t="s">
        <v>1754</v>
      </c>
      <c r="H8178">
        <v>8</v>
      </c>
      <c r="I8178">
        <v>69.19</v>
      </c>
      <c r="J8178" s="50">
        <v>553.52</v>
      </c>
      <c r="K8178" t="s">
        <v>1618</v>
      </c>
      <c r="L8178" t="s">
        <v>6140</v>
      </c>
      <c r="M8178" t="s">
        <v>1629</v>
      </c>
      <c r="N8178">
        <v>36.520000000000003</v>
      </c>
      <c r="O8178" s="49">
        <v>45292</v>
      </c>
      <c r="P8178" s="50">
        <v>249.084</v>
      </c>
    </row>
    <row r="8179" spans="4:16" x14ac:dyDescent="0.2">
      <c r="D8179">
        <v>100004888</v>
      </c>
      <c r="E8179" s="49">
        <v>44660</v>
      </c>
      <c r="F8179" t="s">
        <v>6139</v>
      </c>
      <c r="G8179" t="s">
        <v>2378</v>
      </c>
      <c r="H8179">
        <v>6</v>
      </c>
      <c r="I8179">
        <v>56.67</v>
      </c>
      <c r="J8179" s="50">
        <v>340.02</v>
      </c>
      <c r="K8179" t="s">
        <v>1618</v>
      </c>
      <c r="L8179" t="s">
        <v>6140</v>
      </c>
      <c r="M8179" t="s">
        <v>1629</v>
      </c>
      <c r="N8179">
        <v>29.91</v>
      </c>
      <c r="O8179" s="49">
        <v>44662</v>
      </c>
      <c r="P8179" s="50">
        <v>153.00899999999999</v>
      </c>
    </row>
    <row r="8180" spans="4:16" x14ac:dyDescent="0.2">
      <c r="D8180">
        <v>100004888</v>
      </c>
      <c r="E8180" s="49">
        <v>45023</v>
      </c>
      <c r="F8180" t="s">
        <v>6139</v>
      </c>
      <c r="G8180" t="s">
        <v>1729</v>
      </c>
      <c r="H8180">
        <v>3</v>
      </c>
      <c r="I8180">
        <v>71.930000000000007</v>
      </c>
      <c r="J8180" s="50">
        <v>215.79</v>
      </c>
      <c r="K8180" t="s">
        <v>1618</v>
      </c>
      <c r="L8180" t="s">
        <v>6140</v>
      </c>
      <c r="M8180" t="s">
        <v>1624</v>
      </c>
      <c r="N8180">
        <v>37.96</v>
      </c>
      <c r="O8180" s="49">
        <v>45025</v>
      </c>
      <c r="P8180" s="50">
        <v>97.105499999999992</v>
      </c>
    </row>
    <row r="8181" spans="4:16" x14ac:dyDescent="0.2">
      <c r="D8181">
        <v>100004888</v>
      </c>
      <c r="E8181" s="49">
        <v>44294</v>
      </c>
      <c r="F8181" t="s">
        <v>6139</v>
      </c>
      <c r="G8181" t="s">
        <v>1760</v>
      </c>
      <c r="H8181">
        <v>1</v>
      </c>
      <c r="I8181">
        <v>118.88</v>
      </c>
      <c r="J8181" s="50">
        <v>118.88</v>
      </c>
      <c r="K8181" t="s">
        <v>1618</v>
      </c>
      <c r="L8181" t="s">
        <v>6140</v>
      </c>
      <c r="M8181" t="s">
        <v>1619</v>
      </c>
      <c r="N8181">
        <v>62.74</v>
      </c>
      <c r="O8181" s="49">
        <v>44296</v>
      </c>
      <c r="P8181" s="50">
        <v>53.496000000000002</v>
      </c>
    </row>
    <row r="8182" spans="4:16" x14ac:dyDescent="0.2">
      <c r="D8182">
        <v>100004888</v>
      </c>
      <c r="E8182" s="49">
        <v>45425</v>
      </c>
      <c r="F8182" t="s">
        <v>6139</v>
      </c>
      <c r="G8182" t="s">
        <v>2485</v>
      </c>
      <c r="H8182">
        <v>2</v>
      </c>
      <c r="I8182">
        <v>88.32</v>
      </c>
      <c r="J8182" s="50">
        <v>176.64</v>
      </c>
      <c r="K8182" t="s">
        <v>1618</v>
      </c>
      <c r="L8182" t="s">
        <v>6140</v>
      </c>
      <c r="M8182" t="s">
        <v>1624</v>
      </c>
      <c r="N8182">
        <v>46.61</v>
      </c>
      <c r="O8182" s="49">
        <v>45428</v>
      </c>
      <c r="P8182" s="50">
        <v>79.488</v>
      </c>
    </row>
    <row r="8183" spans="4:16" x14ac:dyDescent="0.2">
      <c r="D8183">
        <v>100004889</v>
      </c>
      <c r="E8183" s="49">
        <v>44546</v>
      </c>
      <c r="F8183" t="s">
        <v>6141</v>
      </c>
      <c r="G8183" t="s">
        <v>1842</v>
      </c>
      <c r="H8183">
        <v>3</v>
      </c>
      <c r="I8183">
        <v>89.93</v>
      </c>
      <c r="J8183" s="50">
        <v>269.79000000000002</v>
      </c>
      <c r="K8183" t="s">
        <v>1618</v>
      </c>
      <c r="M8183" t="s">
        <v>1629</v>
      </c>
      <c r="N8183">
        <v>47.46</v>
      </c>
      <c r="O8183" s="49">
        <v>44551</v>
      </c>
      <c r="P8183" s="50">
        <v>121.40550000000002</v>
      </c>
    </row>
    <row r="8184" spans="4:16" x14ac:dyDescent="0.2">
      <c r="D8184">
        <v>100004889</v>
      </c>
      <c r="E8184" s="49">
        <v>45058</v>
      </c>
      <c r="F8184" t="s">
        <v>6141</v>
      </c>
      <c r="G8184" t="s">
        <v>2658</v>
      </c>
      <c r="H8184">
        <v>10</v>
      </c>
      <c r="I8184">
        <v>48.19</v>
      </c>
      <c r="J8184" s="50">
        <v>481.9</v>
      </c>
      <c r="K8184" t="s">
        <v>1618</v>
      </c>
      <c r="M8184" t="s">
        <v>1621</v>
      </c>
      <c r="N8184">
        <v>25.43</v>
      </c>
      <c r="O8184" s="49">
        <v>45059</v>
      </c>
      <c r="P8184" s="50">
        <v>216.85499999999999</v>
      </c>
    </row>
    <row r="8185" spans="4:16" x14ac:dyDescent="0.2">
      <c r="D8185">
        <v>100004890</v>
      </c>
      <c r="E8185" s="49">
        <v>44720</v>
      </c>
      <c r="F8185" t="s">
        <v>6142</v>
      </c>
      <c r="G8185" t="s">
        <v>1691</v>
      </c>
      <c r="H8185">
        <v>2</v>
      </c>
      <c r="I8185">
        <v>100.32</v>
      </c>
      <c r="J8185" s="50">
        <v>200.64</v>
      </c>
      <c r="K8185" t="s">
        <v>1632</v>
      </c>
      <c r="M8185" t="s">
        <v>1621</v>
      </c>
      <c r="N8185">
        <v>52.95</v>
      </c>
      <c r="O8185" s="49">
        <v>44723</v>
      </c>
      <c r="P8185" s="50">
        <v>90.287999999999997</v>
      </c>
    </row>
    <row r="8186" spans="4:16" x14ac:dyDescent="0.2">
      <c r="D8186">
        <v>100004891</v>
      </c>
      <c r="E8186" s="49">
        <v>45219</v>
      </c>
      <c r="F8186" t="s">
        <v>6143</v>
      </c>
      <c r="G8186" t="s">
        <v>2263</v>
      </c>
      <c r="H8186">
        <v>10</v>
      </c>
      <c r="I8186">
        <v>33.090000000000003</v>
      </c>
      <c r="J8186" s="50">
        <v>330.9</v>
      </c>
      <c r="K8186" t="s">
        <v>1632</v>
      </c>
      <c r="L8186" t="s">
        <v>6068</v>
      </c>
      <c r="M8186" t="s">
        <v>1624</v>
      </c>
      <c r="N8186">
        <v>17.46</v>
      </c>
      <c r="O8186" s="49">
        <v>45221</v>
      </c>
      <c r="P8186" s="50">
        <v>148.905</v>
      </c>
    </row>
    <row r="8187" spans="4:16" x14ac:dyDescent="0.2">
      <c r="D8187">
        <v>100004891</v>
      </c>
      <c r="E8187" s="49">
        <v>44259</v>
      </c>
      <c r="F8187" t="s">
        <v>6143</v>
      </c>
      <c r="G8187" t="s">
        <v>2121</v>
      </c>
      <c r="H8187">
        <v>9</v>
      </c>
      <c r="I8187">
        <v>16.52</v>
      </c>
      <c r="J8187" s="50">
        <v>148.68</v>
      </c>
      <c r="K8187" t="s">
        <v>1632</v>
      </c>
      <c r="L8187" t="s">
        <v>6068</v>
      </c>
      <c r="M8187" t="s">
        <v>1624</v>
      </c>
      <c r="N8187">
        <v>8.7200000000000006</v>
      </c>
      <c r="O8187" s="49">
        <v>44260</v>
      </c>
      <c r="P8187" s="50">
        <v>66.906000000000006</v>
      </c>
    </row>
    <row r="8188" spans="4:16" x14ac:dyDescent="0.2">
      <c r="D8188">
        <v>100004891</v>
      </c>
      <c r="E8188" s="49">
        <v>45207</v>
      </c>
      <c r="F8188" t="s">
        <v>6143</v>
      </c>
      <c r="G8188" t="s">
        <v>2174</v>
      </c>
      <c r="H8188">
        <v>3</v>
      </c>
      <c r="I8188">
        <v>72.150000000000006</v>
      </c>
      <c r="J8188" s="50">
        <v>216.45</v>
      </c>
      <c r="K8188" t="s">
        <v>1632</v>
      </c>
      <c r="L8188" t="s">
        <v>6068</v>
      </c>
      <c r="M8188" t="s">
        <v>1619</v>
      </c>
      <c r="N8188">
        <v>38.08</v>
      </c>
      <c r="O8188" s="49">
        <v>45210</v>
      </c>
      <c r="P8188" s="50">
        <v>97.402500000000003</v>
      </c>
    </row>
    <row r="8189" spans="4:16" x14ac:dyDescent="0.2">
      <c r="D8189">
        <v>100004891</v>
      </c>
      <c r="E8189" s="49">
        <v>45599</v>
      </c>
      <c r="F8189" t="s">
        <v>6143</v>
      </c>
      <c r="G8189" t="s">
        <v>1675</v>
      </c>
      <c r="H8189">
        <v>10</v>
      </c>
      <c r="I8189">
        <v>115.49</v>
      </c>
      <c r="J8189" s="50">
        <v>1154.9000000000001</v>
      </c>
      <c r="K8189" t="s">
        <v>1632</v>
      </c>
      <c r="L8189" t="s">
        <v>6068</v>
      </c>
      <c r="M8189" t="s">
        <v>1621</v>
      </c>
      <c r="N8189">
        <v>60.95</v>
      </c>
      <c r="O8189" s="49">
        <v>45601</v>
      </c>
      <c r="P8189" s="50">
        <v>519.70500000000004</v>
      </c>
    </row>
    <row r="8190" spans="4:16" x14ac:dyDescent="0.2">
      <c r="D8190">
        <v>100004895</v>
      </c>
      <c r="E8190" s="49">
        <v>45424</v>
      </c>
      <c r="F8190" t="s">
        <v>6144</v>
      </c>
      <c r="G8190" t="s">
        <v>2063</v>
      </c>
      <c r="H8190">
        <v>5</v>
      </c>
      <c r="I8190">
        <v>65.569999999999993</v>
      </c>
      <c r="J8190" s="50">
        <v>327.85</v>
      </c>
      <c r="K8190" t="s">
        <v>1618</v>
      </c>
      <c r="M8190" t="s">
        <v>1624</v>
      </c>
      <c r="N8190">
        <v>34.61</v>
      </c>
      <c r="O8190" s="49">
        <v>45425</v>
      </c>
      <c r="P8190" s="50">
        <v>147.53250000000003</v>
      </c>
    </row>
    <row r="8191" spans="4:16" x14ac:dyDescent="0.2">
      <c r="D8191">
        <v>100004895</v>
      </c>
      <c r="E8191" s="49">
        <v>45336</v>
      </c>
      <c r="F8191" t="s">
        <v>6144</v>
      </c>
      <c r="G8191" t="s">
        <v>1932</v>
      </c>
      <c r="H8191">
        <v>2</v>
      </c>
      <c r="I8191">
        <v>21.06</v>
      </c>
      <c r="J8191" s="50">
        <v>42.12</v>
      </c>
      <c r="K8191" t="s">
        <v>1618</v>
      </c>
      <c r="M8191" t="s">
        <v>1627</v>
      </c>
      <c r="N8191">
        <v>11.11</v>
      </c>
      <c r="O8191" s="49">
        <v>45337</v>
      </c>
      <c r="P8191" s="50">
        <v>18.954000000000001</v>
      </c>
    </row>
    <row r="8192" spans="4:16" x14ac:dyDescent="0.2">
      <c r="D8192">
        <v>100004895</v>
      </c>
      <c r="E8192" s="49">
        <v>44987</v>
      </c>
      <c r="F8192" t="s">
        <v>6144</v>
      </c>
      <c r="G8192" t="s">
        <v>1958</v>
      </c>
      <c r="H8192">
        <v>5</v>
      </c>
      <c r="I8192">
        <v>75.84</v>
      </c>
      <c r="J8192" s="50">
        <v>379.2</v>
      </c>
      <c r="K8192" t="s">
        <v>1618</v>
      </c>
      <c r="M8192" t="s">
        <v>1627</v>
      </c>
      <c r="N8192">
        <v>40.03</v>
      </c>
      <c r="O8192" s="49">
        <v>44991</v>
      </c>
      <c r="P8192" s="50">
        <v>170.64</v>
      </c>
    </row>
    <row r="8193" spans="4:16" x14ac:dyDescent="0.2">
      <c r="D8193">
        <v>100004895</v>
      </c>
      <c r="E8193" s="49">
        <v>45500</v>
      </c>
      <c r="F8193" t="s">
        <v>6144</v>
      </c>
      <c r="G8193" t="s">
        <v>1874</v>
      </c>
      <c r="H8193">
        <v>1</v>
      </c>
      <c r="I8193">
        <v>43.97</v>
      </c>
      <c r="J8193" s="50">
        <v>43.97</v>
      </c>
      <c r="K8193" t="s">
        <v>1618</v>
      </c>
      <c r="M8193" t="s">
        <v>1624</v>
      </c>
      <c r="N8193">
        <v>23.21</v>
      </c>
      <c r="O8193" s="49">
        <v>45501</v>
      </c>
      <c r="P8193" s="50">
        <v>19.7865</v>
      </c>
    </row>
    <row r="8194" spans="4:16" x14ac:dyDescent="0.2">
      <c r="D8194">
        <v>100004896</v>
      </c>
      <c r="E8194" s="49">
        <v>44924</v>
      </c>
      <c r="F8194" t="s">
        <v>6145</v>
      </c>
      <c r="G8194" t="s">
        <v>2213</v>
      </c>
      <c r="H8194">
        <v>10</v>
      </c>
      <c r="I8194">
        <v>10.59</v>
      </c>
      <c r="J8194" s="50">
        <v>105.9</v>
      </c>
      <c r="K8194" t="s">
        <v>1618</v>
      </c>
      <c r="M8194" t="s">
        <v>1624</v>
      </c>
      <c r="N8194">
        <v>5.59</v>
      </c>
      <c r="O8194" s="49">
        <v>44926</v>
      </c>
      <c r="P8194" s="50">
        <v>47.655000000000001</v>
      </c>
    </row>
    <row r="8195" spans="4:16" x14ac:dyDescent="0.2">
      <c r="D8195">
        <v>100004896</v>
      </c>
      <c r="E8195" s="49">
        <v>45375</v>
      </c>
      <c r="F8195" t="s">
        <v>6145</v>
      </c>
      <c r="G8195" t="s">
        <v>1634</v>
      </c>
      <c r="H8195">
        <v>7</v>
      </c>
      <c r="I8195">
        <v>16.93</v>
      </c>
      <c r="J8195" s="50">
        <v>118.51</v>
      </c>
      <c r="K8195" t="s">
        <v>1618</v>
      </c>
      <c r="M8195" t="s">
        <v>1619</v>
      </c>
      <c r="N8195">
        <v>8.94</v>
      </c>
      <c r="O8195" s="49">
        <v>45379</v>
      </c>
      <c r="P8195" s="50">
        <v>53.329500000000003</v>
      </c>
    </row>
    <row r="8196" spans="4:16" x14ac:dyDescent="0.2">
      <c r="D8196">
        <v>100004896</v>
      </c>
      <c r="E8196" s="49">
        <v>45342</v>
      </c>
      <c r="F8196" t="s">
        <v>6145</v>
      </c>
      <c r="G8196" t="s">
        <v>1691</v>
      </c>
      <c r="H8196">
        <v>5</v>
      </c>
      <c r="I8196">
        <v>85.69</v>
      </c>
      <c r="J8196" s="50">
        <v>428.45</v>
      </c>
      <c r="K8196" t="s">
        <v>1618</v>
      </c>
      <c r="M8196" t="s">
        <v>1624</v>
      </c>
      <c r="N8196">
        <v>45.22</v>
      </c>
      <c r="O8196" s="49">
        <v>45346</v>
      </c>
      <c r="P8196" s="50">
        <v>192.80250000000001</v>
      </c>
    </row>
    <row r="8197" spans="4:16" x14ac:dyDescent="0.2">
      <c r="D8197">
        <v>100004897</v>
      </c>
      <c r="E8197" s="49">
        <v>45432</v>
      </c>
      <c r="F8197" t="s">
        <v>6146</v>
      </c>
      <c r="G8197" t="s">
        <v>1644</v>
      </c>
      <c r="H8197">
        <v>4</v>
      </c>
      <c r="I8197">
        <v>34.46</v>
      </c>
      <c r="J8197" s="50">
        <v>137.84</v>
      </c>
      <c r="K8197" t="s">
        <v>1632</v>
      </c>
      <c r="M8197" t="s">
        <v>1624</v>
      </c>
      <c r="N8197">
        <v>18.190000000000001</v>
      </c>
      <c r="O8197" s="49">
        <v>45436</v>
      </c>
      <c r="P8197" s="50">
        <v>62.028000000000006</v>
      </c>
    </row>
    <row r="8198" spans="4:16" x14ac:dyDescent="0.2">
      <c r="D8198">
        <v>100004898</v>
      </c>
      <c r="E8198" s="49">
        <v>45635</v>
      </c>
      <c r="F8198" t="s">
        <v>6147</v>
      </c>
      <c r="G8198" t="s">
        <v>1717</v>
      </c>
      <c r="H8198">
        <v>5</v>
      </c>
      <c r="I8198">
        <v>12.08</v>
      </c>
      <c r="J8198" s="50">
        <v>60.4</v>
      </c>
      <c r="K8198" t="s">
        <v>1632</v>
      </c>
      <c r="L8198" t="s">
        <v>4641</v>
      </c>
      <c r="M8198" t="s">
        <v>1621</v>
      </c>
      <c r="N8198">
        <v>6.38</v>
      </c>
      <c r="O8198" s="49">
        <v>45640</v>
      </c>
      <c r="P8198" s="50">
        <v>27.18</v>
      </c>
    </row>
    <row r="8199" spans="4:16" x14ac:dyDescent="0.2">
      <c r="D8199">
        <v>100004899</v>
      </c>
      <c r="E8199" s="49">
        <v>44816</v>
      </c>
      <c r="F8199" t="s">
        <v>6148</v>
      </c>
      <c r="G8199" t="s">
        <v>2121</v>
      </c>
      <c r="H8199">
        <v>3</v>
      </c>
      <c r="I8199">
        <v>16.28</v>
      </c>
      <c r="J8199" s="50">
        <v>48.84</v>
      </c>
      <c r="K8199" t="s">
        <v>1618</v>
      </c>
      <c r="L8199" t="s">
        <v>6149</v>
      </c>
      <c r="M8199" t="s">
        <v>1621</v>
      </c>
      <c r="N8199">
        <v>8.59</v>
      </c>
      <c r="O8199" s="49">
        <v>44819</v>
      </c>
      <c r="P8199" s="50">
        <v>21.978000000000002</v>
      </c>
    </row>
    <row r="8200" spans="4:16" x14ac:dyDescent="0.2">
      <c r="D8200">
        <v>100004899</v>
      </c>
      <c r="E8200" s="49">
        <v>45298</v>
      </c>
      <c r="F8200" t="s">
        <v>6148</v>
      </c>
      <c r="G8200" t="s">
        <v>1655</v>
      </c>
      <c r="H8200">
        <v>8</v>
      </c>
      <c r="I8200">
        <v>48.72</v>
      </c>
      <c r="J8200" s="50">
        <v>389.76</v>
      </c>
      <c r="K8200" t="s">
        <v>1618</v>
      </c>
      <c r="L8200" t="s">
        <v>6149</v>
      </c>
      <c r="M8200" t="s">
        <v>1619</v>
      </c>
      <c r="N8200">
        <v>25.71</v>
      </c>
      <c r="O8200" s="49">
        <v>45299</v>
      </c>
      <c r="P8200" s="50">
        <v>175.392</v>
      </c>
    </row>
    <row r="8201" spans="4:16" x14ac:dyDescent="0.2">
      <c r="D8201">
        <v>100004899</v>
      </c>
      <c r="E8201" s="49">
        <v>45531</v>
      </c>
      <c r="F8201" t="s">
        <v>6148</v>
      </c>
      <c r="G8201" t="s">
        <v>1646</v>
      </c>
      <c r="H8201">
        <v>9</v>
      </c>
      <c r="I8201">
        <v>107.26</v>
      </c>
      <c r="J8201" s="50">
        <v>965.34</v>
      </c>
      <c r="K8201" t="s">
        <v>1618</v>
      </c>
      <c r="L8201" t="s">
        <v>6149</v>
      </c>
      <c r="M8201" t="s">
        <v>1627</v>
      </c>
      <c r="N8201">
        <v>56.61</v>
      </c>
      <c r="O8201" s="49">
        <v>45536</v>
      </c>
      <c r="P8201" s="50">
        <v>434.40300000000002</v>
      </c>
    </row>
    <row r="8202" spans="4:16" x14ac:dyDescent="0.2">
      <c r="D8202">
        <v>100004900</v>
      </c>
      <c r="E8202" s="49">
        <v>44534</v>
      </c>
      <c r="F8202" t="s">
        <v>6150</v>
      </c>
      <c r="G8202" t="s">
        <v>1645</v>
      </c>
      <c r="H8202">
        <v>8</v>
      </c>
      <c r="I8202">
        <v>64.45</v>
      </c>
      <c r="J8202" s="50">
        <v>515.6</v>
      </c>
      <c r="K8202" t="s">
        <v>1618</v>
      </c>
      <c r="M8202" t="s">
        <v>1629</v>
      </c>
      <c r="N8202">
        <v>34.020000000000003</v>
      </c>
      <c r="O8202" s="49">
        <v>44539</v>
      </c>
      <c r="P8202" s="50">
        <v>232.02</v>
      </c>
    </row>
    <row r="8203" spans="4:16" x14ac:dyDescent="0.2">
      <c r="D8203">
        <v>100004900</v>
      </c>
      <c r="E8203" s="49">
        <v>45318</v>
      </c>
      <c r="F8203" t="s">
        <v>6150</v>
      </c>
      <c r="G8203" t="s">
        <v>2121</v>
      </c>
      <c r="H8203">
        <v>8</v>
      </c>
      <c r="I8203">
        <v>96.06</v>
      </c>
      <c r="J8203" s="50">
        <v>768.48</v>
      </c>
      <c r="K8203" t="s">
        <v>1618</v>
      </c>
      <c r="M8203" t="s">
        <v>1624</v>
      </c>
      <c r="N8203">
        <v>50.7</v>
      </c>
      <c r="O8203" s="49">
        <v>45321</v>
      </c>
      <c r="P8203" s="50">
        <v>345.81600000000003</v>
      </c>
    </row>
    <row r="8204" spans="4:16" x14ac:dyDescent="0.2">
      <c r="D8204">
        <v>100004900</v>
      </c>
      <c r="E8204" s="49">
        <v>45591</v>
      </c>
      <c r="F8204" t="s">
        <v>6150</v>
      </c>
      <c r="G8204" t="s">
        <v>1910</v>
      </c>
      <c r="H8204">
        <v>10</v>
      </c>
      <c r="I8204">
        <v>118.8</v>
      </c>
      <c r="J8204" s="50">
        <v>1188</v>
      </c>
      <c r="K8204" t="s">
        <v>1618</v>
      </c>
      <c r="M8204" t="s">
        <v>1624</v>
      </c>
      <c r="N8204">
        <v>62.7</v>
      </c>
      <c r="O8204" s="49">
        <v>45593</v>
      </c>
      <c r="P8204" s="50">
        <v>534.6</v>
      </c>
    </row>
    <row r="8205" spans="4:16" x14ac:dyDescent="0.2">
      <c r="D8205">
        <v>100004900</v>
      </c>
      <c r="E8205" s="49">
        <v>44970</v>
      </c>
      <c r="F8205" t="s">
        <v>6150</v>
      </c>
      <c r="G8205" t="s">
        <v>1718</v>
      </c>
      <c r="H8205">
        <v>1</v>
      </c>
      <c r="I8205">
        <v>68.12</v>
      </c>
      <c r="J8205" s="50">
        <v>68.12</v>
      </c>
      <c r="K8205" t="s">
        <v>1618</v>
      </c>
      <c r="M8205" t="s">
        <v>1624</v>
      </c>
      <c r="N8205">
        <v>35.950000000000003</v>
      </c>
      <c r="O8205" s="49">
        <v>44975</v>
      </c>
      <c r="P8205" s="50">
        <v>30.654000000000003</v>
      </c>
    </row>
    <row r="8206" spans="4:16" x14ac:dyDescent="0.2">
      <c r="D8206">
        <v>100004901</v>
      </c>
      <c r="E8206" s="49">
        <v>44613</v>
      </c>
      <c r="F8206" t="s">
        <v>6151</v>
      </c>
      <c r="G8206" t="s">
        <v>1647</v>
      </c>
      <c r="H8206">
        <v>2</v>
      </c>
      <c r="I8206">
        <v>116.16</v>
      </c>
      <c r="J8206" s="50">
        <v>232.32</v>
      </c>
      <c r="K8206" t="s">
        <v>1618</v>
      </c>
      <c r="M8206" t="s">
        <v>1619</v>
      </c>
      <c r="N8206">
        <v>61.31</v>
      </c>
      <c r="O8206" s="49">
        <v>44618</v>
      </c>
      <c r="P8206" s="50">
        <v>104.544</v>
      </c>
    </row>
    <row r="8207" spans="4:16" x14ac:dyDescent="0.2">
      <c r="D8207">
        <v>100004901</v>
      </c>
      <c r="E8207" s="49">
        <v>44452</v>
      </c>
      <c r="F8207" t="s">
        <v>6151</v>
      </c>
      <c r="G8207" t="s">
        <v>2230</v>
      </c>
      <c r="H8207">
        <v>2</v>
      </c>
      <c r="I8207">
        <v>85.33</v>
      </c>
      <c r="J8207" s="50">
        <v>170.66</v>
      </c>
      <c r="K8207" t="s">
        <v>1618</v>
      </c>
      <c r="M8207" t="s">
        <v>1621</v>
      </c>
      <c r="N8207">
        <v>45.03</v>
      </c>
      <c r="O8207" s="49">
        <v>44454</v>
      </c>
      <c r="P8207" s="50">
        <v>76.796999999999997</v>
      </c>
    </row>
    <row r="8208" spans="4:16" x14ac:dyDescent="0.2">
      <c r="D8208">
        <v>100004902</v>
      </c>
      <c r="E8208" s="49">
        <v>45366</v>
      </c>
      <c r="F8208" t="s">
        <v>6152</v>
      </c>
      <c r="G8208" t="s">
        <v>1956</v>
      </c>
      <c r="H8208">
        <v>7</v>
      </c>
      <c r="I8208">
        <v>115.72</v>
      </c>
      <c r="J8208" s="50">
        <v>810.04</v>
      </c>
      <c r="K8208" t="s">
        <v>1618</v>
      </c>
      <c r="M8208" t="s">
        <v>1629</v>
      </c>
      <c r="N8208">
        <v>61.07</v>
      </c>
      <c r="O8208" s="49">
        <v>45367</v>
      </c>
      <c r="P8208" s="50">
        <v>364.51799999999997</v>
      </c>
    </row>
    <row r="8209" spans="4:16" x14ac:dyDescent="0.2">
      <c r="D8209">
        <v>100004903</v>
      </c>
      <c r="E8209" s="49">
        <v>45102</v>
      </c>
      <c r="F8209" t="s">
        <v>2049</v>
      </c>
      <c r="G8209" t="s">
        <v>1728</v>
      </c>
      <c r="H8209">
        <v>7</v>
      </c>
      <c r="I8209">
        <v>83.5</v>
      </c>
      <c r="J8209" s="50">
        <v>584.5</v>
      </c>
      <c r="K8209" t="s">
        <v>1618</v>
      </c>
      <c r="M8209" t="s">
        <v>1619</v>
      </c>
      <c r="N8209">
        <v>44.07</v>
      </c>
      <c r="O8209" s="49">
        <v>45106</v>
      </c>
      <c r="P8209" s="50">
        <v>263.02500000000003</v>
      </c>
    </row>
    <row r="8210" spans="4:16" x14ac:dyDescent="0.2">
      <c r="D8210">
        <v>100004903</v>
      </c>
      <c r="E8210" s="49">
        <v>45102</v>
      </c>
      <c r="F8210" t="s">
        <v>2049</v>
      </c>
      <c r="G8210" t="s">
        <v>1723</v>
      </c>
      <c r="H8210">
        <v>4</v>
      </c>
      <c r="I8210">
        <v>111.79</v>
      </c>
      <c r="J8210" s="50">
        <v>447.16</v>
      </c>
      <c r="K8210" t="s">
        <v>1618</v>
      </c>
      <c r="M8210" t="s">
        <v>1629</v>
      </c>
      <c r="N8210">
        <v>59</v>
      </c>
      <c r="O8210" s="49">
        <v>45103</v>
      </c>
      <c r="P8210" s="50">
        <v>201.22200000000001</v>
      </c>
    </row>
    <row r="8211" spans="4:16" x14ac:dyDescent="0.2">
      <c r="D8211">
        <v>100004903</v>
      </c>
      <c r="E8211" s="49">
        <v>45089</v>
      </c>
      <c r="F8211" t="s">
        <v>2049</v>
      </c>
      <c r="G8211" t="s">
        <v>2581</v>
      </c>
      <c r="H8211">
        <v>2</v>
      </c>
      <c r="I8211">
        <v>107</v>
      </c>
      <c r="J8211" s="50">
        <v>214</v>
      </c>
      <c r="K8211" t="s">
        <v>1618</v>
      </c>
      <c r="M8211" t="s">
        <v>1627</v>
      </c>
      <c r="N8211">
        <v>56.47</v>
      </c>
      <c r="O8211" s="49">
        <v>45092</v>
      </c>
      <c r="P8211" s="50">
        <v>96.3</v>
      </c>
    </row>
    <row r="8212" spans="4:16" x14ac:dyDescent="0.2">
      <c r="D8212">
        <v>100004906</v>
      </c>
      <c r="E8212" s="49">
        <v>44760</v>
      </c>
      <c r="F8212" t="s">
        <v>6153</v>
      </c>
      <c r="G8212" t="s">
        <v>1719</v>
      </c>
      <c r="H8212">
        <v>4</v>
      </c>
      <c r="I8212">
        <v>118.28</v>
      </c>
      <c r="J8212" s="50">
        <v>473.12</v>
      </c>
      <c r="K8212" t="s">
        <v>1632</v>
      </c>
      <c r="M8212" t="s">
        <v>1619</v>
      </c>
      <c r="N8212">
        <v>62.43</v>
      </c>
      <c r="O8212" s="49">
        <v>44765</v>
      </c>
      <c r="P8212" s="50">
        <v>212.904</v>
      </c>
    </row>
    <row r="8213" spans="4:16" x14ac:dyDescent="0.2">
      <c r="D8213">
        <v>100004906</v>
      </c>
      <c r="E8213" s="49">
        <v>45479</v>
      </c>
      <c r="F8213" t="s">
        <v>6153</v>
      </c>
      <c r="G8213" t="s">
        <v>2707</v>
      </c>
      <c r="H8213">
        <v>7</v>
      </c>
      <c r="I8213">
        <v>74.430000000000007</v>
      </c>
      <c r="J8213" s="50">
        <v>521.01</v>
      </c>
      <c r="K8213" t="s">
        <v>1632</v>
      </c>
      <c r="M8213" t="s">
        <v>1621</v>
      </c>
      <c r="N8213">
        <v>39.28</v>
      </c>
      <c r="O8213" s="49">
        <v>45482</v>
      </c>
      <c r="P8213" s="50">
        <v>234.4545</v>
      </c>
    </row>
    <row r="8214" spans="4:16" x14ac:dyDescent="0.2">
      <c r="D8214">
        <v>100004906</v>
      </c>
      <c r="E8214" s="49">
        <v>45081</v>
      </c>
      <c r="F8214" t="s">
        <v>6153</v>
      </c>
      <c r="G8214" t="s">
        <v>1857</v>
      </c>
      <c r="H8214">
        <v>3</v>
      </c>
      <c r="I8214">
        <v>111.79</v>
      </c>
      <c r="J8214" s="50">
        <v>335.37</v>
      </c>
      <c r="K8214" t="s">
        <v>1632</v>
      </c>
      <c r="M8214" t="s">
        <v>1621</v>
      </c>
      <c r="N8214">
        <v>59</v>
      </c>
      <c r="O8214" s="49">
        <v>45085</v>
      </c>
      <c r="P8214" s="50">
        <v>150.91650000000001</v>
      </c>
    </row>
    <row r="8215" spans="4:16" x14ac:dyDescent="0.2">
      <c r="D8215">
        <v>100004908</v>
      </c>
      <c r="E8215" s="49">
        <v>45152</v>
      </c>
      <c r="F8215" t="s">
        <v>6154</v>
      </c>
      <c r="G8215" t="s">
        <v>1648</v>
      </c>
      <c r="H8215">
        <v>6</v>
      </c>
      <c r="I8215">
        <v>24.04</v>
      </c>
      <c r="J8215" s="50">
        <v>144.24</v>
      </c>
      <c r="K8215" t="s">
        <v>1618</v>
      </c>
      <c r="L8215" t="s">
        <v>3544</v>
      </c>
      <c r="M8215" t="s">
        <v>1621</v>
      </c>
      <c r="N8215">
        <v>12.69</v>
      </c>
      <c r="O8215" s="49">
        <v>45155</v>
      </c>
      <c r="P8215" s="50">
        <v>64.908000000000001</v>
      </c>
    </row>
    <row r="8216" spans="4:16" x14ac:dyDescent="0.2">
      <c r="D8216">
        <v>100004908</v>
      </c>
      <c r="E8216" s="49">
        <v>45237</v>
      </c>
      <c r="F8216" t="s">
        <v>6154</v>
      </c>
      <c r="G8216" t="s">
        <v>1651</v>
      </c>
      <c r="H8216">
        <v>2</v>
      </c>
      <c r="I8216">
        <v>12.84</v>
      </c>
      <c r="J8216" s="50">
        <v>25.68</v>
      </c>
      <c r="K8216" t="s">
        <v>1618</v>
      </c>
      <c r="L8216" t="s">
        <v>3544</v>
      </c>
      <c r="M8216" t="s">
        <v>1624</v>
      </c>
      <c r="N8216">
        <v>6.78</v>
      </c>
      <c r="O8216" s="49">
        <v>45242</v>
      </c>
      <c r="P8216" s="50">
        <v>11.556000000000001</v>
      </c>
    </row>
    <row r="8217" spans="4:16" x14ac:dyDescent="0.2">
      <c r="D8217">
        <v>100004909</v>
      </c>
      <c r="E8217" s="49">
        <v>44268</v>
      </c>
      <c r="F8217" t="s">
        <v>6155</v>
      </c>
      <c r="G8217" t="s">
        <v>2151</v>
      </c>
      <c r="H8217">
        <v>2</v>
      </c>
      <c r="I8217">
        <v>70.05</v>
      </c>
      <c r="J8217" s="50">
        <v>140.1</v>
      </c>
      <c r="K8217" t="s">
        <v>1632</v>
      </c>
      <c r="M8217" t="s">
        <v>1624</v>
      </c>
      <c r="N8217">
        <v>36.97</v>
      </c>
      <c r="O8217" s="49">
        <v>44273</v>
      </c>
      <c r="P8217" s="50">
        <v>63.045000000000002</v>
      </c>
    </row>
    <row r="8218" spans="4:16" x14ac:dyDescent="0.2">
      <c r="D8218">
        <v>100004909</v>
      </c>
      <c r="E8218" s="49">
        <v>44253</v>
      </c>
      <c r="F8218" t="s">
        <v>6155</v>
      </c>
      <c r="G8218" t="s">
        <v>2069</v>
      </c>
      <c r="H8218">
        <v>1</v>
      </c>
      <c r="I8218">
        <v>31.75</v>
      </c>
      <c r="J8218" s="50">
        <v>31.75</v>
      </c>
      <c r="K8218" t="s">
        <v>1632</v>
      </c>
      <c r="M8218" t="s">
        <v>1621</v>
      </c>
      <c r="N8218">
        <v>16.760000000000002</v>
      </c>
      <c r="O8218" s="49">
        <v>44257</v>
      </c>
      <c r="P8218" s="50">
        <v>14.2875</v>
      </c>
    </row>
    <row r="8219" spans="4:16" x14ac:dyDescent="0.2">
      <c r="D8219">
        <v>100004910</v>
      </c>
      <c r="E8219" s="49">
        <v>45639</v>
      </c>
      <c r="F8219" t="s">
        <v>6156</v>
      </c>
      <c r="G8219" t="s">
        <v>2480</v>
      </c>
      <c r="H8219">
        <v>6</v>
      </c>
      <c r="I8219">
        <v>119.56</v>
      </c>
      <c r="J8219" s="50">
        <v>717.36</v>
      </c>
      <c r="K8219" t="s">
        <v>1632</v>
      </c>
      <c r="M8219" t="s">
        <v>1621</v>
      </c>
      <c r="N8219">
        <v>63.1</v>
      </c>
      <c r="O8219" s="49">
        <v>45644</v>
      </c>
      <c r="P8219" s="50">
        <v>322.81200000000001</v>
      </c>
    </row>
    <row r="8220" spans="4:16" x14ac:dyDescent="0.2">
      <c r="D8220">
        <v>100004910</v>
      </c>
      <c r="E8220" s="49">
        <v>45053</v>
      </c>
      <c r="F8220" t="s">
        <v>6156</v>
      </c>
      <c r="G8220" t="s">
        <v>1855</v>
      </c>
      <c r="H8220">
        <v>6</v>
      </c>
      <c r="I8220">
        <v>111.26</v>
      </c>
      <c r="J8220" s="50">
        <v>667.56000000000006</v>
      </c>
      <c r="K8220" t="s">
        <v>1632</v>
      </c>
      <c r="M8220" t="s">
        <v>1621</v>
      </c>
      <c r="N8220">
        <v>58.72</v>
      </c>
      <c r="O8220" s="49">
        <v>45056</v>
      </c>
      <c r="P8220" s="50">
        <v>300.40200000000004</v>
      </c>
    </row>
    <row r="8221" spans="4:16" x14ac:dyDescent="0.2">
      <c r="D8221">
        <v>100004912</v>
      </c>
      <c r="E8221" s="49">
        <v>45444</v>
      </c>
      <c r="F8221" t="s">
        <v>6157</v>
      </c>
      <c r="G8221" t="s">
        <v>1687</v>
      </c>
      <c r="H8221">
        <v>8</v>
      </c>
      <c r="I8221">
        <v>17.579999999999998</v>
      </c>
      <c r="J8221" s="50">
        <v>140.63999999999999</v>
      </c>
      <c r="K8221" t="s">
        <v>1632</v>
      </c>
      <c r="M8221" t="s">
        <v>1624</v>
      </c>
      <c r="N8221">
        <v>9.2799999999999994</v>
      </c>
      <c r="O8221" s="49">
        <v>45446</v>
      </c>
      <c r="P8221" s="50">
        <v>63.287999999999997</v>
      </c>
    </row>
    <row r="8222" spans="4:16" x14ac:dyDescent="0.2">
      <c r="D8222">
        <v>100004912</v>
      </c>
      <c r="E8222" s="49">
        <v>45611</v>
      </c>
      <c r="F8222" t="s">
        <v>6157</v>
      </c>
      <c r="G8222" t="s">
        <v>2302</v>
      </c>
      <c r="H8222">
        <v>10</v>
      </c>
      <c r="I8222">
        <v>10.26</v>
      </c>
      <c r="J8222" s="50">
        <v>102.6</v>
      </c>
      <c r="K8222" t="s">
        <v>1632</v>
      </c>
      <c r="M8222" t="s">
        <v>1627</v>
      </c>
      <c r="N8222">
        <v>5.41</v>
      </c>
      <c r="O8222" s="49">
        <v>45615</v>
      </c>
      <c r="P8222" s="50">
        <v>46.17</v>
      </c>
    </row>
    <row r="8223" spans="4:16" x14ac:dyDescent="0.2">
      <c r="D8223">
        <v>100004915</v>
      </c>
      <c r="E8223" s="49">
        <v>44735</v>
      </c>
      <c r="F8223" t="s">
        <v>6158</v>
      </c>
      <c r="G8223" t="s">
        <v>1781</v>
      </c>
      <c r="H8223">
        <v>8</v>
      </c>
      <c r="I8223">
        <v>37.909999999999997</v>
      </c>
      <c r="J8223" s="50">
        <v>303.27999999999997</v>
      </c>
      <c r="K8223" t="s">
        <v>1618</v>
      </c>
      <c r="L8223" t="s">
        <v>2863</v>
      </c>
      <c r="M8223" t="s">
        <v>1621</v>
      </c>
      <c r="N8223">
        <v>20.010000000000002</v>
      </c>
      <c r="O8223" s="49">
        <v>44740</v>
      </c>
      <c r="P8223" s="50">
        <v>136.476</v>
      </c>
    </row>
    <row r="8224" spans="4:16" x14ac:dyDescent="0.2">
      <c r="D8224">
        <v>100004916</v>
      </c>
      <c r="E8224" s="49">
        <v>44214</v>
      </c>
      <c r="F8224" t="s">
        <v>6159</v>
      </c>
      <c r="G8224" t="s">
        <v>1865</v>
      </c>
      <c r="H8224">
        <v>6</v>
      </c>
      <c r="I8224">
        <v>97.4</v>
      </c>
      <c r="J8224" s="50">
        <v>584.40000000000009</v>
      </c>
      <c r="K8224" t="s">
        <v>1618</v>
      </c>
      <c r="M8224" t="s">
        <v>1619</v>
      </c>
      <c r="N8224">
        <v>51.41</v>
      </c>
      <c r="O8224" s="49">
        <v>44219</v>
      </c>
      <c r="P8224" s="50">
        <v>262.98000000000008</v>
      </c>
    </row>
    <row r="8225" spans="4:16" x14ac:dyDescent="0.2">
      <c r="D8225">
        <v>100004916</v>
      </c>
      <c r="E8225" s="49">
        <v>44816</v>
      </c>
      <c r="F8225" t="s">
        <v>6159</v>
      </c>
      <c r="G8225" t="s">
        <v>1650</v>
      </c>
      <c r="H8225">
        <v>1</v>
      </c>
      <c r="I8225">
        <v>12.86</v>
      </c>
      <c r="J8225" s="50">
        <v>12.86</v>
      </c>
      <c r="K8225" t="s">
        <v>1618</v>
      </c>
      <c r="M8225" t="s">
        <v>1621</v>
      </c>
      <c r="N8225">
        <v>6.79</v>
      </c>
      <c r="O8225" s="49">
        <v>44821</v>
      </c>
      <c r="P8225" s="50">
        <v>5.7869999999999999</v>
      </c>
    </row>
    <row r="8226" spans="4:16" x14ac:dyDescent="0.2">
      <c r="D8226">
        <v>100004917</v>
      </c>
      <c r="E8226" s="49">
        <v>45304</v>
      </c>
      <c r="F8226" t="s">
        <v>6160</v>
      </c>
      <c r="G8226" t="s">
        <v>2581</v>
      </c>
      <c r="H8226">
        <v>1</v>
      </c>
      <c r="I8226">
        <v>59.72</v>
      </c>
      <c r="J8226" s="50">
        <v>59.72</v>
      </c>
      <c r="K8226" t="s">
        <v>1618</v>
      </c>
      <c r="M8226" t="s">
        <v>1619</v>
      </c>
      <c r="N8226">
        <v>31.52</v>
      </c>
      <c r="O8226" s="49">
        <v>45308</v>
      </c>
      <c r="P8226" s="50">
        <v>26.873999999999999</v>
      </c>
    </row>
    <row r="8227" spans="4:16" x14ac:dyDescent="0.2">
      <c r="D8227">
        <v>100004917</v>
      </c>
      <c r="E8227" s="49">
        <v>44510</v>
      </c>
      <c r="F8227" t="s">
        <v>6160</v>
      </c>
      <c r="G8227" t="s">
        <v>2017</v>
      </c>
      <c r="H8227">
        <v>9</v>
      </c>
      <c r="I8227">
        <v>54.33</v>
      </c>
      <c r="J8227" s="50">
        <v>488.97</v>
      </c>
      <c r="K8227" t="s">
        <v>1618</v>
      </c>
      <c r="M8227" t="s">
        <v>1621</v>
      </c>
      <c r="N8227">
        <v>28.67</v>
      </c>
      <c r="O8227" s="49">
        <v>44514</v>
      </c>
      <c r="P8227" s="50">
        <v>220.03650000000002</v>
      </c>
    </row>
    <row r="8228" spans="4:16" x14ac:dyDescent="0.2">
      <c r="D8228">
        <v>100004917</v>
      </c>
      <c r="E8228" s="49">
        <v>45205</v>
      </c>
      <c r="F8228" t="s">
        <v>6160</v>
      </c>
      <c r="G8228" t="s">
        <v>2427</v>
      </c>
      <c r="H8228">
        <v>8</v>
      </c>
      <c r="I8228">
        <v>63.75</v>
      </c>
      <c r="J8228" s="50">
        <v>510</v>
      </c>
      <c r="K8228" t="s">
        <v>1618</v>
      </c>
      <c r="M8228" t="s">
        <v>1621</v>
      </c>
      <c r="N8228">
        <v>33.65</v>
      </c>
      <c r="O8228" s="49">
        <v>45210</v>
      </c>
      <c r="P8228" s="50">
        <v>229.5</v>
      </c>
    </row>
    <row r="8229" spans="4:16" x14ac:dyDescent="0.2">
      <c r="D8229">
        <v>100004917</v>
      </c>
      <c r="E8229" s="49">
        <v>45054</v>
      </c>
      <c r="F8229" t="s">
        <v>6160</v>
      </c>
      <c r="G8229" t="s">
        <v>2191</v>
      </c>
      <c r="H8229">
        <v>6</v>
      </c>
      <c r="I8229">
        <v>68.31</v>
      </c>
      <c r="J8229" s="50">
        <v>409.86</v>
      </c>
      <c r="K8229" t="s">
        <v>1618</v>
      </c>
      <c r="M8229" t="s">
        <v>1627</v>
      </c>
      <c r="N8229">
        <v>36.049999999999997</v>
      </c>
      <c r="O8229" s="49">
        <v>45056</v>
      </c>
      <c r="P8229" s="50">
        <v>184.43700000000001</v>
      </c>
    </row>
    <row r="8230" spans="4:16" x14ac:dyDescent="0.2">
      <c r="D8230">
        <v>100004917</v>
      </c>
      <c r="E8230" s="49">
        <v>45325</v>
      </c>
      <c r="F8230" t="s">
        <v>6160</v>
      </c>
      <c r="G8230" t="s">
        <v>2343</v>
      </c>
      <c r="H8230">
        <v>3</v>
      </c>
      <c r="I8230">
        <v>105.95</v>
      </c>
      <c r="J8230" s="50">
        <v>317.85000000000002</v>
      </c>
      <c r="K8230" t="s">
        <v>1618</v>
      </c>
      <c r="M8230" t="s">
        <v>1624</v>
      </c>
      <c r="N8230">
        <v>55.92</v>
      </c>
      <c r="O8230" s="49">
        <v>45328</v>
      </c>
      <c r="P8230" s="50">
        <v>143.03250000000003</v>
      </c>
    </row>
    <row r="8231" spans="4:16" x14ac:dyDescent="0.2">
      <c r="D8231">
        <v>100004917</v>
      </c>
      <c r="E8231" s="49">
        <v>44617</v>
      </c>
      <c r="F8231" t="s">
        <v>6160</v>
      </c>
      <c r="G8231" t="s">
        <v>2099</v>
      </c>
      <c r="H8231">
        <v>9</v>
      </c>
      <c r="I8231">
        <v>101.56</v>
      </c>
      <c r="J8231" s="50">
        <v>914.04</v>
      </c>
      <c r="K8231" t="s">
        <v>1618</v>
      </c>
      <c r="M8231" t="s">
        <v>1621</v>
      </c>
      <c r="N8231">
        <v>53.6</v>
      </c>
      <c r="O8231" s="49">
        <v>44618</v>
      </c>
      <c r="P8231" s="50">
        <v>411.31799999999998</v>
      </c>
    </row>
    <row r="8232" spans="4:16" x14ac:dyDescent="0.2">
      <c r="D8232">
        <v>100004917</v>
      </c>
      <c r="E8232" s="49">
        <v>44998</v>
      </c>
      <c r="F8232" t="s">
        <v>6160</v>
      </c>
      <c r="G8232" t="s">
        <v>1775</v>
      </c>
      <c r="H8232">
        <v>1</v>
      </c>
      <c r="I8232">
        <v>59.97</v>
      </c>
      <c r="J8232" s="50">
        <v>59.97</v>
      </c>
      <c r="K8232" t="s">
        <v>1618</v>
      </c>
      <c r="M8232" t="s">
        <v>1627</v>
      </c>
      <c r="N8232">
        <v>31.65</v>
      </c>
      <c r="O8232" s="49">
        <v>44999</v>
      </c>
      <c r="P8232" s="50">
        <v>26.986499999999999</v>
      </c>
    </row>
    <row r="8233" spans="4:16" x14ac:dyDescent="0.2">
      <c r="D8233">
        <v>100004919</v>
      </c>
      <c r="E8233" s="49">
        <v>44417</v>
      </c>
      <c r="F8233" t="s">
        <v>6161</v>
      </c>
      <c r="G8233" t="s">
        <v>2079</v>
      </c>
      <c r="H8233">
        <v>10</v>
      </c>
      <c r="I8233">
        <v>94.9</v>
      </c>
      <c r="J8233" s="50">
        <v>949</v>
      </c>
      <c r="K8233" t="s">
        <v>1632</v>
      </c>
      <c r="M8233" t="s">
        <v>1627</v>
      </c>
      <c r="N8233">
        <v>50.09</v>
      </c>
      <c r="O8233" s="49">
        <v>44418</v>
      </c>
      <c r="P8233" s="50">
        <v>427.05</v>
      </c>
    </row>
    <row r="8234" spans="4:16" x14ac:dyDescent="0.2">
      <c r="D8234">
        <v>100004921</v>
      </c>
      <c r="E8234" s="49">
        <v>45486</v>
      </c>
      <c r="F8234" t="s">
        <v>3206</v>
      </c>
      <c r="G8234" t="s">
        <v>1777</v>
      </c>
      <c r="H8234">
        <v>9</v>
      </c>
      <c r="I8234">
        <v>39.44</v>
      </c>
      <c r="J8234" s="50">
        <v>354.96</v>
      </c>
      <c r="K8234" t="s">
        <v>1618</v>
      </c>
      <c r="L8234" t="s">
        <v>5771</v>
      </c>
      <c r="M8234" t="s">
        <v>1621</v>
      </c>
      <c r="N8234">
        <v>20.82</v>
      </c>
      <c r="O8234" s="49">
        <v>45488</v>
      </c>
      <c r="P8234" s="50">
        <v>159.732</v>
      </c>
    </row>
    <row r="8235" spans="4:16" x14ac:dyDescent="0.2">
      <c r="D8235">
        <v>100004921</v>
      </c>
      <c r="E8235" s="49">
        <v>45143</v>
      </c>
      <c r="F8235" t="s">
        <v>3206</v>
      </c>
      <c r="G8235" t="s">
        <v>2093</v>
      </c>
      <c r="H8235">
        <v>1</v>
      </c>
      <c r="I8235">
        <v>81.02</v>
      </c>
      <c r="J8235" s="50">
        <v>81.02</v>
      </c>
      <c r="K8235" t="s">
        <v>1618</v>
      </c>
      <c r="L8235" t="s">
        <v>5771</v>
      </c>
      <c r="M8235" t="s">
        <v>1621</v>
      </c>
      <c r="N8235">
        <v>42.76</v>
      </c>
      <c r="O8235" s="49">
        <v>45145</v>
      </c>
      <c r="P8235" s="50">
        <v>36.458999999999996</v>
      </c>
    </row>
    <row r="8236" spans="4:16" x14ac:dyDescent="0.2">
      <c r="D8236">
        <v>100004923</v>
      </c>
      <c r="E8236" s="49">
        <v>44450</v>
      </c>
      <c r="F8236" t="s">
        <v>6162</v>
      </c>
      <c r="G8236" t="s">
        <v>1945</v>
      </c>
      <c r="H8236">
        <v>3</v>
      </c>
      <c r="I8236">
        <v>80.099999999999994</v>
      </c>
      <c r="J8236" s="50">
        <v>240.3</v>
      </c>
      <c r="K8236" t="s">
        <v>1618</v>
      </c>
      <c r="M8236" t="s">
        <v>1627</v>
      </c>
      <c r="N8236">
        <v>42.27</v>
      </c>
      <c r="O8236" s="49">
        <v>44455</v>
      </c>
      <c r="P8236" s="50">
        <v>108.13500000000001</v>
      </c>
    </row>
    <row r="8237" spans="4:16" x14ac:dyDescent="0.2">
      <c r="D8237">
        <v>100004924</v>
      </c>
      <c r="E8237" s="49">
        <v>45015</v>
      </c>
      <c r="F8237" t="s">
        <v>6163</v>
      </c>
      <c r="G8237" t="s">
        <v>2159</v>
      </c>
      <c r="H8237">
        <v>5</v>
      </c>
      <c r="I8237">
        <v>55.6</v>
      </c>
      <c r="J8237" s="50">
        <v>278</v>
      </c>
      <c r="K8237" t="s">
        <v>1632</v>
      </c>
      <c r="L8237" t="s">
        <v>2695</v>
      </c>
      <c r="M8237" t="s">
        <v>1629</v>
      </c>
      <c r="N8237">
        <v>29.34</v>
      </c>
      <c r="O8237" s="49">
        <v>45016</v>
      </c>
      <c r="P8237" s="50">
        <v>125.10000000000001</v>
      </c>
    </row>
    <row r="8238" spans="4:16" x14ac:dyDescent="0.2">
      <c r="D8238">
        <v>100004925</v>
      </c>
      <c r="E8238" s="49">
        <v>44397</v>
      </c>
      <c r="F8238" t="s">
        <v>6164</v>
      </c>
      <c r="G8238" t="s">
        <v>1955</v>
      </c>
      <c r="H8238">
        <v>9</v>
      </c>
      <c r="I8238">
        <v>74.62</v>
      </c>
      <c r="J8238" s="50">
        <v>671.58</v>
      </c>
      <c r="K8238" t="s">
        <v>1618</v>
      </c>
      <c r="L8238" t="s">
        <v>2632</v>
      </c>
      <c r="M8238" t="s">
        <v>1624</v>
      </c>
      <c r="N8238">
        <v>39.380000000000003</v>
      </c>
      <c r="O8238" s="49">
        <v>44401</v>
      </c>
      <c r="P8238" s="50">
        <v>302.21100000000001</v>
      </c>
    </row>
    <row r="8239" spans="4:16" x14ac:dyDescent="0.2">
      <c r="D8239">
        <v>100004929</v>
      </c>
      <c r="E8239" s="49">
        <v>44209</v>
      </c>
      <c r="F8239" t="s">
        <v>6165</v>
      </c>
      <c r="G8239" t="s">
        <v>1950</v>
      </c>
      <c r="H8239">
        <v>10</v>
      </c>
      <c r="I8239">
        <v>90.61</v>
      </c>
      <c r="J8239" s="50">
        <v>906.1</v>
      </c>
      <c r="K8239" t="s">
        <v>1632</v>
      </c>
      <c r="M8239" t="s">
        <v>1629</v>
      </c>
      <c r="N8239">
        <v>47.82</v>
      </c>
      <c r="O8239" s="49">
        <v>44214</v>
      </c>
      <c r="P8239" s="50">
        <v>407.745</v>
      </c>
    </row>
    <row r="8240" spans="4:16" x14ac:dyDescent="0.2">
      <c r="D8240">
        <v>100004929</v>
      </c>
      <c r="E8240" s="49">
        <v>44658</v>
      </c>
      <c r="F8240" t="s">
        <v>6165</v>
      </c>
      <c r="G8240" t="s">
        <v>1710</v>
      </c>
      <c r="H8240">
        <v>3</v>
      </c>
      <c r="I8240">
        <v>68.040000000000006</v>
      </c>
      <c r="J8240" s="50">
        <v>204.12</v>
      </c>
      <c r="K8240" t="s">
        <v>1632</v>
      </c>
      <c r="M8240" t="s">
        <v>1619</v>
      </c>
      <c r="N8240">
        <v>35.909999999999997</v>
      </c>
      <c r="O8240" s="49">
        <v>44663</v>
      </c>
      <c r="P8240" s="50">
        <v>91.853999999999999</v>
      </c>
    </row>
    <row r="8241" spans="4:16" x14ac:dyDescent="0.2">
      <c r="D8241">
        <v>100004930</v>
      </c>
      <c r="E8241" s="49">
        <v>44569</v>
      </c>
      <c r="F8241" t="s">
        <v>6166</v>
      </c>
      <c r="G8241" t="s">
        <v>1652</v>
      </c>
      <c r="H8241">
        <v>6</v>
      </c>
      <c r="I8241">
        <v>110.67</v>
      </c>
      <c r="J8241" s="50">
        <v>664.02</v>
      </c>
      <c r="K8241" t="s">
        <v>1618</v>
      </c>
      <c r="L8241" t="s">
        <v>5316</v>
      </c>
      <c r="M8241" t="s">
        <v>1627</v>
      </c>
      <c r="N8241">
        <v>58.41</v>
      </c>
      <c r="O8241" s="49">
        <v>44574</v>
      </c>
      <c r="P8241" s="50">
        <v>298.80900000000003</v>
      </c>
    </row>
    <row r="8242" spans="4:16" x14ac:dyDescent="0.2">
      <c r="D8242">
        <v>100004931</v>
      </c>
      <c r="E8242" s="49">
        <v>45034</v>
      </c>
      <c r="F8242" t="s">
        <v>6167</v>
      </c>
      <c r="G8242" t="s">
        <v>1655</v>
      </c>
      <c r="H8242">
        <v>1</v>
      </c>
      <c r="I8242">
        <v>111.33</v>
      </c>
      <c r="J8242" s="50">
        <v>111.33</v>
      </c>
      <c r="K8242" t="s">
        <v>1632</v>
      </c>
      <c r="M8242" t="s">
        <v>1624</v>
      </c>
      <c r="N8242">
        <v>58.76</v>
      </c>
      <c r="O8242" s="49">
        <v>45036</v>
      </c>
      <c r="P8242" s="50">
        <v>50.098500000000001</v>
      </c>
    </row>
    <row r="8243" spans="4:16" x14ac:dyDescent="0.2">
      <c r="D8243">
        <v>100004931</v>
      </c>
      <c r="E8243" s="49">
        <v>44698</v>
      </c>
      <c r="F8243" t="s">
        <v>6167</v>
      </c>
      <c r="G8243" t="s">
        <v>1944</v>
      </c>
      <c r="H8243">
        <v>7</v>
      </c>
      <c r="I8243">
        <v>96.24</v>
      </c>
      <c r="J8243" s="50">
        <v>673.68</v>
      </c>
      <c r="K8243" t="s">
        <v>1632</v>
      </c>
      <c r="M8243" t="s">
        <v>1627</v>
      </c>
      <c r="N8243">
        <v>50.79</v>
      </c>
      <c r="O8243" s="49">
        <v>44699</v>
      </c>
      <c r="P8243" s="50">
        <v>303.15600000000001</v>
      </c>
    </row>
    <row r="8244" spans="4:16" x14ac:dyDescent="0.2">
      <c r="D8244">
        <v>100004931</v>
      </c>
      <c r="E8244" s="49">
        <v>44313</v>
      </c>
      <c r="F8244" t="s">
        <v>6167</v>
      </c>
      <c r="G8244" t="s">
        <v>2343</v>
      </c>
      <c r="H8244">
        <v>5</v>
      </c>
      <c r="I8244">
        <v>86.37</v>
      </c>
      <c r="J8244" s="50">
        <v>431.85</v>
      </c>
      <c r="K8244" t="s">
        <v>1632</v>
      </c>
      <c r="M8244" t="s">
        <v>1627</v>
      </c>
      <c r="N8244">
        <v>45.58</v>
      </c>
      <c r="O8244" s="49">
        <v>44314</v>
      </c>
      <c r="P8244" s="50">
        <v>194.33250000000001</v>
      </c>
    </row>
    <row r="8245" spans="4:16" x14ac:dyDescent="0.2">
      <c r="D8245">
        <v>100004931</v>
      </c>
      <c r="E8245" s="49">
        <v>44425</v>
      </c>
      <c r="F8245" t="s">
        <v>6167</v>
      </c>
      <c r="G8245" t="s">
        <v>1808</v>
      </c>
      <c r="H8245">
        <v>2</v>
      </c>
      <c r="I8245">
        <v>24.21</v>
      </c>
      <c r="J8245" s="50">
        <v>48.42</v>
      </c>
      <c r="K8245" t="s">
        <v>1632</v>
      </c>
      <c r="M8245" t="s">
        <v>1619</v>
      </c>
      <c r="N8245">
        <v>12.78</v>
      </c>
      <c r="O8245" s="49">
        <v>44430</v>
      </c>
      <c r="P8245" s="50">
        <v>21.789000000000001</v>
      </c>
    </row>
    <row r="8246" spans="4:16" x14ac:dyDescent="0.2">
      <c r="D8246">
        <v>100004933</v>
      </c>
      <c r="E8246" s="49">
        <v>45619</v>
      </c>
      <c r="F8246" t="s">
        <v>6168</v>
      </c>
      <c r="G8246" t="s">
        <v>1681</v>
      </c>
      <c r="H8246">
        <v>10</v>
      </c>
      <c r="I8246">
        <v>89.09</v>
      </c>
      <c r="J8246" s="50">
        <v>890.90000000000009</v>
      </c>
      <c r="K8246" t="s">
        <v>1618</v>
      </c>
      <c r="M8246" t="s">
        <v>1629</v>
      </c>
      <c r="N8246">
        <v>47.02</v>
      </c>
      <c r="O8246" s="49">
        <v>45620</v>
      </c>
      <c r="P8246" s="50">
        <v>400.90500000000003</v>
      </c>
    </row>
    <row r="8247" spans="4:16" x14ac:dyDescent="0.2">
      <c r="D8247">
        <v>100004934</v>
      </c>
      <c r="E8247" s="49">
        <v>44858</v>
      </c>
      <c r="F8247" t="s">
        <v>6169</v>
      </c>
      <c r="G8247" t="s">
        <v>1664</v>
      </c>
      <c r="H8247">
        <v>2</v>
      </c>
      <c r="I8247">
        <v>24.9</v>
      </c>
      <c r="J8247" s="50">
        <v>49.8</v>
      </c>
      <c r="K8247" t="s">
        <v>1618</v>
      </c>
      <c r="L8247" t="s">
        <v>6170</v>
      </c>
      <c r="M8247" t="s">
        <v>1624</v>
      </c>
      <c r="N8247">
        <v>13.14</v>
      </c>
      <c r="O8247" s="49">
        <v>44861</v>
      </c>
      <c r="P8247" s="50">
        <v>22.41</v>
      </c>
    </row>
    <row r="8248" spans="4:16" x14ac:dyDescent="0.2">
      <c r="D8248">
        <v>100004934</v>
      </c>
      <c r="E8248" s="49">
        <v>44832</v>
      </c>
      <c r="F8248" t="s">
        <v>6169</v>
      </c>
      <c r="G8248" t="s">
        <v>1719</v>
      </c>
      <c r="H8248">
        <v>6</v>
      </c>
      <c r="I8248">
        <v>39.93</v>
      </c>
      <c r="J8248" s="50">
        <v>239.58</v>
      </c>
      <c r="K8248" t="s">
        <v>1618</v>
      </c>
      <c r="L8248" t="s">
        <v>6170</v>
      </c>
      <c r="M8248" t="s">
        <v>1627</v>
      </c>
      <c r="N8248">
        <v>21.07</v>
      </c>
      <c r="O8248" s="49">
        <v>44837</v>
      </c>
      <c r="P8248" s="50">
        <v>107.81100000000001</v>
      </c>
    </row>
    <row r="8249" spans="4:16" x14ac:dyDescent="0.2">
      <c r="D8249">
        <v>100004935</v>
      </c>
      <c r="E8249" s="49">
        <v>44949</v>
      </c>
      <c r="F8249" t="s">
        <v>6171</v>
      </c>
      <c r="G8249" t="s">
        <v>1756</v>
      </c>
      <c r="H8249">
        <v>3</v>
      </c>
      <c r="I8249">
        <v>81.459999999999994</v>
      </c>
      <c r="J8249" s="50">
        <v>244.38</v>
      </c>
      <c r="K8249" t="s">
        <v>1618</v>
      </c>
      <c r="L8249" t="s">
        <v>4558</v>
      </c>
      <c r="M8249" t="s">
        <v>1629</v>
      </c>
      <c r="N8249">
        <v>42.99</v>
      </c>
      <c r="O8249" s="49">
        <v>44953</v>
      </c>
      <c r="P8249" s="50">
        <v>109.971</v>
      </c>
    </row>
    <row r="8250" spans="4:16" x14ac:dyDescent="0.2">
      <c r="D8250">
        <v>100004936</v>
      </c>
      <c r="E8250" s="49">
        <v>45421</v>
      </c>
      <c r="F8250" t="s">
        <v>6172</v>
      </c>
      <c r="G8250" t="s">
        <v>1857</v>
      </c>
      <c r="H8250">
        <v>10</v>
      </c>
      <c r="I8250">
        <v>55.3</v>
      </c>
      <c r="J8250" s="50">
        <v>553</v>
      </c>
      <c r="K8250" t="s">
        <v>1618</v>
      </c>
      <c r="M8250" t="s">
        <v>1629</v>
      </c>
      <c r="N8250">
        <v>29.19</v>
      </c>
      <c r="O8250" s="49">
        <v>45424</v>
      </c>
      <c r="P8250" s="50">
        <v>248.85</v>
      </c>
    </row>
    <row r="8251" spans="4:16" x14ac:dyDescent="0.2">
      <c r="D8251">
        <v>100004936</v>
      </c>
      <c r="E8251" s="49">
        <v>44224</v>
      </c>
      <c r="F8251" t="s">
        <v>6172</v>
      </c>
      <c r="G8251" t="s">
        <v>2343</v>
      </c>
      <c r="H8251">
        <v>4</v>
      </c>
      <c r="I8251">
        <v>106.21</v>
      </c>
      <c r="J8251" s="50">
        <v>424.84</v>
      </c>
      <c r="K8251" t="s">
        <v>1618</v>
      </c>
      <c r="M8251" t="s">
        <v>1629</v>
      </c>
      <c r="N8251">
        <v>56.05</v>
      </c>
      <c r="O8251" s="49">
        <v>44226</v>
      </c>
      <c r="P8251" s="50">
        <v>191.178</v>
      </c>
    </row>
    <row r="8252" spans="4:16" x14ac:dyDescent="0.2">
      <c r="D8252">
        <v>100004936</v>
      </c>
      <c r="E8252" s="49">
        <v>45003</v>
      </c>
      <c r="F8252" t="s">
        <v>6172</v>
      </c>
      <c r="G8252" t="s">
        <v>2480</v>
      </c>
      <c r="H8252">
        <v>2</v>
      </c>
      <c r="I8252">
        <v>35.19</v>
      </c>
      <c r="J8252" s="50">
        <v>70.38</v>
      </c>
      <c r="K8252" t="s">
        <v>1618</v>
      </c>
      <c r="M8252" t="s">
        <v>1624</v>
      </c>
      <c r="N8252">
        <v>18.57</v>
      </c>
      <c r="O8252" s="49">
        <v>45008</v>
      </c>
      <c r="P8252" s="50">
        <v>31.670999999999999</v>
      </c>
    </row>
    <row r="8253" spans="4:16" x14ac:dyDescent="0.2">
      <c r="D8253">
        <v>100004936</v>
      </c>
      <c r="E8253" s="49">
        <v>44605</v>
      </c>
      <c r="F8253" t="s">
        <v>6172</v>
      </c>
      <c r="G8253" t="s">
        <v>2707</v>
      </c>
      <c r="H8253">
        <v>9</v>
      </c>
      <c r="I8253">
        <v>68</v>
      </c>
      <c r="J8253" s="50">
        <v>612</v>
      </c>
      <c r="K8253" t="s">
        <v>1618</v>
      </c>
      <c r="M8253" t="s">
        <v>1629</v>
      </c>
      <c r="N8253">
        <v>35.89</v>
      </c>
      <c r="O8253" s="49">
        <v>44607</v>
      </c>
      <c r="P8253" s="50">
        <v>275.40000000000003</v>
      </c>
    </row>
    <row r="8254" spans="4:16" x14ac:dyDescent="0.2">
      <c r="D8254">
        <v>100004936</v>
      </c>
      <c r="E8254" s="49">
        <v>44911</v>
      </c>
      <c r="F8254" t="s">
        <v>6172</v>
      </c>
      <c r="G8254" t="s">
        <v>1617</v>
      </c>
      <c r="H8254">
        <v>1</v>
      </c>
      <c r="I8254">
        <v>69.900000000000006</v>
      </c>
      <c r="J8254" s="50">
        <v>69.900000000000006</v>
      </c>
      <c r="K8254" t="s">
        <v>1618</v>
      </c>
      <c r="M8254" t="s">
        <v>1624</v>
      </c>
      <c r="N8254">
        <v>36.89</v>
      </c>
      <c r="O8254" s="49">
        <v>44916</v>
      </c>
      <c r="P8254" s="50">
        <v>31.455000000000002</v>
      </c>
    </row>
    <row r="8255" spans="4:16" x14ac:dyDescent="0.2">
      <c r="D8255">
        <v>100004936</v>
      </c>
      <c r="E8255" s="49">
        <v>45625</v>
      </c>
      <c r="F8255" t="s">
        <v>6172</v>
      </c>
      <c r="G8255" t="s">
        <v>2050</v>
      </c>
      <c r="H8255">
        <v>2</v>
      </c>
      <c r="I8255">
        <v>15.07</v>
      </c>
      <c r="J8255" s="50">
        <v>30.14</v>
      </c>
      <c r="K8255" t="s">
        <v>1618</v>
      </c>
      <c r="M8255" t="s">
        <v>1629</v>
      </c>
      <c r="N8255">
        <v>7.95</v>
      </c>
      <c r="O8255" s="49">
        <v>45626</v>
      </c>
      <c r="P8255" s="50">
        <v>13.563000000000001</v>
      </c>
    </row>
    <row r="8256" spans="4:16" x14ac:dyDescent="0.2">
      <c r="D8256">
        <v>100004937</v>
      </c>
      <c r="E8256" s="49">
        <v>45260</v>
      </c>
      <c r="F8256" t="s">
        <v>6173</v>
      </c>
      <c r="G8256" t="s">
        <v>1950</v>
      </c>
      <c r="H8256">
        <v>8</v>
      </c>
      <c r="I8256">
        <v>115.15</v>
      </c>
      <c r="J8256" s="50">
        <v>921.2</v>
      </c>
      <c r="K8256" t="s">
        <v>1632</v>
      </c>
      <c r="L8256" t="s">
        <v>6174</v>
      </c>
      <c r="M8256" t="s">
        <v>1624</v>
      </c>
      <c r="N8256">
        <v>60.77</v>
      </c>
      <c r="O8256" s="49">
        <v>45263</v>
      </c>
      <c r="P8256" s="50">
        <v>414.54</v>
      </c>
    </row>
    <row r="8257" spans="4:16" x14ac:dyDescent="0.2">
      <c r="D8257">
        <v>100004937</v>
      </c>
      <c r="E8257" s="49">
        <v>45105</v>
      </c>
      <c r="F8257" t="s">
        <v>6173</v>
      </c>
      <c r="G8257" t="s">
        <v>2004</v>
      </c>
      <c r="H8257">
        <v>3</v>
      </c>
      <c r="I8257">
        <v>109.4</v>
      </c>
      <c r="J8257" s="50">
        <v>328.2</v>
      </c>
      <c r="K8257" t="s">
        <v>1632</v>
      </c>
      <c r="L8257" t="s">
        <v>6174</v>
      </c>
      <c r="M8257" t="s">
        <v>1619</v>
      </c>
      <c r="N8257">
        <v>57.74</v>
      </c>
      <c r="O8257" s="49">
        <v>45106</v>
      </c>
      <c r="P8257" s="50">
        <v>147.69</v>
      </c>
    </row>
    <row r="8258" spans="4:16" x14ac:dyDescent="0.2">
      <c r="D8258">
        <v>100004937</v>
      </c>
      <c r="E8258" s="49">
        <v>45186</v>
      </c>
      <c r="F8258" t="s">
        <v>6173</v>
      </c>
      <c r="G8258" t="s">
        <v>1866</v>
      </c>
      <c r="H8258">
        <v>7</v>
      </c>
      <c r="I8258">
        <v>60.7</v>
      </c>
      <c r="J8258" s="50">
        <v>424.9</v>
      </c>
      <c r="K8258" t="s">
        <v>1632</v>
      </c>
      <c r="L8258" t="s">
        <v>6174</v>
      </c>
      <c r="M8258" t="s">
        <v>1619</v>
      </c>
      <c r="N8258">
        <v>32.04</v>
      </c>
      <c r="O8258" s="49">
        <v>45190</v>
      </c>
      <c r="P8258" s="50">
        <v>191.20499999999998</v>
      </c>
    </row>
    <row r="8259" spans="4:16" x14ac:dyDescent="0.2">
      <c r="D8259">
        <v>100004937</v>
      </c>
      <c r="E8259" s="49">
        <v>44320</v>
      </c>
      <c r="F8259" t="s">
        <v>6173</v>
      </c>
      <c r="G8259" t="s">
        <v>2305</v>
      </c>
      <c r="H8259">
        <v>4</v>
      </c>
      <c r="I8259">
        <v>70.88</v>
      </c>
      <c r="J8259" s="50">
        <v>283.52</v>
      </c>
      <c r="K8259" t="s">
        <v>1632</v>
      </c>
      <c r="L8259" t="s">
        <v>6174</v>
      </c>
      <c r="M8259" t="s">
        <v>1624</v>
      </c>
      <c r="N8259">
        <v>37.409999999999997</v>
      </c>
      <c r="O8259" s="49">
        <v>44324</v>
      </c>
      <c r="P8259" s="50">
        <v>127.58399999999999</v>
      </c>
    </row>
    <row r="8260" spans="4:16" x14ac:dyDescent="0.2">
      <c r="D8260">
        <v>100004937</v>
      </c>
      <c r="E8260" s="49">
        <v>45597</v>
      </c>
      <c r="F8260" t="s">
        <v>6173</v>
      </c>
      <c r="G8260" t="s">
        <v>2207</v>
      </c>
      <c r="H8260">
        <v>1</v>
      </c>
      <c r="I8260">
        <v>91.91</v>
      </c>
      <c r="J8260" s="50">
        <v>91.91</v>
      </c>
      <c r="K8260" t="s">
        <v>1632</v>
      </c>
      <c r="L8260" t="s">
        <v>6174</v>
      </c>
      <c r="M8260" t="s">
        <v>1624</v>
      </c>
      <c r="N8260">
        <v>48.51</v>
      </c>
      <c r="O8260" s="49">
        <v>45602</v>
      </c>
      <c r="P8260" s="50">
        <v>41.359499999999997</v>
      </c>
    </row>
    <row r="8261" spans="4:16" x14ac:dyDescent="0.2">
      <c r="D8261">
        <v>100004937</v>
      </c>
      <c r="E8261" s="49">
        <v>45074</v>
      </c>
      <c r="F8261" t="s">
        <v>6173</v>
      </c>
      <c r="G8261" t="s">
        <v>2346</v>
      </c>
      <c r="H8261">
        <v>5</v>
      </c>
      <c r="I8261">
        <v>19.59</v>
      </c>
      <c r="J8261" s="50">
        <v>97.95</v>
      </c>
      <c r="K8261" t="s">
        <v>1632</v>
      </c>
      <c r="L8261" t="s">
        <v>6174</v>
      </c>
      <c r="M8261" t="s">
        <v>1629</v>
      </c>
      <c r="N8261">
        <v>10.34</v>
      </c>
      <c r="O8261" s="49">
        <v>45075</v>
      </c>
      <c r="P8261" s="50">
        <v>44.077500000000001</v>
      </c>
    </row>
    <row r="8262" spans="4:16" x14ac:dyDescent="0.2">
      <c r="D8262">
        <v>100004937</v>
      </c>
      <c r="E8262" s="49">
        <v>45529</v>
      </c>
      <c r="F8262" t="s">
        <v>6173</v>
      </c>
      <c r="G8262" t="s">
        <v>1704</v>
      </c>
      <c r="H8262">
        <v>6</v>
      </c>
      <c r="I8262">
        <v>92.63</v>
      </c>
      <c r="J8262" s="50">
        <v>555.78</v>
      </c>
      <c r="K8262" t="s">
        <v>1632</v>
      </c>
      <c r="L8262" t="s">
        <v>6174</v>
      </c>
      <c r="M8262" t="s">
        <v>1629</v>
      </c>
      <c r="N8262">
        <v>48.89</v>
      </c>
      <c r="O8262" s="49">
        <v>45531</v>
      </c>
      <c r="P8262" s="50">
        <v>250.101</v>
      </c>
    </row>
    <row r="8263" spans="4:16" x14ac:dyDescent="0.2">
      <c r="D8263">
        <v>100004937</v>
      </c>
      <c r="E8263" s="49">
        <v>44247</v>
      </c>
      <c r="F8263" t="s">
        <v>6173</v>
      </c>
      <c r="G8263" t="s">
        <v>1900</v>
      </c>
      <c r="H8263">
        <v>3</v>
      </c>
      <c r="I8263">
        <v>91.26</v>
      </c>
      <c r="J8263" s="50">
        <v>273.77999999999997</v>
      </c>
      <c r="K8263" t="s">
        <v>1632</v>
      </c>
      <c r="L8263" t="s">
        <v>6174</v>
      </c>
      <c r="M8263" t="s">
        <v>1627</v>
      </c>
      <c r="N8263">
        <v>48.16</v>
      </c>
      <c r="O8263" s="49">
        <v>44250</v>
      </c>
      <c r="P8263" s="50">
        <v>123.20099999999999</v>
      </c>
    </row>
    <row r="8264" spans="4:16" x14ac:dyDescent="0.2">
      <c r="D8264">
        <v>100004938</v>
      </c>
      <c r="E8264" s="49">
        <v>45400</v>
      </c>
      <c r="F8264" t="s">
        <v>6175</v>
      </c>
      <c r="G8264" t="s">
        <v>2707</v>
      </c>
      <c r="H8264">
        <v>5</v>
      </c>
      <c r="I8264">
        <v>25.3</v>
      </c>
      <c r="J8264" s="50">
        <v>126.5</v>
      </c>
      <c r="K8264" t="s">
        <v>1618</v>
      </c>
      <c r="M8264" t="s">
        <v>1624</v>
      </c>
      <c r="N8264">
        <v>13.35</v>
      </c>
      <c r="O8264" s="49">
        <v>45404</v>
      </c>
      <c r="P8264" s="50">
        <v>56.925000000000004</v>
      </c>
    </row>
    <row r="8265" spans="4:16" x14ac:dyDescent="0.2">
      <c r="D8265">
        <v>100004938</v>
      </c>
      <c r="E8265" s="49">
        <v>45010</v>
      </c>
      <c r="F8265" t="s">
        <v>6175</v>
      </c>
      <c r="G8265" t="s">
        <v>1728</v>
      </c>
      <c r="H8265">
        <v>7</v>
      </c>
      <c r="I8265">
        <v>45.64</v>
      </c>
      <c r="J8265" s="50">
        <v>319.48</v>
      </c>
      <c r="K8265" t="s">
        <v>1618</v>
      </c>
      <c r="M8265" t="s">
        <v>1627</v>
      </c>
      <c r="N8265">
        <v>24.09</v>
      </c>
      <c r="O8265" s="49">
        <v>45015</v>
      </c>
      <c r="P8265" s="50">
        <v>143.76600000000002</v>
      </c>
    </row>
    <row r="8266" spans="4:16" x14ac:dyDescent="0.2">
      <c r="D8266">
        <v>100004938</v>
      </c>
      <c r="E8266" s="49">
        <v>45009</v>
      </c>
      <c r="F8266" t="s">
        <v>6175</v>
      </c>
      <c r="G8266" t="s">
        <v>1775</v>
      </c>
      <c r="H8266">
        <v>1</v>
      </c>
      <c r="I8266">
        <v>52.29</v>
      </c>
      <c r="J8266" s="50">
        <v>52.29</v>
      </c>
      <c r="K8266" t="s">
        <v>1618</v>
      </c>
      <c r="M8266" t="s">
        <v>1627</v>
      </c>
      <c r="N8266">
        <v>27.6</v>
      </c>
      <c r="O8266" s="49">
        <v>45011</v>
      </c>
      <c r="P8266" s="50">
        <v>23.5305</v>
      </c>
    </row>
    <row r="8267" spans="4:16" x14ac:dyDescent="0.2">
      <c r="D8267">
        <v>100004938</v>
      </c>
      <c r="E8267" s="49">
        <v>45032</v>
      </c>
      <c r="F8267" t="s">
        <v>6175</v>
      </c>
      <c r="G8267" t="s">
        <v>2306</v>
      </c>
      <c r="H8267">
        <v>1</v>
      </c>
      <c r="I8267">
        <v>56.55</v>
      </c>
      <c r="J8267" s="50">
        <v>56.55</v>
      </c>
      <c r="K8267" t="s">
        <v>1618</v>
      </c>
      <c r="M8267" t="s">
        <v>1624</v>
      </c>
      <c r="N8267">
        <v>29.85</v>
      </c>
      <c r="O8267" s="49">
        <v>45035</v>
      </c>
      <c r="P8267" s="50">
        <v>25.447499999999998</v>
      </c>
    </row>
    <row r="8268" spans="4:16" x14ac:dyDescent="0.2">
      <c r="D8268">
        <v>100004938</v>
      </c>
      <c r="E8268" s="49">
        <v>45061</v>
      </c>
      <c r="F8268" t="s">
        <v>6175</v>
      </c>
      <c r="G8268" t="s">
        <v>1963</v>
      </c>
      <c r="H8268">
        <v>5</v>
      </c>
      <c r="I8268">
        <v>105.06</v>
      </c>
      <c r="J8268" s="50">
        <v>525.29999999999995</v>
      </c>
      <c r="K8268" t="s">
        <v>1618</v>
      </c>
      <c r="M8268" t="s">
        <v>1627</v>
      </c>
      <c r="N8268">
        <v>55.45</v>
      </c>
      <c r="O8268" s="49">
        <v>45066</v>
      </c>
      <c r="P8268" s="50">
        <v>236.38499999999999</v>
      </c>
    </row>
    <row r="8269" spans="4:16" x14ac:dyDescent="0.2">
      <c r="D8269">
        <v>100004938</v>
      </c>
      <c r="E8269" s="49">
        <v>44400</v>
      </c>
      <c r="F8269" t="s">
        <v>6175</v>
      </c>
      <c r="G8269" t="s">
        <v>2159</v>
      </c>
      <c r="H8269">
        <v>6</v>
      </c>
      <c r="I8269">
        <v>44.23</v>
      </c>
      <c r="J8269" s="50">
        <v>265.38</v>
      </c>
      <c r="K8269" t="s">
        <v>1618</v>
      </c>
      <c r="M8269" t="s">
        <v>1619</v>
      </c>
      <c r="N8269">
        <v>23.34</v>
      </c>
      <c r="O8269" s="49">
        <v>44402</v>
      </c>
      <c r="P8269" s="50">
        <v>119.42100000000001</v>
      </c>
    </row>
    <row r="8270" spans="4:16" x14ac:dyDescent="0.2">
      <c r="D8270">
        <v>100004938</v>
      </c>
      <c r="E8270" s="49">
        <v>44508</v>
      </c>
      <c r="F8270" t="s">
        <v>6175</v>
      </c>
      <c r="G8270" t="s">
        <v>2217</v>
      </c>
      <c r="H8270">
        <v>9</v>
      </c>
      <c r="I8270">
        <v>118.42</v>
      </c>
      <c r="J8270" s="50">
        <v>1065.78</v>
      </c>
      <c r="K8270" t="s">
        <v>1618</v>
      </c>
      <c r="M8270" t="s">
        <v>1629</v>
      </c>
      <c r="N8270">
        <v>62.5</v>
      </c>
      <c r="O8270" s="49">
        <v>44512</v>
      </c>
      <c r="P8270" s="50">
        <v>479.601</v>
      </c>
    </row>
    <row r="8271" spans="4:16" x14ac:dyDescent="0.2">
      <c r="D8271">
        <v>100004938</v>
      </c>
      <c r="E8271" s="49">
        <v>44417</v>
      </c>
      <c r="F8271" t="s">
        <v>6175</v>
      </c>
      <c r="G8271" t="s">
        <v>1628</v>
      </c>
      <c r="H8271">
        <v>4</v>
      </c>
      <c r="I8271">
        <v>57.36</v>
      </c>
      <c r="J8271" s="50">
        <v>229.44</v>
      </c>
      <c r="K8271" t="s">
        <v>1618</v>
      </c>
      <c r="M8271" t="s">
        <v>1629</v>
      </c>
      <c r="N8271">
        <v>30.27</v>
      </c>
      <c r="O8271" s="49">
        <v>44421</v>
      </c>
      <c r="P8271" s="50">
        <v>103.248</v>
      </c>
    </row>
    <row r="8272" spans="4:16" x14ac:dyDescent="0.2">
      <c r="D8272">
        <v>100004938</v>
      </c>
      <c r="E8272" s="49">
        <v>45648</v>
      </c>
      <c r="F8272" t="s">
        <v>6175</v>
      </c>
      <c r="G8272" t="s">
        <v>1731</v>
      </c>
      <c r="H8272">
        <v>2</v>
      </c>
      <c r="I8272">
        <v>81.739999999999995</v>
      </c>
      <c r="J8272" s="50">
        <v>163.47999999999999</v>
      </c>
      <c r="K8272" t="s">
        <v>1618</v>
      </c>
      <c r="M8272" t="s">
        <v>1621</v>
      </c>
      <c r="N8272">
        <v>43.14</v>
      </c>
      <c r="O8272" s="49">
        <v>45653</v>
      </c>
      <c r="P8272" s="50">
        <v>73.566000000000003</v>
      </c>
    </row>
    <row r="8273" spans="4:16" x14ac:dyDescent="0.2">
      <c r="D8273">
        <v>100004940</v>
      </c>
      <c r="E8273" s="49">
        <v>44356</v>
      </c>
      <c r="F8273" t="s">
        <v>6176</v>
      </c>
      <c r="G8273" t="s">
        <v>1641</v>
      </c>
      <c r="H8273">
        <v>8</v>
      </c>
      <c r="I8273">
        <v>100.12</v>
      </c>
      <c r="J8273" s="50">
        <v>800.96</v>
      </c>
      <c r="K8273" t="s">
        <v>1632</v>
      </c>
      <c r="M8273" t="s">
        <v>1627</v>
      </c>
      <c r="N8273">
        <v>52.84</v>
      </c>
      <c r="O8273" s="49">
        <v>44358</v>
      </c>
      <c r="P8273" s="50">
        <v>360.43200000000002</v>
      </c>
    </row>
    <row r="8274" spans="4:16" x14ac:dyDescent="0.2">
      <c r="D8274">
        <v>100004940</v>
      </c>
      <c r="E8274" s="49">
        <v>45283</v>
      </c>
      <c r="F8274" t="s">
        <v>6176</v>
      </c>
      <c r="G8274" t="s">
        <v>1686</v>
      </c>
      <c r="H8274">
        <v>9</v>
      </c>
      <c r="I8274">
        <v>80.84</v>
      </c>
      <c r="J8274" s="50">
        <v>727.56000000000006</v>
      </c>
      <c r="K8274" t="s">
        <v>1632</v>
      </c>
      <c r="M8274" t="s">
        <v>1627</v>
      </c>
      <c r="N8274">
        <v>42.67</v>
      </c>
      <c r="O8274" s="49">
        <v>45285</v>
      </c>
      <c r="P8274" s="50">
        <v>327.40200000000004</v>
      </c>
    </row>
    <row r="8275" spans="4:16" x14ac:dyDescent="0.2">
      <c r="D8275">
        <v>100004940</v>
      </c>
      <c r="E8275" s="49">
        <v>45629</v>
      </c>
      <c r="F8275" t="s">
        <v>6176</v>
      </c>
      <c r="G8275" t="s">
        <v>3135</v>
      </c>
      <c r="H8275">
        <v>1</v>
      </c>
      <c r="I8275">
        <v>89.49</v>
      </c>
      <c r="J8275" s="50">
        <v>89.49</v>
      </c>
      <c r="K8275" t="s">
        <v>1632</v>
      </c>
      <c r="M8275" t="s">
        <v>1627</v>
      </c>
      <c r="N8275">
        <v>47.23</v>
      </c>
      <c r="O8275" s="49">
        <v>45631</v>
      </c>
      <c r="P8275" s="50">
        <v>40.270499999999998</v>
      </c>
    </row>
    <row r="8276" spans="4:16" x14ac:dyDescent="0.2">
      <c r="D8276">
        <v>100004940</v>
      </c>
      <c r="E8276" s="49">
        <v>45545</v>
      </c>
      <c r="F8276" t="s">
        <v>6176</v>
      </c>
      <c r="G8276" t="s">
        <v>1760</v>
      </c>
      <c r="H8276">
        <v>5</v>
      </c>
      <c r="I8276">
        <v>27.28</v>
      </c>
      <c r="J8276" s="50">
        <v>136.4</v>
      </c>
      <c r="K8276" t="s">
        <v>1632</v>
      </c>
      <c r="M8276" t="s">
        <v>1619</v>
      </c>
      <c r="N8276">
        <v>14.4</v>
      </c>
      <c r="O8276" s="49">
        <v>45546</v>
      </c>
      <c r="P8276" s="50">
        <v>61.38</v>
      </c>
    </row>
    <row r="8277" spans="4:16" x14ac:dyDescent="0.2">
      <c r="D8277">
        <v>100004943</v>
      </c>
      <c r="E8277" s="49">
        <v>44374</v>
      </c>
      <c r="F8277" t="s">
        <v>6177</v>
      </c>
      <c r="G8277" t="s">
        <v>1671</v>
      </c>
      <c r="H8277">
        <v>5</v>
      </c>
      <c r="I8277">
        <v>100.71</v>
      </c>
      <c r="J8277" s="50">
        <v>503.55</v>
      </c>
      <c r="K8277" t="s">
        <v>1618</v>
      </c>
      <c r="M8277" t="s">
        <v>1621</v>
      </c>
      <c r="N8277">
        <v>53.15</v>
      </c>
      <c r="O8277" s="49">
        <v>44375</v>
      </c>
      <c r="P8277" s="50">
        <v>226.5975</v>
      </c>
    </row>
    <row r="8278" spans="4:16" x14ac:dyDescent="0.2">
      <c r="D8278">
        <v>100004944</v>
      </c>
      <c r="E8278" s="49">
        <v>44833</v>
      </c>
      <c r="F8278" t="s">
        <v>6178</v>
      </c>
      <c r="G8278" t="s">
        <v>2125</v>
      </c>
      <c r="H8278">
        <v>9</v>
      </c>
      <c r="I8278">
        <v>113.86</v>
      </c>
      <c r="J8278" s="50">
        <v>1024.74</v>
      </c>
      <c r="K8278" t="s">
        <v>1618</v>
      </c>
      <c r="M8278" t="s">
        <v>1629</v>
      </c>
      <c r="N8278">
        <v>60.09</v>
      </c>
      <c r="O8278" s="49">
        <v>44837</v>
      </c>
      <c r="P8278" s="50">
        <v>461.13300000000004</v>
      </c>
    </row>
    <row r="8279" spans="4:16" x14ac:dyDescent="0.2">
      <c r="D8279">
        <v>100004945</v>
      </c>
      <c r="E8279" s="49">
        <v>44561</v>
      </c>
      <c r="F8279" t="s">
        <v>6179</v>
      </c>
      <c r="G8279" t="s">
        <v>1922</v>
      </c>
      <c r="H8279">
        <v>1</v>
      </c>
      <c r="I8279">
        <v>33.03</v>
      </c>
      <c r="J8279" s="50">
        <v>33.03</v>
      </c>
      <c r="K8279" t="s">
        <v>1618</v>
      </c>
      <c r="M8279" t="s">
        <v>1624</v>
      </c>
      <c r="N8279">
        <v>17.43</v>
      </c>
      <c r="O8279" s="49">
        <v>44563</v>
      </c>
      <c r="P8279" s="50">
        <v>14.8635</v>
      </c>
    </row>
    <row r="8280" spans="4:16" x14ac:dyDescent="0.2">
      <c r="D8280">
        <v>100004948</v>
      </c>
      <c r="E8280" s="49">
        <v>44811</v>
      </c>
      <c r="F8280" t="s">
        <v>5413</v>
      </c>
      <c r="G8280" t="s">
        <v>2348</v>
      </c>
      <c r="H8280">
        <v>1</v>
      </c>
      <c r="I8280">
        <v>111.75</v>
      </c>
      <c r="J8280" s="50">
        <v>111.75</v>
      </c>
      <c r="K8280" t="s">
        <v>1632</v>
      </c>
      <c r="M8280" t="s">
        <v>1624</v>
      </c>
      <c r="N8280">
        <v>58.98</v>
      </c>
      <c r="O8280" s="49">
        <v>44814</v>
      </c>
      <c r="P8280" s="50">
        <v>50.287500000000001</v>
      </c>
    </row>
    <row r="8281" spans="4:16" x14ac:dyDescent="0.2">
      <c r="D8281">
        <v>100004948</v>
      </c>
      <c r="E8281" s="49">
        <v>45297</v>
      </c>
      <c r="F8281" t="s">
        <v>5413</v>
      </c>
      <c r="G8281" t="s">
        <v>1799</v>
      </c>
      <c r="H8281">
        <v>9</v>
      </c>
      <c r="I8281">
        <v>55.87</v>
      </c>
      <c r="J8281" s="50">
        <v>502.83</v>
      </c>
      <c r="K8281" t="s">
        <v>1632</v>
      </c>
      <c r="M8281" t="s">
        <v>1621</v>
      </c>
      <c r="N8281">
        <v>29.49</v>
      </c>
      <c r="O8281" s="49">
        <v>45301</v>
      </c>
      <c r="P8281" s="50">
        <v>226.27349999999998</v>
      </c>
    </row>
    <row r="8282" spans="4:16" x14ac:dyDescent="0.2">
      <c r="D8282">
        <v>100004948</v>
      </c>
      <c r="E8282" s="49">
        <v>44666</v>
      </c>
      <c r="F8282" t="s">
        <v>5413</v>
      </c>
      <c r="G8282" t="s">
        <v>1670</v>
      </c>
      <c r="H8282">
        <v>5</v>
      </c>
      <c r="I8282">
        <v>25.77</v>
      </c>
      <c r="J8282" s="50">
        <v>128.85</v>
      </c>
      <c r="K8282" t="s">
        <v>1632</v>
      </c>
      <c r="M8282" t="s">
        <v>1619</v>
      </c>
      <c r="N8282">
        <v>13.6</v>
      </c>
      <c r="O8282" s="49">
        <v>44669</v>
      </c>
      <c r="P8282" s="50">
        <v>57.982500000000002</v>
      </c>
    </row>
    <row r="8283" spans="4:16" x14ac:dyDescent="0.2">
      <c r="D8283">
        <v>100004948</v>
      </c>
      <c r="E8283" s="49">
        <v>45424</v>
      </c>
      <c r="F8283" t="s">
        <v>5413</v>
      </c>
      <c r="G8283" t="s">
        <v>1777</v>
      </c>
      <c r="H8283">
        <v>3</v>
      </c>
      <c r="I8283">
        <v>87.16</v>
      </c>
      <c r="J8283" s="50">
        <v>261.48</v>
      </c>
      <c r="K8283" t="s">
        <v>1632</v>
      </c>
      <c r="M8283" t="s">
        <v>1619</v>
      </c>
      <c r="N8283">
        <v>46</v>
      </c>
      <c r="O8283" s="49">
        <v>45426</v>
      </c>
      <c r="P8283" s="50">
        <v>117.66600000000001</v>
      </c>
    </row>
    <row r="8284" spans="4:16" x14ac:dyDescent="0.2">
      <c r="D8284">
        <v>100004949</v>
      </c>
      <c r="E8284" s="49">
        <v>44361</v>
      </c>
      <c r="F8284" t="s">
        <v>6180</v>
      </c>
      <c r="G8284" t="s">
        <v>2019</v>
      </c>
      <c r="H8284">
        <v>10</v>
      </c>
      <c r="I8284">
        <v>66.66</v>
      </c>
      <c r="J8284" s="50">
        <v>666.59999999999991</v>
      </c>
      <c r="K8284" t="s">
        <v>1618</v>
      </c>
      <c r="M8284" t="s">
        <v>1629</v>
      </c>
      <c r="N8284">
        <v>35.18</v>
      </c>
      <c r="O8284" s="49">
        <v>44364</v>
      </c>
      <c r="P8284" s="50">
        <v>299.96999999999997</v>
      </c>
    </row>
    <row r="8285" spans="4:16" x14ac:dyDescent="0.2">
      <c r="D8285">
        <v>100004949</v>
      </c>
      <c r="E8285" s="49">
        <v>44714</v>
      </c>
      <c r="F8285" t="s">
        <v>6180</v>
      </c>
      <c r="G8285" t="s">
        <v>2084</v>
      </c>
      <c r="H8285">
        <v>10</v>
      </c>
      <c r="I8285">
        <v>104.68</v>
      </c>
      <c r="J8285" s="50">
        <v>1046.8</v>
      </c>
      <c r="K8285" t="s">
        <v>1618</v>
      </c>
      <c r="M8285" t="s">
        <v>1624</v>
      </c>
      <c r="N8285">
        <v>55.25</v>
      </c>
      <c r="O8285" s="49">
        <v>44715</v>
      </c>
      <c r="P8285" s="50">
        <v>471.06</v>
      </c>
    </row>
    <row r="8286" spans="4:16" x14ac:dyDescent="0.2">
      <c r="D8286">
        <v>100004949</v>
      </c>
      <c r="E8286" s="49">
        <v>44873</v>
      </c>
      <c r="F8286" t="s">
        <v>6180</v>
      </c>
      <c r="G8286" t="s">
        <v>2116</v>
      </c>
      <c r="H8286">
        <v>1</v>
      </c>
      <c r="I8286">
        <v>58.28</v>
      </c>
      <c r="J8286" s="50">
        <v>58.28</v>
      </c>
      <c r="K8286" t="s">
        <v>1618</v>
      </c>
      <c r="M8286" t="s">
        <v>1627</v>
      </c>
      <c r="N8286">
        <v>30.76</v>
      </c>
      <c r="O8286" s="49">
        <v>44878</v>
      </c>
      <c r="P8286" s="50">
        <v>26.226000000000003</v>
      </c>
    </row>
    <row r="8287" spans="4:16" x14ac:dyDescent="0.2">
      <c r="D8287">
        <v>100004949</v>
      </c>
      <c r="E8287" s="49">
        <v>45383</v>
      </c>
      <c r="F8287" t="s">
        <v>6180</v>
      </c>
      <c r="G8287" t="s">
        <v>2048</v>
      </c>
      <c r="H8287">
        <v>9</v>
      </c>
      <c r="I8287">
        <v>42.85</v>
      </c>
      <c r="J8287" s="50">
        <v>385.65</v>
      </c>
      <c r="K8287" t="s">
        <v>1618</v>
      </c>
      <c r="M8287" t="s">
        <v>1629</v>
      </c>
      <c r="N8287">
        <v>22.62</v>
      </c>
      <c r="O8287" s="49">
        <v>45386</v>
      </c>
      <c r="P8287" s="50">
        <v>173.54249999999999</v>
      </c>
    </row>
    <row r="8288" spans="4:16" x14ac:dyDescent="0.2">
      <c r="D8288">
        <v>100004950</v>
      </c>
      <c r="E8288" s="49">
        <v>45065</v>
      </c>
      <c r="F8288" t="s">
        <v>6181</v>
      </c>
      <c r="G8288" t="s">
        <v>2390</v>
      </c>
      <c r="H8288">
        <v>8</v>
      </c>
      <c r="I8288">
        <v>34.380000000000003</v>
      </c>
      <c r="J8288" s="50">
        <v>275.04000000000002</v>
      </c>
      <c r="K8288" t="s">
        <v>1618</v>
      </c>
      <c r="M8288" t="s">
        <v>1629</v>
      </c>
      <c r="N8288">
        <v>18.14</v>
      </c>
      <c r="O8288" s="49">
        <v>45070</v>
      </c>
      <c r="P8288" s="50">
        <v>123.76800000000001</v>
      </c>
    </row>
    <row r="8289" spans="4:16" x14ac:dyDescent="0.2">
      <c r="D8289">
        <v>100004951</v>
      </c>
      <c r="E8289" s="49">
        <v>45598</v>
      </c>
      <c r="F8289" t="s">
        <v>6182</v>
      </c>
      <c r="G8289" t="s">
        <v>2134</v>
      </c>
      <c r="H8289">
        <v>3</v>
      </c>
      <c r="I8289">
        <v>103.22</v>
      </c>
      <c r="J8289" s="50">
        <v>309.66000000000003</v>
      </c>
      <c r="K8289" t="s">
        <v>1618</v>
      </c>
      <c r="L8289" t="s">
        <v>2010</v>
      </c>
      <c r="M8289" t="s">
        <v>1629</v>
      </c>
      <c r="N8289">
        <v>54.48</v>
      </c>
      <c r="O8289" s="49">
        <v>45601</v>
      </c>
      <c r="P8289" s="50">
        <v>139.34700000000001</v>
      </c>
    </row>
    <row r="8290" spans="4:16" x14ac:dyDescent="0.2">
      <c r="D8290">
        <v>100004951</v>
      </c>
      <c r="E8290" s="49">
        <v>45512</v>
      </c>
      <c r="F8290" t="s">
        <v>6182</v>
      </c>
      <c r="G8290" t="s">
        <v>1702</v>
      </c>
      <c r="H8290">
        <v>9</v>
      </c>
      <c r="I8290">
        <v>114.48</v>
      </c>
      <c r="J8290" s="50">
        <v>1030.32</v>
      </c>
      <c r="K8290" t="s">
        <v>1618</v>
      </c>
      <c r="L8290" t="s">
        <v>2010</v>
      </c>
      <c r="M8290" t="s">
        <v>1627</v>
      </c>
      <c r="N8290">
        <v>60.42</v>
      </c>
      <c r="O8290" s="49">
        <v>45515</v>
      </c>
      <c r="P8290" s="50">
        <v>463.64400000000001</v>
      </c>
    </row>
    <row r="8291" spans="4:16" x14ac:dyDescent="0.2">
      <c r="D8291">
        <v>100004952</v>
      </c>
      <c r="E8291" s="49">
        <v>44638</v>
      </c>
      <c r="F8291" t="s">
        <v>6183</v>
      </c>
      <c r="G8291" t="s">
        <v>2447</v>
      </c>
      <c r="H8291">
        <v>6</v>
      </c>
      <c r="I8291">
        <v>87.78</v>
      </c>
      <c r="J8291" s="50">
        <v>526.68000000000006</v>
      </c>
      <c r="K8291" t="s">
        <v>1618</v>
      </c>
      <c r="L8291" t="s">
        <v>6184</v>
      </c>
      <c r="M8291" t="s">
        <v>1627</v>
      </c>
      <c r="N8291">
        <v>46.33</v>
      </c>
      <c r="O8291" s="49">
        <v>44643</v>
      </c>
      <c r="P8291" s="50">
        <v>237.00600000000003</v>
      </c>
    </row>
    <row r="8292" spans="4:16" x14ac:dyDescent="0.2">
      <c r="D8292">
        <v>100004952</v>
      </c>
      <c r="E8292" s="49">
        <v>44604</v>
      </c>
      <c r="F8292" t="s">
        <v>6183</v>
      </c>
      <c r="G8292" t="s">
        <v>1666</v>
      </c>
      <c r="H8292">
        <v>5</v>
      </c>
      <c r="I8292">
        <v>89.35</v>
      </c>
      <c r="J8292" s="50">
        <v>446.75</v>
      </c>
      <c r="K8292" t="s">
        <v>1618</v>
      </c>
      <c r="L8292" t="s">
        <v>6184</v>
      </c>
      <c r="M8292" t="s">
        <v>1621</v>
      </c>
      <c r="N8292">
        <v>47.16</v>
      </c>
      <c r="O8292" s="49">
        <v>44609</v>
      </c>
      <c r="P8292" s="50">
        <v>201.03749999999999</v>
      </c>
    </row>
    <row r="8293" spans="4:16" x14ac:dyDescent="0.2">
      <c r="D8293">
        <v>100004953</v>
      </c>
      <c r="E8293" s="49">
        <v>45551</v>
      </c>
      <c r="F8293" t="s">
        <v>6185</v>
      </c>
      <c r="G8293" t="s">
        <v>2155</v>
      </c>
      <c r="H8293">
        <v>5</v>
      </c>
      <c r="I8293">
        <v>91.82</v>
      </c>
      <c r="J8293" s="50">
        <v>459.1</v>
      </c>
      <c r="K8293" t="s">
        <v>1618</v>
      </c>
      <c r="L8293" t="s">
        <v>6186</v>
      </c>
      <c r="M8293" t="s">
        <v>1629</v>
      </c>
      <c r="N8293">
        <v>48.46</v>
      </c>
      <c r="O8293" s="49">
        <v>45555</v>
      </c>
      <c r="P8293" s="50">
        <v>206.59500000000003</v>
      </c>
    </row>
    <row r="8294" spans="4:16" x14ac:dyDescent="0.2">
      <c r="D8294">
        <v>100004953</v>
      </c>
      <c r="E8294" s="49">
        <v>44915</v>
      </c>
      <c r="F8294" t="s">
        <v>6185</v>
      </c>
      <c r="G8294" t="s">
        <v>1913</v>
      </c>
      <c r="H8294">
        <v>5</v>
      </c>
      <c r="I8294">
        <v>62.32</v>
      </c>
      <c r="J8294" s="50">
        <v>311.60000000000002</v>
      </c>
      <c r="K8294" t="s">
        <v>1618</v>
      </c>
      <c r="L8294" t="s">
        <v>6186</v>
      </c>
      <c r="M8294" t="s">
        <v>1627</v>
      </c>
      <c r="N8294">
        <v>32.89</v>
      </c>
      <c r="O8294" s="49">
        <v>44918</v>
      </c>
      <c r="P8294" s="50">
        <v>140.22000000000003</v>
      </c>
    </row>
    <row r="8295" spans="4:16" x14ac:dyDescent="0.2">
      <c r="D8295">
        <v>100004955</v>
      </c>
      <c r="E8295" s="49">
        <v>45028</v>
      </c>
      <c r="F8295" t="s">
        <v>5929</v>
      </c>
      <c r="G8295" t="s">
        <v>2291</v>
      </c>
      <c r="H8295">
        <v>4</v>
      </c>
      <c r="I8295">
        <v>47.51</v>
      </c>
      <c r="J8295" s="50">
        <v>190.04</v>
      </c>
      <c r="K8295" t="s">
        <v>1618</v>
      </c>
      <c r="M8295" t="s">
        <v>1619</v>
      </c>
      <c r="N8295">
        <v>25.07</v>
      </c>
      <c r="O8295" s="49">
        <v>45029</v>
      </c>
      <c r="P8295" s="50">
        <v>85.518000000000001</v>
      </c>
    </row>
    <row r="8296" spans="4:16" x14ac:dyDescent="0.2">
      <c r="D8296">
        <v>100004956</v>
      </c>
      <c r="E8296" s="49">
        <v>44279</v>
      </c>
      <c r="F8296" t="s">
        <v>6187</v>
      </c>
      <c r="G8296" t="s">
        <v>1941</v>
      </c>
      <c r="H8296">
        <v>7</v>
      </c>
      <c r="I8296">
        <v>115.5</v>
      </c>
      <c r="J8296" s="50">
        <v>808.5</v>
      </c>
      <c r="K8296" t="s">
        <v>1618</v>
      </c>
      <c r="M8296" t="s">
        <v>1627</v>
      </c>
      <c r="N8296">
        <v>60.96</v>
      </c>
      <c r="O8296" s="49">
        <v>44280</v>
      </c>
      <c r="P8296" s="50">
        <v>363.82499999999999</v>
      </c>
    </row>
    <row r="8297" spans="4:16" x14ac:dyDescent="0.2">
      <c r="D8297">
        <v>100004956</v>
      </c>
      <c r="E8297" s="49">
        <v>45093</v>
      </c>
      <c r="F8297" t="s">
        <v>6187</v>
      </c>
      <c r="G8297" t="s">
        <v>1823</v>
      </c>
      <c r="H8297">
        <v>8</v>
      </c>
      <c r="I8297">
        <v>46.22</v>
      </c>
      <c r="J8297" s="50">
        <v>369.76</v>
      </c>
      <c r="K8297" t="s">
        <v>1618</v>
      </c>
      <c r="M8297" t="s">
        <v>1619</v>
      </c>
      <c r="N8297">
        <v>24.39</v>
      </c>
      <c r="O8297" s="49">
        <v>45098</v>
      </c>
      <c r="P8297" s="50">
        <v>166.392</v>
      </c>
    </row>
    <row r="8298" spans="4:16" x14ac:dyDescent="0.2">
      <c r="D8298">
        <v>100004957</v>
      </c>
      <c r="E8298" s="49">
        <v>45146</v>
      </c>
      <c r="F8298" t="s">
        <v>6188</v>
      </c>
      <c r="G8298" t="s">
        <v>2121</v>
      </c>
      <c r="H8298">
        <v>8</v>
      </c>
      <c r="I8298">
        <v>22.15</v>
      </c>
      <c r="J8298" s="50">
        <v>177.2</v>
      </c>
      <c r="K8298" t="s">
        <v>1618</v>
      </c>
      <c r="M8298" t="s">
        <v>1629</v>
      </c>
      <c r="N8298">
        <v>11.69</v>
      </c>
      <c r="O8298" s="49">
        <v>45147</v>
      </c>
      <c r="P8298" s="50">
        <v>79.739999999999995</v>
      </c>
    </row>
    <row r="8299" spans="4:16" x14ac:dyDescent="0.2">
      <c r="D8299">
        <v>100004960</v>
      </c>
      <c r="E8299" s="49">
        <v>45312</v>
      </c>
      <c r="F8299" t="s">
        <v>6189</v>
      </c>
      <c r="G8299" t="s">
        <v>1758</v>
      </c>
      <c r="H8299">
        <v>7</v>
      </c>
      <c r="I8299">
        <v>106.19</v>
      </c>
      <c r="J8299" s="50">
        <v>743.32999999999993</v>
      </c>
      <c r="K8299" t="s">
        <v>1618</v>
      </c>
      <c r="M8299" t="s">
        <v>1627</v>
      </c>
      <c r="N8299">
        <v>56.04</v>
      </c>
      <c r="O8299" s="49">
        <v>45315</v>
      </c>
      <c r="P8299" s="50">
        <v>334.49849999999998</v>
      </c>
    </row>
    <row r="8300" spans="4:16" x14ac:dyDescent="0.2">
      <c r="D8300">
        <v>100004960</v>
      </c>
      <c r="E8300" s="49">
        <v>45081</v>
      </c>
      <c r="F8300" t="s">
        <v>6189</v>
      </c>
      <c r="G8300" t="s">
        <v>2204</v>
      </c>
      <c r="H8300">
        <v>2</v>
      </c>
      <c r="I8300">
        <v>66.86</v>
      </c>
      <c r="J8300" s="50">
        <v>133.72</v>
      </c>
      <c r="K8300" t="s">
        <v>1618</v>
      </c>
      <c r="M8300" t="s">
        <v>1624</v>
      </c>
      <c r="N8300">
        <v>35.29</v>
      </c>
      <c r="O8300" s="49">
        <v>45084</v>
      </c>
      <c r="P8300" s="50">
        <v>60.173999999999999</v>
      </c>
    </row>
    <row r="8301" spans="4:16" x14ac:dyDescent="0.2">
      <c r="D8301">
        <v>100004960</v>
      </c>
      <c r="E8301" s="49">
        <v>45193</v>
      </c>
      <c r="F8301" t="s">
        <v>6189</v>
      </c>
      <c r="G8301" t="s">
        <v>1649</v>
      </c>
      <c r="H8301">
        <v>5</v>
      </c>
      <c r="I8301">
        <v>117.81</v>
      </c>
      <c r="J8301" s="50">
        <v>589.04999999999995</v>
      </c>
      <c r="K8301" t="s">
        <v>1618</v>
      </c>
      <c r="M8301" t="s">
        <v>1629</v>
      </c>
      <c r="N8301">
        <v>62.18</v>
      </c>
      <c r="O8301" s="49">
        <v>45195</v>
      </c>
      <c r="P8301" s="50">
        <v>265.07249999999999</v>
      </c>
    </row>
    <row r="8302" spans="4:16" x14ac:dyDescent="0.2">
      <c r="D8302">
        <v>100004960</v>
      </c>
      <c r="E8302" s="49">
        <v>45654</v>
      </c>
      <c r="F8302" t="s">
        <v>6189</v>
      </c>
      <c r="G8302" t="s">
        <v>2121</v>
      </c>
      <c r="H8302">
        <v>2</v>
      </c>
      <c r="I8302">
        <v>17.22</v>
      </c>
      <c r="J8302" s="50">
        <v>34.44</v>
      </c>
      <c r="K8302" t="s">
        <v>1618</v>
      </c>
      <c r="M8302" t="s">
        <v>1619</v>
      </c>
      <c r="N8302">
        <v>9.09</v>
      </c>
      <c r="O8302" s="49">
        <v>45655</v>
      </c>
      <c r="P8302" s="50">
        <v>15.497999999999999</v>
      </c>
    </row>
    <row r="8303" spans="4:16" x14ac:dyDescent="0.2">
      <c r="D8303">
        <v>100004960</v>
      </c>
      <c r="E8303" s="49">
        <v>44295</v>
      </c>
      <c r="F8303" t="s">
        <v>6189</v>
      </c>
      <c r="G8303" t="s">
        <v>1817</v>
      </c>
      <c r="H8303">
        <v>8</v>
      </c>
      <c r="I8303">
        <v>19.600000000000001</v>
      </c>
      <c r="J8303" s="50">
        <v>156.80000000000001</v>
      </c>
      <c r="K8303" t="s">
        <v>1618</v>
      </c>
      <c r="M8303" t="s">
        <v>1621</v>
      </c>
      <c r="N8303">
        <v>10.34</v>
      </c>
      <c r="O8303" s="49">
        <v>44296</v>
      </c>
      <c r="P8303" s="50">
        <v>70.56</v>
      </c>
    </row>
    <row r="8304" spans="4:16" x14ac:dyDescent="0.2">
      <c r="D8304">
        <v>100004961</v>
      </c>
      <c r="E8304" s="49">
        <v>44997</v>
      </c>
      <c r="F8304" t="s">
        <v>6190</v>
      </c>
      <c r="G8304" t="s">
        <v>2111</v>
      </c>
      <c r="H8304">
        <v>4</v>
      </c>
      <c r="I8304">
        <v>93.98</v>
      </c>
      <c r="J8304" s="50">
        <v>375.92</v>
      </c>
      <c r="K8304" t="s">
        <v>1618</v>
      </c>
      <c r="M8304" t="s">
        <v>1619</v>
      </c>
      <c r="N8304">
        <v>49.6</v>
      </c>
      <c r="O8304" s="49">
        <v>44999</v>
      </c>
      <c r="P8304" s="50">
        <v>169.16400000000002</v>
      </c>
    </row>
    <row r="8305" spans="4:16" x14ac:dyDescent="0.2">
      <c r="D8305">
        <v>100004961</v>
      </c>
      <c r="E8305" s="49">
        <v>45524</v>
      </c>
      <c r="F8305" t="s">
        <v>6190</v>
      </c>
      <c r="G8305" t="s">
        <v>1842</v>
      </c>
      <c r="H8305">
        <v>5</v>
      </c>
      <c r="I8305">
        <v>11.01</v>
      </c>
      <c r="J8305" s="50">
        <v>55.05</v>
      </c>
      <c r="K8305" t="s">
        <v>1618</v>
      </c>
      <c r="M8305" t="s">
        <v>1627</v>
      </c>
      <c r="N8305">
        <v>5.81</v>
      </c>
      <c r="O8305" s="49">
        <v>45527</v>
      </c>
      <c r="P8305" s="50">
        <v>24.772500000000001</v>
      </c>
    </row>
    <row r="8306" spans="4:16" x14ac:dyDescent="0.2">
      <c r="D8306">
        <v>100004961</v>
      </c>
      <c r="E8306" s="49">
        <v>44510</v>
      </c>
      <c r="F8306" t="s">
        <v>6190</v>
      </c>
      <c r="G8306" t="s">
        <v>2698</v>
      </c>
      <c r="H8306">
        <v>5</v>
      </c>
      <c r="I8306">
        <v>72.53</v>
      </c>
      <c r="J8306" s="50">
        <v>362.65</v>
      </c>
      <c r="K8306" t="s">
        <v>1618</v>
      </c>
      <c r="M8306" t="s">
        <v>1621</v>
      </c>
      <c r="N8306">
        <v>38.28</v>
      </c>
      <c r="O8306" s="49">
        <v>44513</v>
      </c>
      <c r="P8306" s="50">
        <v>163.1925</v>
      </c>
    </row>
    <row r="8307" spans="4:16" x14ac:dyDescent="0.2">
      <c r="D8307">
        <v>100004961</v>
      </c>
      <c r="E8307" s="49">
        <v>45650</v>
      </c>
      <c r="F8307" t="s">
        <v>6190</v>
      </c>
      <c r="G8307" t="s">
        <v>3135</v>
      </c>
      <c r="H8307">
        <v>2</v>
      </c>
      <c r="I8307">
        <v>32.83</v>
      </c>
      <c r="J8307" s="50">
        <v>65.66</v>
      </c>
      <c r="K8307" t="s">
        <v>1618</v>
      </c>
      <c r="M8307" t="s">
        <v>1621</v>
      </c>
      <c r="N8307">
        <v>17.329999999999998</v>
      </c>
      <c r="O8307" s="49">
        <v>45654</v>
      </c>
      <c r="P8307" s="50">
        <v>29.547000000000001</v>
      </c>
    </row>
    <row r="8308" spans="4:16" x14ac:dyDescent="0.2">
      <c r="D8308">
        <v>100004961</v>
      </c>
      <c r="E8308" s="49">
        <v>44716</v>
      </c>
      <c r="F8308" t="s">
        <v>6190</v>
      </c>
      <c r="G8308" t="s">
        <v>2762</v>
      </c>
      <c r="H8308">
        <v>1</v>
      </c>
      <c r="I8308">
        <v>93.32</v>
      </c>
      <c r="J8308" s="50">
        <v>93.32</v>
      </c>
      <c r="K8308" t="s">
        <v>1618</v>
      </c>
      <c r="M8308" t="s">
        <v>1624</v>
      </c>
      <c r="N8308">
        <v>49.25</v>
      </c>
      <c r="O8308" s="49">
        <v>44717</v>
      </c>
      <c r="P8308" s="50">
        <v>41.994</v>
      </c>
    </row>
    <row r="8309" spans="4:16" x14ac:dyDescent="0.2">
      <c r="D8309">
        <v>100004962</v>
      </c>
      <c r="E8309" s="49">
        <v>44470</v>
      </c>
      <c r="F8309" t="s">
        <v>6191</v>
      </c>
      <c r="G8309" t="s">
        <v>2242</v>
      </c>
      <c r="H8309">
        <v>4</v>
      </c>
      <c r="I8309">
        <v>105.06</v>
      </c>
      <c r="J8309" s="50">
        <v>420.24</v>
      </c>
      <c r="K8309" t="s">
        <v>1632</v>
      </c>
      <c r="M8309" t="s">
        <v>1627</v>
      </c>
      <c r="N8309">
        <v>55.45</v>
      </c>
      <c r="O8309" s="49">
        <v>44471</v>
      </c>
      <c r="P8309" s="50">
        <v>189.108</v>
      </c>
    </row>
    <row r="8310" spans="4:16" x14ac:dyDescent="0.2">
      <c r="D8310">
        <v>100004962</v>
      </c>
      <c r="E8310" s="49">
        <v>44223</v>
      </c>
      <c r="F8310" t="s">
        <v>6191</v>
      </c>
      <c r="G8310" t="s">
        <v>1904</v>
      </c>
      <c r="H8310">
        <v>4</v>
      </c>
      <c r="I8310">
        <v>27.03</v>
      </c>
      <c r="J8310" s="50">
        <v>108.12</v>
      </c>
      <c r="K8310" t="s">
        <v>1632</v>
      </c>
      <c r="M8310" t="s">
        <v>1627</v>
      </c>
      <c r="N8310">
        <v>14.27</v>
      </c>
      <c r="O8310" s="49">
        <v>44225</v>
      </c>
      <c r="P8310" s="50">
        <v>48.654000000000003</v>
      </c>
    </row>
    <row r="8311" spans="4:16" x14ac:dyDescent="0.2">
      <c r="D8311">
        <v>100004962</v>
      </c>
      <c r="E8311" s="49">
        <v>45294</v>
      </c>
      <c r="F8311" t="s">
        <v>6191</v>
      </c>
      <c r="G8311" t="s">
        <v>2213</v>
      </c>
      <c r="H8311">
        <v>10</v>
      </c>
      <c r="I8311">
        <v>43.35</v>
      </c>
      <c r="J8311" s="50">
        <v>433.5</v>
      </c>
      <c r="K8311" t="s">
        <v>1632</v>
      </c>
      <c r="M8311" t="s">
        <v>1629</v>
      </c>
      <c r="N8311">
        <v>22.88</v>
      </c>
      <c r="O8311" s="49">
        <v>45299</v>
      </c>
      <c r="P8311" s="50">
        <v>195.07500000000002</v>
      </c>
    </row>
    <row r="8312" spans="4:16" x14ac:dyDescent="0.2">
      <c r="D8312">
        <v>100004965</v>
      </c>
      <c r="E8312" s="49">
        <v>44704</v>
      </c>
      <c r="F8312" t="s">
        <v>6192</v>
      </c>
      <c r="G8312" t="s">
        <v>2042</v>
      </c>
      <c r="H8312">
        <v>4</v>
      </c>
      <c r="I8312">
        <v>42.43</v>
      </c>
      <c r="J8312" s="50">
        <v>169.72</v>
      </c>
      <c r="K8312" t="s">
        <v>1618</v>
      </c>
      <c r="M8312" t="s">
        <v>1624</v>
      </c>
      <c r="N8312">
        <v>22.39</v>
      </c>
      <c r="O8312" s="49">
        <v>44705</v>
      </c>
      <c r="P8312" s="50">
        <v>76.373999999999995</v>
      </c>
    </row>
    <row r="8313" spans="4:16" x14ac:dyDescent="0.2">
      <c r="D8313">
        <v>100004965</v>
      </c>
      <c r="E8313" s="49">
        <v>45027</v>
      </c>
      <c r="F8313" t="s">
        <v>6192</v>
      </c>
      <c r="G8313" t="s">
        <v>2194</v>
      </c>
      <c r="H8313">
        <v>6</v>
      </c>
      <c r="I8313">
        <v>82.83</v>
      </c>
      <c r="J8313" s="50">
        <v>496.98</v>
      </c>
      <c r="K8313" t="s">
        <v>1618</v>
      </c>
      <c r="M8313" t="s">
        <v>1629</v>
      </c>
      <c r="N8313">
        <v>43.72</v>
      </c>
      <c r="O8313" s="49">
        <v>45032</v>
      </c>
      <c r="P8313" s="50">
        <v>223.64100000000002</v>
      </c>
    </row>
    <row r="8314" spans="4:16" x14ac:dyDescent="0.2">
      <c r="D8314">
        <v>100004965</v>
      </c>
      <c r="E8314" s="49">
        <v>45150</v>
      </c>
      <c r="F8314" t="s">
        <v>6192</v>
      </c>
      <c r="G8314" t="s">
        <v>1670</v>
      </c>
      <c r="H8314">
        <v>10</v>
      </c>
      <c r="I8314">
        <v>80.95</v>
      </c>
      <c r="J8314" s="50">
        <v>809.5</v>
      </c>
      <c r="K8314" t="s">
        <v>1618</v>
      </c>
      <c r="M8314" t="s">
        <v>1629</v>
      </c>
      <c r="N8314">
        <v>42.72</v>
      </c>
      <c r="O8314" s="49">
        <v>45154</v>
      </c>
      <c r="P8314" s="50">
        <v>364.27500000000003</v>
      </c>
    </row>
    <row r="8315" spans="4:16" x14ac:dyDescent="0.2">
      <c r="D8315">
        <v>100004968</v>
      </c>
      <c r="E8315" s="49">
        <v>45009</v>
      </c>
      <c r="F8315" t="s">
        <v>6193</v>
      </c>
      <c r="G8315" t="s">
        <v>1726</v>
      </c>
      <c r="H8315">
        <v>6</v>
      </c>
      <c r="I8315">
        <v>98.57</v>
      </c>
      <c r="J8315" s="50">
        <v>591.41999999999996</v>
      </c>
      <c r="K8315" t="s">
        <v>1618</v>
      </c>
      <c r="L8315" t="s">
        <v>6194</v>
      </c>
      <c r="M8315" t="s">
        <v>1621</v>
      </c>
      <c r="N8315">
        <v>52.02</v>
      </c>
      <c r="O8315" s="49">
        <v>45013</v>
      </c>
      <c r="P8315" s="50">
        <v>266.13900000000001</v>
      </c>
    </row>
    <row r="8316" spans="4:16" x14ac:dyDescent="0.2">
      <c r="D8316">
        <v>100004969</v>
      </c>
      <c r="E8316" s="49">
        <v>45069</v>
      </c>
      <c r="F8316" t="s">
        <v>2021</v>
      </c>
      <c r="G8316" t="s">
        <v>1721</v>
      </c>
      <c r="H8316">
        <v>8</v>
      </c>
      <c r="I8316">
        <v>79.17</v>
      </c>
      <c r="J8316" s="50">
        <v>633.36</v>
      </c>
      <c r="K8316" t="s">
        <v>1618</v>
      </c>
      <c r="M8316" t="s">
        <v>1627</v>
      </c>
      <c r="N8316">
        <v>41.78</v>
      </c>
      <c r="O8316" s="49">
        <v>45070</v>
      </c>
      <c r="P8316" s="50">
        <v>285.012</v>
      </c>
    </row>
    <row r="8317" spans="4:16" x14ac:dyDescent="0.2">
      <c r="D8317">
        <v>100004972</v>
      </c>
      <c r="E8317" s="49">
        <v>44954</v>
      </c>
      <c r="F8317" t="s">
        <v>6195</v>
      </c>
      <c r="G8317" t="s">
        <v>2213</v>
      </c>
      <c r="H8317">
        <v>8</v>
      </c>
      <c r="I8317">
        <v>91.26</v>
      </c>
      <c r="J8317" s="50">
        <v>730.08</v>
      </c>
      <c r="K8317" t="s">
        <v>1632</v>
      </c>
      <c r="M8317" t="s">
        <v>1627</v>
      </c>
      <c r="N8317">
        <v>48.16</v>
      </c>
      <c r="O8317" s="49">
        <v>44955</v>
      </c>
      <c r="P8317" s="50">
        <v>328.536</v>
      </c>
    </row>
    <row r="8318" spans="4:16" x14ac:dyDescent="0.2">
      <c r="D8318">
        <v>100004973</v>
      </c>
      <c r="E8318" s="49">
        <v>45055</v>
      </c>
      <c r="F8318" t="s">
        <v>6196</v>
      </c>
      <c r="G8318" t="s">
        <v>1695</v>
      </c>
      <c r="H8318">
        <v>6</v>
      </c>
      <c r="I8318">
        <v>58.34</v>
      </c>
      <c r="J8318" s="50">
        <v>350.04</v>
      </c>
      <c r="K8318" t="s">
        <v>1618</v>
      </c>
      <c r="L8318" t="s">
        <v>6197</v>
      </c>
      <c r="M8318" t="s">
        <v>1629</v>
      </c>
      <c r="N8318">
        <v>30.79</v>
      </c>
      <c r="O8318" s="49">
        <v>45059</v>
      </c>
      <c r="P8318" s="50">
        <v>157.518</v>
      </c>
    </row>
    <row r="8319" spans="4:16" x14ac:dyDescent="0.2">
      <c r="D8319">
        <v>100004973</v>
      </c>
      <c r="E8319" s="49">
        <v>44515</v>
      </c>
      <c r="F8319" t="s">
        <v>6196</v>
      </c>
      <c r="G8319" t="s">
        <v>1971</v>
      </c>
      <c r="H8319">
        <v>6</v>
      </c>
      <c r="I8319">
        <v>76.89</v>
      </c>
      <c r="J8319" s="50">
        <v>461.34</v>
      </c>
      <c r="K8319" t="s">
        <v>1618</v>
      </c>
      <c r="L8319" t="s">
        <v>6197</v>
      </c>
      <c r="M8319" t="s">
        <v>1621</v>
      </c>
      <c r="N8319">
        <v>40.58</v>
      </c>
      <c r="O8319" s="49">
        <v>44519</v>
      </c>
      <c r="P8319" s="50">
        <v>207.60299999999998</v>
      </c>
    </row>
    <row r="8320" spans="4:16" x14ac:dyDescent="0.2">
      <c r="D8320">
        <v>100004974</v>
      </c>
      <c r="E8320" s="49">
        <v>44423</v>
      </c>
      <c r="F8320" t="s">
        <v>6198</v>
      </c>
      <c r="G8320" t="s">
        <v>1730</v>
      </c>
      <c r="H8320">
        <v>4</v>
      </c>
      <c r="I8320">
        <v>111.33</v>
      </c>
      <c r="J8320" s="50">
        <v>445.32</v>
      </c>
      <c r="K8320" t="s">
        <v>1632</v>
      </c>
      <c r="M8320" t="s">
        <v>1619</v>
      </c>
      <c r="N8320">
        <v>58.76</v>
      </c>
      <c r="O8320" s="49">
        <v>44428</v>
      </c>
      <c r="P8320" s="50">
        <v>200.39400000000001</v>
      </c>
    </row>
    <row r="8321" spans="4:16" x14ac:dyDescent="0.2">
      <c r="D8321">
        <v>100004974</v>
      </c>
      <c r="E8321" s="49">
        <v>44543</v>
      </c>
      <c r="F8321" t="s">
        <v>6198</v>
      </c>
      <c r="G8321" t="s">
        <v>2465</v>
      </c>
      <c r="H8321">
        <v>6</v>
      </c>
      <c r="I8321">
        <v>45.78</v>
      </c>
      <c r="J8321" s="50">
        <v>274.68</v>
      </c>
      <c r="K8321" t="s">
        <v>1632</v>
      </c>
      <c r="M8321" t="s">
        <v>1627</v>
      </c>
      <c r="N8321">
        <v>24.16</v>
      </c>
      <c r="O8321" s="49">
        <v>44544</v>
      </c>
      <c r="P8321" s="50">
        <v>123.60600000000001</v>
      </c>
    </row>
    <row r="8322" spans="4:16" x14ac:dyDescent="0.2">
      <c r="D8322">
        <v>100004974</v>
      </c>
      <c r="E8322" s="49">
        <v>44323</v>
      </c>
      <c r="F8322" t="s">
        <v>6198</v>
      </c>
      <c r="G8322" t="s">
        <v>2431</v>
      </c>
      <c r="H8322">
        <v>2</v>
      </c>
      <c r="I8322">
        <v>74.95</v>
      </c>
      <c r="J8322" s="50">
        <v>149.9</v>
      </c>
      <c r="K8322" t="s">
        <v>1632</v>
      </c>
      <c r="M8322" t="s">
        <v>1621</v>
      </c>
      <c r="N8322">
        <v>39.56</v>
      </c>
      <c r="O8322" s="49">
        <v>44327</v>
      </c>
      <c r="P8322" s="50">
        <v>67.454999999999998</v>
      </c>
    </row>
    <row r="8323" spans="4:16" x14ac:dyDescent="0.2">
      <c r="D8323">
        <v>100004975</v>
      </c>
      <c r="E8323" s="49">
        <v>45451</v>
      </c>
      <c r="F8323" t="s">
        <v>6199</v>
      </c>
      <c r="G8323" t="s">
        <v>1677</v>
      </c>
      <c r="H8323">
        <v>8</v>
      </c>
      <c r="I8323">
        <v>31.94</v>
      </c>
      <c r="J8323" s="50">
        <v>255.52</v>
      </c>
      <c r="K8323" t="s">
        <v>1618</v>
      </c>
      <c r="M8323" t="s">
        <v>1627</v>
      </c>
      <c r="N8323">
        <v>16.86</v>
      </c>
      <c r="O8323" s="49">
        <v>45456</v>
      </c>
      <c r="P8323" s="50">
        <v>114.98400000000001</v>
      </c>
    </row>
    <row r="8324" spans="4:16" x14ac:dyDescent="0.2">
      <c r="D8324">
        <v>100004975</v>
      </c>
      <c r="E8324" s="49">
        <v>45647</v>
      </c>
      <c r="F8324" t="s">
        <v>6199</v>
      </c>
      <c r="G8324" t="s">
        <v>1945</v>
      </c>
      <c r="H8324">
        <v>2</v>
      </c>
      <c r="I8324">
        <v>109.76</v>
      </c>
      <c r="J8324" s="50">
        <v>219.52</v>
      </c>
      <c r="K8324" t="s">
        <v>1618</v>
      </c>
      <c r="M8324" t="s">
        <v>1621</v>
      </c>
      <c r="N8324">
        <v>57.93</v>
      </c>
      <c r="O8324" s="49">
        <v>45649</v>
      </c>
      <c r="P8324" s="50">
        <v>98.784000000000006</v>
      </c>
    </row>
    <row r="8325" spans="4:16" x14ac:dyDescent="0.2">
      <c r="D8325">
        <v>100004975</v>
      </c>
      <c r="E8325" s="49">
        <v>45558</v>
      </c>
      <c r="F8325" t="s">
        <v>6199</v>
      </c>
      <c r="G8325" t="s">
        <v>2016</v>
      </c>
      <c r="H8325">
        <v>8</v>
      </c>
      <c r="I8325">
        <v>30.99</v>
      </c>
      <c r="J8325" s="50">
        <v>247.92</v>
      </c>
      <c r="K8325" t="s">
        <v>1618</v>
      </c>
      <c r="M8325" t="s">
        <v>1627</v>
      </c>
      <c r="N8325">
        <v>16.36</v>
      </c>
      <c r="O8325" s="49">
        <v>45561</v>
      </c>
      <c r="P8325" s="50">
        <v>111.56399999999999</v>
      </c>
    </row>
    <row r="8326" spans="4:16" x14ac:dyDescent="0.2">
      <c r="D8326">
        <v>100004975</v>
      </c>
      <c r="E8326" s="49">
        <v>44763</v>
      </c>
      <c r="F8326" t="s">
        <v>6199</v>
      </c>
      <c r="G8326" t="s">
        <v>2204</v>
      </c>
      <c r="H8326">
        <v>1</v>
      </c>
      <c r="I8326">
        <v>96.07</v>
      </c>
      <c r="J8326" s="50">
        <v>96.07</v>
      </c>
      <c r="K8326" t="s">
        <v>1618</v>
      </c>
      <c r="M8326" t="s">
        <v>1629</v>
      </c>
      <c r="N8326">
        <v>50.7</v>
      </c>
      <c r="O8326" s="49">
        <v>44766</v>
      </c>
      <c r="P8326" s="50">
        <v>43.231499999999997</v>
      </c>
    </row>
    <row r="8327" spans="4:16" x14ac:dyDescent="0.2">
      <c r="D8327">
        <v>100004976</v>
      </c>
      <c r="E8327" s="49">
        <v>45642</v>
      </c>
      <c r="F8327" t="s">
        <v>6200</v>
      </c>
      <c r="G8327" t="s">
        <v>1702</v>
      </c>
      <c r="H8327">
        <v>5</v>
      </c>
      <c r="I8327">
        <v>75.17</v>
      </c>
      <c r="J8327" s="50">
        <v>375.85</v>
      </c>
      <c r="K8327" t="s">
        <v>1632</v>
      </c>
      <c r="L8327" t="s">
        <v>5927</v>
      </c>
      <c r="M8327" t="s">
        <v>1621</v>
      </c>
      <c r="N8327">
        <v>39.67</v>
      </c>
      <c r="O8327" s="49">
        <v>45644</v>
      </c>
      <c r="P8327" s="50">
        <v>169.13250000000002</v>
      </c>
    </row>
    <row r="8328" spans="4:16" x14ac:dyDescent="0.2">
      <c r="D8328">
        <v>100004976</v>
      </c>
      <c r="E8328" s="49">
        <v>45284</v>
      </c>
      <c r="F8328" t="s">
        <v>6200</v>
      </c>
      <c r="G8328" t="s">
        <v>1701</v>
      </c>
      <c r="H8328">
        <v>8</v>
      </c>
      <c r="I8328">
        <v>58.53</v>
      </c>
      <c r="J8328" s="50">
        <v>468.24</v>
      </c>
      <c r="K8328" t="s">
        <v>1632</v>
      </c>
      <c r="L8328" t="s">
        <v>5927</v>
      </c>
      <c r="M8328" t="s">
        <v>1619</v>
      </c>
      <c r="N8328">
        <v>30.89</v>
      </c>
      <c r="O8328" s="49">
        <v>45289</v>
      </c>
      <c r="P8328" s="50">
        <v>210.708</v>
      </c>
    </row>
    <row r="8329" spans="4:16" x14ac:dyDescent="0.2">
      <c r="D8329">
        <v>100004976</v>
      </c>
      <c r="E8329" s="49">
        <v>44718</v>
      </c>
      <c r="F8329" t="s">
        <v>6200</v>
      </c>
      <c r="G8329" t="s">
        <v>1943</v>
      </c>
      <c r="H8329">
        <v>3</v>
      </c>
      <c r="I8329">
        <v>65.63</v>
      </c>
      <c r="J8329" s="50">
        <v>196.89</v>
      </c>
      <c r="K8329" t="s">
        <v>1632</v>
      </c>
      <c r="L8329" t="s">
        <v>5927</v>
      </c>
      <c r="M8329" t="s">
        <v>1624</v>
      </c>
      <c r="N8329">
        <v>34.64</v>
      </c>
      <c r="O8329" s="49">
        <v>44720</v>
      </c>
      <c r="P8329" s="50">
        <v>88.600499999999997</v>
      </c>
    </row>
    <row r="8330" spans="4:16" x14ac:dyDescent="0.2">
      <c r="D8330">
        <v>100004977</v>
      </c>
      <c r="E8330" s="49">
        <v>44781</v>
      </c>
      <c r="F8330" t="s">
        <v>6201</v>
      </c>
      <c r="G8330" t="s">
        <v>1953</v>
      </c>
      <c r="H8330">
        <v>5</v>
      </c>
      <c r="I8330">
        <v>119.77</v>
      </c>
      <c r="J8330" s="50">
        <v>598.85</v>
      </c>
      <c r="K8330" t="s">
        <v>1618</v>
      </c>
      <c r="M8330" t="s">
        <v>1627</v>
      </c>
      <c r="N8330">
        <v>63.21</v>
      </c>
      <c r="O8330" s="49">
        <v>44783</v>
      </c>
      <c r="P8330" s="50">
        <v>269.48250000000002</v>
      </c>
    </row>
    <row r="8331" spans="4:16" x14ac:dyDescent="0.2">
      <c r="D8331">
        <v>100004977</v>
      </c>
      <c r="E8331" s="49">
        <v>44268</v>
      </c>
      <c r="F8331" t="s">
        <v>6201</v>
      </c>
      <c r="G8331" t="s">
        <v>2074</v>
      </c>
      <c r="H8331">
        <v>5</v>
      </c>
      <c r="I8331">
        <v>110.48</v>
      </c>
      <c r="J8331" s="50">
        <v>552.4</v>
      </c>
      <c r="K8331" t="s">
        <v>1618</v>
      </c>
      <c r="M8331" t="s">
        <v>1624</v>
      </c>
      <c r="N8331">
        <v>58.31</v>
      </c>
      <c r="O8331" s="49">
        <v>44271</v>
      </c>
      <c r="P8331" s="50">
        <v>248.57999999999998</v>
      </c>
    </row>
    <row r="8332" spans="4:16" x14ac:dyDescent="0.2">
      <c r="D8332">
        <v>100004978</v>
      </c>
      <c r="E8332" s="49">
        <v>45595</v>
      </c>
      <c r="F8332" t="s">
        <v>6202</v>
      </c>
      <c r="G8332" t="s">
        <v>1950</v>
      </c>
      <c r="H8332">
        <v>10</v>
      </c>
      <c r="I8332">
        <v>62.19</v>
      </c>
      <c r="J8332" s="50">
        <v>621.9</v>
      </c>
      <c r="K8332" t="s">
        <v>1618</v>
      </c>
      <c r="L8332" t="s">
        <v>6203</v>
      </c>
      <c r="M8332" t="s">
        <v>1619</v>
      </c>
      <c r="N8332">
        <v>32.82</v>
      </c>
      <c r="O8332" s="49">
        <v>45599</v>
      </c>
      <c r="P8332" s="50">
        <v>279.85500000000002</v>
      </c>
    </row>
    <row r="8333" spans="4:16" x14ac:dyDescent="0.2">
      <c r="D8333">
        <v>100004981</v>
      </c>
      <c r="E8333" s="49">
        <v>45005</v>
      </c>
      <c r="F8333" t="s">
        <v>6204</v>
      </c>
      <c r="G8333" t="s">
        <v>2005</v>
      </c>
      <c r="H8333">
        <v>3</v>
      </c>
      <c r="I8333">
        <v>23.05</v>
      </c>
      <c r="J8333" s="50">
        <v>69.150000000000006</v>
      </c>
      <c r="K8333" t="s">
        <v>1618</v>
      </c>
      <c r="L8333" t="s">
        <v>2258</v>
      </c>
      <c r="M8333" t="s">
        <v>1619</v>
      </c>
      <c r="N8333">
        <v>12.17</v>
      </c>
      <c r="O8333" s="49">
        <v>45009</v>
      </c>
      <c r="P8333" s="50">
        <v>31.117500000000003</v>
      </c>
    </row>
    <row r="8334" spans="4:16" x14ac:dyDescent="0.2">
      <c r="D8334">
        <v>100004982</v>
      </c>
      <c r="E8334" s="49">
        <v>44839</v>
      </c>
      <c r="F8334" t="s">
        <v>6205</v>
      </c>
      <c r="G8334" t="s">
        <v>1789</v>
      </c>
      <c r="H8334">
        <v>8</v>
      </c>
      <c r="I8334">
        <v>82.86</v>
      </c>
      <c r="J8334" s="50">
        <v>662.88</v>
      </c>
      <c r="K8334" t="s">
        <v>1618</v>
      </c>
      <c r="L8334" t="s">
        <v>6206</v>
      </c>
      <c r="M8334" t="s">
        <v>1619</v>
      </c>
      <c r="N8334">
        <v>43.73</v>
      </c>
      <c r="O8334" s="49">
        <v>44844</v>
      </c>
      <c r="P8334" s="50">
        <v>298.29599999999999</v>
      </c>
    </row>
    <row r="8335" spans="4:16" x14ac:dyDescent="0.2">
      <c r="D8335">
        <v>100004982</v>
      </c>
      <c r="E8335" s="49">
        <v>44423</v>
      </c>
      <c r="F8335" t="s">
        <v>6205</v>
      </c>
      <c r="G8335" t="s">
        <v>2076</v>
      </c>
      <c r="H8335">
        <v>10</v>
      </c>
      <c r="I8335">
        <v>107.68</v>
      </c>
      <c r="J8335" s="50">
        <v>1076.8</v>
      </c>
      <c r="K8335" t="s">
        <v>1618</v>
      </c>
      <c r="L8335" t="s">
        <v>6206</v>
      </c>
      <c r="M8335" t="s">
        <v>1619</v>
      </c>
      <c r="N8335">
        <v>56.83</v>
      </c>
      <c r="O8335" s="49">
        <v>44424</v>
      </c>
      <c r="P8335" s="50">
        <v>484.56</v>
      </c>
    </row>
    <row r="8336" spans="4:16" x14ac:dyDescent="0.2">
      <c r="D8336">
        <v>100004982</v>
      </c>
      <c r="E8336" s="49">
        <v>44408</v>
      </c>
      <c r="F8336" t="s">
        <v>6205</v>
      </c>
      <c r="G8336" t="s">
        <v>2306</v>
      </c>
      <c r="H8336">
        <v>4</v>
      </c>
      <c r="I8336">
        <v>17.73</v>
      </c>
      <c r="J8336" s="50">
        <v>70.92</v>
      </c>
      <c r="K8336" t="s">
        <v>1618</v>
      </c>
      <c r="L8336" t="s">
        <v>6206</v>
      </c>
      <c r="M8336" t="s">
        <v>1627</v>
      </c>
      <c r="N8336">
        <v>9.36</v>
      </c>
      <c r="O8336" s="49">
        <v>44412</v>
      </c>
      <c r="P8336" s="50">
        <v>31.914000000000001</v>
      </c>
    </row>
    <row r="8337" spans="4:16" x14ac:dyDescent="0.2">
      <c r="D8337">
        <v>100004982</v>
      </c>
      <c r="E8337" s="49">
        <v>45129</v>
      </c>
      <c r="F8337" t="s">
        <v>6205</v>
      </c>
      <c r="G8337" t="s">
        <v>2147</v>
      </c>
      <c r="H8337">
        <v>4</v>
      </c>
      <c r="I8337">
        <v>60.47</v>
      </c>
      <c r="J8337" s="50">
        <v>241.88</v>
      </c>
      <c r="K8337" t="s">
        <v>1618</v>
      </c>
      <c r="L8337" t="s">
        <v>6206</v>
      </c>
      <c r="M8337" t="s">
        <v>1629</v>
      </c>
      <c r="N8337">
        <v>31.91</v>
      </c>
      <c r="O8337" s="49">
        <v>45132</v>
      </c>
      <c r="P8337" s="50">
        <v>108.846</v>
      </c>
    </row>
    <row r="8338" spans="4:16" x14ac:dyDescent="0.2">
      <c r="D8338">
        <v>100004982</v>
      </c>
      <c r="E8338" s="49">
        <v>45600</v>
      </c>
      <c r="F8338" t="s">
        <v>6205</v>
      </c>
      <c r="G8338" t="s">
        <v>2603</v>
      </c>
      <c r="H8338">
        <v>5</v>
      </c>
      <c r="I8338">
        <v>71.739999999999995</v>
      </c>
      <c r="J8338" s="50">
        <v>358.7</v>
      </c>
      <c r="K8338" t="s">
        <v>1618</v>
      </c>
      <c r="L8338" t="s">
        <v>6206</v>
      </c>
      <c r="M8338" t="s">
        <v>1627</v>
      </c>
      <c r="N8338">
        <v>37.86</v>
      </c>
      <c r="O8338" s="49">
        <v>45601</v>
      </c>
      <c r="P8338" s="50">
        <v>161.41499999999999</v>
      </c>
    </row>
    <row r="8339" spans="4:16" x14ac:dyDescent="0.2">
      <c r="D8339">
        <v>100004982</v>
      </c>
      <c r="E8339" s="49">
        <v>44285</v>
      </c>
      <c r="F8339" t="s">
        <v>6205</v>
      </c>
      <c r="G8339" t="s">
        <v>2138</v>
      </c>
      <c r="H8339">
        <v>7</v>
      </c>
      <c r="I8339">
        <v>92.8</v>
      </c>
      <c r="J8339" s="50">
        <v>649.6</v>
      </c>
      <c r="K8339" t="s">
        <v>1618</v>
      </c>
      <c r="L8339" t="s">
        <v>6206</v>
      </c>
      <c r="M8339" t="s">
        <v>1624</v>
      </c>
      <c r="N8339">
        <v>48.98</v>
      </c>
      <c r="O8339" s="49">
        <v>44289</v>
      </c>
      <c r="P8339" s="50">
        <v>292.32</v>
      </c>
    </row>
    <row r="8340" spans="4:16" x14ac:dyDescent="0.2">
      <c r="D8340">
        <v>100004983</v>
      </c>
      <c r="E8340" s="49">
        <v>45469</v>
      </c>
      <c r="F8340" t="s">
        <v>6207</v>
      </c>
      <c r="G8340" t="s">
        <v>1710</v>
      </c>
      <c r="H8340">
        <v>2</v>
      </c>
      <c r="I8340">
        <v>30.71</v>
      </c>
      <c r="J8340" s="50">
        <v>61.42</v>
      </c>
      <c r="K8340" t="s">
        <v>1618</v>
      </c>
      <c r="L8340" t="s">
        <v>3890</v>
      </c>
      <c r="M8340" t="s">
        <v>1621</v>
      </c>
      <c r="N8340">
        <v>16.21</v>
      </c>
      <c r="O8340" s="49">
        <v>45472</v>
      </c>
      <c r="P8340" s="50">
        <v>27.639000000000003</v>
      </c>
    </row>
    <row r="8341" spans="4:16" x14ac:dyDescent="0.2">
      <c r="D8341">
        <v>100004984</v>
      </c>
      <c r="E8341" s="49">
        <v>44671</v>
      </c>
      <c r="F8341" t="s">
        <v>6208</v>
      </c>
      <c r="G8341" t="s">
        <v>1701</v>
      </c>
      <c r="H8341">
        <v>8</v>
      </c>
      <c r="I8341">
        <v>80.44</v>
      </c>
      <c r="J8341" s="50">
        <v>643.52</v>
      </c>
      <c r="K8341" t="s">
        <v>1632</v>
      </c>
      <c r="M8341" t="s">
        <v>1629</v>
      </c>
      <c r="N8341">
        <v>42.45</v>
      </c>
      <c r="O8341" s="49">
        <v>44675</v>
      </c>
      <c r="P8341" s="50">
        <v>289.584</v>
      </c>
    </row>
    <row r="8342" spans="4:16" x14ac:dyDescent="0.2">
      <c r="D8342">
        <v>100004984</v>
      </c>
      <c r="E8342" s="49">
        <v>44380</v>
      </c>
      <c r="F8342" t="s">
        <v>6208</v>
      </c>
      <c r="G8342" t="s">
        <v>1617</v>
      </c>
      <c r="H8342">
        <v>2</v>
      </c>
      <c r="I8342">
        <v>116.86</v>
      </c>
      <c r="J8342" s="50">
        <v>233.72</v>
      </c>
      <c r="K8342" t="s">
        <v>1632</v>
      </c>
      <c r="M8342" t="s">
        <v>1629</v>
      </c>
      <c r="N8342">
        <v>61.68</v>
      </c>
      <c r="O8342" s="49">
        <v>44382</v>
      </c>
      <c r="P8342" s="50">
        <v>105.17400000000001</v>
      </c>
    </row>
    <row r="8343" spans="4:16" x14ac:dyDescent="0.2">
      <c r="D8343">
        <v>100004985</v>
      </c>
      <c r="E8343" s="49">
        <v>44360</v>
      </c>
      <c r="F8343" t="s">
        <v>6209</v>
      </c>
      <c r="G8343" t="s">
        <v>1702</v>
      </c>
      <c r="H8343">
        <v>7</v>
      </c>
      <c r="I8343">
        <v>70.650000000000006</v>
      </c>
      <c r="J8343" s="50">
        <v>494.55000000000013</v>
      </c>
      <c r="K8343" t="s">
        <v>1618</v>
      </c>
      <c r="M8343" t="s">
        <v>1621</v>
      </c>
      <c r="N8343">
        <v>37.29</v>
      </c>
      <c r="O8343" s="49">
        <v>44364</v>
      </c>
      <c r="P8343" s="50">
        <v>222.54750000000007</v>
      </c>
    </row>
    <row r="8344" spans="4:16" x14ac:dyDescent="0.2">
      <c r="D8344">
        <v>100004985</v>
      </c>
      <c r="E8344" s="49">
        <v>44476</v>
      </c>
      <c r="F8344" t="s">
        <v>6209</v>
      </c>
      <c r="G8344" t="s">
        <v>1844</v>
      </c>
      <c r="H8344">
        <v>1</v>
      </c>
      <c r="I8344">
        <v>59.73</v>
      </c>
      <c r="J8344" s="50">
        <v>59.73</v>
      </c>
      <c r="K8344" t="s">
        <v>1618</v>
      </c>
      <c r="M8344" t="s">
        <v>1627</v>
      </c>
      <c r="N8344">
        <v>31.52</v>
      </c>
      <c r="O8344" s="49">
        <v>44477</v>
      </c>
      <c r="P8344" s="50">
        <v>26.878499999999999</v>
      </c>
    </row>
    <row r="8345" spans="4:16" x14ac:dyDescent="0.2">
      <c r="D8345">
        <v>100004986</v>
      </c>
      <c r="E8345" s="49">
        <v>44397</v>
      </c>
      <c r="F8345" t="s">
        <v>6210</v>
      </c>
      <c r="G8345" t="s">
        <v>1705</v>
      </c>
      <c r="H8345">
        <v>5</v>
      </c>
      <c r="I8345">
        <v>82.92</v>
      </c>
      <c r="J8345" s="50">
        <v>414.6</v>
      </c>
      <c r="K8345" t="s">
        <v>1618</v>
      </c>
      <c r="M8345" t="s">
        <v>1624</v>
      </c>
      <c r="N8345">
        <v>43.76</v>
      </c>
      <c r="O8345" s="49">
        <v>44402</v>
      </c>
      <c r="P8345" s="50">
        <v>186.57000000000002</v>
      </c>
    </row>
    <row r="8346" spans="4:16" x14ac:dyDescent="0.2">
      <c r="D8346">
        <v>100004987</v>
      </c>
      <c r="E8346" s="49">
        <v>44958</v>
      </c>
      <c r="F8346" t="s">
        <v>6211</v>
      </c>
      <c r="G8346" t="s">
        <v>2159</v>
      </c>
      <c r="H8346">
        <v>2</v>
      </c>
      <c r="I8346">
        <v>22.35</v>
      </c>
      <c r="J8346" s="50">
        <v>44.7</v>
      </c>
      <c r="K8346" t="s">
        <v>1618</v>
      </c>
      <c r="M8346" t="s">
        <v>1621</v>
      </c>
      <c r="N8346">
        <v>11.8</v>
      </c>
      <c r="O8346" s="49">
        <v>44962</v>
      </c>
      <c r="P8346" s="50">
        <v>20.115000000000002</v>
      </c>
    </row>
    <row r="8347" spans="4:16" x14ac:dyDescent="0.2">
      <c r="D8347">
        <v>100004987</v>
      </c>
      <c r="E8347" s="49">
        <v>45216</v>
      </c>
      <c r="F8347" t="s">
        <v>6211</v>
      </c>
      <c r="G8347" t="s">
        <v>1639</v>
      </c>
      <c r="H8347">
        <v>5</v>
      </c>
      <c r="I8347">
        <v>80.510000000000005</v>
      </c>
      <c r="J8347" s="50">
        <v>402.55</v>
      </c>
      <c r="K8347" t="s">
        <v>1618</v>
      </c>
      <c r="M8347" t="s">
        <v>1624</v>
      </c>
      <c r="N8347">
        <v>42.49</v>
      </c>
      <c r="O8347" s="49">
        <v>45217</v>
      </c>
      <c r="P8347" s="50">
        <v>181.14750000000001</v>
      </c>
    </row>
    <row r="8348" spans="4:16" x14ac:dyDescent="0.2">
      <c r="D8348">
        <v>100004988</v>
      </c>
      <c r="E8348" s="49">
        <v>44763</v>
      </c>
      <c r="F8348" t="s">
        <v>6212</v>
      </c>
      <c r="G8348" t="s">
        <v>2132</v>
      </c>
      <c r="H8348">
        <v>9</v>
      </c>
      <c r="I8348">
        <v>13.3</v>
      </c>
      <c r="J8348" s="50">
        <v>119.7</v>
      </c>
      <c r="K8348" t="s">
        <v>1618</v>
      </c>
      <c r="M8348" t="s">
        <v>1629</v>
      </c>
      <c r="N8348">
        <v>7.02</v>
      </c>
      <c r="O8348" s="49">
        <v>44766</v>
      </c>
      <c r="P8348" s="50">
        <v>53.865000000000002</v>
      </c>
    </row>
    <row r="8349" spans="4:16" x14ac:dyDescent="0.2">
      <c r="D8349">
        <v>100004989</v>
      </c>
      <c r="E8349" s="49">
        <v>44656</v>
      </c>
      <c r="F8349" t="s">
        <v>6213</v>
      </c>
      <c r="G8349" t="s">
        <v>1787</v>
      </c>
      <c r="H8349">
        <v>8</v>
      </c>
      <c r="I8349">
        <v>91.37</v>
      </c>
      <c r="J8349" s="50">
        <v>730.96</v>
      </c>
      <c r="K8349" t="s">
        <v>1618</v>
      </c>
      <c r="L8349" t="s">
        <v>2564</v>
      </c>
      <c r="M8349" t="s">
        <v>1624</v>
      </c>
      <c r="N8349">
        <v>48.22</v>
      </c>
      <c r="O8349" s="49">
        <v>44658</v>
      </c>
      <c r="P8349" s="50">
        <v>328.93200000000002</v>
      </c>
    </row>
    <row r="8350" spans="4:16" x14ac:dyDescent="0.2">
      <c r="D8350">
        <v>100004990</v>
      </c>
      <c r="E8350" s="49">
        <v>45562</v>
      </c>
      <c r="F8350" t="s">
        <v>6214</v>
      </c>
      <c r="G8350" t="s">
        <v>2163</v>
      </c>
      <c r="H8350">
        <v>7</v>
      </c>
      <c r="I8350">
        <v>73.680000000000007</v>
      </c>
      <c r="J8350" s="50">
        <v>515.76</v>
      </c>
      <c r="K8350" t="s">
        <v>1618</v>
      </c>
      <c r="L8350" t="s">
        <v>2532</v>
      </c>
      <c r="M8350" t="s">
        <v>1621</v>
      </c>
      <c r="N8350">
        <v>38.89</v>
      </c>
      <c r="O8350" s="49">
        <v>45564</v>
      </c>
      <c r="P8350" s="50">
        <v>232.09200000000001</v>
      </c>
    </row>
    <row r="8351" spans="4:16" x14ac:dyDescent="0.2">
      <c r="D8351">
        <v>100004990</v>
      </c>
      <c r="E8351" s="49">
        <v>44716</v>
      </c>
      <c r="F8351" t="s">
        <v>6214</v>
      </c>
      <c r="G8351" t="s">
        <v>2210</v>
      </c>
      <c r="H8351">
        <v>5</v>
      </c>
      <c r="I8351">
        <v>112.58</v>
      </c>
      <c r="J8351" s="50">
        <v>562.9</v>
      </c>
      <c r="K8351" t="s">
        <v>1618</v>
      </c>
      <c r="L8351" t="s">
        <v>2532</v>
      </c>
      <c r="M8351" t="s">
        <v>1624</v>
      </c>
      <c r="N8351">
        <v>59.42</v>
      </c>
      <c r="O8351" s="49">
        <v>44721</v>
      </c>
      <c r="P8351" s="50">
        <v>253.30500000000001</v>
      </c>
    </row>
    <row r="8352" spans="4:16" x14ac:dyDescent="0.2">
      <c r="D8352">
        <v>100004990</v>
      </c>
      <c r="E8352" s="49">
        <v>44214</v>
      </c>
      <c r="F8352" t="s">
        <v>6214</v>
      </c>
      <c r="G8352" t="s">
        <v>2418</v>
      </c>
      <c r="H8352">
        <v>2</v>
      </c>
      <c r="I8352">
        <v>24.47</v>
      </c>
      <c r="J8352" s="50">
        <v>48.94</v>
      </c>
      <c r="K8352" t="s">
        <v>1618</v>
      </c>
      <c r="L8352" t="s">
        <v>2532</v>
      </c>
      <c r="M8352" t="s">
        <v>1621</v>
      </c>
      <c r="N8352">
        <v>12.91</v>
      </c>
      <c r="O8352" s="49">
        <v>44219</v>
      </c>
      <c r="P8352" s="50">
        <v>22.023</v>
      </c>
    </row>
    <row r="8353" spans="4:16" x14ac:dyDescent="0.2">
      <c r="D8353">
        <v>100004990</v>
      </c>
      <c r="E8353" s="49">
        <v>44514</v>
      </c>
      <c r="F8353" t="s">
        <v>6214</v>
      </c>
      <c r="G8353" t="s">
        <v>1712</v>
      </c>
      <c r="H8353">
        <v>7</v>
      </c>
      <c r="I8353">
        <v>33.93</v>
      </c>
      <c r="J8353" s="50">
        <v>237.51</v>
      </c>
      <c r="K8353" t="s">
        <v>1618</v>
      </c>
      <c r="L8353" t="s">
        <v>2532</v>
      </c>
      <c r="M8353" t="s">
        <v>1621</v>
      </c>
      <c r="N8353">
        <v>17.91</v>
      </c>
      <c r="O8353" s="49">
        <v>44515</v>
      </c>
      <c r="P8353" s="50">
        <v>106.87949999999999</v>
      </c>
    </row>
    <row r="8354" spans="4:16" x14ac:dyDescent="0.2">
      <c r="D8354">
        <v>100004991</v>
      </c>
      <c r="E8354" s="49">
        <v>45403</v>
      </c>
      <c r="F8354" t="s">
        <v>6215</v>
      </c>
      <c r="G8354" t="s">
        <v>1842</v>
      </c>
      <c r="H8354">
        <v>2</v>
      </c>
      <c r="I8354">
        <v>55.51</v>
      </c>
      <c r="J8354" s="50">
        <v>111.02</v>
      </c>
      <c r="K8354" t="s">
        <v>1618</v>
      </c>
      <c r="M8354" t="s">
        <v>1627</v>
      </c>
      <c r="N8354">
        <v>29.3</v>
      </c>
      <c r="O8354" s="49">
        <v>45404</v>
      </c>
      <c r="P8354" s="50">
        <v>49.958999999999996</v>
      </c>
    </row>
    <row r="8355" spans="4:16" x14ac:dyDescent="0.2">
      <c r="D8355">
        <v>100004991</v>
      </c>
      <c r="E8355" s="49">
        <v>45410</v>
      </c>
      <c r="F8355" t="s">
        <v>6215</v>
      </c>
      <c r="G8355" t="s">
        <v>2380</v>
      </c>
      <c r="H8355">
        <v>1</v>
      </c>
      <c r="I8355">
        <v>101.77</v>
      </c>
      <c r="J8355" s="50">
        <v>101.77</v>
      </c>
      <c r="K8355" t="s">
        <v>1618</v>
      </c>
      <c r="M8355" t="s">
        <v>1624</v>
      </c>
      <c r="N8355">
        <v>53.71</v>
      </c>
      <c r="O8355" s="49">
        <v>45415</v>
      </c>
      <c r="P8355" s="50">
        <v>45.796500000000002</v>
      </c>
    </row>
    <row r="8356" spans="4:16" x14ac:dyDescent="0.2">
      <c r="D8356">
        <v>100004992</v>
      </c>
      <c r="E8356" s="49">
        <v>44920</v>
      </c>
      <c r="F8356" t="s">
        <v>6216</v>
      </c>
      <c r="G8356" t="s">
        <v>2633</v>
      </c>
      <c r="H8356">
        <v>5</v>
      </c>
      <c r="I8356">
        <v>20.29</v>
      </c>
      <c r="J8356" s="50">
        <v>101.45</v>
      </c>
      <c r="K8356" t="s">
        <v>1618</v>
      </c>
      <c r="L8356" t="s">
        <v>5354</v>
      </c>
      <c r="M8356" t="s">
        <v>1624</v>
      </c>
      <c r="N8356">
        <v>10.71</v>
      </c>
      <c r="O8356" s="49">
        <v>44925</v>
      </c>
      <c r="P8356" s="50">
        <v>45.652500000000003</v>
      </c>
    </row>
    <row r="8357" spans="4:16" x14ac:dyDescent="0.2">
      <c r="D8357">
        <v>100004993</v>
      </c>
      <c r="E8357" s="49">
        <v>45083</v>
      </c>
      <c r="F8357" t="s">
        <v>6217</v>
      </c>
      <c r="G8357" t="s">
        <v>1650</v>
      </c>
      <c r="H8357">
        <v>5</v>
      </c>
      <c r="I8357">
        <v>32.130000000000003</v>
      </c>
      <c r="J8357" s="50">
        <v>160.65</v>
      </c>
      <c r="K8357" t="s">
        <v>1618</v>
      </c>
      <c r="M8357" t="s">
        <v>1627</v>
      </c>
      <c r="N8357">
        <v>16.96</v>
      </c>
      <c r="O8357" s="49">
        <v>45087</v>
      </c>
      <c r="P8357" s="50">
        <v>72.292500000000004</v>
      </c>
    </row>
    <row r="8358" spans="4:16" x14ac:dyDescent="0.2">
      <c r="D8358">
        <v>100004994</v>
      </c>
      <c r="E8358" s="49">
        <v>45184</v>
      </c>
      <c r="F8358" t="s">
        <v>6218</v>
      </c>
      <c r="G8358" t="s">
        <v>1976</v>
      </c>
      <c r="H8358">
        <v>2</v>
      </c>
      <c r="I8358">
        <v>31.86</v>
      </c>
      <c r="J8358" s="50">
        <v>63.72</v>
      </c>
      <c r="K8358" t="s">
        <v>1632</v>
      </c>
      <c r="M8358" t="s">
        <v>1624</v>
      </c>
      <c r="N8358">
        <v>16.809999999999999</v>
      </c>
      <c r="O8358" s="49">
        <v>45186</v>
      </c>
      <c r="P8358" s="50">
        <v>28.673999999999999</v>
      </c>
    </row>
    <row r="8359" spans="4:16" x14ac:dyDescent="0.2">
      <c r="D8359">
        <v>100004996</v>
      </c>
      <c r="E8359" s="49">
        <v>44898</v>
      </c>
      <c r="F8359" t="s">
        <v>6219</v>
      </c>
      <c r="G8359" t="s">
        <v>1785</v>
      </c>
      <c r="H8359">
        <v>3</v>
      </c>
      <c r="I8359">
        <v>113.38</v>
      </c>
      <c r="J8359" s="50">
        <v>340.14</v>
      </c>
      <c r="K8359" t="s">
        <v>1618</v>
      </c>
      <c r="M8359" t="s">
        <v>1621</v>
      </c>
      <c r="N8359">
        <v>59.84</v>
      </c>
      <c r="O8359" s="49">
        <v>44903</v>
      </c>
      <c r="P8359" s="50">
        <v>153.06299999999999</v>
      </c>
    </row>
    <row r="8360" spans="4:16" x14ac:dyDescent="0.2">
      <c r="D8360">
        <v>100004998</v>
      </c>
      <c r="E8360" s="49">
        <v>44800</v>
      </c>
      <c r="F8360" t="s">
        <v>6220</v>
      </c>
      <c r="G8360" t="s">
        <v>2261</v>
      </c>
      <c r="H8360">
        <v>7</v>
      </c>
      <c r="I8360">
        <v>21.15</v>
      </c>
      <c r="J8360" s="50">
        <v>148.05000000000001</v>
      </c>
      <c r="K8360" t="s">
        <v>1632</v>
      </c>
      <c r="M8360" t="s">
        <v>1624</v>
      </c>
      <c r="N8360">
        <v>11.16</v>
      </c>
      <c r="O8360" s="49">
        <v>44802</v>
      </c>
      <c r="P8360" s="50">
        <v>66.622500000000002</v>
      </c>
    </row>
    <row r="8361" spans="4:16" x14ac:dyDescent="0.2">
      <c r="D8361">
        <v>100004998</v>
      </c>
      <c r="E8361" s="49">
        <v>44422</v>
      </c>
      <c r="F8361" t="s">
        <v>6220</v>
      </c>
      <c r="G8361" t="s">
        <v>1702</v>
      </c>
      <c r="H8361">
        <v>8</v>
      </c>
      <c r="I8361">
        <v>18.3</v>
      </c>
      <c r="J8361" s="50">
        <v>146.4</v>
      </c>
      <c r="K8361" t="s">
        <v>1632</v>
      </c>
      <c r="M8361" t="s">
        <v>1627</v>
      </c>
      <c r="N8361">
        <v>9.66</v>
      </c>
      <c r="O8361" s="49">
        <v>44426</v>
      </c>
      <c r="P8361" s="50">
        <v>65.88000000000001</v>
      </c>
    </row>
    <row r="8362" spans="4:16" x14ac:dyDescent="0.2">
      <c r="D8362">
        <v>100005000</v>
      </c>
      <c r="E8362" s="49">
        <v>44950</v>
      </c>
      <c r="F8362" t="s">
        <v>6221</v>
      </c>
      <c r="G8362" t="s">
        <v>1664</v>
      </c>
      <c r="H8362">
        <v>1</v>
      </c>
      <c r="I8362">
        <v>38.479999999999997</v>
      </c>
      <c r="J8362" s="50">
        <v>38.479999999999997</v>
      </c>
      <c r="K8362" t="s">
        <v>1632</v>
      </c>
      <c r="M8362" t="s">
        <v>1621</v>
      </c>
      <c r="N8362">
        <v>20.309999999999999</v>
      </c>
      <c r="O8362" s="49">
        <v>44954</v>
      </c>
      <c r="P8362" s="50">
        <v>17.315999999999999</v>
      </c>
    </row>
    <row r="8363" spans="4:16" x14ac:dyDescent="0.2">
      <c r="D8363">
        <v>100005002</v>
      </c>
      <c r="E8363" s="49">
        <v>44806</v>
      </c>
      <c r="F8363" t="s">
        <v>6222</v>
      </c>
      <c r="G8363" t="s">
        <v>1980</v>
      </c>
      <c r="H8363">
        <v>2</v>
      </c>
      <c r="I8363">
        <v>78.400000000000006</v>
      </c>
      <c r="J8363" s="50">
        <v>156.80000000000001</v>
      </c>
      <c r="K8363" t="s">
        <v>1632</v>
      </c>
      <c r="M8363" t="s">
        <v>1627</v>
      </c>
      <c r="N8363">
        <v>41.38</v>
      </c>
      <c r="O8363" s="49">
        <v>44808</v>
      </c>
      <c r="P8363" s="50">
        <v>70.56</v>
      </c>
    </row>
    <row r="8364" spans="4:16" x14ac:dyDescent="0.2">
      <c r="D8364">
        <v>100005004</v>
      </c>
      <c r="E8364" s="49">
        <v>44662</v>
      </c>
      <c r="F8364" t="s">
        <v>6223</v>
      </c>
      <c r="G8364" t="s">
        <v>1864</v>
      </c>
      <c r="H8364">
        <v>5</v>
      </c>
      <c r="I8364">
        <v>37.090000000000003</v>
      </c>
      <c r="J8364" s="50">
        <v>185.45</v>
      </c>
      <c r="K8364" t="s">
        <v>1632</v>
      </c>
      <c r="L8364" t="s">
        <v>6224</v>
      </c>
      <c r="M8364" t="s">
        <v>1624</v>
      </c>
      <c r="N8364">
        <v>19.579999999999998</v>
      </c>
      <c r="O8364" s="49">
        <v>44663</v>
      </c>
      <c r="P8364" s="50">
        <v>83.452500000000001</v>
      </c>
    </row>
    <row r="8365" spans="4:16" x14ac:dyDescent="0.2">
      <c r="D8365">
        <v>100005004</v>
      </c>
      <c r="E8365" s="49">
        <v>44419</v>
      </c>
      <c r="F8365" t="s">
        <v>6223</v>
      </c>
      <c r="G8365" t="s">
        <v>1643</v>
      </c>
      <c r="H8365">
        <v>2</v>
      </c>
      <c r="I8365">
        <v>31.37</v>
      </c>
      <c r="J8365" s="50">
        <v>62.74</v>
      </c>
      <c r="K8365" t="s">
        <v>1632</v>
      </c>
      <c r="L8365" t="s">
        <v>6224</v>
      </c>
      <c r="M8365" t="s">
        <v>1621</v>
      </c>
      <c r="N8365">
        <v>16.559999999999999</v>
      </c>
      <c r="O8365" s="49">
        <v>44421</v>
      </c>
      <c r="P8365" s="50">
        <v>28.233000000000001</v>
      </c>
    </row>
    <row r="8366" spans="4:16" x14ac:dyDescent="0.2">
      <c r="D8366">
        <v>100005004</v>
      </c>
      <c r="E8366" s="49">
        <v>45595</v>
      </c>
      <c r="F8366" t="s">
        <v>6223</v>
      </c>
      <c r="G8366" t="s">
        <v>2099</v>
      </c>
      <c r="H8366">
        <v>3</v>
      </c>
      <c r="I8366">
        <v>67.44</v>
      </c>
      <c r="J8366" s="50">
        <v>202.32</v>
      </c>
      <c r="K8366" t="s">
        <v>1632</v>
      </c>
      <c r="L8366" t="s">
        <v>6224</v>
      </c>
      <c r="M8366" t="s">
        <v>1629</v>
      </c>
      <c r="N8366">
        <v>35.590000000000003</v>
      </c>
      <c r="O8366" s="49">
        <v>45596</v>
      </c>
      <c r="P8366" s="50">
        <v>91.043999999999997</v>
      </c>
    </row>
    <row r="8367" spans="4:16" x14ac:dyDescent="0.2">
      <c r="D8367">
        <v>100005005</v>
      </c>
      <c r="E8367" s="49">
        <v>44217</v>
      </c>
      <c r="F8367" t="s">
        <v>6225</v>
      </c>
      <c r="G8367" t="s">
        <v>2465</v>
      </c>
      <c r="H8367">
        <v>1</v>
      </c>
      <c r="I8367">
        <v>80.08</v>
      </c>
      <c r="J8367" s="50">
        <v>80.08</v>
      </c>
      <c r="K8367" t="s">
        <v>1632</v>
      </c>
      <c r="M8367" t="s">
        <v>1624</v>
      </c>
      <c r="N8367">
        <v>42.26</v>
      </c>
      <c r="O8367" s="49">
        <v>44220</v>
      </c>
      <c r="P8367" s="50">
        <v>36.036000000000001</v>
      </c>
    </row>
    <row r="8368" spans="4:16" x14ac:dyDescent="0.2">
      <c r="D8368">
        <v>100005005</v>
      </c>
      <c r="E8368" s="49">
        <v>44880</v>
      </c>
      <c r="F8368" t="s">
        <v>6225</v>
      </c>
      <c r="G8368" t="s">
        <v>1902</v>
      </c>
      <c r="H8368">
        <v>10</v>
      </c>
      <c r="I8368">
        <v>109</v>
      </c>
      <c r="J8368" s="50">
        <v>1090</v>
      </c>
      <c r="K8368" t="s">
        <v>1632</v>
      </c>
      <c r="M8368" t="s">
        <v>1627</v>
      </c>
      <c r="N8368">
        <v>57.53</v>
      </c>
      <c r="O8368" s="49">
        <v>44883</v>
      </c>
      <c r="P8368" s="50">
        <v>490.5</v>
      </c>
    </row>
    <row r="8369" spans="4:16" x14ac:dyDescent="0.2">
      <c r="D8369">
        <v>100005005</v>
      </c>
      <c r="E8369" s="49">
        <v>44764</v>
      </c>
      <c r="F8369" t="s">
        <v>6225</v>
      </c>
      <c r="G8369" t="s">
        <v>2514</v>
      </c>
      <c r="H8369">
        <v>7</v>
      </c>
      <c r="I8369">
        <v>96.64</v>
      </c>
      <c r="J8369" s="50">
        <v>676.48</v>
      </c>
      <c r="K8369" t="s">
        <v>1632</v>
      </c>
      <c r="M8369" t="s">
        <v>1627</v>
      </c>
      <c r="N8369">
        <v>51</v>
      </c>
      <c r="O8369" s="49">
        <v>44769</v>
      </c>
      <c r="P8369" s="50">
        <v>304.416</v>
      </c>
    </row>
    <row r="8370" spans="4:16" x14ac:dyDescent="0.2">
      <c r="D8370">
        <v>100005005</v>
      </c>
      <c r="E8370" s="49">
        <v>44522</v>
      </c>
      <c r="F8370" t="s">
        <v>6225</v>
      </c>
      <c r="G8370" t="s">
        <v>2465</v>
      </c>
      <c r="H8370">
        <v>10</v>
      </c>
      <c r="I8370">
        <v>50.73</v>
      </c>
      <c r="J8370" s="50">
        <v>507.3</v>
      </c>
      <c r="K8370" t="s">
        <v>1632</v>
      </c>
      <c r="M8370" t="s">
        <v>1624</v>
      </c>
      <c r="N8370">
        <v>26.77</v>
      </c>
      <c r="O8370" s="49">
        <v>44526</v>
      </c>
      <c r="P8370" s="50">
        <v>228.285</v>
      </c>
    </row>
    <row r="8371" spans="4:16" x14ac:dyDescent="0.2">
      <c r="D8371">
        <v>100005005</v>
      </c>
      <c r="E8371" s="49">
        <v>45157</v>
      </c>
      <c r="F8371" t="s">
        <v>6225</v>
      </c>
      <c r="G8371" t="s">
        <v>1967</v>
      </c>
      <c r="H8371">
        <v>4</v>
      </c>
      <c r="I8371">
        <v>70.739999999999995</v>
      </c>
      <c r="J8371" s="50">
        <v>282.95999999999998</v>
      </c>
      <c r="K8371" t="s">
        <v>1632</v>
      </c>
      <c r="M8371" t="s">
        <v>1627</v>
      </c>
      <c r="N8371">
        <v>37.33</v>
      </c>
      <c r="O8371" s="49">
        <v>45161</v>
      </c>
      <c r="P8371" s="50">
        <v>127.33199999999999</v>
      </c>
    </row>
    <row r="8372" spans="4:16" x14ac:dyDescent="0.2">
      <c r="D8372">
        <v>100005005</v>
      </c>
      <c r="E8372" s="49">
        <v>45063</v>
      </c>
      <c r="F8372" t="s">
        <v>6225</v>
      </c>
      <c r="G8372" t="s">
        <v>1717</v>
      </c>
      <c r="H8372">
        <v>8</v>
      </c>
      <c r="I8372">
        <v>12.49</v>
      </c>
      <c r="J8372" s="50">
        <v>99.92</v>
      </c>
      <c r="K8372" t="s">
        <v>1632</v>
      </c>
      <c r="M8372" t="s">
        <v>1629</v>
      </c>
      <c r="N8372">
        <v>6.59</v>
      </c>
      <c r="O8372" s="49">
        <v>45068</v>
      </c>
      <c r="P8372" s="50">
        <v>44.963999999999999</v>
      </c>
    </row>
    <row r="8373" spans="4:16" x14ac:dyDescent="0.2">
      <c r="D8373">
        <v>100005006</v>
      </c>
      <c r="E8373" s="49">
        <v>45106</v>
      </c>
      <c r="F8373" t="s">
        <v>6226</v>
      </c>
      <c r="G8373" t="s">
        <v>2078</v>
      </c>
      <c r="H8373">
        <v>3</v>
      </c>
      <c r="I8373">
        <v>25.26</v>
      </c>
      <c r="J8373" s="50">
        <v>75.78</v>
      </c>
      <c r="K8373" t="s">
        <v>1618</v>
      </c>
      <c r="M8373" t="s">
        <v>1627</v>
      </c>
      <c r="N8373">
        <v>13.33</v>
      </c>
      <c r="O8373" s="49">
        <v>45109</v>
      </c>
      <c r="P8373" s="50">
        <v>34.100999999999999</v>
      </c>
    </row>
    <row r="8374" spans="4:16" x14ac:dyDescent="0.2">
      <c r="D8374">
        <v>100005008</v>
      </c>
      <c r="E8374" s="49">
        <v>44283</v>
      </c>
      <c r="F8374" t="s">
        <v>6227</v>
      </c>
      <c r="G8374" t="s">
        <v>2707</v>
      </c>
      <c r="H8374">
        <v>7</v>
      </c>
      <c r="I8374">
        <v>68.239999999999995</v>
      </c>
      <c r="J8374" s="50">
        <v>477.67999999999989</v>
      </c>
      <c r="K8374" t="s">
        <v>1632</v>
      </c>
      <c r="M8374" t="s">
        <v>1619</v>
      </c>
      <c r="N8374">
        <v>36.020000000000003</v>
      </c>
      <c r="O8374" s="49">
        <v>44288</v>
      </c>
      <c r="P8374" s="50">
        <v>214.95599999999996</v>
      </c>
    </row>
    <row r="8375" spans="4:16" x14ac:dyDescent="0.2">
      <c r="D8375">
        <v>100005008</v>
      </c>
      <c r="E8375" s="49">
        <v>44279</v>
      </c>
      <c r="F8375" t="s">
        <v>6227</v>
      </c>
      <c r="G8375" t="s">
        <v>1890</v>
      </c>
      <c r="H8375">
        <v>8</v>
      </c>
      <c r="I8375">
        <v>23.9</v>
      </c>
      <c r="J8375" s="50">
        <v>191.2</v>
      </c>
      <c r="K8375" t="s">
        <v>1632</v>
      </c>
      <c r="M8375" t="s">
        <v>1624</v>
      </c>
      <c r="N8375">
        <v>12.61</v>
      </c>
      <c r="O8375" s="49">
        <v>44281</v>
      </c>
      <c r="P8375" s="50">
        <v>86.039999999999992</v>
      </c>
    </row>
    <row r="8376" spans="4:16" x14ac:dyDescent="0.2">
      <c r="D8376">
        <v>100005008</v>
      </c>
      <c r="E8376" s="49">
        <v>45085</v>
      </c>
      <c r="F8376" t="s">
        <v>6227</v>
      </c>
      <c r="G8376" t="s">
        <v>2447</v>
      </c>
      <c r="H8376">
        <v>10</v>
      </c>
      <c r="I8376">
        <v>75.11</v>
      </c>
      <c r="J8376" s="50">
        <v>751.1</v>
      </c>
      <c r="K8376" t="s">
        <v>1632</v>
      </c>
      <c r="M8376" t="s">
        <v>1619</v>
      </c>
      <c r="N8376">
        <v>39.64</v>
      </c>
      <c r="O8376" s="49">
        <v>45090</v>
      </c>
      <c r="P8376" s="50">
        <v>337.995</v>
      </c>
    </row>
    <row r="8377" spans="4:16" x14ac:dyDescent="0.2">
      <c r="D8377">
        <v>100005008</v>
      </c>
      <c r="E8377" s="49">
        <v>45464</v>
      </c>
      <c r="F8377" t="s">
        <v>6227</v>
      </c>
      <c r="G8377" t="s">
        <v>2161</v>
      </c>
      <c r="H8377">
        <v>8</v>
      </c>
      <c r="I8377">
        <v>77.8</v>
      </c>
      <c r="J8377" s="50">
        <v>622.4</v>
      </c>
      <c r="K8377" t="s">
        <v>1632</v>
      </c>
      <c r="M8377" t="s">
        <v>1621</v>
      </c>
      <c r="N8377">
        <v>41.06</v>
      </c>
      <c r="O8377" s="49">
        <v>45466</v>
      </c>
      <c r="P8377" s="50">
        <v>280.08</v>
      </c>
    </row>
    <row r="8378" spans="4:16" x14ac:dyDescent="0.2">
      <c r="D8378">
        <v>100005009</v>
      </c>
      <c r="E8378" s="49">
        <v>44945</v>
      </c>
      <c r="F8378" t="s">
        <v>6228</v>
      </c>
      <c r="G8378" t="s">
        <v>2378</v>
      </c>
      <c r="H8378">
        <v>3</v>
      </c>
      <c r="I8378">
        <v>62.43</v>
      </c>
      <c r="J8378" s="50">
        <v>187.29</v>
      </c>
      <c r="K8378" t="s">
        <v>1632</v>
      </c>
      <c r="M8378" t="s">
        <v>1619</v>
      </c>
      <c r="N8378">
        <v>32.950000000000003</v>
      </c>
      <c r="O8378" s="49">
        <v>44948</v>
      </c>
      <c r="P8378" s="50">
        <v>84.280500000000004</v>
      </c>
    </row>
    <row r="8379" spans="4:16" x14ac:dyDescent="0.2">
      <c r="D8379">
        <v>100005010</v>
      </c>
      <c r="E8379" s="49">
        <v>45651</v>
      </c>
      <c r="F8379" t="s">
        <v>6229</v>
      </c>
      <c r="G8379" t="s">
        <v>1976</v>
      </c>
      <c r="H8379">
        <v>9</v>
      </c>
      <c r="I8379">
        <v>116.78</v>
      </c>
      <c r="J8379" s="50">
        <v>1051.02</v>
      </c>
      <c r="K8379" t="s">
        <v>1618</v>
      </c>
      <c r="M8379" t="s">
        <v>1619</v>
      </c>
      <c r="N8379">
        <v>61.63</v>
      </c>
      <c r="O8379" s="49">
        <v>45652</v>
      </c>
      <c r="P8379" s="50">
        <v>472.959</v>
      </c>
    </row>
    <row r="8380" spans="4:16" x14ac:dyDescent="0.2">
      <c r="D8380">
        <v>100005010</v>
      </c>
      <c r="E8380" s="49">
        <v>45565</v>
      </c>
      <c r="F8380" t="s">
        <v>6229</v>
      </c>
      <c r="G8380" t="s">
        <v>1916</v>
      </c>
      <c r="H8380">
        <v>2</v>
      </c>
      <c r="I8380">
        <v>93.71</v>
      </c>
      <c r="J8380" s="50">
        <v>187.42</v>
      </c>
      <c r="K8380" t="s">
        <v>1618</v>
      </c>
      <c r="M8380" t="s">
        <v>1629</v>
      </c>
      <c r="N8380">
        <v>49.46</v>
      </c>
      <c r="O8380" s="49">
        <v>45569</v>
      </c>
      <c r="P8380" s="50">
        <v>84.338999999999999</v>
      </c>
    </row>
    <row r="8381" spans="4:16" x14ac:dyDescent="0.2">
      <c r="D8381">
        <v>100005013</v>
      </c>
      <c r="E8381" s="49">
        <v>44753</v>
      </c>
      <c r="F8381" t="s">
        <v>6230</v>
      </c>
      <c r="G8381" t="s">
        <v>2182</v>
      </c>
      <c r="H8381">
        <v>6</v>
      </c>
      <c r="I8381">
        <v>89.63</v>
      </c>
      <c r="J8381" s="50">
        <v>537.78</v>
      </c>
      <c r="K8381" t="s">
        <v>1618</v>
      </c>
      <c r="M8381" t="s">
        <v>1629</v>
      </c>
      <c r="N8381">
        <v>47.3</v>
      </c>
      <c r="O8381" s="49">
        <v>44757</v>
      </c>
      <c r="P8381" s="50">
        <v>242.001</v>
      </c>
    </row>
    <row r="8382" spans="4:16" x14ac:dyDescent="0.2">
      <c r="D8382">
        <v>100005014</v>
      </c>
      <c r="E8382" s="49">
        <v>44999</v>
      </c>
      <c r="F8382" t="s">
        <v>6231</v>
      </c>
      <c r="G8382" t="s">
        <v>2096</v>
      </c>
      <c r="H8382">
        <v>9</v>
      </c>
      <c r="I8382">
        <v>58.44</v>
      </c>
      <c r="J8382" s="50">
        <v>525.96</v>
      </c>
      <c r="K8382" t="s">
        <v>1618</v>
      </c>
      <c r="M8382" t="s">
        <v>1619</v>
      </c>
      <c r="N8382">
        <v>30.84</v>
      </c>
      <c r="O8382" s="49">
        <v>45000</v>
      </c>
      <c r="P8382" s="50">
        <v>236.68200000000002</v>
      </c>
    </row>
    <row r="8383" spans="4:16" x14ac:dyDescent="0.2">
      <c r="D8383">
        <v>100005014</v>
      </c>
      <c r="E8383" s="49">
        <v>44804</v>
      </c>
      <c r="F8383" t="s">
        <v>6231</v>
      </c>
      <c r="G8383" t="s">
        <v>2628</v>
      </c>
      <c r="H8383">
        <v>2</v>
      </c>
      <c r="I8383">
        <v>40.25</v>
      </c>
      <c r="J8383" s="50">
        <v>80.5</v>
      </c>
      <c r="K8383" t="s">
        <v>1618</v>
      </c>
      <c r="M8383" t="s">
        <v>1619</v>
      </c>
      <c r="N8383">
        <v>21.24</v>
      </c>
      <c r="O8383" s="49">
        <v>44808</v>
      </c>
      <c r="P8383" s="50">
        <v>36.225000000000001</v>
      </c>
    </row>
    <row r="8384" spans="4:16" x14ac:dyDescent="0.2">
      <c r="D8384">
        <v>100005015</v>
      </c>
      <c r="E8384" s="49">
        <v>45301</v>
      </c>
      <c r="F8384" t="s">
        <v>6232</v>
      </c>
      <c r="G8384" t="s">
        <v>1948</v>
      </c>
      <c r="H8384">
        <v>5</v>
      </c>
      <c r="I8384">
        <v>14.78</v>
      </c>
      <c r="J8384" s="50">
        <v>73.899999999999991</v>
      </c>
      <c r="K8384" t="s">
        <v>1632</v>
      </c>
      <c r="M8384" t="s">
        <v>1621</v>
      </c>
      <c r="N8384">
        <v>7.8</v>
      </c>
      <c r="O8384" s="49">
        <v>45304</v>
      </c>
      <c r="P8384" s="50">
        <v>33.254999999999995</v>
      </c>
    </row>
    <row r="8385" spans="4:16" x14ac:dyDescent="0.2">
      <c r="D8385">
        <v>100005015</v>
      </c>
      <c r="E8385" s="49">
        <v>45647</v>
      </c>
      <c r="F8385" t="s">
        <v>6232</v>
      </c>
      <c r="G8385" t="s">
        <v>1897</v>
      </c>
      <c r="H8385">
        <v>6</v>
      </c>
      <c r="I8385">
        <v>22.88</v>
      </c>
      <c r="J8385" s="50">
        <v>137.28</v>
      </c>
      <c r="K8385" t="s">
        <v>1632</v>
      </c>
      <c r="M8385" t="s">
        <v>1621</v>
      </c>
      <c r="N8385">
        <v>12.08</v>
      </c>
      <c r="O8385" s="49">
        <v>45649</v>
      </c>
      <c r="P8385" s="50">
        <v>61.776000000000003</v>
      </c>
    </row>
    <row r="8386" spans="4:16" x14ac:dyDescent="0.2">
      <c r="D8386">
        <v>100005015</v>
      </c>
      <c r="E8386" s="49">
        <v>44214</v>
      </c>
      <c r="F8386" t="s">
        <v>6232</v>
      </c>
      <c r="G8386" t="s">
        <v>2068</v>
      </c>
      <c r="H8386">
        <v>3</v>
      </c>
      <c r="I8386">
        <v>96.74</v>
      </c>
      <c r="J8386" s="50">
        <v>290.22000000000003</v>
      </c>
      <c r="K8386" t="s">
        <v>1632</v>
      </c>
      <c r="M8386" t="s">
        <v>1621</v>
      </c>
      <c r="N8386">
        <v>51.06</v>
      </c>
      <c r="O8386" s="49">
        <v>44217</v>
      </c>
      <c r="P8386" s="50">
        <v>130.59900000000002</v>
      </c>
    </row>
    <row r="8387" spans="4:16" x14ac:dyDescent="0.2">
      <c r="D8387">
        <v>100005015</v>
      </c>
      <c r="E8387" s="49">
        <v>44494</v>
      </c>
      <c r="F8387" t="s">
        <v>6232</v>
      </c>
      <c r="G8387" t="s">
        <v>1649</v>
      </c>
      <c r="H8387">
        <v>2</v>
      </c>
      <c r="I8387">
        <v>53.08</v>
      </c>
      <c r="J8387" s="50">
        <v>106.16</v>
      </c>
      <c r="K8387" t="s">
        <v>1632</v>
      </c>
      <c r="M8387" t="s">
        <v>1627</v>
      </c>
      <c r="N8387">
        <v>28.01</v>
      </c>
      <c r="O8387" s="49">
        <v>44499</v>
      </c>
      <c r="P8387" s="50">
        <v>47.771999999999998</v>
      </c>
    </row>
    <row r="8388" spans="4:16" x14ac:dyDescent="0.2">
      <c r="D8388">
        <v>100005016</v>
      </c>
      <c r="E8388" s="49">
        <v>44539</v>
      </c>
      <c r="F8388" t="s">
        <v>6233</v>
      </c>
      <c r="G8388" t="s">
        <v>2111</v>
      </c>
      <c r="H8388">
        <v>2</v>
      </c>
      <c r="I8388">
        <v>62.36</v>
      </c>
      <c r="J8388" s="50">
        <v>124.72</v>
      </c>
      <c r="K8388" t="s">
        <v>1618</v>
      </c>
      <c r="L8388" t="s">
        <v>6234</v>
      </c>
      <c r="M8388" t="s">
        <v>1621</v>
      </c>
      <c r="N8388">
        <v>32.909999999999997</v>
      </c>
      <c r="O8388" s="49">
        <v>44543</v>
      </c>
      <c r="P8388" s="50">
        <v>56.124000000000002</v>
      </c>
    </row>
    <row r="8389" spans="4:16" x14ac:dyDescent="0.2">
      <c r="D8389">
        <v>100005016</v>
      </c>
      <c r="E8389" s="49">
        <v>44945</v>
      </c>
      <c r="F8389" t="s">
        <v>6233</v>
      </c>
      <c r="G8389" t="s">
        <v>1789</v>
      </c>
      <c r="H8389">
        <v>9</v>
      </c>
      <c r="I8389">
        <v>21.01</v>
      </c>
      <c r="J8389" s="50">
        <v>189.09</v>
      </c>
      <c r="K8389" t="s">
        <v>1618</v>
      </c>
      <c r="L8389" t="s">
        <v>6234</v>
      </c>
      <c r="M8389" t="s">
        <v>1621</v>
      </c>
      <c r="N8389">
        <v>11.09</v>
      </c>
      <c r="O8389" s="49">
        <v>44947</v>
      </c>
      <c r="P8389" s="50">
        <v>85.090500000000006</v>
      </c>
    </row>
    <row r="8390" spans="4:16" x14ac:dyDescent="0.2">
      <c r="D8390">
        <v>100005016</v>
      </c>
      <c r="E8390" s="49">
        <v>44845</v>
      </c>
      <c r="F8390" t="s">
        <v>6233</v>
      </c>
      <c r="G8390" t="s">
        <v>1722</v>
      </c>
      <c r="H8390">
        <v>5</v>
      </c>
      <c r="I8390">
        <v>86.37</v>
      </c>
      <c r="J8390" s="50">
        <v>431.85</v>
      </c>
      <c r="K8390" t="s">
        <v>1618</v>
      </c>
      <c r="L8390" t="s">
        <v>6234</v>
      </c>
      <c r="M8390" t="s">
        <v>1624</v>
      </c>
      <c r="N8390">
        <v>45.58</v>
      </c>
      <c r="O8390" s="49">
        <v>44846</v>
      </c>
      <c r="P8390" s="50">
        <v>194.33250000000001</v>
      </c>
    </row>
    <row r="8391" spans="4:16" x14ac:dyDescent="0.2">
      <c r="D8391">
        <v>100005016</v>
      </c>
      <c r="E8391" s="49">
        <v>45259</v>
      </c>
      <c r="F8391" t="s">
        <v>6233</v>
      </c>
      <c r="G8391" t="s">
        <v>1696</v>
      </c>
      <c r="H8391">
        <v>4</v>
      </c>
      <c r="I8391">
        <v>116.32</v>
      </c>
      <c r="J8391" s="50">
        <v>465.28</v>
      </c>
      <c r="K8391" t="s">
        <v>1618</v>
      </c>
      <c r="L8391" t="s">
        <v>6234</v>
      </c>
      <c r="M8391" t="s">
        <v>1627</v>
      </c>
      <c r="N8391">
        <v>61.39</v>
      </c>
      <c r="O8391" s="49">
        <v>45263</v>
      </c>
      <c r="P8391" s="50">
        <v>209.376</v>
      </c>
    </row>
    <row r="8392" spans="4:16" x14ac:dyDescent="0.2">
      <c r="D8392">
        <v>100005017</v>
      </c>
      <c r="E8392" s="49">
        <v>44538</v>
      </c>
      <c r="F8392" t="s">
        <v>1930</v>
      </c>
      <c r="G8392" t="s">
        <v>1948</v>
      </c>
      <c r="H8392">
        <v>4</v>
      </c>
      <c r="I8392">
        <v>58.86</v>
      </c>
      <c r="J8392" s="50">
        <v>235.44</v>
      </c>
      <c r="K8392" t="s">
        <v>1618</v>
      </c>
      <c r="M8392" t="s">
        <v>1619</v>
      </c>
      <c r="N8392">
        <v>31.06</v>
      </c>
      <c r="O8392" s="49">
        <v>44541</v>
      </c>
      <c r="P8392" s="50">
        <v>105.94800000000001</v>
      </c>
    </row>
    <row r="8393" spans="4:16" x14ac:dyDescent="0.2">
      <c r="D8393">
        <v>100005018</v>
      </c>
      <c r="E8393" s="49">
        <v>45495</v>
      </c>
      <c r="F8393" t="s">
        <v>6235</v>
      </c>
      <c r="G8393" t="s">
        <v>2240</v>
      </c>
      <c r="H8393">
        <v>9</v>
      </c>
      <c r="I8393">
        <v>75.239999999999995</v>
      </c>
      <c r="J8393" s="50">
        <v>677.16</v>
      </c>
      <c r="K8393" t="s">
        <v>1618</v>
      </c>
      <c r="L8393" t="s">
        <v>6236</v>
      </c>
      <c r="M8393" t="s">
        <v>1624</v>
      </c>
      <c r="N8393">
        <v>39.71</v>
      </c>
      <c r="O8393" s="49">
        <v>45500</v>
      </c>
      <c r="P8393" s="50">
        <v>304.72199999999998</v>
      </c>
    </row>
    <row r="8394" spans="4:16" x14ac:dyDescent="0.2">
      <c r="D8394">
        <v>100005020</v>
      </c>
      <c r="E8394" s="49">
        <v>44645</v>
      </c>
      <c r="F8394" t="s">
        <v>6237</v>
      </c>
      <c r="G8394" t="s">
        <v>2198</v>
      </c>
      <c r="H8394">
        <v>4</v>
      </c>
      <c r="I8394">
        <v>77.510000000000005</v>
      </c>
      <c r="J8394" s="50">
        <v>310.04000000000002</v>
      </c>
      <c r="K8394" t="s">
        <v>1618</v>
      </c>
      <c r="M8394" t="s">
        <v>1619</v>
      </c>
      <c r="N8394">
        <v>40.909999999999997</v>
      </c>
      <c r="O8394" s="49">
        <v>44647</v>
      </c>
      <c r="P8394" s="50">
        <v>139.518</v>
      </c>
    </row>
    <row r="8395" spans="4:16" x14ac:dyDescent="0.2">
      <c r="D8395">
        <v>100005020</v>
      </c>
      <c r="E8395" s="49">
        <v>45628</v>
      </c>
      <c r="F8395" t="s">
        <v>6237</v>
      </c>
      <c r="G8395" t="s">
        <v>1669</v>
      </c>
      <c r="H8395">
        <v>2</v>
      </c>
      <c r="I8395">
        <v>79.459999999999994</v>
      </c>
      <c r="J8395" s="50">
        <v>158.91999999999999</v>
      </c>
      <c r="K8395" t="s">
        <v>1618</v>
      </c>
      <c r="M8395" t="s">
        <v>1624</v>
      </c>
      <c r="N8395">
        <v>41.94</v>
      </c>
      <c r="O8395" s="49">
        <v>45631</v>
      </c>
      <c r="P8395" s="50">
        <v>71.513999999999996</v>
      </c>
    </row>
    <row r="8396" spans="4:16" x14ac:dyDescent="0.2">
      <c r="D8396">
        <v>100005021</v>
      </c>
      <c r="E8396" s="49">
        <v>44550</v>
      </c>
      <c r="F8396" t="s">
        <v>6238</v>
      </c>
      <c r="G8396" t="s">
        <v>1729</v>
      </c>
      <c r="H8396">
        <v>3</v>
      </c>
      <c r="I8396">
        <v>85.77</v>
      </c>
      <c r="J8396" s="50">
        <v>257.31</v>
      </c>
      <c r="K8396" t="s">
        <v>1632</v>
      </c>
      <c r="M8396" t="s">
        <v>1621</v>
      </c>
      <c r="N8396">
        <v>45.27</v>
      </c>
      <c r="O8396" s="49">
        <v>44551</v>
      </c>
      <c r="P8396" s="50">
        <v>115.7895</v>
      </c>
    </row>
    <row r="8397" spans="4:16" x14ac:dyDescent="0.2">
      <c r="D8397">
        <v>100005021</v>
      </c>
      <c r="E8397" s="49">
        <v>44392</v>
      </c>
      <c r="F8397" t="s">
        <v>6238</v>
      </c>
      <c r="G8397" t="s">
        <v>1644</v>
      </c>
      <c r="H8397">
        <v>6</v>
      </c>
      <c r="I8397">
        <v>43.91</v>
      </c>
      <c r="J8397" s="50">
        <v>263.45999999999998</v>
      </c>
      <c r="K8397" t="s">
        <v>1632</v>
      </c>
      <c r="M8397" t="s">
        <v>1621</v>
      </c>
      <c r="N8397">
        <v>23.17</v>
      </c>
      <c r="O8397" s="49">
        <v>44397</v>
      </c>
      <c r="P8397" s="50">
        <v>118.55699999999999</v>
      </c>
    </row>
    <row r="8398" spans="4:16" x14ac:dyDescent="0.2">
      <c r="D8398">
        <v>100005021</v>
      </c>
      <c r="E8398" s="49">
        <v>44302</v>
      </c>
      <c r="F8398" t="s">
        <v>6238</v>
      </c>
      <c r="G8398" t="s">
        <v>2138</v>
      </c>
      <c r="H8398">
        <v>6</v>
      </c>
      <c r="I8398">
        <v>59.16</v>
      </c>
      <c r="J8398" s="50">
        <v>354.96</v>
      </c>
      <c r="K8398" t="s">
        <v>1632</v>
      </c>
      <c r="M8398" t="s">
        <v>1619</v>
      </c>
      <c r="N8398">
        <v>31.22</v>
      </c>
      <c r="O8398" s="49">
        <v>44305</v>
      </c>
      <c r="P8398" s="50">
        <v>159.732</v>
      </c>
    </row>
    <row r="8399" spans="4:16" x14ac:dyDescent="0.2">
      <c r="D8399">
        <v>100005022</v>
      </c>
      <c r="E8399" s="49">
        <v>44237</v>
      </c>
      <c r="F8399" t="s">
        <v>6239</v>
      </c>
      <c r="G8399" t="s">
        <v>2064</v>
      </c>
      <c r="H8399">
        <v>7</v>
      </c>
      <c r="I8399">
        <v>88.49</v>
      </c>
      <c r="J8399" s="50">
        <v>619.42999999999995</v>
      </c>
      <c r="K8399" t="s">
        <v>1632</v>
      </c>
      <c r="M8399" t="s">
        <v>1624</v>
      </c>
      <c r="N8399">
        <v>46.7</v>
      </c>
      <c r="O8399" s="49">
        <v>44242</v>
      </c>
      <c r="P8399" s="50">
        <v>278.74349999999998</v>
      </c>
    </row>
    <row r="8400" spans="4:16" x14ac:dyDescent="0.2">
      <c r="D8400">
        <v>100005023</v>
      </c>
      <c r="E8400" s="49">
        <v>45495</v>
      </c>
      <c r="F8400" t="s">
        <v>6240</v>
      </c>
      <c r="G8400" t="s">
        <v>1838</v>
      </c>
      <c r="H8400">
        <v>6</v>
      </c>
      <c r="I8400">
        <v>15.55</v>
      </c>
      <c r="J8400" s="50">
        <v>93.300000000000011</v>
      </c>
      <c r="K8400" t="s">
        <v>1632</v>
      </c>
      <c r="M8400" t="s">
        <v>1629</v>
      </c>
      <c r="N8400">
        <v>8.2100000000000009</v>
      </c>
      <c r="O8400" s="49">
        <v>45499</v>
      </c>
      <c r="P8400" s="50">
        <v>41.985000000000007</v>
      </c>
    </row>
    <row r="8401" spans="4:16" x14ac:dyDescent="0.2">
      <c r="D8401">
        <v>100005023</v>
      </c>
      <c r="E8401" s="49">
        <v>44648</v>
      </c>
      <c r="F8401" t="s">
        <v>6240</v>
      </c>
      <c r="G8401" t="s">
        <v>2161</v>
      </c>
      <c r="H8401">
        <v>2</v>
      </c>
      <c r="I8401">
        <v>22.25</v>
      </c>
      <c r="J8401" s="50">
        <v>44.5</v>
      </c>
      <c r="K8401" t="s">
        <v>1632</v>
      </c>
      <c r="M8401" t="s">
        <v>1624</v>
      </c>
      <c r="N8401">
        <v>11.74</v>
      </c>
      <c r="O8401" s="49">
        <v>44652</v>
      </c>
      <c r="P8401" s="50">
        <v>20.025000000000002</v>
      </c>
    </row>
    <row r="8402" spans="4:16" x14ac:dyDescent="0.2">
      <c r="D8402">
        <v>100005023</v>
      </c>
      <c r="E8402" s="49">
        <v>44256</v>
      </c>
      <c r="F8402" t="s">
        <v>6240</v>
      </c>
      <c r="G8402" t="s">
        <v>1855</v>
      </c>
      <c r="H8402">
        <v>1</v>
      </c>
      <c r="I8402">
        <v>68.14</v>
      </c>
      <c r="J8402" s="50">
        <v>68.14</v>
      </c>
      <c r="K8402" t="s">
        <v>1632</v>
      </c>
      <c r="M8402" t="s">
        <v>1629</v>
      </c>
      <c r="N8402">
        <v>35.96</v>
      </c>
      <c r="O8402" s="49">
        <v>44257</v>
      </c>
      <c r="P8402" s="50">
        <v>30.663</v>
      </c>
    </row>
    <row r="8403" spans="4:16" x14ac:dyDescent="0.2">
      <c r="D8403">
        <v>100005024</v>
      </c>
      <c r="E8403" s="49">
        <v>44265</v>
      </c>
      <c r="F8403" t="s">
        <v>6241</v>
      </c>
      <c r="G8403" t="s">
        <v>1663</v>
      </c>
      <c r="H8403">
        <v>7</v>
      </c>
      <c r="I8403">
        <v>72.5</v>
      </c>
      <c r="J8403" s="50">
        <v>507.5</v>
      </c>
      <c r="K8403" t="s">
        <v>1618</v>
      </c>
      <c r="M8403" t="s">
        <v>1624</v>
      </c>
      <c r="N8403">
        <v>38.26</v>
      </c>
      <c r="O8403" s="49">
        <v>44270</v>
      </c>
      <c r="P8403" s="50">
        <v>228.375</v>
      </c>
    </row>
    <row r="8404" spans="4:16" x14ac:dyDescent="0.2">
      <c r="D8404">
        <v>100005024</v>
      </c>
      <c r="E8404" s="49">
        <v>44413</v>
      </c>
      <c r="F8404" t="s">
        <v>6241</v>
      </c>
      <c r="G8404" t="s">
        <v>2191</v>
      </c>
      <c r="H8404">
        <v>5</v>
      </c>
      <c r="I8404">
        <v>72.81</v>
      </c>
      <c r="J8404" s="50">
        <v>364.05</v>
      </c>
      <c r="K8404" t="s">
        <v>1618</v>
      </c>
      <c r="M8404" t="s">
        <v>1619</v>
      </c>
      <c r="N8404">
        <v>38.43</v>
      </c>
      <c r="O8404" s="49">
        <v>44414</v>
      </c>
      <c r="P8404" s="50">
        <v>163.82250000000002</v>
      </c>
    </row>
    <row r="8405" spans="4:16" x14ac:dyDescent="0.2">
      <c r="D8405">
        <v>100005024</v>
      </c>
      <c r="E8405" s="49">
        <v>44528</v>
      </c>
      <c r="F8405" t="s">
        <v>6241</v>
      </c>
      <c r="G8405" t="s">
        <v>1777</v>
      </c>
      <c r="H8405">
        <v>5</v>
      </c>
      <c r="I8405">
        <v>41.77</v>
      </c>
      <c r="J8405" s="50">
        <v>208.85</v>
      </c>
      <c r="K8405" t="s">
        <v>1618</v>
      </c>
      <c r="M8405" t="s">
        <v>1627</v>
      </c>
      <c r="N8405">
        <v>22.05</v>
      </c>
      <c r="O8405" s="49">
        <v>44531</v>
      </c>
      <c r="P8405" s="50">
        <v>93.982500000000002</v>
      </c>
    </row>
    <row r="8406" spans="4:16" x14ac:dyDescent="0.2">
      <c r="D8406">
        <v>100005025</v>
      </c>
      <c r="E8406" s="49">
        <v>44304</v>
      </c>
      <c r="F8406" t="s">
        <v>6242</v>
      </c>
      <c r="G8406" t="s">
        <v>1777</v>
      </c>
      <c r="H8406">
        <v>7</v>
      </c>
      <c r="I8406">
        <v>80.930000000000007</v>
      </c>
      <c r="J8406" s="50">
        <v>566.51</v>
      </c>
      <c r="K8406" t="s">
        <v>1618</v>
      </c>
      <c r="M8406" t="s">
        <v>1624</v>
      </c>
      <c r="N8406">
        <v>42.71</v>
      </c>
      <c r="O8406" s="49">
        <v>44308</v>
      </c>
      <c r="P8406" s="50">
        <v>254.92949999999999</v>
      </c>
    </row>
    <row r="8407" spans="4:16" x14ac:dyDescent="0.2">
      <c r="D8407">
        <v>100005025</v>
      </c>
      <c r="E8407" s="49">
        <v>44756</v>
      </c>
      <c r="F8407" t="s">
        <v>6242</v>
      </c>
      <c r="G8407" t="s">
        <v>1795</v>
      </c>
      <c r="H8407">
        <v>8</v>
      </c>
      <c r="I8407">
        <v>92.35</v>
      </c>
      <c r="J8407" s="50">
        <v>738.8</v>
      </c>
      <c r="K8407" t="s">
        <v>1618</v>
      </c>
      <c r="M8407" t="s">
        <v>1624</v>
      </c>
      <c r="N8407">
        <v>48.74</v>
      </c>
      <c r="O8407" s="49">
        <v>44761</v>
      </c>
      <c r="P8407" s="50">
        <v>332.46</v>
      </c>
    </row>
    <row r="8408" spans="4:16" x14ac:dyDescent="0.2">
      <c r="D8408">
        <v>100005028</v>
      </c>
      <c r="E8408" s="49">
        <v>44346</v>
      </c>
      <c r="F8408" t="s">
        <v>6243</v>
      </c>
      <c r="G8408" t="s">
        <v>1924</v>
      </c>
      <c r="H8408">
        <v>9</v>
      </c>
      <c r="I8408">
        <v>83.28</v>
      </c>
      <c r="J8408" s="50">
        <v>749.52</v>
      </c>
      <c r="K8408" t="s">
        <v>1618</v>
      </c>
      <c r="L8408" t="s">
        <v>6244</v>
      </c>
      <c r="M8408" t="s">
        <v>1624</v>
      </c>
      <c r="N8408">
        <v>43.95</v>
      </c>
      <c r="O8408" s="49">
        <v>44349</v>
      </c>
      <c r="P8408" s="50">
        <v>337.28399999999999</v>
      </c>
    </row>
    <row r="8409" spans="4:16" x14ac:dyDescent="0.2">
      <c r="D8409">
        <v>100005028</v>
      </c>
      <c r="E8409" s="49">
        <v>45413</v>
      </c>
      <c r="F8409" t="s">
        <v>6243</v>
      </c>
      <c r="G8409" t="s">
        <v>1921</v>
      </c>
      <c r="H8409">
        <v>10</v>
      </c>
      <c r="I8409">
        <v>21.64</v>
      </c>
      <c r="J8409" s="50">
        <v>216.4</v>
      </c>
      <c r="K8409" t="s">
        <v>1618</v>
      </c>
      <c r="L8409" t="s">
        <v>6244</v>
      </c>
      <c r="M8409" t="s">
        <v>1624</v>
      </c>
      <c r="N8409">
        <v>11.42</v>
      </c>
      <c r="O8409" s="49">
        <v>45416</v>
      </c>
      <c r="P8409" s="50">
        <v>97.38000000000001</v>
      </c>
    </row>
    <row r="8410" spans="4:16" x14ac:dyDescent="0.2">
      <c r="D8410">
        <v>100005028</v>
      </c>
      <c r="E8410" s="49">
        <v>44941</v>
      </c>
      <c r="F8410" t="s">
        <v>6243</v>
      </c>
      <c r="G8410" t="s">
        <v>1944</v>
      </c>
      <c r="H8410">
        <v>7</v>
      </c>
      <c r="I8410">
        <v>63.6</v>
      </c>
      <c r="J8410" s="50">
        <v>445.2</v>
      </c>
      <c r="K8410" t="s">
        <v>1618</v>
      </c>
      <c r="L8410" t="s">
        <v>6244</v>
      </c>
      <c r="M8410" t="s">
        <v>1627</v>
      </c>
      <c r="N8410">
        <v>33.57</v>
      </c>
      <c r="O8410" s="49">
        <v>44943</v>
      </c>
      <c r="P8410" s="50">
        <v>200.34</v>
      </c>
    </row>
    <row r="8411" spans="4:16" x14ac:dyDescent="0.2">
      <c r="D8411">
        <v>100005030</v>
      </c>
      <c r="E8411" s="49">
        <v>44838</v>
      </c>
      <c r="F8411" t="s">
        <v>5789</v>
      </c>
      <c r="G8411" t="s">
        <v>1980</v>
      </c>
      <c r="H8411">
        <v>1</v>
      </c>
      <c r="I8411">
        <v>61.26</v>
      </c>
      <c r="J8411" s="50">
        <v>61.26</v>
      </c>
      <c r="K8411" t="s">
        <v>1632</v>
      </c>
      <c r="L8411" t="s">
        <v>3611</v>
      </c>
      <c r="M8411" t="s">
        <v>1619</v>
      </c>
      <c r="N8411">
        <v>32.33</v>
      </c>
      <c r="O8411" s="49">
        <v>44843</v>
      </c>
      <c r="P8411" s="50">
        <v>27.567</v>
      </c>
    </row>
    <row r="8412" spans="4:16" x14ac:dyDescent="0.2">
      <c r="D8412">
        <v>100005030</v>
      </c>
      <c r="E8412" s="49">
        <v>44321</v>
      </c>
      <c r="F8412" t="s">
        <v>5789</v>
      </c>
      <c r="G8412" t="s">
        <v>2125</v>
      </c>
      <c r="H8412">
        <v>6</v>
      </c>
      <c r="I8412">
        <v>54.77</v>
      </c>
      <c r="J8412" s="50">
        <v>328.62</v>
      </c>
      <c r="K8412" t="s">
        <v>1632</v>
      </c>
      <c r="L8412" t="s">
        <v>3611</v>
      </c>
      <c r="M8412" t="s">
        <v>1627</v>
      </c>
      <c r="N8412">
        <v>28.91</v>
      </c>
      <c r="O8412" s="49">
        <v>44325</v>
      </c>
      <c r="P8412" s="50">
        <v>147.87900000000002</v>
      </c>
    </row>
    <row r="8413" spans="4:16" x14ac:dyDescent="0.2">
      <c r="D8413">
        <v>100005030</v>
      </c>
      <c r="E8413" s="49">
        <v>45208</v>
      </c>
      <c r="F8413" t="s">
        <v>5789</v>
      </c>
      <c r="G8413" t="s">
        <v>2076</v>
      </c>
      <c r="H8413">
        <v>5</v>
      </c>
      <c r="I8413">
        <v>83.43</v>
      </c>
      <c r="J8413" s="50">
        <v>417.15</v>
      </c>
      <c r="K8413" t="s">
        <v>1632</v>
      </c>
      <c r="L8413" t="s">
        <v>3611</v>
      </c>
      <c r="M8413" t="s">
        <v>1621</v>
      </c>
      <c r="N8413">
        <v>44.03</v>
      </c>
      <c r="O8413" s="49">
        <v>45211</v>
      </c>
      <c r="P8413" s="50">
        <v>187.7175</v>
      </c>
    </row>
    <row r="8414" spans="4:16" x14ac:dyDescent="0.2">
      <c r="D8414">
        <v>100005030</v>
      </c>
      <c r="E8414" s="49">
        <v>45160</v>
      </c>
      <c r="F8414" t="s">
        <v>5789</v>
      </c>
      <c r="G8414" t="s">
        <v>1751</v>
      </c>
      <c r="H8414">
        <v>1</v>
      </c>
      <c r="I8414">
        <v>35.61</v>
      </c>
      <c r="J8414" s="50">
        <v>35.61</v>
      </c>
      <c r="K8414" t="s">
        <v>1632</v>
      </c>
      <c r="L8414" t="s">
        <v>3611</v>
      </c>
      <c r="M8414" t="s">
        <v>1629</v>
      </c>
      <c r="N8414">
        <v>18.79</v>
      </c>
      <c r="O8414" s="49">
        <v>45162</v>
      </c>
      <c r="P8414" s="50">
        <v>16.0245</v>
      </c>
    </row>
    <row r="8415" spans="4:16" x14ac:dyDescent="0.2">
      <c r="D8415">
        <v>100005031</v>
      </c>
      <c r="E8415" s="49">
        <v>45447</v>
      </c>
      <c r="F8415" t="s">
        <v>6245</v>
      </c>
      <c r="G8415" t="s">
        <v>1634</v>
      </c>
      <c r="H8415">
        <v>1</v>
      </c>
      <c r="I8415">
        <v>99.61</v>
      </c>
      <c r="J8415" s="50">
        <v>99.61</v>
      </c>
      <c r="K8415" t="s">
        <v>1632</v>
      </c>
      <c r="M8415" t="s">
        <v>1619</v>
      </c>
      <c r="N8415">
        <v>52.57</v>
      </c>
      <c r="O8415" s="49">
        <v>45448</v>
      </c>
      <c r="P8415" s="50">
        <v>44.8245</v>
      </c>
    </row>
    <row r="8416" spans="4:16" x14ac:dyDescent="0.2">
      <c r="D8416">
        <v>100005031</v>
      </c>
      <c r="E8416" s="49">
        <v>45037</v>
      </c>
      <c r="F8416" t="s">
        <v>6245</v>
      </c>
      <c r="G8416" t="s">
        <v>2159</v>
      </c>
      <c r="H8416">
        <v>8</v>
      </c>
      <c r="I8416">
        <v>96.54</v>
      </c>
      <c r="J8416" s="50">
        <v>772.32</v>
      </c>
      <c r="K8416" t="s">
        <v>1632</v>
      </c>
      <c r="M8416" t="s">
        <v>1624</v>
      </c>
      <c r="N8416">
        <v>50.95</v>
      </c>
      <c r="O8416" s="49">
        <v>45042</v>
      </c>
      <c r="P8416" s="50">
        <v>347.54400000000004</v>
      </c>
    </row>
    <row r="8417" spans="4:16" x14ac:dyDescent="0.2">
      <c r="D8417">
        <v>100005032</v>
      </c>
      <c r="E8417" s="49">
        <v>44781</v>
      </c>
      <c r="F8417" t="s">
        <v>6246</v>
      </c>
      <c r="G8417" t="s">
        <v>1834</v>
      </c>
      <c r="H8417">
        <v>6</v>
      </c>
      <c r="I8417">
        <v>93.92</v>
      </c>
      <c r="J8417" s="50">
        <v>563.52</v>
      </c>
      <c r="K8417" t="s">
        <v>1632</v>
      </c>
      <c r="L8417" t="s">
        <v>4257</v>
      </c>
      <c r="M8417" t="s">
        <v>1621</v>
      </c>
      <c r="N8417">
        <v>49.57</v>
      </c>
      <c r="O8417" s="49">
        <v>44786</v>
      </c>
      <c r="P8417" s="50">
        <v>253.584</v>
      </c>
    </row>
    <row r="8418" spans="4:16" x14ac:dyDescent="0.2">
      <c r="D8418">
        <v>100005033</v>
      </c>
      <c r="E8418" s="49">
        <v>44258</v>
      </c>
      <c r="F8418" t="s">
        <v>6247</v>
      </c>
      <c r="G8418" t="s">
        <v>1752</v>
      </c>
      <c r="H8418">
        <v>3</v>
      </c>
      <c r="I8418">
        <v>52.66</v>
      </c>
      <c r="J8418" s="50">
        <v>157.97999999999999</v>
      </c>
      <c r="K8418" t="s">
        <v>1618</v>
      </c>
      <c r="M8418" t="s">
        <v>1621</v>
      </c>
      <c r="N8418">
        <v>27.79</v>
      </c>
      <c r="O8418" s="49">
        <v>44260</v>
      </c>
      <c r="P8418" s="50">
        <v>71.090999999999994</v>
      </c>
    </row>
    <row r="8419" spans="4:16" x14ac:dyDescent="0.2">
      <c r="D8419">
        <v>100005034</v>
      </c>
      <c r="E8419" s="49">
        <v>44499</v>
      </c>
      <c r="F8419" t="s">
        <v>6248</v>
      </c>
      <c r="G8419" t="s">
        <v>2074</v>
      </c>
      <c r="H8419">
        <v>3</v>
      </c>
      <c r="I8419">
        <v>76</v>
      </c>
      <c r="J8419" s="50">
        <v>228</v>
      </c>
      <c r="K8419" t="s">
        <v>1632</v>
      </c>
      <c r="M8419" t="s">
        <v>1619</v>
      </c>
      <c r="N8419">
        <v>40.11</v>
      </c>
      <c r="O8419" s="49">
        <v>44502</v>
      </c>
      <c r="P8419" s="50">
        <v>102.60000000000001</v>
      </c>
    </row>
    <row r="8420" spans="4:16" x14ac:dyDescent="0.2">
      <c r="D8420">
        <v>100005034</v>
      </c>
      <c r="E8420" s="49">
        <v>45596</v>
      </c>
      <c r="F8420" t="s">
        <v>6248</v>
      </c>
      <c r="G8420" t="s">
        <v>1727</v>
      </c>
      <c r="H8420">
        <v>10</v>
      </c>
      <c r="I8420">
        <v>114.27</v>
      </c>
      <c r="J8420" s="50">
        <v>1142.7</v>
      </c>
      <c r="K8420" t="s">
        <v>1632</v>
      </c>
      <c r="M8420" t="s">
        <v>1629</v>
      </c>
      <c r="N8420">
        <v>60.31</v>
      </c>
      <c r="O8420" s="49">
        <v>45598</v>
      </c>
      <c r="P8420" s="50">
        <v>514.21500000000003</v>
      </c>
    </row>
    <row r="8421" spans="4:16" x14ac:dyDescent="0.2">
      <c r="D8421">
        <v>100005035</v>
      </c>
      <c r="E8421" s="49">
        <v>45369</v>
      </c>
      <c r="F8421" t="s">
        <v>6249</v>
      </c>
      <c r="G8421" t="s">
        <v>1874</v>
      </c>
      <c r="H8421">
        <v>5</v>
      </c>
      <c r="I8421">
        <v>101.76</v>
      </c>
      <c r="J8421" s="50">
        <v>508.8</v>
      </c>
      <c r="K8421" t="s">
        <v>1632</v>
      </c>
      <c r="L8421" t="s">
        <v>6250</v>
      </c>
      <c r="M8421" t="s">
        <v>1627</v>
      </c>
      <c r="N8421">
        <v>53.71</v>
      </c>
      <c r="O8421" s="49">
        <v>45371</v>
      </c>
      <c r="P8421" s="50">
        <v>228.96</v>
      </c>
    </row>
    <row r="8422" spans="4:16" x14ac:dyDescent="0.2">
      <c r="D8422">
        <v>100005036</v>
      </c>
      <c r="E8422" s="49">
        <v>45113</v>
      </c>
      <c r="F8422" t="s">
        <v>6251</v>
      </c>
      <c r="G8422" t="s">
        <v>1945</v>
      </c>
      <c r="H8422">
        <v>6</v>
      </c>
      <c r="I8422">
        <v>40.049999999999997</v>
      </c>
      <c r="J8422" s="50">
        <v>240.3</v>
      </c>
      <c r="K8422" t="s">
        <v>1632</v>
      </c>
      <c r="L8422" t="s">
        <v>1806</v>
      </c>
      <c r="M8422" t="s">
        <v>1627</v>
      </c>
      <c r="N8422">
        <v>21.14</v>
      </c>
      <c r="O8422" s="49">
        <v>45117</v>
      </c>
      <c r="P8422" s="50">
        <v>108.13500000000001</v>
      </c>
    </row>
    <row r="8423" spans="4:16" x14ac:dyDescent="0.2">
      <c r="D8423">
        <v>100005037</v>
      </c>
      <c r="E8423" s="49">
        <v>44648</v>
      </c>
      <c r="F8423" t="s">
        <v>6252</v>
      </c>
      <c r="G8423" t="s">
        <v>2078</v>
      </c>
      <c r="H8423">
        <v>2</v>
      </c>
      <c r="I8423">
        <v>98.39</v>
      </c>
      <c r="J8423" s="50">
        <v>196.78</v>
      </c>
      <c r="K8423" t="s">
        <v>1632</v>
      </c>
      <c r="L8423" t="s">
        <v>2488</v>
      </c>
      <c r="M8423" t="s">
        <v>1627</v>
      </c>
      <c r="N8423">
        <v>51.93</v>
      </c>
      <c r="O8423" s="49">
        <v>44652</v>
      </c>
      <c r="P8423" s="50">
        <v>88.551000000000002</v>
      </c>
    </row>
    <row r="8424" spans="4:16" x14ac:dyDescent="0.2">
      <c r="D8424">
        <v>100005037</v>
      </c>
      <c r="E8424" s="49">
        <v>44857</v>
      </c>
      <c r="F8424" t="s">
        <v>6252</v>
      </c>
      <c r="G8424" t="s">
        <v>2155</v>
      </c>
      <c r="H8424">
        <v>9</v>
      </c>
      <c r="I8424">
        <v>23.56</v>
      </c>
      <c r="J8424" s="50">
        <v>212.04</v>
      </c>
      <c r="K8424" t="s">
        <v>1632</v>
      </c>
      <c r="L8424" t="s">
        <v>2488</v>
      </c>
      <c r="M8424" t="s">
        <v>1629</v>
      </c>
      <c r="N8424">
        <v>12.43</v>
      </c>
      <c r="O8424" s="49">
        <v>44859</v>
      </c>
      <c r="P8424" s="50">
        <v>95.417999999999992</v>
      </c>
    </row>
    <row r="8425" spans="4:16" x14ac:dyDescent="0.2">
      <c r="D8425">
        <v>100005039</v>
      </c>
      <c r="E8425" s="49">
        <v>44845</v>
      </c>
      <c r="F8425" t="s">
        <v>6253</v>
      </c>
      <c r="G8425" t="s">
        <v>2198</v>
      </c>
      <c r="H8425">
        <v>2</v>
      </c>
      <c r="I8425">
        <v>106.35</v>
      </c>
      <c r="J8425" s="50">
        <v>212.7</v>
      </c>
      <c r="K8425" t="s">
        <v>1632</v>
      </c>
      <c r="M8425" t="s">
        <v>1619</v>
      </c>
      <c r="N8425">
        <v>56.13</v>
      </c>
      <c r="O8425" s="49">
        <v>44847</v>
      </c>
      <c r="P8425" s="50">
        <v>95.715000000000003</v>
      </c>
    </row>
    <row r="8426" spans="4:16" x14ac:dyDescent="0.2">
      <c r="D8426">
        <v>100005040</v>
      </c>
      <c r="E8426" s="49">
        <v>45608</v>
      </c>
      <c r="F8426" t="s">
        <v>5929</v>
      </c>
      <c r="G8426" t="s">
        <v>2142</v>
      </c>
      <c r="H8426">
        <v>7</v>
      </c>
      <c r="I8426">
        <v>82.64</v>
      </c>
      <c r="J8426" s="50">
        <v>578.48</v>
      </c>
      <c r="K8426" t="s">
        <v>1632</v>
      </c>
      <c r="M8426" t="s">
        <v>1621</v>
      </c>
      <c r="N8426">
        <v>43.62</v>
      </c>
      <c r="O8426" s="49">
        <v>45612</v>
      </c>
      <c r="P8426" s="50">
        <v>260.31600000000003</v>
      </c>
    </row>
    <row r="8427" spans="4:16" x14ac:dyDescent="0.2">
      <c r="D8427">
        <v>100005040</v>
      </c>
      <c r="E8427" s="49">
        <v>44724</v>
      </c>
      <c r="F8427" t="s">
        <v>5929</v>
      </c>
      <c r="G8427" t="s">
        <v>1717</v>
      </c>
      <c r="H8427">
        <v>8</v>
      </c>
      <c r="I8427">
        <v>84.35</v>
      </c>
      <c r="J8427" s="50">
        <v>674.8</v>
      </c>
      <c r="K8427" t="s">
        <v>1632</v>
      </c>
      <c r="M8427" t="s">
        <v>1619</v>
      </c>
      <c r="N8427">
        <v>44.52</v>
      </c>
      <c r="O8427" s="49">
        <v>44727</v>
      </c>
      <c r="P8427" s="50">
        <v>303.65999999999997</v>
      </c>
    </row>
    <row r="8428" spans="4:16" x14ac:dyDescent="0.2">
      <c r="D8428">
        <v>100005040</v>
      </c>
      <c r="E8428" s="49">
        <v>45317</v>
      </c>
      <c r="F8428" t="s">
        <v>5929</v>
      </c>
      <c r="G8428" t="s">
        <v>2574</v>
      </c>
      <c r="H8428">
        <v>9</v>
      </c>
      <c r="I8428">
        <v>81.5</v>
      </c>
      <c r="J8428" s="50">
        <v>733.5</v>
      </c>
      <c r="K8428" t="s">
        <v>1632</v>
      </c>
      <c r="M8428" t="s">
        <v>1621</v>
      </c>
      <c r="N8428">
        <v>43.01</v>
      </c>
      <c r="O8428" s="49">
        <v>45321</v>
      </c>
      <c r="P8428" s="50">
        <v>330.07499999999999</v>
      </c>
    </row>
    <row r="8429" spans="4:16" x14ac:dyDescent="0.2">
      <c r="D8429">
        <v>100005040</v>
      </c>
      <c r="E8429" s="49">
        <v>44636</v>
      </c>
      <c r="F8429" t="s">
        <v>5929</v>
      </c>
      <c r="G8429" t="s">
        <v>1767</v>
      </c>
      <c r="H8429">
        <v>6</v>
      </c>
      <c r="I8429">
        <v>26.66</v>
      </c>
      <c r="J8429" s="50">
        <v>159.96</v>
      </c>
      <c r="K8429" t="s">
        <v>1632</v>
      </c>
      <c r="M8429" t="s">
        <v>1619</v>
      </c>
      <c r="N8429">
        <v>14.07</v>
      </c>
      <c r="O8429" s="49">
        <v>44640</v>
      </c>
      <c r="P8429" s="50">
        <v>71.981999999999999</v>
      </c>
    </row>
    <row r="8430" spans="4:16" x14ac:dyDescent="0.2">
      <c r="D8430">
        <v>100005040</v>
      </c>
      <c r="E8430" s="49">
        <v>44419</v>
      </c>
      <c r="F8430" t="s">
        <v>5929</v>
      </c>
      <c r="G8430" t="s">
        <v>2062</v>
      </c>
      <c r="H8430">
        <v>5</v>
      </c>
      <c r="I8430">
        <v>56.13</v>
      </c>
      <c r="J8430" s="50">
        <v>280.64999999999998</v>
      </c>
      <c r="K8430" t="s">
        <v>1632</v>
      </c>
      <c r="M8430" t="s">
        <v>1619</v>
      </c>
      <c r="N8430">
        <v>29.62</v>
      </c>
      <c r="O8430" s="49">
        <v>44423</v>
      </c>
      <c r="P8430" s="50">
        <v>126.29249999999999</v>
      </c>
    </row>
    <row r="8431" spans="4:16" x14ac:dyDescent="0.2">
      <c r="D8431">
        <v>100005040</v>
      </c>
      <c r="E8431" s="49">
        <v>44266</v>
      </c>
      <c r="F8431" t="s">
        <v>5929</v>
      </c>
      <c r="G8431" t="s">
        <v>2232</v>
      </c>
      <c r="H8431">
        <v>6</v>
      </c>
      <c r="I8431">
        <v>83.06</v>
      </c>
      <c r="J8431" s="50">
        <v>498.36</v>
      </c>
      <c r="K8431" t="s">
        <v>1632</v>
      </c>
      <c r="M8431" t="s">
        <v>1621</v>
      </c>
      <c r="N8431">
        <v>43.84</v>
      </c>
      <c r="O8431" s="49">
        <v>44269</v>
      </c>
      <c r="P8431" s="50">
        <v>224.262</v>
      </c>
    </row>
    <row r="8432" spans="4:16" x14ac:dyDescent="0.2">
      <c r="D8432">
        <v>100005040</v>
      </c>
      <c r="E8432" s="49">
        <v>44517</v>
      </c>
      <c r="F8432" t="s">
        <v>5929</v>
      </c>
      <c r="G8432" t="s">
        <v>2330</v>
      </c>
      <c r="H8432">
        <v>2</v>
      </c>
      <c r="I8432">
        <v>67.89</v>
      </c>
      <c r="J8432" s="50">
        <v>135.78</v>
      </c>
      <c r="K8432" t="s">
        <v>1632</v>
      </c>
      <c r="M8432" t="s">
        <v>1619</v>
      </c>
      <c r="N8432">
        <v>35.83</v>
      </c>
      <c r="O8432" s="49">
        <v>44518</v>
      </c>
      <c r="P8432" s="50">
        <v>61.100999999999999</v>
      </c>
    </row>
    <row r="8433" spans="4:16" x14ac:dyDescent="0.2">
      <c r="D8433">
        <v>100005041</v>
      </c>
      <c r="E8433" s="49">
        <v>44631</v>
      </c>
      <c r="F8433" t="s">
        <v>6254</v>
      </c>
      <c r="G8433" t="s">
        <v>2762</v>
      </c>
      <c r="H8433">
        <v>10</v>
      </c>
      <c r="I8433">
        <v>88.52</v>
      </c>
      <c r="J8433" s="50">
        <v>885.19999999999993</v>
      </c>
      <c r="K8433" t="s">
        <v>1632</v>
      </c>
      <c r="L8433" t="s">
        <v>2327</v>
      </c>
      <c r="M8433" t="s">
        <v>1627</v>
      </c>
      <c r="N8433">
        <v>46.72</v>
      </c>
      <c r="O8433" s="49">
        <v>44633</v>
      </c>
      <c r="P8433" s="50">
        <v>398.34</v>
      </c>
    </row>
    <row r="8434" spans="4:16" x14ac:dyDescent="0.2">
      <c r="D8434">
        <v>100005042</v>
      </c>
      <c r="E8434" s="49">
        <v>44822</v>
      </c>
      <c r="F8434" t="s">
        <v>6255</v>
      </c>
      <c r="G8434" t="s">
        <v>2161</v>
      </c>
      <c r="H8434">
        <v>10</v>
      </c>
      <c r="I8434">
        <v>52.17</v>
      </c>
      <c r="J8434" s="50">
        <v>521.70000000000005</v>
      </c>
      <c r="K8434" t="s">
        <v>1618</v>
      </c>
      <c r="M8434" t="s">
        <v>1629</v>
      </c>
      <c r="N8434">
        <v>27.53</v>
      </c>
      <c r="O8434" s="49">
        <v>44825</v>
      </c>
      <c r="P8434" s="50">
        <v>234.76500000000001</v>
      </c>
    </row>
    <row r="8435" spans="4:16" x14ac:dyDescent="0.2">
      <c r="D8435">
        <v>100005043</v>
      </c>
      <c r="E8435" s="49">
        <v>44532</v>
      </c>
      <c r="F8435" t="s">
        <v>6256</v>
      </c>
      <c r="G8435" t="s">
        <v>1639</v>
      </c>
      <c r="H8435">
        <v>9</v>
      </c>
      <c r="I8435">
        <v>27</v>
      </c>
      <c r="J8435" s="50">
        <v>243</v>
      </c>
      <c r="K8435" t="s">
        <v>1618</v>
      </c>
      <c r="M8435" t="s">
        <v>1619</v>
      </c>
      <c r="N8435">
        <v>14.25</v>
      </c>
      <c r="O8435" s="49">
        <v>44533</v>
      </c>
      <c r="P8435" s="50">
        <v>109.35000000000001</v>
      </c>
    </row>
    <row r="8436" spans="4:16" x14ac:dyDescent="0.2">
      <c r="D8436">
        <v>100005043</v>
      </c>
      <c r="E8436" s="49">
        <v>44310</v>
      </c>
      <c r="F8436" t="s">
        <v>6256</v>
      </c>
      <c r="G8436" t="s">
        <v>1985</v>
      </c>
      <c r="H8436">
        <v>6</v>
      </c>
      <c r="I8436">
        <v>88.15</v>
      </c>
      <c r="J8436" s="50">
        <v>528.90000000000009</v>
      </c>
      <c r="K8436" t="s">
        <v>1618</v>
      </c>
      <c r="M8436" t="s">
        <v>1624</v>
      </c>
      <c r="N8436">
        <v>46.52</v>
      </c>
      <c r="O8436" s="49">
        <v>44311</v>
      </c>
      <c r="P8436" s="50">
        <v>238.00500000000005</v>
      </c>
    </row>
    <row r="8437" spans="4:16" x14ac:dyDescent="0.2">
      <c r="D8437">
        <v>100005044</v>
      </c>
      <c r="E8437" s="49">
        <v>45532</v>
      </c>
      <c r="F8437" t="s">
        <v>6257</v>
      </c>
      <c r="G8437" t="s">
        <v>2633</v>
      </c>
      <c r="H8437">
        <v>5</v>
      </c>
      <c r="I8437">
        <v>106.28</v>
      </c>
      <c r="J8437" s="50">
        <v>531.4</v>
      </c>
      <c r="K8437" t="s">
        <v>1632</v>
      </c>
      <c r="M8437" t="s">
        <v>1629</v>
      </c>
      <c r="N8437">
        <v>56.09</v>
      </c>
      <c r="O8437" s="49">
        <v>45533</v>
      </c>
      <c r="P8437" s="50">
        <v>239.13</v>
      </c>
    </row>
    <row r="8438" spans="4:16" x14ac:dyDescent="0.2">
      <c r="D8438">
        <v>100005044</v>
      </c>
      <c r="E8438" s="49">
        <v>45547</v>
      </c>
      <c r="F8438" t="s">
        <v>6257</v>
      </c>
      <c r="G8438" t="s">
        <v>1921</v>
      </c>
      <c r="H8438">
        <v>4</v>
      </c>
      <c r="I8438">
        <v>84</v>
      </c>
      <c r="J8438" s="50">
        <v>336</v>
      </c>
      <c r="K8438" t="s">
        <v>1632</v>
      </c>
      <c r="M8438" t="s">
        <v>1621</v>
      </c>
      <c r="N8438">
        <v>44.33</v>
      </c>
      <c r="O8438" s="49">
        <v>45549</v>
      </c>
      <c r="P8438" s="50">
        <v>151.20000000000002</v>
      </c>
    </row>
    <row r="8439" spans="4:16" x14ac:dyDescent="0.2">
      <c r="D8439">
        <v>100005044</v>
      </c>
      <c r="E8439" s="49">
        <v>44765</v>
      </c>
      <c r="F8439" t="s">
        <v>6257</v>
      </c>
      <c r="G8439" t="s">
        <v>2745</v>
      </c>
      <c r="H8439">
        <v>5</v>
      </c>
      <c r="I8439">
        <v>65.099999999999994</v>
      </c>
      <c r="J8439" s="50">
        <v>325.5</v>
      </c>
      <c r="K8439" t="s">
        <v>1632</v>
      </c>
      <c r="M8439" t="s">
        <v>1629</v>
      </c>
      <c r="N8439">
        <v>34.36</v>
      </c>
      <c r="O8439" s="49">
        <v>44770</v>
      </c>
      <c r="P8439" s="50">
        <v>146.47499999999999</v>
      </c>
    </row>
    <row r="8440" spans="4:16" x14ac:dyDescent="0.2">
      <c r="D8440">
        <v>100005044</v>
      </c>
      <c r="E8440" s="49">
        <v>45464</v>
      </c>
      <c r="F8440" t="s">
        <v>6257</v>
      </c>
      <c r="G8440" t="s">
        <v>2159</v>
      </c>
      <c r="H8440">
        <v>2</v>
      </c>
      <c r="I8440">
        <v>46.24</v>
      </c>
      <c r="J8440" s="50">
        <v>92.48</v>
      </c>
      <c r="K8440" t="s">
        <v>1632</v>
      </c>
      <c r="M8440" t="s">
        <v>1621</v>
      </c>
      <c r="N8440">
        <v>24.4</v>
      </c>
      <c r="O8440" s="49">
        <v>45468</v>
      </c>
      <c r="P8440" s="50">
        <v>41.616</v>
      </c>
    </row>
    <row r="8441" spans="4:16" x14ac:dyDescent="0.2">
      <c r="D8441">
        <v>100005044</v>
      </c>
      <c r="E8441" s="49">
        <v>45166</v>
      </c>
      <c r="F8441" t="s">
        <v>6257</v>
      </c>
      <c r="G8441" t="s">
        <v>1726</v>
      </c>
      <c r="H8441">
        <v>8</v>
      </c>
      <c r="I8441">
        <v>80.7</v>
      </c>
      <c r="J8441" s="50">
        <v>645.6</v>
      </c>
      <c r="K8441" t="s">
        <v>1632</v>
      </c>
      <c r="M8441" t="s">
        <v>1624</v>
      </c>
      <c r="N8441">
        <v>42.59</v>
      </c>
      <c r="O8441" s="49">
        <v>45168</v>
      </c>
      <c r="P8441" s="50">
        <v>290.52000000000004</v>
      </c>
    </row>
    <row r="8442" spans="4:16" x14ac:dyDescent="0.2">
      <c r="D8442">
        <v>100005044</v>
      </c>
      <c r="E8442" s="49">
        <v>45335</v>
      </c>
      <c r="F8442" t="s">
        <v>6257</v>
      </c>
      <c r="G8442" t="s">
        <v>2291</v>
      </c>
      <c r="H8442">
        <v>6</v>
      </c>
      <c r="I8442">
        <v>109.98</v>
      </c>
      <c r="J8442" s="50">
        <v>659.88</v>
      </c>
      <c r="K8442" t="s">
        <v>1632</v>
      </c>
      <c r="M8442" t="s">
        <v>1627</v>
      </c>
      <c r="N8442">
        <v>58.04</v>
      </c>
      <c r="O8442" s="49">
        <v>45337</v>
      </c>
      <c r="P8442" s="50">
        <v>296.94600000000003</v>
      </c>
    </row>
    <row r="8443" spans="4:16" x14ac:dyDescent="0.2">
      <c r="D8443">
        <v>100005044</v>
      </c>
      <c r="E8443" s="49">
        <v>44831</v>
      </c>
      <c r="F8443" t="s">
        <v>6257</v>
      </c>
      <c r="G8443" t="s">
        <v>1812</v>
      </c>
      <c r="H8443">
        <v>8</v>
      </c>
      <c r="I8443">
        <v>87.67</v>
      </c>
      <c r="J8443" s="50">
        <v>701.36</v>
      </c>
      <c r="K8443" t="s">
        <v>1632</v>
      </c>
      <c r="M8443" t="s">
        <v>1624</v>
      </c>
      <c r="N8443">
        <v>46.27</v>
      </c>
      <c r="O8443" s="49">
        <v>44832</v>
      </c>
      <c r="P8443" s="50">
        <v>315.61200000000002</v>
      </c>
    </row>
    <row r="8444" spans="4:16" x14ac:dyDescent="0.2">
      <c r="D8444">
        <v>100005044</v>
      </c>
      <c r="E8444" s="49">
        <v>44914</v>
      </c>
      <c r="F8444" t="s">
        <v>6257</v>
      </c>
      <c r="G8444" t="s">
        <v>1783</v>
      </c>
      <c r="H8444">
        <v>5</v>
      </c>
      <c r="I8444">
        <v>43.38</v>
      </c>
      <c r="J8444" s="50">
        <v>216.9</v>
      </c>
      <c r="K8444" t="s">
        <v>1632</v>
      </c>
      <c r="M8444" t="s">
        <v>1624</v>
      </c>
      <c r="N8444">
        <v>22.89</v>
      </c>
      <c r="O8444" s="49">
        <v>44917</v>
      </c>
      <c r="P8444" s="50">
        <v>97.605000000000004</v>
      </c>
    </row>
    <row r="8445" spans="4:16" x14ac:dyDescent="0.2">
      <c r="D8445">
        <v>100005044</v>
      </c>
      <c r="E8445" s="49">
        <v>44919</v>
      </c>
      <c r="F8445" t="s">
        <v>6257</v>
      </c>
      <c r="G8445" t="s">
        <v>1744</v>
      </c>
      <c r="H8445">
        <v>1</v>
      </c>
      <c r="I8445">
        <v>71.11</v>
      </c>
      <c r="J8445" s="50">
        <v>71.11</v>
      </c>
      <c r="K8445" t="s">
        <v>1632</v>
      </c>
      <c r="M8445" t="s">
        <v>1627</v>
      </c>
      <c r="N8445">
        <v>37.53</v>
      </c>
      <c r="O8445" s="49">
        <v>44924</v>
      </c>
      <c r="P8445" s="50">
        <v>31.999500000000001</v>
      </c>
    </row>
    <row r="8446" spans="4:16" x14ac:dyDescent="0.2">
      <c r="D8446">
        <v>100005044</v>
      </c>
      <c r="E8446" s="49">
        <v>45342</v>
      </c>
      <c r="F8446" t="s">
        <v>6257</v>
      </c>
      <c r="G8446" t="s">
        <v>2390</v>
      </c>
      <c r="H8446">
        <v>2</v>
      </c>
      <c r="I8446">
        <v>82.12</v>
      </c>
      <c r="J8446" s="50">
        <v>164.24</v>
      </c>
      <c r="K8446" t="s">
        <v>1632</v>
      </c>
      <c r="M8446" t="s">
        <v>1624</v>
      </c>
      <c r="N8446">
        <v>43.34</v>
      </c>
      <c r="O8446" s="49">
        <v>45343</v>
      </c>
      <c r="P8446" s="50">
        <v>73.908000000000001</v>
      </c>
    </row>
    <row r="8447" spans="4:16" x14ac:dyDescent="0.2">
      <c r="D8447">
        <v>100005045</v>
      </c>
      <c r="E8447" s="49">
        <v>44970</v>
      </c>
      <c r="F8447" t="s">
        <v>6258</v>
      </c>
      <c r="G8447" t="s">
        <v>1742</v>
      </c>
      <c r="H8447">
        <v>2</v>
      </c>
      <c r="I8447">
        <v>19.47</v>
      </c>
      <c r="J8447" s="50">
        <v>38.94</v>
      </c>
      <c r="K8447" t="s">
        <v>1618</v>
      </c>
      <c r="M8447" t="s">
        <v>1627</v>
      </c>
      <c r="N8447">
        <v>10.28</v>
      </c>
      <c r="O8447" s="49">
        <v>44972</v>
      </c>
      <c r="P8447" s="50">
        <v>17.523</v>
      </c>
    </row>
    <row r="8448" spans="4:16" x14ac:dyDescent="0.2">
      <c r="D8448">
        <v>100005045</v>
      </c>
      <c r="E8448" s="49">
        <v>44885</v>
      </c>
      <c r="F8448" t="s">
        <v>6258</v>
      </c>
      <c r="G8448" t="s">
        <v>1738</v>
      </c>
      <c r="H8448">
        <v>6</v>
      </c>
      <c r="I8448">
        <v>13.47</v>
      </c>
      <c r="J8448" s="50">
        <v>80.820000000000007</v>
      </c>
      <c r="K8448" t="s">
        <v>1618</v>
      </c>
      <c r="M8448" t="s">
        <v>1619</v>
      </c>
      <c r="N8448">
        <v>7.11</v>
      </c>
      <c r="O8448" s="49">
        <v>44888</v>
      </c>
      <c r="P8448" s="50">
        <v>36.369000000000007</v>
      </c>
    </row>
    <row r="8449" spans="4:16" x14ac:dyDescent="0.2">
      <c r="D8449">
        <v>100005045</v>
      </c>
      <c r="E8449" s="49">
        <v>45166</v>
      </c>
      <c r="F8449" t="s">
        <v>6258</v>
      </c>
      <c r="G8449" t="s">
        <v>2447</v>
      </c>
      <c r="H8449">
        <v>9</v>
      </c>
      <c r="I8449">
        <v>80.849999999999994</v>
      </c>
      <c r="J8449" s="50">
        <v>727.65</v>
      </c>
      <c r="K8449" t="s">
        <v>1618</v>
      </c>
      <c r="M8449" t="s">
        <v>1627</v>
      </c>
      <c r="N8449">
        <v>42.67</v>
      </c>
      <c r="O8449" s="49">
        <v>45171</v>
      </c>
      <c r="P8449" s="50">
        <v>327.4425</v>
      </c>
    </row>
    <row r="8450" spans="4:16" x14ac:dyDescent="0.2">
      <c r="D8450">
        <v>100005045</v>
      </c>
      <c r="E8450" s="49">
        <v>45408</v>
      </c>
      <c r="F8450" t="s">
        <v>6258</v>
      </c>
      <c r="G8450" t="s">
        <v>2412</v>
      </c>
      <c r="H8450">
        <v>10</v>
      </c>
      <c r="I8450">
        <v>76.19</v>
      </c>
      <c r="J8450" s="50">
        <v>761.9</v>
      </c>
      <c r="K8450" t="s">
        <v>1618</v>
      </c>
      <c r="M8450" t="s">
        <v>1629</v>
      </c>
      <c r="N8450">
        <v>40.21</v>
      </c>
      <c r="O8450" s="49">
        <v>45413</v>
      </c>
      <c r="P8450" s="50">
        <v>342.85500000000002</v>
      </c>
    </row>
    <row r="8451" spans="4:16" x14ac:dyDescent="0.2">
      <c r="D8451">
        <v>100005046</v>
      </c>
      <c r="E8451" s="49">
        <v>45471</v>
      </c>
      <c r="F8451" t="s">
        <v>6259</v>
      </c>
      <c r="G8451" t="s">
        <v>2348</v>
      </c>
      <c r="H8451">
        <v>3</v>
      </c>
      <c r="I8451">
        <v>110.63</v>
      </c>
      <c r="J8451" s="50">
        <v>331.89</v>
      </c>
      <c r="K8451" t="s">
        <v>1618</v>
      </c>
      <c r="M8451" t="s">
        <v>1627</v>
      </c>
      <c r="N8451">
        <v>58.39</v>
      </c>
      <c r="O8451" s="49">
        <v>45473</v>
      </c>
      <c r="P8451" s="50">
        <v>149.35050000000001</v>
      </c>
    </row>
    <row r="8452" spans="4:16" x14ac:dyDescent="0.2">
      <c r="D8452">
        <v>100005046</v>
      </c>
      <c r="E8452" s="49">
        <v>45421</v>
      </c>
      <c r="F8452" t="s">
        <v>6259</v>
      </c>
      <c r="G8452" t="s">
        <v>1794</v>
      </c>
      <c r="H8452">
        <v>7</v>
      </c>
      <c r="I8452">
        <v>117.45</v>
      </c>
      <c r="J8452" s="50">
        <v>822.15</v>
      </c>
      <c r="K8452" t="s">
        <v>1618</v>
      </c>
      <c r="M8452" t="s">
        <v>1629</v>
      </c>
      <c r="N8452">
        <v>61.99</v>
      </c>
      <c r="O8452" s="49">
        <v>45426</v>
      </c>
      <c r="P8452" s="50">
        <v>369.96749999999997</v>
      </c>
    </row>
    <row r="8453" spans="4:16" x14ac:dyDescent="0.2">
      <c r="D8453">
        <v>100005046</v>
      </c>
      <c r="E8453" s="49">
        <v>45048</v>
      </c>
      <c r="F8453" t="s">
        <v>6259</v>
      </c>
      <c r="G8453" t="s">
        <v>2079</v>
      </c>
      <c r="H8453">
        <v>5</v>
      </c>
      <c r="I8453">
        <v>15.84</v>
      </c>
      <c r="J8453" s="50">
        <v>79.2</v>
      </c>
      <c r="K8453" t="s">
        <v>1618</v>
      </c>
      <c r="M8453" t="s">
        <v>1629</v>
      </c>
      <c r="N8453">
        <v>8.36</v>
      </c>
      <c r="O8453" s="49">
        <v>45052</v>
      </c>
      <c r="P8453" s="50">
        <v>35.64</v>
      </c>
    </row>
    <row r="8454" spans="4:16" x14ac:dyDescent="0.2">
      <c r="D8454">
        <v>100005050</v>
      </c>
      <c r="E8454" s="49">
        <v>45131</v>
      </c>
      <c r="F8454" t="s">
        <v>6260</v>
      </c>
      <c r="G8454" t="s">
        <v>2112</v>
      </c>
      <c r="H8454">
        <v>9</v>
      </c>
      <c r="I8454">
        <v>55.64</v>
      </c>
      <c r="J8454" s="50">
        <v>500.76</v>
      </c>
      <c r="K8454" t="s">
        <v>1632</v>
      </c>
      <c r="L8454" t="s">
        <v>6261</v>
      </c>
      <c r="M8454" t="s">
        <v>1627</v>
      </c>
      <c r="N8454">
        <v>29.37</v>
      </c>
      <c r="O8454" s="49">
        <v>45134</v>
      </c>
      <c r="P8454" s="50">
        <v>225.34200000000001</v>
      </c>
    </row>
    <row r="8455" spans="4:16" x14ac:dyDescent="0.2">
      <c r="D8455">
        <v>100005051</v>
      </c>
      <c r="E8455" s="49">
        <v>44540</v>
      </c>
      <c r="F8455" t="s">
        <v>6262</v>
      </c>
      <c r="G8455" t="s">
        <v>2004</v>
      </c>
      <c r="H8455">
        <v>3</v>
      </c>
      <c r="I8455">
        <v>42.19</v>
      </c>
      <c r="J8455" s="50">
        <v>126.57</v>
      </c>
      <c r="K8455" t="s">
        <v>1632</v>
      </c>
      <c r="M8455" t="s">
        <v>1629</v>
      </c>
      <c r="N8455">
        <v>22.27</v>
      </c>
      <c r="O8455" s="49">
        <v>44542</v>
      </c>
      <c r="P8455" s="50">
        <v>56.956499999999998</v>
      </c>
    </row>
    <row r="8456" spans="4:16" x14ac:dyDescent="0.2">
      <c r="D8456">
        <v>100005052</v>
      </c>
      <c r="E8456" s="49">
        <v>45395</v>
      </c>
      <c r="F8456" t="s">
        <v>6263</v>
      </c>
      <c r="G8456" t="s">
        <v>2048</v>
      </c>
      <c r="H8456">
        <v>3</v>
      </c>
      <c r="I8456">
        <v>12.41</v>
      </c>
      <c r="J8456" s="50">
        <v>37.229999999999997</v>
      </c>
      <c r="K8456" t="s">
        <v>1618</v>
      </c>
      <c r="M8456" t="s">
        <v>1627</v>
      </c>
      <c r="N8456">
        <v>6.55</v>
      </c>
      <c r="O8456" s="49">
        <v>45398</v>
      </c>
      <c r="P8456" s="50">
        <v>16.753499999999999</v>
      </c>
    </row>
    <row r="8457" spans="4:16" x14ac:dyDescent="0.2">
      <c r="D8457">
        <v>100005052</v>
      </c>
      <c r="E8457" s="49">
        <v>44670</v>
      </c>
      <c r="F8457" t="s">
        <v>6263</v>
      </c>
      <c r="G8457" t="s">
        <v>1730</v>
      </c>
      <c r="H8457">
        <v>4</v>
      </c>
      <c r="I8457">
        <v>119.97</v>
      </c>
      <c r="J8457" s="50">
        <v>479.88</v>
      </c>
      <c r="K8457" t="s">
        <v>1618</v>
      </c>
      <c r="M8457" t="s">
        <v>1629</v>
      </c>
      <c r="N8457">
        <v>63.32</v>
      </c>
      <c r="O8457" s="49">
        <v>44675</v>
      </c>
      <c r="P8457" s="50">
        <v>215.946</v>
      </c>
    </row>
    <row r="8458" spans="4:16" x14ac:dyDescent="0.2">
      <c r="D8458">
        <v>100005055</v>
      </c>
      <c r="E8458" s="49">
        <v>45322</v>
      </c>
      <c r="F8458" t="s">
        <v>6264</v>
      </c>
      <c r="G8458" t="s">
        <v>2210</v>
      </c>
      <c r="H8458">
        <v>3</v>
      </c>
      <c r="I8458">
        <v>22.66</v>
      </c>
      <c r="J8458" s="50">
        <v>67.98</v>
      </c>
      <c r="K8458" t="s">
        <v>1632</v>
      </c>
      <c r="M8458" t="s">
        <v>1627</v>
      </c>
      <c r="N8458">
        <v>11.96</v>
      </c>
      <c r="O8458" s="49">
        <v>45323</v>
      </c>
      <c r="P8458" s="50">
        <v>30.591000000000001</v>
      </c>
    </row>
    <row r="8459" spans="4:16" x14ac:dyDescent="0.2">
      <c r="D8459">
        <v>100005055</v>
      </c>
      <c r="E8459" s="49">
        <v>45649</v>
      </c>
      <c r="F8459" t="s">
        <v>6264</v>
      </c>
      <c r="G8459" t="s">
        <v>1667</v>
      </c>
      <c r="H8459">
        <v>4</v>
      </c>
      <c r="I8459">
        <v>41.24</v>
      </c>
      <c r="J8459" s="50">
        <v>164.96</v>
      </c>
      <c r="K8459" t="s">
        <v>1632</v>
      </c>
      <c r="M8459" t="s">
        <v>1624</v>
      </c>
      <c r="N8459">
        <v>21.77</v>
      </c>
      <c r="O8459" s="49">
        <v>45651</v>
      </c>
      <c r="P8459" s="50">
        <v>74.231999999999999</v>
      </c>
    </row>
    <row r="8460" spans="4:16" x14ac:dyDescent="0.2">
      <c r="D8460">
        <v>100005057</v>
      </c>
      <c r="E8460" s="49">
        <v>44549</v>
      </c>
      <c r="F8460" t="s">
        <v>2874</v>
      </c>
      <c r="G8460" t="s">
        <v>1762</v>
      </c>
      <c r="H8460">
        <v>5</v>
      </c>
      <c r="I8460">
        <v>17.47</v>
      </c>
      <c r="J8460" s="50">
        <v>87.35</v>
      </c>
      <c r="K8460" t="s">
        <v>1632</v>
      </c>
      <c r="L8460" t="s">
        <v>3843</v>
      </c>
      <c r="M8460" t="s">
        <v>1629</v>
      </c>
      <c r="N8460">
        <v>9.2200000000000006</v>
      </c>
      <c r="O8460" s="49">
        <v>44550</v>
      </c>
      <c r="P8460" s="50">
        <v>39.307499999999997</v>
      </c>
    </row>
    <row r="8461" spans="4:16" x14ac:dyDescent="0.2">
      <c r="D8461">
        <v>100005057</v>
      </c>
      <c r="E8461" s="49">
        <v>44895</v>
      </c>
      <c r="F8461" t="s">
        <v>2874</v>
      </c>
      <c r="G8461" t="s">
        <v>1921</v>
      </c>
      <c r="H8461">
        <v>1</v>
      </c>
      <c r="I8461">
        <v>47.15</v>
      </c>
      <c r="J8461" s="50">
        <v>47.15</v>
      </c>
      <c r="K8461" t="s">
        <v>1632</v>
      </c>
      <c r="L8461" t="s">
        <v>3843</v>
      </c>
      <c r="M8461" t="s">
        <v>1627</v>
      </c>
      <c r="N8461">
        <v>24.88</v>
      </c>
      <c r="O8461" s="49">
        <v>44899</v>
      </c>
      <c r="P8461" s="50">
        <v>21.217500000000001</v>
      </c>
    </row>
    <row r="8462" spans="4:16" x14ac:dyDescent="0.2">
      <c r="D8462">
        <v>100005058</v>
      </c>
      <c r="E8462" s="49">
        <v>45056</v>
      </c>
      <c r="F8462" t="s">
        <v>6265</v>
      </c>
      <c r="G8462" t="s">
        <v>1982</v>
      </c>
      <c r="H8462">
        <v>3</v>
      </c>
      <c r="I8462">
        <v>30.16</v>
      </c>
      <c r="J8462" s="50">
        <v>90.48</v>
      </c>
      <c r="K8462" t="s">
        <v>1618</v>
      </c>
      <c r="L8462" t="s">
        <v>6266</v>
      </c>
      <c r="M8462" t="s">
        <v>1627</v>
      </c>
      <c r="N8462">
        <v>15.92</v>
      </c>
      <c r="O8462" s="49">
        <v>45061</v>
      </c>
      <c r="P8462" s="50">
        <v>40.716000000000001</v>
      </c>
    </row>
    <row r="8463" spans="4:16" x14ac:dyDescent="0.2">
      <c r="D8463">
        <v>100005058</v>
      </c>
      <c r="E8463" s="49">
        <v>45538</v>
      </c>
      <c r="F8463" t="s">
        <v>6265</v>
      </c>
      <c r="G8463" t="s">
        <v>1807</v>
      </c>
      <c r="H8463">
        <v>10</v>
      </c>
      <c r="I8463">
        <v>32.47</v>
      </c>
      <c r="J8463" s="50">
        <v>324.7</v>
      </c>
      <c r="K8463" t="s">
        <v>1618</v>
      </c>
      <c r="L8463" t="s">
        <v>6266</v>
      </c>
      <c r="M8463" t="s">
        <v>1621</v>
      </c>
      <c r="N8463">
        <v>17.14</v>
      </c>
      <c r="O8463" s="49">
        <v>45539</v>
      </c>
      <c r="P8463" s="50">
        <v>146.11500000000001</v>
      </c>
    </row>
    <row r="8464" spans="4:16" x14ac:dyDescent="0.2">
      <c r="D8464">
        <v>100005059</v>
      </c>
      <c r="E8464" s="49">
        <v>44837</v>
      </c>
      <c r="F8464" t="s">
        <v>6267</v>
      </c>
      <c r="G8464" t="s">
        <v>1781</v>
      </c>
      <c r="H8464">
        <v>5</v>
      </c>
      <c r="I8464">
        <v>115.24</v>
      </c>
      <c r="J8464" s="50">
        <v>576.19999999999993</v>
      </c>
      <c r="K8464" t="s">
        <v>1632</v>
      </c>
      <c r="M8464" t="s">
        <v>1621</v>
      </c>
      <c r="N8464">
        <v>60.82</v>
      </c>
      <c r="O8464" s="49">
        <v>44841</v>
      </c>
      <c r="P8464" s="50">
        <v>259.28999999999996</v>
      </c>
    </row>
    <row r="8465" spans="4:16" x14ac:dyDescent="0.2">
      <c r="D8465">
        <v>100005059</v>
      </c>
      <c r="E8465" s="49">
        <v>44745</v>
      </c>
      <c r="F8465" t="s">
        <v>6267</v>
      </c>
      <c r="G8465" t="s">
        <v>2378</v>
      </c>
      <c r="H8465">
        <v>8</v>
      </c>
      <c r="I8465">
        <v>10.5</v>
      </c>
      <c r="J8465" s="50">
        <v>84</v>
      </c>
      <c r="K8465" t="s">
        <v>1632</v>
      </c>
      <c r="M8465" t="s">
        <v>1627</v>
      </c>
      <c r="N8465">
        <v>5.54</v>
      </c>
      <c r="O8465" s="49">
        <v>44750</v>
      </c>
      <c r="P8465" s="50">
        <v>37.800000000000004</v>
      </c>
    </row>
    <row r="8466" spans="4:16" x14ac:dyDescent="0.2">
      <c r="D8466">
        <v>100005059</v>
      </c>
      <c r="E8466" s="49">
        <v>45538</v>
      </c>
      <c r="F8466" t="s">
        <v>6267</v>
      </c>
      <c r="G8466" t="s">
        <v>1864</v>
      </c>
      <c r="H8466">
        <v>4</v>
      </c>
      <c r="I8466">
        <v>67.180000000000007</v>
      </c>
      <c r="J8466" s="50">
        <v>268.72000000000003</v>
      </c>
      <c r="K8466" t="s">
        <v>1632</v>
      </c>
      <c r="M8466" t="s">
        <v>1627</v>
      </c>
      <c r="N8466">
        <v>35.46</v>
      </c>
      <c r="O8466" s="49">
        <v>45540</v>
      </c>
      <c r="P8466" s="50">
        <v>120.92400000000002</v>
      </c>
    </row>
    <row r="8467" spans="4:16" x14ac:dyDescent="0.2">
      <c r="D8467">
        <v>100005059</v>
      </c>
      <c r="E8467" s="49">
        <v>45533</v>
      </c>
      <c r="F8467" t="s">
        <v>6267</v>
      </c>
      <c r="G8467" t="s">
        <v>1721</v>
      </c>
      <c r="H8467">
        <v>4</v>
      </c>
      <c r="I8467">
        <v>118.9</v>
      </c>
      <c r="J8467" s="50">
        <v>475.6</v>
      </c>
      <c r="K8467" t="s">
        <v>1632</v>
      </c>
      <c r="M8467" t="s">
        <v>1619</v>
      </c>
      <c r="N8467">
        <v>62.75</v>
      </c>
      <c r="O8467" s="49">
        <v>45534</v>
      </c>
      <c r="P8467" s="50">
        <v>214.02</v>
      </c>
    </row>
    <row r="8468" spans="4:16" x14ac:dyDescent="0.2">
      <c r="D8468">
        <v>100005059</v>
      </c>
      <c r="E8468" s="49">
        <v>44646</v>
      </c>
      <c r="F8468" t="s">
        <v>6267</v>
      </c>
      <c r="G8468" t="s">
        <v>1740</v>
      </c>
      <c r="H8468">
        <v>7</v>
      </c>
      <c r="I8468">
        <v>97.3</v>
      </c>
      <c r="J8468" s="50">
        <v>681.1</v>
      </c>
      <c r="K8468" t="s">
        <v>1632</v>
      </c>
      <c r="M8468" t="s">
        <v>1629</v>
      </c>
      <c r="N8468">
        <v>51.35</v>
      </c>
      <c r="O8468" s="49">
        <v>44651</v>
      </c>
      <c r="P8468" s="50">
        <v>306.495</v>
      </c>
    </row>
    <row r="8469" spans="4:16" x14ac:dyDescent="0.2">
      <c r="D8469">
        <v>100005059</v>
      </c>
      <c r="E8469" s="49">
        <v>45533</v>
      </c>
      <c r="F8469" t="s">
        <v>6267</v>
      </c>
      <c r="G8469" t="s">
        <v>2346</v>
      </c>
      <c r="H8469">
        <v>4</v>
      </c>
      <c r="I8469">
        <v>116.78</v>
      </c>
      <c r="J8469" s="50">
        <v>467.12</v>
      </c>
      <c r="K8469" t="s">
        <v>1632</v>
      </c>
      <c r="M8469" t="s">
        <v>1619</v>
      </c>
      <c r="N8469">
        <v>61.63</v>
      </c>
      <c r="O8469" s="49">
        <v>45537</v>
      </c>
      <c r="P8469" s="50">
        <v>210.20400000000001</v>
      </c>
    </row>
    <row r="8470" spans="4:16" x14ac:dyDescent="0.2">
      <c r="D8470">
        <v>100005061</v>
      </c>
      <c r="E8470" s="49">
        <v>45522</v>
      </c>
      <c r="F8470" t="s">
        <v>6268</v>
      </c>
      <c r="G8470" t="s">
        <v>1676</v>
      </c>
      <c r="H8470">
        <v>9</v>
      </c>
      <c r="I8470">
        <v>79.67</v>
      </c>
      <c r="J8470" s="50">
        <v>717.03</v>
      </c>
      <c r="K8470" t="s">
        <v>1618</v>
      </c>
      <c r="L8470" t="s">
        <v>6269</v>
      </c>
      <c r="M8470" t="s">
        <v>1629</v>
      </c>
      <c r="N8470">
        <v>42.05</v>
      </c>
      <c r="O8470" s="49">
        <v>45526</v>
      </c>
      <c r="P8470" s="50">
        <v>322.6635</v>
      </c>
    </row>
    <row r="8471" spans="4:16" x14ac:dyDescent="0.2">
      <c r="D8471">
        <v>100005062</v>
      </c>
      <c r="E8471" s="49">
        <v>45418</v>
      </c>
      <c r="F8471" t="s">
        <v>6270</v>
      </c>
      <c r="G8471" t="s">
        <v>1664</v>
      </c>
      <c r="H8471">
        <v>6</v>
      </c>
      <c r="I8471">
        <v>88.8</v>
      </c>
      <c r="J8471" s="50">
        <v>532.79999999999995</v>
      </c>
      <c r="K8471" t="s">
        <v>1632</v>
      </c>
      <c r="L8471" t="s">
        <v>6271</v>
      </c>
      <c r="M8471" t="s">
        <v>1621</v>
      </c>
      <c r="N8471">
        <v>46.87</v>
      </c>
      <c r="O8471" s="49">
        <v>45423</v>
      </c>
      <c r="P8471" s="50">
        <v>239.76</v>
      </c>
    </row>
    <row r="8472" spans="4:16" x14ac:dyDescent="0.2">
      <c r="D8472">
        <v>100005062</v>
      </c>
      <c r="E8472" s="49">
        <v>44706</v>
      </c>
      <c r="F8472" t="s">
        <v>6270</v>
      </c>
      <c r="G8472" t="s">
        <v>1681</v>
      </c>
      <c r="H8472">
        <v>6</v>
      </c>
      <c r="I8472">
        <v>82.67</v>
      </c>
      <c r="J8472" s="50">
        <v>496.02</v>
      </c>
      <c r="K8472" t="s">
        <v>1632</v>
      </c>
      <c r="L8472" t="s">
        <v>6271</v>
      </c>
      <c r="M8472" t="s">
        <v>1621</v>
      </c>
      <c r="N8472">
        <v>43.63</v>
      </c>
      <c r="O8472" s="49">
        <v>44710</v>
      </c>
      <c r="P8472" s="50">
        <v>223.209</v>
      </c>
    </row>
    <row r="8473" spans="4:16" x14ac:dyDescent="0.2">
      <c r="D8473">
        <v>100005063</v>
      </c>
      <c r="E8473" s="49">
        <v>44851</v>
      </c>
      <c r="F8473" t="s">
        <v>6272</v>
      </c>
      <c r="G8473" t="s">
        <v>1831</v>
      </c>
      <c r="H8473">
        <v>10</v>
      </c>
      <c r="I8473">
        <v>22.87</v>
      </c>
      <c r="J8473" s="50">
        <v>228.7</v>
      </c>
      <c r="K8473" t="s">
        <v>1618</v>
      </c>
      <c r="M8473" t="s">
        <v>1629</v>
      </c>
      <c r="N8473">
        <v>12.07</v>
      </c>
      <c r="O8473" s="49">
        <v>44853</v>
      </c>
      <c r="P8473" s="50">
        <v>102.91499999999999</v>
      </c>
    </row>
    <row r="8474" spans="4:16" x14ac:dyDescent="0.2">
      <c r="D8474">
        <v>100005063</v>
      </c>
      <c r="E8474" s="49">
        <v>45195</v>
      </c>
      <c r="F8474" t="s">
        <v>6272</v>
      </c>
      <c r="G8474" t="s">
        <v>1693</v>
      </c>
      <c r="H8474">
        <v>3</v>
      </c>
      <c r="I8474">
        <v>116.99</v>
      </c>
      <c r="J8474" s="50">
        <v>350.97</v>
      </c>
      <c r="K8474" t="s">
        <v>1618</v>
      </c>
      <c r="M8474" t="s">
        <v>1624</v>
      </c>
      <c r="N8474">
        <v>61.74</v>
      </c>
      <c r="O8474" s="49">
        <v>45198</v>
      </c>
      <c r="P8474" s="50">
        <v>157.93650000000002</v>
      </c>
    </row>
    <row r="8475" spans="4:16" x14ac:dyDescent="0.2">
      <c r="D8475">
        <v>100005064</v>
      </c>
      <c r="E8475" s="49">
        <v>45606</v>
      </c>
      <c r="F8475" t="s">
        <v>6273</v>
      </c>
      <c r="G8475" t="s">
        <v>1941</v>
      </c>
      <c r="H8475">
        <v>4</v>
      </c>
      <c r="I8475">
        <v>40.26</v>
      </c>
      <c r="J8475" s="50">
        <v>161.04</v>
      </c>
      <c r="K8475" t="s">
        <v>1618</v>
      </c>
      <c r="L8475" t="s">
        <v>2665</v>
      </c>
      <c r="M8475" t="s">
        <v>1619</v>
      </c>
      <c r="N8475">
        <v>21.25</v>
      </c>
      <c r="O8475" s="49">
        <v>45609</v>
      </c>
      <c r="P8475" s="50">
        <v>72.468000000000004</v>
      </c>
    </row>
    <row r="8476" spans="4:16" x14ac:dyDescent="0.2">
      <c r="D8476">
        <v>100005064</v>
      </c>
      <c r="E8476" s="49">
        <v>45476</v>
      </c>
      <c r="F8476" t="s">
        <v>6273</v>
      </c>
      <c r="G8476" t="s">
        <v>2134</v>
      </c>
      <c r="H8476">
        <v>5</v>
      </c>
      <c r="I8476">
        <v>54.68</v>
      </c>
      <c r="J8476" s="50">
        <v>273.39999999999998</v>
      </c>
      <c r="K8476" t="s">
        <v>1618</v>
      </c>
      <c r="L8476" t="s">
        <v>2665</v>
      </c>
      <c r="M8476" t="s">
        <v>1621</v>
      </c>
      <c r="N8476">
        <v>28.86</v>
      </c>
      <c r="O8476" s="49">
        <v>45478</v>
      </c>
      <c r="P8476" s="50">
        <v>123.02999999999999</v>
      </c>
    </row>
    <row r="8477" spans="4:16" x14ac:dyDescent="0.2">
      <c r="D8477">
        <v>100005066</v>
      </c>
      <c r="E8477" s="49">
        <v>44995</v>
      </c>
      <c r="F8477" t="s">
        <v>6274</v>
      </c>
      <c r="G8477" t="s">
        <v>1838</v>
      </c>
      <c r="H8477">
        <v>4</v>
      </c>
      <c r="I8477">
        <v>85.7</v>
      </c>
      <c r="J8477" s="50">
        <v>342.8</v>
      </c>
      <c r="K8477" t="s">
        <v>1632</v>
      </c>
      <c r="M8477" t="s">
        <v>1629</v>
      </c>
      <c r="N8477">
        <v>45.23</v>
      </c>
      <c r="O8477" s="49">
        <v>44996</v>
      </c>
      <c r="P8477" s="50">
        <v>154.26000000000002</v>
      </c>
    </row>
    <row r="8478" spans="4:16" x14ac:dyDescent="0.2">
      <c r="D8478">
        <v>100005067</v>
      </c>
      <c r="E8478" s="49">
        <v>44467</v>
      </c>
      <c r="F8478" t="s">
        <v>6275</v>
      </c>
      <c r="G8478" t="s">
        <v>1859</v>
      </c>
      <c r="H8478">
        <v>6</v>
      </c>
      <c r="I8478">
        <v>18.78</v>
      </c>
      <c r="J8478" s="50">
        <v>112.68</v>
      </c>
      <c r="K8478" t="s">
        <v>1618</v>
      </c>
      <c r="M8478" t="s">
        <v>1619</v>
      </c>
      <c r="N8478">
        <v>9.91</v>
      </c>
      <c r="O8478" s="49">
        <v>44470</v>
      </c>
      <c r="P8478" s="50">
        <v>50.706000000000003</v>
      </c>
    </row>
    <row r="8479" spans="4:16" x14ac:dyDescent="0.2">
      <c r="D8479">
        <v>100005068</v>
      </c>
      <c r="E8479" s="49">
        <v>44532</v>
      </c>
      <c r="F8479" t="s">
        <v>6276</v>
      </c>
      <c r="G8479" t="s">
        <v>2202</v>
      </c>
      <c r="H8479">
        <v>1</v>
      </c>
      <c r="I8479">
        <v>41.96</v>
      </c>
      <c r="J8479" s="50">
        <v>41.96</v>
      </c>
      <c r="K8479" t="s">
        <v>1618</v>
      </c>
      <c r="M8479" t="s">
        <v>1627</v>
      </c>
      <c r="N8479">
        <v>22.15</v>
      </c>
      <c r="O8479" s="49">
        <v>44537</v>
      </c>
      <c r="P8479" s="50">
        <v>18.882000000000001</v>
      </c>
    </row>
    <row r="8480" spans="4:16" x14ac:dyDescent="0.2">
      <c r="D8480">
        <v>100005071</v>
      </c>
      <c r="E8480" s="49">
        <v>45119</v>
      </c>
      <c r="F8480" t="s">
        <v>6277</v>
      </c>
      <c r="G8480" t="s">
        <v>1727</v>
      </c>
      <c r="H8480">
        <v>2</v>
      </c>
      <c r="I8480">
        <v>13.98</v>
      </c>
      <c r="J8480" s="50">
        <v>27.96</v>
      </c>
      <c r="K8480" t="s">
        <v>1618</v>
      </c>
      <c r="M8480" t="s">
        <v>1624</v>
      </c>
      <c r="N8480">
        <v>7.38</v>
      </c>
      <c r="O8480" s="49">
        <v>45120</v>
      </c>
      <c r="P8480" s="50">
        <v>12.582000000000001</v>
      </c>
    </row>
    <row r="8481" spans="4:16" x14ac:dyDescent="0.2">
      <c r="D8481">
        <v>100005071</v>
      </c>
      <c r="E8481" s="49">
        <v>45421</v>
      </c>
      <c r="F8481" t="s">
        <v>6277</v>
      </c>
      <c r="G8481" t="s">
        <v>2182</v>
      </c>
      <c r="H8481">
        <v>3</v>
      </c>
      <c r="I8481">
        <v>79.63</v>
      </c>
      <c r="J8481" s="50">
        <v>238.89</v>
      </c>
      <c r="K8481" t="s">
        <v>1618</v>
      </c>
      <c r="M8481" t="s">
        <v>1627</v>
      </c>
      <c r="N8481">
        <v>42.03</v>
      </c>
      <c r="O8481" s="49">
        <v>45424</v>
      </c>
      <c r="P8481" s="50">
        <v>107.5005</v>
      </c>
    </row>
    <row r="8482" spans="4:16" x14ac:dyDescent="0.2">
      <c r="D8482">
        <v>100005072</v>
      </c>
      <c r="E8482" s="49">
        <v>44587</v>
      </c>
      <c r="F8482" t="s">
        <v>6278</v>
      </c>
      <c r="G8482" t="s">
        <v>2132</v>
      </c>
      <c r="H8482">
        <v>6</v>
      </c>
      <c r="I8482">
        <v>46.48</v>
      </c>
      <c r="J8482" s="50">
        <v>278.88</v>
      </c>
      <c r="K8482" t="s">
        <v>1618</v>
      </c>
      <c r="M8482" t="s">
        <v>1619</v>
      </c>
      <c r="N8482">
        <v>24.53</v>
      </c>
      <c r="O8482" s="49">
        <v>44589</v>
      </c>
      <c r="P8482" s="50">
        <v>125.496</v>
      </c>
    </row>
    <row r="8483" spans="4:16" x14ac:dyDescent="0.2">
      <c r="D8483">
        <v>100005072</v>
      </c>
      <c r="E8483" s="49">
        <v>44946</v>
      </c>
      <c r="F8483" t="s">
        <v>6278</v>
      </c>
      <c r="G8483" t="s">
        <v>2103</v>
      </c>
      <c r="H8483">
        <v>3</v>
      </c>
      <c r="I8483">
        <v>72.06</v>
      </c>
      <c r="J8483" s="50">
        <v>216.18</v>
      </c>
      <c r="K8483" t="s">
        <v>1618</v>
      </c>
      <c r="M8483" t="s">
        <v>1621</v>
      </c>
      <c r="N8483">
        <v>38.03</v>
      </c>
      <c r="O8483" s="49">
        <v>44948</v>
      </c>
      <c r="P8483" s="50">
        <v>97.281000000000006</v>
      </c>
    </row>
    <row r="8484" spans="4:16" x14ac:dyDescent="0.2">
      <c r="D8484">
        <v>100005073</v>
      </c>
      <c r="E8484" s="49">
        <v>44709</v>
      </c>
      <c r="F8484" t="s">
        <v>6279</v>
      </c>
      <c r="G8484" t="s">
        <v>1815</v>
      </c>
      <c r="H8484">
        <v>7</v>
      </c>
      <c r="I8484">
        <v>78.5</v>
      </c>
      <c r="J8484" s="50">
        <v>549.5</v>
      </c>
      <c r="K8484" t="s">
        <v>1632</v>
      </c>
      <c r="L8484" t="s">
        <v>5122</v>
      </c>
      <c r="M8484" t="s">
        <v>1624</v>
      </c>
      <c r="N8484">
        <v>41.43</v>
      </c>
      <c r="O8484" s="49">
        <v>44713</v>
      </c>
      <c r="P8484" s="50">
        <v>247.27500000000001</v>
      </c>
    </row>
    <row r="8485" spans="4:16" x14ac:dyDescent="0.2">
      <c r="D8485">
        <v>100005073</v>
      </c>
      <c r="E8485" s="49">
        <v>45621</v>
      </c>
      <c r="F8485" t="s">
        <v>6279</v>
      </c>
      <c r="G8485" t="s">
        <v>1702</v>
      </c>
      <c r="H8485">
        <v>7</v>
      </c>
      <c r="I8485">
        <v>18.73</v>
      </c>
      <c r="J8485" s="50">
        <v>131.11000000000001</v>
      </c>
      <c r="K8485" t="s">
        <v>1632</v>
      </c>
      <c r="L8485" t="s">
        <v>5122</v>
      </c>
      <c r="M8485" t="s">
        <v>1621</v>
      </c>
      <c r="N8485">
        <v>9.89</v>
      </c>
      <c r="O8485" s="49">
        <v>45623</v>
      </c>
      <c r="P8485" s="50">
        <v>58.999500000000005</v>
      </c>
    </row>
    <row r="8486" spans="4:16" x14ac:dyDescent="0.2">
      <c r="D8486">
        <v>100005073</v>
      </c>
      <c r="E8486" s="49">
        <v>44417</v>
      </c>
      <c r="F8486" t="s">
        <v>6279</v>
      </c>
      <c r="G8486" t="s">
        <v>2003</v>
      </c>
      <c r="H8486">
        <v>9</v>
      </c>
      <c r="I8486">
        <v>17.239999999999998</v>
      </c>
      <c r="J8486" s="50">
        <v>155.16</v>
      </c>
      <c r="K8486" t="s">
        <v>1632</v>
      </c>
      <c r="L8486" t="s">
        <v>5122</v>
      </c>
      <c r="M8486" t="s">
        <v>1627</v>
      </c>
      <c r="N8486">
        <v>9.1</v>
      </c>
      <c r="O8486" s="49">
        <v>44422</v>
      </c>
      <c r="P8486" s="50">
        <v>69.822000000000003</v>
      </c>
    </row>
    <row r="8487" spans="4:16" x14ac:dyDescent="0.2">
      <c r="D8487">
        <v>100005073</v>
      </c>
      <c r="E8487" s="49">
        <v>45309</v>
      </c>
      <c r="F8487" t="s">
        <v>6279</v>
      </c>
      <c r="G8487" t="s">
        <v>1782</v>
      </c>
      <c r="H8487">
        <v>6</v>
      </c>
      <c r="I8487">
        <v>28.82</v>
      </c>
      <c r="J8487" s="50">
        <v>172.92</v>
      </c>
      <c r="K8487" t="s">
        <v>1632</v>
      </c>
      <c r="L8487" t="s">
        <v>5122</v>
      </c>
      <c r="M8487" t="s">
        <v>1621</v>
      </c>
      <c r="N8487">
        <v>15.21</v>
      </c>
      <c r="O8487" s="49">
        <v>45314</v>
      </c>
      <c r="P8487" s="50">
        <v>77.813999999999993</v>
      </c>
    </row>
    <row r="8488" spans="4:16" x14ac:dyDescent="0.2">
      <c r="D8488">
        <v>100005073</v>
      </c>
      <c r="E8488" s="49">
        <v>45518</v>
      </c>
      <c r="F8488" t="s">
        <v>6279</v>
      </c>
      <c r="G8488" t="s">
        <v>2163</v>
      </c>
      <c r="H8488">
        <v>9</v>
      </c>
      <c r="I8488">
        <v>48.22</v>
      </c>
      <c r="J8488" s="50">
        <v>433.98</v>
      </c>
      <c r="K8488" t="s">
        <v>1632</v>
      </c>
      <c r="L8488" t="s">
        <v>5122</v>
      </c>
      <c r="M8488" t="s">
        <v>1624</v>
      </c>
      <c r="N8488">
        <v>25.45</v>
      </c>
      <c r="O8488" s="49">
        <v>45520</v>
      </c>
      <c r="P8488" s="50">
        <v>195.29100000000003</v>
      </c>
    </row>
    <row r="8489" spans="4:16" x14ac:dyDescent="0.2">
      <c r="D8489">
        <v>100005073</v>
      </c>
      <c r="E8489" s="49">
        <v>44426</v>
      </c>
      <c r="F8489" t="s">
        <v>6279</v>
      </c>
      <c r="G8489" t="s">
        <v>1768</v>
      </c>
      <c r="H8489">
        <v>3</v>
      </c>
      <c r="I8489">
        <v>45.09</v>
      </c>
      <c r="J8489" s="50">
        <v>135.27000000000001</v>
      </c>
      <c r="K8489" t="s">
        <v>1632</v>
      </c>
      <c r="L8489" t="s">
        <v>5122</v>
      </c>
      <c r="M8489" t="s">
        <v>1629</v>
      </c>
      <c r="N8489">
        <v>23.8</v>
      </c>
      <c r="O8489" s="49">
        <v>44431</v>
      </c>
      <c r="P8489" s="50">
        <v>60.871500000000005</v>
      </c>
    </row>
    <row r="8490" spans="4:16" x14ac:dyDescent="0.2">
      <c r="D8490">
        <v>100005073</v>
      </c>
      <c r="E8490" s="49">
        <v>44824</v>
      </c>
      <c r="F8490" t="s">
        <v>6279</v>
      </c>
      <c r="G8490" t="s">
        <v>1743</v>
      </c>
      <c r="H8490">
        <v>9</v>
      </c>
      <c r="I8490">
        <v>15.55</v>
      </c>
      <c r="J8490" s="50">
        <v>139.94999999999999</v>
      </c>
      <c r="K8490" t="s">
        <v>1632</v>
      </c>
      <c r="L8490" t="s">
        <v>5122</v>
      </c>
      <c r="M8490" t="s">
        <v>1624</v>
      </c>
      <c r="N8490">
        <v>8.2100000000000009</v>
      </c>
      <c r="O8490" s="49">
        <v>44828</v>
      </c>
      <c r="P8490" s="50">
        <v>62.977499999999999</v>
      </c>
    </row>
    <row r="8491" spans="4:16" x14ac:dyDescent="0.2">
      <c r="D8491">
        <v>100005074</v>
      </c>
      <c r="E8491" s="49">
        <v>44969</v>
      </c>
      <c r="F8491" t="s">
        <v>6280</v>
      </c>
      <c r="G8491" t="s">
        <v>2344</v>
      </c>
      <c r="H8491">
        <v>8</v>
      </c>
      <c r="I8491">
        <v>50.79</v>
      </c>
      <c r="J8491" s="50">
        <v>406.32</v>
      </c>
      <c r="K8491" t="s">
        <v>1618</v>
      </c>
      <c r="L8491" t="s">
        <v>6281</v>
      </c>
      <c r="M8491" t="s">
        <v>1629</v>
      </c>
      <c r="N8491">
        <v>26.81</v>
      </c>
      <c r="O8491" s="49">
        <v>44970</v>
      </c>
      <c r="P8491" s="50">
        <v>182.84399999999999</v>
      </c>
    </row>
    <row r="8492" spans="4:16" x14ac:dyDescent="0.2">
      <c r="D8492">
        <v>100005074</v>
      </c>
      <c r="E8492" s="49">
        <v>44418</v>
      </c>
      <c r="F8492" t="s">
        <v>6280</v>
      </c>
      <c r="G8492" t="s">
        <v>1782</v>
      </c>
      <c r="H8492">
        <v>10</v>
      </c>
      <c r="I8492">
        <v>98.38</v>
      </c>
      <c r="J8492" s="50">
        <v>983.8</v>
      </c>
      <c r="K8492" t="s">
        <v>1618</v>
      </c>
      <c r="L8492" t="s">
        <v>6281</v>
      </c>
      <c r="M8492" t="s">
        <v>1629</v>
      </c>
      <c r="N8492">
        <v>51.92</v>
      </c>
      <c r="O8492" s="49">
        <v>44421</v>
      </c>
      <c r="P8492" s="50">
        <v>442.71</v>
      </c>
    </row>
    <row r="8493" spans="4:16" x14ac:dyDescent="0.2">
      <c r="D8493">
        <v>100005075</v>
      </c>
      <c r="E8493" s="49">
        <v>45467</v>
      </c>
      <c r="F8493" t="s">
        <v>6282</v>
      </c>
      <c r="G8493" t="s">
        <v>1853</v>
      </c>
      <c r="H8493">
        <v>3</v>
      </c>
      <c r="I8493">
        <v>67.95</v>
      </c>
      <c r="J8493" s="50">
        <v>203.85</v>
      </c>
      <c r="K8493" t="s">
        <v>1618</v>
      </c>
      <c r="L8493" t="s">
        <v>6283</v>
      </c>
      <c r="M8493" t="s">
        <v>1619</v>
      </c>
      <c r="N8493">
        <v>35.86</v>
      </c>
      <c r="O8493" s="49">
        <v>45472</v>
      </c>
      <c r="P8493" s="50">
        <v>91.732500000000002</v>
      </c>
    </row>
    <row r="8494" spans="4:16" x14ac:dyDescent="0.2">
      <c r="D8494">
        <v>100005075</v>
      </c>
      <c r="E8494" s="49">
        <v>45161</v>
      </c>
      <c r="F8494" t="s">
        <v>6282</v>
      </c>
      <c r="G8494" t="s">
        <v>1671</v>
      </c>
      <c r="H8494">
        <v>4</v>
      </c>
      <c r="I8494">
        <v>41.24</v>
      </c>
      <c r="J8494" s="50">
        <v>164.96</v>
      </c>
      <c r="K8494" t="s">
        <v>1618</v>
      </c>
      <c r="L8494" t="s">
        <v>6283</v>
      </c>
      <c r="M8494" t="s">
        <v>1629</v>
      </c>
      <c r="N8494">
        <v>21.77</v>
      </c>
      <c r="O8494" s="49">
        <v>45164</v>
      </c>
      <c r="P8494" s="50">
        <v>74.231999999999999</v>
      </c>
    </row>
    <row r="8495" spans="4:16" x14ac:dyDescent="0.2">
      <c r="D8495">
        <v>100005076</v>
      </c>
      <c r="E8495" s="49">
        <v>44754</v>
      </c>
      <c r="F8495" t="s">
        <v>6284</v>
      </c>
      <c r="G8495" t="s">
        <v>1687</v>
      </c>
      <c r="H8495">
        <v>3</v>
      </c>
      <c r="I8495">
        <v>97.6</v>
      </c>
      <c r="J8495" s="50">
        <v>292.8</v>
      </c>
      <c r="K8495" t="s">
        <v>1618</v>
      </c>
      <c r="M8495" t="s">
        <v>1624</v>
      </c>
      <c r="N8495">
        <v>51.51</v>
      </c>
      <c r="O8495" s="49">
        <v>44758</v>
      </c>
      <c r="P8495" s="50">
        <v>131.76000000000002</v>
      </c>
    </row>
    <row r="8496" spans="4:16" x14ac:dyDescent="0.2">
      <c r="D8496">
        <v>100005077</v>
      </c>
      <c r="E8496" s="49">
        <v>44943</v>
      </c>
      <c r="F8496" t="s">
        <v>2639</v>
      </c>
      <c r="G8496" t="s">
        <v>1958</v>
      </c>
      <c r="H8496">
        <v>1</v>
      </c>
      <c r="I8496">
        <v>88.82</v>
      </c>
      <c r="J8496" s="50">
        <v>88.82</v>
      </c>
      <c r="K8496" t="s">
        <v>1618</v>
      </c>
      <c r="M8496" t="s">
        <v>1621</v>
      </c>
      <c r="N8496">
        <v>46.88</v>
      </c>
      <c r="O8496" s="49">
        <v>44945</v>
      </c>
      <c r="P8496" s="50">
        <v>39.969000000000001</v>
      </c>
    </row>
    <row r="8497" spans="4:16" x14ac:dyDescent="0.2">
      <c r="D8497">
        <v>100005077</v>
      </c>
      <c r="E8497" s="49">
        <v>44922</v>
      </c>
      <c r="F8497" t="s">
        <v>2639</v>
      </c>
      <c r="G8497" t="s">
        <v>1730</v>
      </c>
      <c r="H8497">
        <v>3</v>
      </c>
      <c r="I8497">
        <v>90.84</v>
      </c>
      <c r="J8497" s="50">
        <v>272.52</v>
      </c>
      <c r="K8497" t="s">
        <v>1618</v>
      </c>
      <c r="M8497" t="s">
        <v>1624</v>
      </c>
      <c r="N8497">
        <v>47.94</v>
      </c>
      <c r="O8497" s="49">
        <v>44926</v>
      </c>
      <c r="P8497" s="50">
        <v>122.634</v>
      </c>
    </row>
    <row r="8498" spans="4:16" x14ac:dyDescent="0.2">
      <c r="D8498">
        <v>100005077</v>
      </c>
      <c r="E8498" s="49">
        <v>44919</v>
      </c>
      <c r="F8498" t="s">
        <v>2639</v>
      </c>
      <c r="G8498" t="s">
        <v>1696</v>
      </c>
      <c r="H8498">
        <v>3</v>
      </c>
      <c r="I8498">
        <v>35.549999999999997</v>
      </c>
      <c r="J8498" s="50">
        <v>106.65</v>
      </c>
      <c r="K8498" t="s">
        <v>1618</v>
      </c>
      <c r="M8498" t="s">
        <v>1619</v>
      </c>
      <c r="N8498">
        <v>18.760000000000002</v>
      </c>
      <c r="O8498" s="49">
        <v>44922</v>
      </c>
      <c r="P8498" s="50">
        <v>47.992500000000007</v>
      </c>
    </row>
    <row r="8499" spans="4:16" x14ac:dyDescent="0.2">
      <c r="D8499">
        <v>100005077</v>
      </c>
      <c r="E8499" s="49">
        <v>44240</v>
      </c>
      <c r="F8499" t="s">
        <v>2639</v>
      </c>
      <c r="G8499" t="s">
        <v>1976</v>
      </c>
      <c r="H8499">
        <v>8</v>
      </c>
      <c r="I8499">
        <v>24.66</v>
      </c>
      <c r="J8499" s="50">
        <v>197.28</v>
      </c>
      <c r="K8499" t="s">
        <v>1618</v>
      </c>
      <c r="M8499" t="s">
        <v>1621</v>
      </c>
      <c r="N8499">
        <v>13.01</v>
      </c>
      <c r="O8499" s="49">
        <v>44244</v>
      </c>
      <c r="P8499" s="50">
        <v>88.775999999999996</v>
      </c>
    </row>
    <row r="8500" spans="4:16" x14ac:dyDescent="0.2">
      <c r="D8500">
        <v>100005078</v>
      </c>
      <c r="E8500" s="49">
        <v>45488</v>
      </c>
      <c r="F8500" t="s">
        <v>6285</v>
      </c>
      <c r="G8500" t="s">
        <v>1690</v>
      </c>
      <c r="H8500">
        <v>6</v>
      </c>
      <c r="I8500">
        <v>67.37</v>
      </c>
      <c r="J8500" s="50">
        <v>404.22</v>
      </c>
      <c r="K8500" t="s">
        <v>1618</v>
      </c>
      <c r="M8500" t="s">
        <v>1627</v>
      </c>
      <c r="N8500">
        <v>35.56</v>
      </c>
      <c r="O8500" s="49">
        <v>45491</v>
      </c>
      <c r="P8500" s="50">
        <v>181.89900000000003</v>
      </c>
    </row>
    <row r="8501" spans="4:16" x14ac:dyDescent="0.2">
      <c r="D8501">
        <v>100005079</v>
      </c>
      <c r="E8501" s="49">
        <v>44471</v>
      </c>
      <c r="F8501" t="s">
        <v>6286</v>
      </c>
      <c r="G8501" t="s">
        <v>1719</v>
      </c>
      <c r="H8501">
        <v>1</v>
      </c>
      <c r="I8501">
        <v>82.64</v>
      </c>
      <c r="J8501" s="50">
        <v>82.64</v>
      </c>
      <c r="K8501" t="s">
        <v>1618</v>
      </c>
      <c r="L8501" t="s">
        <v>4440</v>
      </c>
      <c r="M8501" t="s">
        <v>1619</v>
      </c>
      <c r="N8501">
        <v>43.62</v>
      </c>
      <c r="O8501" s="49">
        <v>44474</v>
      </c>
      <c r="P8501" s="50">
        <v>37.188000000000002</v>
      </c>
    </row>
    <row r="8502" spans="4:16" x14ac:dyDescent="0.2">
      <c r="D8502">
        <v>100005079</v>
      </c>
      <c r="E8502" s="49">
        <v>44329</v>
      </c>
      <c r="F8502" t="s">
        <v>6286</v>
      </c>
      <c r="G8502" t="s">
        <v>1681</v>
      </c>
      <c r="H8502">
        <v>5</v>
      </c>
      <c r="I8502">
        <v>30.78</v>
      </c>
      <c r="J8502" s="50">
        <v>153.9</v>
      </c>
      <c r="K8502" t="s">
        <v>1618</v>
      </c>
      <c r="L8502" t="s">
        <v>4440</v>
      </c>
      <c r="M8502" t="s">
        <v>1624</v>
      </c>
      <c r="N8502">
        <v>16.239999999999998</v>
      </c>
      <c r="O8502" s="49">
        <v>44334</v>
      </c>
      <c r="P8502" s="50">
        <v>69.25500000000001</v>
      </c>
    </row>
    <row r="8503" spans="4:16" x14ac:dyDescent="0.2">
      <c r="D8503">
        <v>100005079</v>
      </c>
      <c r="E8503" s="49">
        <v>44933</v>
      </c>
      <c r="F8503" t="s">
        <v>6286</v>
      </c>
      <c r="G8503" t="s">
        <v>1901</v>
      </c>
      <c r="H8503">
        <v>8</v>
      </c>
      <c r="I8503">
        <v>12.42</v>
      </c>
      <c r="J8503" s="50">
        <v>99.36</v>
      </c>
      <c r="K8503" t="s">
        <v>1618</v>
      </c>
      <c r="L8503" t="s">
        <v>4440</v>
      </c>
      <c r="M8503" t="s">
        <v>1624</v>
      </c>
      <c r="N8503">
        <v>6.55</v>
      </c>
      <c r="O8503" s="49">
        <v>44936</v>
      </c>
      <c r="P8503" s="50">
        <v>44.712000000000003</v>
      </c>
    </row>
    <row r="8504" spans="4:16" x14ac:dyDescent="0.2">
      <c r="D8504">
        <v>100005082</v>
      </c>
      <c r="E8504" s="49">
        <v>45650</v>
      </c>
      <c r="F8504" t="s">
        <v>6287</v>
      </c>
      <c r="G8504" t="s">
        <v>2420</v>
      </c>
      <c r="H8504">
        <v>9</v>
      </c>
      <c r="I8504">
        <v>98.82</v>
      </c>
      <c r="J8504" s="50">
        <v>889.37999999999988</v>
      </c>
      <c r="K8504" t="s">
        <v>1632</v>
      </c>
      <c r="L8504" t="s">
        <v>5018</v>
      </c>
      <c r="M8504" t="s">
        <v>1619</v>
      </c>
      <c r="N8504">
        <v>52.15</v>
      </c>
      <c r="O8504" s="49">
        <v>45653</v>
      </c>
      <c r="P8504" s="50">
        <v>400.22099999999995</v>
      </c>
    </row>
    <row r="8505" spans="4:16" x14ac:dyDescent="0.2">
      <c r="D8505">
        <v>100005082</v>
      </c>
      <c r="E8505" s="49">
        <v>45489</v>
      </c>
      <c r="F8505" t="s">
        <v>6287</v>
      </c>
      <c r="G8505" t="s">
        <v>2064</v>
      </c>
      <c r="H8505">
        <v>8</v>
      </c>
      <c r="I8505">
        <v>115.2</v>
      </c>
      <c r="J8505" s="50">
        <v>921.6</v>
      </c>
      <c r="K8505" t="s">
        <v>1632</v>
      </c>
      <c r="L8505" t="s">
        <v>5018</v>
      </c>
      <c r="M8505" t="s">
        <v>1627</v>
      </c>
      <c r="N8505">
        <v>60.8</v>
      </c>
      <c r="O8505" s="49">
        <v>45491</v>
      </c>
      <c r="P8505" s="50">
        <v>414.72</v>
      </c>
    </row>
    <row r="8506" spans="4:16" x14ac:dyDescent="0.2">
      <c r="D8506">
        <v>100005083</v>
      </c>
      <c r="E8506" s="49">
        <v>44231</v>
      </c>
      <c r="F8506" t="s">
        <v>6288</v>
      </c>
      <c r="G8506" t="s">
        <v>1856</v>
      </c>
      <c r="H8506">
        <v>7</v>
      </c>
      <c r="I8506">
        <v>111.22</v>
      </c>
      <c r="J8506" s="50">
        <v>778.54</v>
      </c>
      <c r="K8506" t="s">
        <v>1618</v>
      </c>
      <c r="L8506" t="s">
        <v>2684</v>
      </c>
      <c r="M8506" t="s">
        <v>1627</v>
      </c>
      <c r="N8506">
        <v>58.7</v>
      </c>
      <c r="O8506" s="49">
        <v>44233</v>
      </c>
      <c r="P8506" s="50">
        <v>350.34300000000002</v>
      </c>
    </row>
    <row r="8507" spans="4:16" x14ac:dyDescent="0.2">
      <c r="D8507">
        <v>100005084</v>
      </c>
      <c r="E8507" s="49">
        <v>44832</v>
      </c>
      <c r="F8507" t="s">
        <v>6289</v>
      </c>
      <c r="G8507" t="s">
        <v>1644</v>
      </c>
      <c r="H8507">
        <v>3</v>
      </c>
      <c r="I8507">
        <v>64.63</v>
      </c>
      <c r="J8507" s="50">
        <v>193.89</v>
      </c>
      <c r="K8507" t="s">
        <v>1632</v>
      </c>
      <c r="M8507" t="s">
        <v>1629</v>
      </c>
      <c r="N8507">
        <v>34.11</v>
      </c>
      <c r="O8507" s="49">
        <v>44833</v>
      </c>
      <c r="P8507" s="50">
        <v>87.250500000000002</v>
      </c>
    </row>
    <row r="8508" spans="4:16" x14ac:dyDescent="0.2">
      <c r="D8508">
        <v>100005086</v>
      </c>
      <c r="E8508" s="49">
        <v>45281</v>
      </c>
      <c r="F8508" t="s">
        <v>6290</v>
      </c>
      <c r="G8508" t="s">
        <v>1866</v>
      </c>
      <c r="H8508">
        <v>7</v>
      </c>
      <c r="I8508">
        <v>102.57</v>
      </c>
      <c r="J8508" s="50">
        <v>717.99</v>
      </c>
      <c r="K8508" t="s">
        <v>1618</v>
      </c>
      <c r="M8508" t="s">
        <v>1627</v>
      </c>
      <c r="N8508">
        <v>54.13</v>
      </c>
      <c r="O8508" s="49">
        <v>45283</v>
      </c>
      <c r="P8508" s="50">
        <v>323.09550000000002</v>
      </c>
    </row>
    <row r="8509" spans="4:16" x14ac:dyDescent="0.2">
      <c r="D8509">
        <v>100005086</v>
      </c>
      <c r="E8509" s="49">
        <v>45320</v>
      </c>
      <c r="F8509" t="s">
        <v>6290</v>
      </c>
      <c r="G8509" t="s">
        <v>1987</v>
      </c>
      <c r="H8509">
        <v>5</v>
      </c>
      <c r="I8509">
        <v>105.22</v>
      </c>
      <c r="J8509" s="50">
        <v>526.1</v>
      </c>
      <c r="K8509" t="s">
        <v>1618</v>
      </c>
      <c r="M8509" t="s">
        <v>1621</v>
      </c>
      <c r="N8509">
        <v>55.53</v>
      </c>
      <c r="O8509" s="49">
        <v>45323</v>
      </c>
      <c r="P8509" s="50">
        <v>236.745</v>
      </c>
    </row>
    <row r="8510" spans="4:16" x14ac:dyDescent="0.2">
      <c r="D8510">
        <v>100005089</v>
      </c>
      <c r="E8510" s="49">
        <v>44519</v>
      </c>
      <c r="F8510" t="s">
        <v>6291</v>
      </c>
      <c r="G8510" t="s">
        <v>1808</v>
      </c>
      <c r="H8510">
        <v>7</v>
      </c>
      <c r="I8510">
        <v>68.14</v>
      </c>
      <c r="J8510" s="50">
        <v>476.98</v>
      </c>
      <c r="K8510" t="s">
        <v>1618</v>
      </c>
      <c r="M8510" t="s">
        <v>1624</v>
      </c>
      <c r="N8510">
        <v>35.96</v>
      </c>
      <c r="O8510" s="49">
        <v>44520</v>
      </c>
      <c r="P8510" s="50">
        <v>214.64100000000002</v>
      </c>
    </row>
    <row r="8511" spans="4:16" x14ac:dyDescent="0.2">
      <c r="D8511">
        <v>100005090</v>
      </c>
      <c r="E8511" s="49">
        <v>44486</v>
      </c>
      <c r="F8511" t="s">
        <v>6292</v>
      </c>
      <c r="G8511" t="s">
        <v>1797</v>
      </c>
      <c r="H8511">
        <v>7</v>
      </c>
      <c r="I8511">
        <v>39.19</v>
      </c>
      <c r="J8511" s="50">
        <v>274.33</v>
      </c>
      <c r="K8511" t="s">
        <v>1618</v>
      </c>
      <c r="M8511" t="s">
        <v>1619</v>
      </c>
      <c r="N8511">
        <v>20.68</v>
      </c>
      <c r="O8511" s="49">
        <v>44491</v>
      </c>
      <c r="P8511" s="50">
        <v>123.4485</v>
      </c>
    </row>
    <row r="8512" spans="4:16" x14ac:dyDescent="0.2">
      <c r="D8512">
        <v>100005091</v>
      </c>
      <c r="E8512" s="49">
        <v>45333</v>
      </c>
      <c r="F8512" t="s">
        <v>6293</v>
      </c>
      <c r="G8512" t="s">
        <v>1921</v>
      </c>
      <c r="H8512">
        <v>4</v>
      </c>
      <c r="I8512">
        <v>23.77</v>
      </c>
      <c r="J8512" s="50">
        <v>95.08</v>
      </c>
      <c r="K8512" t="s">
        <v>1618</v>
      </c>
      <c r="M8512" t="s">
        <v>1629</v>
      </c>
      <c r="N8512">
        <v>12.55</v>
      </c>
      <c r="O8512" s="49">
        <v>45337</v>
      </c>
      <c r="P8512" s="50">
        <v>42.786000000000001</v>
      </c>
    </row>
    <row r="8513" spans="4:16" x14ac:dyDescent="0.2">
      <c r="D8513">
        <v>100005091</v>
      </c>
      <c r="E8513" s="49">
        <v>45328</v>
      </c>
      <c r="F8513" t="s">
        <v>6293</v>
      </c>
      <c r="G8513" t="s">
        <v>2204</v>
      </c>
      <c r="H8513">
        <v>8</v>
      </c>
      <c r="I8513">
        <v>21.98</v>
      </c>
      <c r="J8513" s="50">
        <v>175.84</v>
      </c>
      <c r="K8513" t="s">
        <v>1618</v>
      </c>
      <c r="M8513" t="s">
        <v>1627</v>
      </c>
      <c r="N8513">
        <v>11.6</v>
      </c>
      <c r="O8513" s="49">
        <v>45332</v>
      </c>
      <c r="P8513" s="50">
        <v>79.128</v>
      </c>
    </row>
    <row r="8514" spans="4:16" x14ac:dyDescent="0.2">
      <c r="D8514">
        <v>100005091</v>
      </c>
      <c r="E8514" s="49">
        <v>44543</v>
      </c>
      <c r="F8514" t="s">
        <v>6293</v>
      </c>
      <c r="G8514" t="s">
        <v>2553</v>
      </c>
      <c r="H8514">
        <v>5</v>
      </c>
      <c r="I8514">
        <v>26.68</v>
      </c>
      <c r="J8514" s="50">
        <v>133.4</v>
      </c>
      <c r="K8514" t="s">
        <v>1618</v>
      </c>
      <c r="M8514" t="s">
        <v>1619</v>
      </c>
      <c r="N8514">
        <v>14.08</v>
      </c>
      <c r="O8514" s="49">
        <v>44548</v>
      </c>
      <c r="P8514" s="50">
        <v>60.03</v>
      </c>
    </row>
    <row r="8515" spans="4:16" x14ac:dyDescent="0.2">
      <c r="D8515">
        <v>100005092</v>
      </c>
      <c r="E8515" s="49">
        <v>45473</v>
      </c>
      <c r="F8515" t="s">
        <v>2137</v>
      </c>
      <c r="G8515" t="s">
        <v>2093</v>
      </c>
      <c r="H8515">
        <v>6</v>
      </c>
      <c r="I8515">
        <v>114.68</v>
      </c>
      <c r="J8515" s="50">
        <v>688.08</v>
      </c>
      <c r="K8515" t="s">
        <v>1632</v>
      </c>
      <c r="M8515" t="s">
        <v>1624</v>
      </c>
      <c r="N8515">
        <v>60.53</v>
      </c>
      <c r="O8515" s="49">
        <v>45478</v>
      </c>
      <c r="P8515" s="50">
        <v>309.63600000000002</v>
      </c>
    </row>
    <row r="8516" spans="4:16" x14ac:dyDescent="0.2">
      <c r="D8516">
        <v>100005094</v>
      </c>
      <c r="E8516" s="49">
        <v>45507</v>
      </c>
      <c r="F8516" t="s">
        <v>6294</v>
      </c>
      <c r="G8516" t="s">
        <v>2416</v>
      </c>
      <c r="H8516">
        <v>3</v>
      </c>
      <c r="I8516">
        <v>24.59</v>
      </c>
      <c r="J8516" s="50">
        <v>73.77</v>
      </c>
      <c r="K8516" t="s">
        <v>1618</v>
      </c>
      <c r="M8516" t="s">
        <v>1629</v>
      </c>
      <c r="N8516">
        <v>12.98</v>
      </c>
      <c r="O8516" s="49">
        <v>45508</v>
      </c>
      <c r="P8516" s="50">
        <v>33.1965</v>
      </c>
    </row>
    <row r="8517" spans="4:16" x14ac:dyDescent="0.2">
      <c r="D8517">
        <v>100005095</v>
      </c>
      <c r="E8517" s="49">
        <v>45304</v>
      </c>
      <c r="F8517" t="s">
        <v>6295</v>
      </c>
      <c r="G8517" t="s">
        <v>1723</v>
      </c>
      <c r="H8517">
        <v>9</v>
      </c>
      <c r="I8517">
        <v>19.079999999999998</v>
      </c>
      <c r="J8517" s="50">
        <v>171.72</v>
      </c>
      <c r="K8517" t="s">
        <v>1618</v>
      </c>
      <c r="M8517" t="s">
        <v>1624</v>
      </c>
      <c r="N8517">
        <v>10.07</v>
      </c>
      <c r="O8517" s="49">
        <v>45305</v>
      </c>
      <c r="P8517" s="50">
        <v>77.274000000000001</v>
      </c>
    </row>
    <row r="8518" spans="4:16" x14ac:dyDescent="0.2">
      <c r="D8518">
        <v>100005095</v>
      </c>
      <c r="E8518" s="49">
        <v>44835</v>
      </c>
      <c r="F8518" t="s">
        <v>6295</v>
      </c>
      <c r="G8518" t="s">
        <v>1825</v>
      </c>
      <c r="H8518">
        <v>3</v>
      </c>
      <c r="I8518">
        <v>92.79</v>
      </c>
      <c r="J8518" s="50">
        <v>278.37</v>
      </c>
      <c r="K8518" t="s">
        <v>1618</v>
      </c>
      <c r="M8518" t="s">
        <v>1627</v>
      </c>
      <c r="N8518">
        <v>48.97</v>
      </c>
      <c r="O8518" s="49">
        <v>44837</v>
      </c>
      <c r="P8518" s="50">
        <v>125.26650000000001</v>
      </c>
    </row>
    <row r="8519" spans="4:16" x14ac:dyDescent="0.2">
      <c r="D8519">
        <v>100005095</v>
      </c>
      <c r="E8519" s="49">
        <v>45319</v>
      </c>
      <c r="F8519" t="s">
        <v>6295</v>
      </c>
      <c r="G8519" t="s">
        <v>1893</v>
      </c>
      <c r="H8519">
        <v>5</v>
      </c>
      <c r="I8519">
        <v>44.79</v>
      </c>
      <c r="J8519" s="50">
        <v>223.95</v>
      </c>
      <c r="K8519" t="s">
        <v>1618</v>
      </c>
      <c r="M8519" t="s">
        <v>1624</v>
      </c>
      <c r="N8519">
        <v>23.64</v>
      </c>
      <c r="O8519" s="49">
        <v>45323</v>
      </c>
      <c r="P8519" s="50">
        <v>100.7775</v>
      </c>
    </row>
    <row r="8520" spans="4:16" x14ac:dyDescent="0.2">
      <c r="D8520">
        <v>100005095</v>
      </c>
      <c r="E8520" s="49">
        <v>45408</v>
      </c>
      <c r="F8520" t="s">
        <v>6295</v>
      </c>
      <c r="G8520" t="s">
        <v>1967</v>
      </c>
      <c r="H8520">
        <v>2</v>
      </c>
      <c r="I8520">
        <v>57.59</v>
      </c>
      <c r="J8520" s="50">
        <v>115.18</v>
      </c>
      <c r="K8520" t="s">
        <v>1618</v>
      </c>
      <c r="M8520" t="s">
        <v>1621</v>
      </c>
      <c r="N8520">
        <v>30.39</v>
      </c>
      <c r="O8520" s="49">
        <v>45409</v>
      </c>
      <c r="P8520" s="50">
        <v>51.831000000000003</v>
      </c>
    </row>
    <row r="8521" spans="4:16" x14ac:dyDescent="0.2">
      <c r="D8521">
        <v>100005097</v>
      </c>
      <c r="E8521" s="49">
        <v>45260</v>
      </c>
      <c r="F8521" t="s">
        <v>5419</v>
      </c>
      <c r="G8521" t="s">
        <v>1844</v>
      </c>
      <c r="H8521">
        <v>5</v>
      </c>
      <c r="I8521">
        <v>46.52</v>
      </c>
      <c r="J8521" s="50">
        <v>232.6</v>
      </c>
      <c r="K8521" t="s">
        <v>1618</v>
      </c>
      <c r="M8521" t="s">
        <v>1624</v>
      </c>
      <c r="N8521">
        <v>24.55</v>
      </c>
      <c r="O8521" s="49">
        <v>45265</v>
      </c>
      <c r="P8521" s="50">
        <v>104.67</v>
      </c>
    </row>
    <row r="8522" spans="4:16" x14ac:dyDescent="0.2">
      <c r="D8522">
        <v>100005097</v>
      </c>
      <c r="E8522" s="49">
        <v>45058</v>
      </c>
      <c r="F8522" t="s">
        <v>5419</v>
      </c>
      <c r="G8522" t="s">
        <v>1910</v>
      </c>
      <c r="H8522">
        <v>10</v>
      </c>
      <c r="I8522">
        <v>14.22</v>
      </c>
      <c r="J8522" s="50">
        <v>142.19999999999999</v>
      </c>
      <c r="K8522" t="s">
        <v>1618</v>
      </c>
      <c r="M8522" t="s">
        <v>1624</v>
      </c>
      <c r="N8522">
        <v>7.5</v>
      </c>
      <c r="O8522" s="49">
        <v>45062</v>
      </c>
      <c r="P8522" s="50">
        <v>63.989999999999995</v>
      </c>
    </row>
    <row r="8523" spans="4:16" x14ac:dyDescent="0.2">
      <c r="D8523">
        <v>100005098</v>
      </c>
      <c r="E8523" s="49">
        <v>45416</v>
      </c>
      <c r="F8523" t="s">
        <v>6296</v>
      </c>
      <c r="G8523" t="s">
        <v>1704</v>
      </c>
      <c r="H8523">
        <v>7</v>
      </c>
      <c r="I8523">
        <v>16.53</v>
      </c>
      <c r="J8523" s="50">
        <v>115.71</v>
      </c>
      <c r="K8523" t="s">
        <v>1618</v>
      </c>
      <c r="L8523" t="s">
        <v>6297</v>
      </c>
      <c r="M8523" t="s">
        <v>1621</v>
      </c>
      <c r="N8523">
        <v>8.7200000000000006</v>
      </c>
      <c r="O8523" s="49">
        <v>45420</v>
      </c>
      <c r="P8523" s="50">
        <v>52.069499999999998</v>
      </c>
    </row>
    <row r="8524" spans="4:16" x14ac:dyDescent="0.2">
      <c r="D8524">
        <v>100005098</v>
      </c>
      <c r="E8524" s="49">
        <v>44515</v>
      </c>
      <c r="F8524" t="s">
        <v>6296</v>
      </c>
      <c r="G8524" t="s">
        <v>2003</v>
      </c>
      <c r="H8524">
        <v>3</v>
      </c>
      <c r="I8524">
        <v>65.23</v>
      </c>
      <c r="J8524" s="50">
        <v>195.69</v>
      </c>
      <c r="K8524" t="s">
        <v>1618</v>
      </c>
      <c r="L8524" t="s">
        <v>6297</v>
      </c>
      <c r="M8524" t="s">
        <v>1621</v>
      </c>
      <c r="N8524">
        <v>34.43</v>
      </c>
      <c r="O8524" s="49">
        <v>44516</v>
      </c>
      <c r="P8524" s="50">
        <v>88.060500000000005</v>
      </c>
    </row>
    <row r="8525" spans="4:16" x14ac:dyDescent="0.2">
      <c r="D8525">
        <v>100005101</v>
      </c>
      <c r="E8525" s="49">
        <v>44957</v>
      </c>
      <c r="F8525" t="s">
        <v>6298</v>
      </c>
      <c r="G8525" t="s">
        <v>1768</v>
      </c>
      <c r="H8525">
        <v>10</v>
      </c>
      <c r="I8525">
        <v>77.73</v>
      </c>
      <c r="J8525" s="50">
        <v>777.30000000000007</v>
      </c>
      <c r="K8525" t="s">
        <v>1618</v>
      </c>
      <c r="M8525" t="s">
        <v>1629</v>
      </c>
      <c r="N8525">
        <v>41.02</v>
      </c>
      <c r="O8525" s="49">
        <v>44961</v>
      </c>
      <c r="P8525" s="50">
        <v>349.78500000000003</v>
      </c>
    </row>
    <row r="8526" spans="4:16" x14ac:dyDescent="0.2">
      <c r="D8526">
        <v>100005102</v>
      </c>
      <c r="E8526" s="49">
        <v>45119</v>
      </c>
      <c r="F8526" t="s">
        <v>6299</v>
      </c>
      <c r="G8526" t="s">
        <v>2182</v>
      </c>
      <c r="H8526">
        <v>2</v>
      </c>
      <c r="I8526">
        <v>45.52</v>
      </c>
      <c r="J8526" s="50">
        <v>91.04</v>
      </c>
      <c r="K8526" t="s">
        <v>1618</v>
      </c>
      <c r="M8526" t="s">
        <v>1619</v>
      </c>
      <c r="N8526">
        <v>24.02</v>
      </c>
      <c r="O8526" s="49">
        <v>45123</v>
      </c>
      <c r="P8526" s="50">
        <v>40.968000000000004</v>
      </c>
    </row>
    <row r="8527" spans="4:16" x14ac:dyDescent="0.2">
      <c r="D8527">
        <v>100005102</v>
      </c>
      <c r="E8527" s="49">
        <v>45538</v>
      </c>
      <c r="F8527" t="s">
        <v>6299</v>
      </c>
      <c r="G8527" t="s">
        <v>2431</v>
      </c>
      <c r="H8527">
        <v>3</v>
      </c>
      <c r="I8527">
        <v>99.65</v>
      </c>
      <c r="J8527" s="50">
        <v>298.95</v>
      </c>
      <c r="K8527" t="s">
        <v>1618</v>
      </c>
      <c r="M8527" t="s">
        <v>1627</v>
      </c>
      <c r="N8527">
        <v>52.59</v>
      </c>
      <c r="O8527" s="49">
        <v>45541</v>
      </c>
      <c r="P8527" s="50">
        <v>134.5275</v>
      </c>
    </row>
    <row r="8528" spans="4:16" x14ac:dyDescent="0.2">
      <c r="D8528">
        <v>100005104</v>
      </c>
      <c r="E8528" s="49">
        <v>45121</v>
      </c>
      <c r="F8528" t="s">
        <v>6300</v>
      </c>
      <c r="G8528" t="s">
        <v>2658</v>
      </c>
      <c r="H8528">
        <v>10</v>
      </c>
      <c r="I8528">
        <v>36.729999999999997</v>
      </c>
      <c r="J8528" s="50">
        <v>367.3</v>
      </c>
      <c r="K8528" t="s">
        <v>1618</v>
      </c>
      <c r="M8528" t="s">
        <v>1624</v>
      </c>
      <c r="N8528">
        <v>19.39</v>
      </c>
      <c r="O8528" s="49">
        <v>45123</v>
      </c>
      <c r="P8528" s="50">
        <v>165.285</v>
      </c>
    </row>
    <row r="8529" spans="4:16" x14ac:dyDescent="0.2">
      <c r="D8529">
        <v>100005104</v>
      </c>
      <c r="E8529" s="49">
        <v>44852</v>
      </c>
      <c r="F8529" t="s">
        <v>6300</v>
      </c>
      <c r="G8529" t="s">
        <v>3135</v>
      </c>
      <c r="H8529">
        <v>10</v>
      </c>
      <c r="I8529">
        <v>83.42</v>
      </c>
      <c r="J8529" s="50">
        <v>834.2</v>
      </c>
      <c r="K8529" t="s">
        <v>1618</v>
      </c>
      <c r="M8529" t="s">
        <v>1627</v>
      </c>
      <c r="N8529">
        <v>44.03</v>
      </c>
      <c r="O8529" s="49">
        <v>44854</v>
      </c>
      <c r="P8529" s="50">
        <v>375.39000000000004</v>
      </c>
    </row>
    <row r="8530" spans="4:16" x14ac:dyDescent="0.2">
      <c r="D8530">
        <v>100005104</v>
      </c>
      <c r="E8530" s="49">
        <v>44866</v>
      </c>
      <c r="F8530" t="s">
        <v>6300</v>
      </c>
      <c r="G8530" t="s">
        <v>1739</v>
      </c>
      <c r="H8530">
        <v>2</v>
      </c>
      <c r="I8530">
        <v>35.29</v>
      </c>
      <c r="J8530" s="50">
        <v>70.58</v>
      </c>
      <c r="K8530" t="s">
        <v>1618</v>
      </c>
      <c r="M8530" t="s">
        <v>1624</v>
      </c>
      <c r="N8530">
        <v>18.63</v>
      </c>
      <c r="O8530" s="49">
        <v>44871</v>
      </c>
      <c r="P8530" s="50">
        <v>31.760999999999999</v>
      </c>
    </row>
    <row r="8531" spans="4:16" x14ac:dyDescent="0.2">
      <c r="D8531">
        <v>100005105</v>
      </c>
      <c r="E8531" s="49">
        <v>44436</v>
      </c>
      <c r="F8531" t="s">
        <v>6301</v>
      </c>
      <c r="G8531" t="s">
        <v>2261</v>
      </c>
      <c r="H8531">
        <v>2</v>
      </c>
      <c r="I8531">
        <v>97.47</v>
      </c>
      <c r="J8531" s="50">
        <v>194.94</v>
      </c>
      <c r="K8531" t="s">
        <v>1618</v>
      </c>
      <c r="M8531" t="s">
        <v>1627</v>
      </c>
      <c r="N8531">
        <v>51.44</v>
      </c>
      <c r="O8531" s="49">
        <v>44440</v>
      </c>
      <c r="P8531" s="50">
        <v>87.722999999999999</v>
      </c>
    </row>
    <row r="8532" spans="4:16" x14ac:dyDescent="0.2">
      <c r="D8532">
        <v>100005106</v>
      </c>
      <c r="E8532" s="49">
        <v>44499</v>
      </c>
      <c r="F8532" t="s">
        <v>6302</v>
      </c>
      <c r="G8532" t="s">
        <v>1623</v>
      </c>
      <c r="H8532">
        <v>8</v>
      </c>
      <c r="I8532">
        <v>90.53</v>
      </c>
      <c r="J8532" s="50">
        <v>724.24</v>
      </c>
      <c r="K8532" t="s">
        <v>1618</v>
      </c>
      <c r="M8532" t="s">
        <v>1621</v>
      </c>
      <c r="N8532">
        <v>47.78</v>
      </c>
      <c r="O8532" s="49">
        <v>44504</v>
      </c>
      <c r="P8532" s="50">
        <v>325.90800000000002</v>
      </c>
    </row>
    <row r="8533" spans="4:16" x14ac:dyDescent="0.2">
      <c r="D8533">
        <v>100005107</v>
      </c>
      <c r="E8533" s="49">
        <v>45488</v>
      </c>
      <c r="F8533" t="s">
        <v>6303</v>
      </c>
      <c r="G8533" t="s">
        <v>1723</v>
      </c>
      <c r="H8533">
        <v>10</v>
      </c>
      <c r="I8533">
        <v>59.37</v>
      </c>
      <c r="J8533" s="50">
        <v>593.69999999999993</v>
      </c>
      <c r="K8533" t="s">
        <v>1632</v>
      </c>
      <c r="M8533" t="s">
        <v>1619</v>
      </c>
      <c r="N8533">
        <v>31.33</v>
      </c>
      <c r="O8533" s="49">
        <v>45489</v>
      </c>
      <c r="P8533" s="50">
        <v>267.16499999999996</v>
      </c>
    </row>
    <row r="8534" spans="4:16" x14ac:dyDescent="0.2">
      <c r="D8534">
        <v>100005109</v>
      </c>
      <c r="E8534" s="49">
        <v>44705</v>
      </c>
      <c r="F8534" t="s">
        <v>6304</v>
      </c>
      <c r="G8534" t="s">
        <v>1833</v>
      </c>
      <c r="H8534">
        <v>5</v>
      </c>
      <c r="I8534">
        <v>75.86</v>
      </c>
      <c r="J8534" s="50">
        <v>379.3</v>
      </c>
      <c r="K8534" t="s">
        <v>1618</v>
      </c>
      <c r="M8534" t="s">
        <v>1629</v>
      </c>
      <c r="N8534">
        <v>40.04</v>
      </c>
      <c r="O8534" s="49">
        <v>44710</v>
      </c>
      <c r="P8534" s="50">
        <v>170.685</v>
      </c>
    </row>
    <row r="8535" spans="4:16" x14ac:dyDescent="0.2">
      <c r="D8535">
        <v>100005109</v>
      </c>
      <c r="E8535" s="49">
        <v>44219</v>
      </c>
      <c r="F8535" t="s">
        <v>6304</v>
      </c>
      <c r="G8535" t="s">
        <v>1762</v>
      </c>
      <c r="H8535">
        <v>4</v>
      </c>
      <c r="I8535">
        <v>53.88</v>
      </c>
      <c r="J8535" s="50">
        <v>215.52</v>
      </c>
      <c r="K8535" t="s">
        <v>1618</v>
      </c>
      <c r="M8535" t="s">
        <v>1629</v>
      </c>
      <c r="N8535">
        <v>28.44</v>
      </c>
      <c r="O8535" s="49">
        <v>44221</v>
      </c>
      <c r="P8535" s="50">
        <v>96.984000000000009</v>
      </c>
    </row>
    <row r="8536" spans="4:16" x14ac:dyDescent="0.2">
      <c r="D8536">
        <v>100005110</v>
      </c>
      <c r="E8536" s="49">
        <v>45352</v>
      </c>
      <c r="F8536" t="s">
        <v>6305</v>
      </c>
      <c r="G8536" t="s">
        <v>1856</v>
      </c>
      <c r="H8536">
        <v>4</v>
      </c>
      <c r="I8536">
        <v>35.76</v>
      </c>
      <c r="J8536" s="50">
        <v>143.04</v>
      </c>
      <c r="K8536" t="s">
        <v>1618</v>
      </c>
      <c r="L8536" t="s">
        <v>6306</v>
      </c>
      <c r="M8536" t="s">
        <v>1624</v>
      </c>
      <c r="N8536">
        <v>18.87</v>
      </c>
      <c r="O8536" s="49">
        <v>45354</v>
      </c>
      <c r="P8536" s="50">
        <v>64.367999999999995</v>
      </c>
    </row>
    <row r="8537" spans="4:16" x14ac:dyDescent="0.2">
      <c r="D8537">
        <v>100005110</v>
      </c>
      <c r="E8537" s="49">
        <v>45495</v>
      </c>
      <c r="F8537" t="s">
        <v>6305</v>
      </c>
      <c r="G8537" t="s">
        <v>2182</v>
      </c>
      <c r="H8537">
        <v>4</v>
      </c>
      <c r="I8537">
        <v>61.93</v>
      </c>
      <c r="J8537" s="50">
        <v>247.72</v>
      </c>
      <c r="K8537" t="s">
        <v>1618</v>
      </c>
      <c r="L8537" t="s">
        <v>6306</v>
      </c>
      <c r="M8537" t="s">
        <v>1627</v>
      </c>
      <c r="N8537">
        <v>32.69</v>
      </c>
      <c r="O8537" s="49">
        <v>45498</v>
      </c>
      <c r="P8537" s="50">
        <v>111.474</v>
      </c>
    </row>
    <row r="8538" spans="4:16" x14ac:dyDescent="0.2">
      <c r="D8538">
        <v>100005111</v>
      </c>
      <c r="E8538" s="49">
        <v>44223</v>
      </c>
      <c r="F8538" t="s">
        <v>6307</v>
      </c>
      <c r="G8538" t="s">
        <v>1748</v>
      </c>
      <c r="H8538">
        <v>9</v>
      </c>
      <c r="I8538">
        <v>26.91</v>
      </c>
      <c r="J8538" s="50">
        <v>242.19</v>
      </c>
      <c r="K8538" t="s">
        <v>1618</v>
      </c>
      <c r="M8538" t="s">
        <v>1619</v>
      </c>
      <c r="N8538">
        <v>14.2</v>
      </c>
      <c r="O8538" s="49">
        <v>44227</v>
      </c>
      <c r="P8538" s="50">
        <v>108.9855</v>
      </c>
    </row>
    <row r="8539" spans="4:16" x14ac:dyDescent="0.2">
      <c r="D8539">
        <v>100005111</v>
      </c>
      <c r="E8539" s="49">
        <v>44493</v>
      </c>
      <c r="F8539" t="s">
        <v>6307</v>
      </c>
      <c r="G8539" t="s">
        <v>2436</v>
      </c>
      <c r="H8539">
        <v>3</v>
      </c>
      <c r="I8539">
        <v>18.79</v>
      </c>
      <c r="J8539" s="50">
        <v>56.37</v>
      </c>
      <c r="K8539" t="s">
        <v>1618</v>
      </c>
      <c r="M8539" t="s">
        <v>1619</v>
      </c>
      <c r="N8539">
        <v>9.92</v>
      </c>
      <c r="O8539" s="49">
        <v>44498</v>
      </c>
      <c r="P8539" s="50">
        <v>25.366499999999998</v>
      </c>
    </row>
    <row r="8540" spans="4:16" x14ac:dyDescent="0.2">
      <c r="D8540">
        <v>100005112</v>
      </c>
      <c r="E8540" s="49">
        <v>45361</v>
      </c>
      <c r="F8540" t="s">
        <v>6308</v>
      </c>
      <c r="G8540" t="s">
        <v>1880</v>
      </c>
      <c r="H8540">
        <v>7</v>
      </c>
      <c r="I8540">
        <v>35.53</v>
      </c>
      <c r="J8540" s="50">
        <v>248.71</v>
      </c>
      <c r="K8540" t="s">
        <v>1632</v>
      </c>
      <c r="M8540" t="s">
        <v>1627</v>
      </c>
      <c r="N8540">
        <v>18.75</v>
      </c>
      <c r="O8540" s="49">
        <v>45364</v>
      </c>
      <c r="P8540" s="50">
        <v>111.9195</v>
      </c>
    </row>
    <row r="8541" spans="4:16" x14ac:dyDescent="0.2">
      <c r="D8541">
        <v>100005113</v>
      </c>
      <c r="E8541" s="49">
        <v>44374</v>
      </c>
      <c r="F8541" t="s">
        <v>6195</v>
      </c>
      <c r="G8541" t="s">
        <v>1781</v>
      </c>
      <c r="H8541">
        <v>7</v>
      </c>
      <c r="I8541">
        <v>27.57</v>
      </c>
      <c r="J8541" s="50">
        <v>192.99</v>
      </c>
      <c r="K8541" t="s">
        <v>1618</v>
      </c>
      <c r="M8541" t="s">
        <v>1619</v>
      </c>
      <c r="N8541">
        <v>14.55</v>
      </c>
      <c r="O8541" s="49">
        <v>44377</v>
      </c>
      <c r="P8541" s="50">
        <v>86.845500000000001</v>
      </c>
    </row>
    <row r="8542" spans="4:16" x14ac:dyDescent="0.2">
      <c r="D8542">
        <v>100005113</v>
      </c>
      <c r="E8542" s="49">
        <v>45211</v>
      </c>
      <c r="F8542" t="s">
        <v>6195</v>
      </c>
      <c r="G8542" t="s">
        <v>2180</v>
      </c>
      <c r="H8542">
        <v>3</v>
      </c>
      <c r="I8542">
        <v>10.87</v>
      </c>
      <c r="J8542" s="50">
        <v>32.61</v>
      </c>
      <c r="K8542" t="s">
        <v>1618</v>
      </c>
      <c r="M8542" t="s">
        <v>1621</v>
      </c>
      <c r="N8542">
        <v>5.74</v>
      </c>
      <c r="O8542" s="49">
        <v>45213</v>
      </c>
      <c r="P8542" s="50">
        <v>14.6745</v>
      </c>
    </row>
    <row r="8543" spans="4:16" x14ac:dyDescent="0.2">
      <c r="D8543">
        <v>100005114</v>
      </c>
      <c r="E8543" s="49">
        <v>45587</v>
      </c>
      <c r="F8543" t="s">
        <v>6309</v>
      </c>
      <c r="G8543" t="s">
        <v>1877</v>
      </c>
      <c r="H8543">
        <v>5</v>
      </c>
      <c r="I8543">
        <v>30.28</v>
      </c>
      <c r="J8543" s="50">
        <v>151.4</v>
      </c>
      <c r="K8543" t="s">
        <v>1632</v>
      </c>
      <c r="L8543" t="s">
        <v>3118</v>
      </c>
      <c r="M8543" t="s">
        <v>1629</v>
      </c>
      <c r="N8543">
        <v>15.98</v>
      </c>
      <c r="O8543" s="49">
        <v>45591</v>
      </c>
      <c r="P8543" s="50">
        <v>68.13000000000001</v>
      </c>
    </row>
    <row r="8544" spans="4:16" x14ac:dyDescent="0.2">
      <c r="D8544">
        <v>100005115</v>
      </c>
      <c r="E8544" s="49">
        <v>44579</v>
      </c>
      <c r="F8544" t="s">
        <v>5622</v>
      </c>
      <c r="G8544" t="s">
        <v>1833</v>
      </c>
      <c r="H8544">
        <v>4</v>
      </c>
      <c r="I8544">
        <v>16.18</v>
      </c>
      <c r="J8544" s="50">
        <v>64.72</v>
      </c>
      <c r="K8544" t="s">
        <v>1618</v>
      </c>
      <c r="M8544" t="s">
        <v>1619</v>
      </c>
      <c r="N8544">
        <v>8.5399999999999991</v>
      </c>
      <c r="O8544" s="49">
        <v>44583</v>
      </c>
      <c r="P8544" s="50">
        <v>29.123999999999999</v>
      </c>
    </row>
    <row r="8545" spans="4:16" x14ac:dyDescent="0.2">
      <c r="D8545">
        <v>100005115</v>
      </c>
      <c r="E8545" s="49">
        <v>44515</v>
      </c>
      <c r="F8545" t="s">
        <v>5622</v>
      </c>
      <c r="G8545" t="s">
        <v>2698</v>
      </c>
      <c r="H8545">
        <v>10</v>
      </c>
      <c r="I8545">
        <v>65.650000000000006</v>
      </c>
      <c r="J8545" s="50">
        <v>656.5</v>
      </c>
      <c r="K8545" t="s">
        <v>1618</v>
      </c>
      <c r="M8545" t="s">
        <v>1624</v>
      </c>
      <c r="N8545">
        <v>34.65</v>
      </c>
      <c r="O8545" s="49">
        <v>44516</v>
      </c>
      <c r="P8545" s="50">
        <v>295.42500000000001</v>
      </c>
    </row>
    <row r="8546" spans="4:16" x14ac:dyDescent="0.2">
      <c r="D8546">
        <v>100005115</v>
      </c>
      <c r="E8546" s="49">
        <v>44981</v>
      </c>
      <c r="F8546" t="s">
        <v>5622</v>
      </c>
      <c r="G8546" t="s">
        <v>1693</v>
      </c>
      <c r="H8546">
        <v>5</v>
      </c>
      <c r="I8546">
        <v>113.43</v>
      </c>
      <c r="J8546" s="50">
        <v>567.15000000000009</v>
      </c>
      <c r="K8546" t="s">
        <v>1618</v>
      </c>
      <c r="M8546" t="s">
        <v>1629</v>
      </c>
      <c r="N8546">
        <v>59.87</v>
      </c>
      <c r="O8546" s="49">
        <v>44983</v>
      </c>
      <c r="P8546" s="50">
        <v>255.21750000000006</v>
      </c>
    </row>
    <row r="8547" spans="4:16" x14ac:dyDescent="0.2">
      <c r="D8547">
        <v>100005116</v>
      </c>
      <c r="E8547" s="49">
        <v>44384</v>
      </c>
      <c r="F8547" t="s">
        <v>6310</v>
      </c>
      <c r="G8547" t="s">
        <v>2025</v>
      </c>
      <c r="H8547">
        <v>9</v>
      </c>
      <c r="I8547">
        <v>85.98</v>
      </c>
      <c r="J8547" s="50">
        <v>773.82</v>
      </c>
      <c r="K8547" t="s">
        <v>1632</v>
      </c>
      <c r="M8547" t="s">
        <v>1621</v>
      </c>
      <c r="N8547">
        <v>45.38</v>
      </c>
      <c r="O8547" s="49">
        <v>44386</v>
      </c>
      <c r="P8547" s="50">
        <v>348.21900000000005</v>
      </c>
    </row>
    <row r="8548" spans="4:16" x14ac:dyDescent="0.2">
      <c r="D8548">
        <v>100005116</v>
      </c>
      <c r="E8548" s="49">
        <v>44214</v>
      </c>
      <c r="F8548" t="s">
        <v>6310</v>
      </c>
      <c r="G8548" t="s">
        <v>1841</v>
      </c>
      <c r="H8548">
        <v>3</v>
      </c>
      <c r="I8548">
        <v>64.61</v>
      </c>
      <c r="J8548" s="50">
        <v>193.83</v>
      </c>
      <c r="K8548" t="s">
        <v>1632</v>
      </c>
      <c r="M8548" t="s">
        <v>1629</v>
      </c>
      <c r="N8548">
        <v>34.1</v>
      </c>
      <c r="O8548" s="49">
        <v>44217</v>
      </c>
      <c r="P8548" s="50">
        <v>87.223500000000001</v>
      </c>
    </row>
    <row r="8549" spans="4:16" x14ac:dyDescent="0.2">
      <c r="D8549">
        <v>100005117</v>
      </c>
      <c r="E8549" s="49">
        <v>44806</v>
      </c>
      <c r="F8549" t="s">
        <v>6311</v>
      </c>
      <c r="G8549" t="s">
        <v>1794</v>
      </c>
      <c r="H8549">
        <v>9</v>
      </c>
      <c r="I8549">
        <v>12.55</v>
      </c>
      <c r="J8549" s="50">
        <v>112.95</v>
      </c>
      <c r="K8549" t="s">
        <v>1632</v>
      </c>
      <c r="L8549" t="s">
        <v>6312</v>
      </c>
      <c r="M8549" t="s">
        <v>1627</v>
      </c>
      <c r="N8549">
        <v>6.62</v>
      </c>
      <c r="O8549" s="49">
        <v>44807</v>
      </c>
      <c r="P8549" s="50">
        <v>50.827500000000001</v>
      </c>
    </row>
    <row r="8550" spans="4:16" x14ac:dyDescent="0.2">
      <c r="D8550">
        <v>100005117</v>
      </c>
      <c r="E8550" s="49">
        <v>44665</v>
      </c>
      <c r="F8550" t="s">
        <v>6311</v>
      </c>
      <c r="G8550" t="s">
        <v>1948</v>
      </c>
      <c r="H8550">
        <v>4</v>
      </c>
      <c r="I8550">
        <v>33.81</v>
      </c>
      <c r="J8550" s="50">
        <v>135.24</v>
      </c>
      <c r="K8550" t="s">
        <v>1632</v>
      </c>
      <c r="L8550" t="s">
        <v>6312</v>
      </c>
      <c r="M8550" t="s">
        <v>1621</v>
      </c>
      <c r="N8550">
        <v>17.84</v>
      </c>
      <c r="O8550" s="49">
        <v>44666</v>
      </c>
      <c r="P8550" s="50">
        <v>60.858000000000004</v>
      </c>
    </row>
    <row r="8551" spans="4:16" x14ac:dyDescent="0.2">
      <c r="D8551">
        <v>100005117</v>
      </c>
      <c r="E8551" s="49">
        <v>44628</v>
      </c>
      <c r="F8551" t="s">
        <v>6311</v>
      </c>
      <c r="G8551" t="s">
        <v>1729</v>
      </c>
      <c r="H8551">
        <v>1</v>
      </c>
      <c r="I8551">
        <v>99.29</v>
      </c>
      <c r="J8551" s="50">
        <v>99.29</v>
      </c>
      <c r="K8551" t="s">
        <v>1632</v>
      </c>
      <c r="L8551" t="s">
        <v>6312</v>
      </c>
      <c r="M8551" t="s">
        <v>1621</v>
      </c>
      <c r="N8551">
        <v>52.4</v>
      </c>
      <c r="O8551" s="49">
        <v>44630</v>
      </c>
      <c r="P8551" s="50">
        <v>44.680500000000002</v>
      </c>
    </row>
    <row r="8552" spans="4:16" x14ac:dyDescent="0.2">
      <c r="D8552">
        <v>100005117</v>
      </c>
      <c r="E8552" s="49">
        <v>45132</v>
      </c>
      <c r="F8552" t="s">
        <v>6311</v>
      </c>
      <c r="G8552" t="s">
        <v>1661</v>
      </c>
      <c r="H8552">
        <v>10</v>
      </c>
      <c r="I8552">
        <v>12.19</v>
      </c>
      <c r="J8552" s="50">
        <v>121.9</v>
      </c>
      <c r="K8552" t="s">
        <v>1632</v>
      </c>
      <c r="L8552" t="s">
        <v>6312</v>
      </c>
      <c r="M8552" t="s">
        <v>1627</v>
      </c>
      <c r="N8552">
        <v>6.43</v>
      </c>
      <c r="O8552" s="49">
        <v>45136</v>
      </c>
      <c r="P8552" s="50">
        <v>54.855000000000004</v>
      </c>
    </row>
    <row r="8553" spans="4:16" x14ac:dyDescent="0.2">
      <c r="D8553">
        <v>100005117</v>
      </c>
      <c r="E8553" s="49">
        <v>45638</v>
      </c>
      <c r="F8553" t="s">
        <v>6311</v>
      </c>
      <c r="G8553" t="s">
        <v>2202</v>
      </c>
      <c r="H8553">
        <v>9</v>
      </c>
      <c r="I8553">
        <v>75.08</v>
      </c>
      <c r="J8553" s="50">
        <v>675.72</v>
      </c>
      <c r="K8553" t="s">
        <v>1632</v>
      </c>
      <c r="L8553" t="s">
        <v>6312</v>
      </c>
      <c r="M8553" t="s">
        <v>1621</v>
      </c>
      <c r="N8553">
        <v>39.630000000000003</v>
      </c>
      <c r="O8553" s="49">
        <v>45642</v>
      </c>
      <c r="P8553" s="50">
        <v>304.07400000000001</v>
      </c>
    </row>
    <row r="8554" spans="4:16" x14ac:dyDescent="0.2">
      <c r="D8554">
        <v>100005117</v>
      </c>
      <c r="E8554" s="49">
        <v>45007</v>
      </c>
      <c r="F8554" t="s">
        <v>6311</v>
      </c>
      <c r="G8554" t="s">
        <v>1846</v>
      </c>
      <c r="H8554">
        <v>2</v>
      </c>
      <c r="I8554">
        <v>27.5</v>
      </c>
      <c r="J8554" s="50">
        <v>55</v>
      </c>
      <c r="K8554" t="s">
        <v>1632</v>
      </c>
      <c r="L8554" t="s">
        <v>6312</v>
      </c>
      <c r="M8554" t="s">
        <v>1619</v>
      </c>
      <c r="N8554">
        <v>14.51</v>
      </c>
      <c r="O8554" s="49">
        <v>45012</v>
      </c>
      <c r="P8554" s="50">
        <v>24.75</v>
      </c>
    </row>
    <row r="8555" spans="4:16" x14ac:dyDescent="0.2">
      <c r="D8555">
        <v>100005117</v>
      </c>
      <c r="E8555" s="49">
        <v>44226</v>
      </c>
      <c r="F8555" t="s">
        <v>6311</v>
      </c>
      <c r="G8555" t="s">
        <v>2373</v>
      </c>
      <c r="H8555">
        <v>10</v>
      </c>
      <c r="I8555">
        <v>16.190000000000001</v>
      </c>
      <c r="J8555" s="50">
        <v>161.9</v>
      </c>
      <c r="K8555" t="s">
        <v>1632</v>
      </c>
      <c r="L8555" t="s">
        <v>6312</v>
      </c>
      <c r="M8555" t="s">
        <v>1621</v>
      </c>
      <c r="N8555">
        <v>8.5399999999999991</v>
      </c>
      <c r="O8555" s="49">
        <v>44231</v>
      </c>
      <c r="P8555" s="50">
        <v>72.855000000000004</v>
      </c>
    </row>
    <row r="8556" spans="4:16" x14ac:dyDescent="0.2">
      <c r="D8556">
        <v>100005117</v>
      </c>
      <c r="E8556" s="49">
        <v>44875</v>
      </c>
      <c r="F8556" t="s">
        <v>6311</v>
      </c>
      <c r="G8556" t="s">
        <v>2125</v>
      </c>
      <c r="H8556">
        <v>1</v>
      </c>
      <c r="I8556">
        <v>55.12</v>
      </c>
      <c r="J8556" s="50">
        <v>55.12</v>
      </c>
      <c r="K8556" t="s">
        <v>1632</v>
      </c>
      <c r="L8556" t="s">
        <v>6312</v>
      </c>
      <c r="M8556" t="s">
        <v>1624</v>
      </c>
      <c r="N8556">
        <v>29.09</v>
      </c>
      <c r="O8556" s="49">
        <v>44876</v>
      </c>
      <c r="P8556" s="50">
        <v>24.803999999999998</v>
      </c>
    </row>
    <row r="8557" spans="4:16" x14ac:dyDescent="0.2">
      <c r="D8557">
        <v>100005118</v>
      </c>
      <c r="E8557" s="49">
        <v>45349</v>
      </c>
      <c r="F8557" t="s">
        <v>6313</v>
      </c>
      <c r="G8557" t="s">
        <v>2062</v>
      </c>
      <c r="H8557">
        <v>9</v>
      </c>
      <c r="I8557">
        <v>67.94</v>
      </c>
      <c r="J8557" s="50">
        <v>611.46</v>
      </c>
      <c r="K8557" t="s">
        <v>1618</v>
      </c>
      <c r="M8557" t="s">
        <v>1621</v>
      </c>
      <c r="N8557">
        <v>35.86</v>
      </c>
      <c r="O8557" s="49">
        <v>45350</v>
      </c>
      <c r="P8557" s="50">
        <v>275.15700000000004</v>
      </c>
    </row>
    <row r="8558" spans="4:16" x14ac:dyDescent="0.2">
      <c r="D8558">
        <v>100005120</v>
      </c>
      <c r="E8558" s="49">
        <v>45095</v>
      </c>
      <c r="F8558" t="s">
        <v>6314</v>
      </c>
      <c r="G8558" t="s">
        <v>1710</v>
      </c>
      <c r="H8558">
        <v>5</v>
      </c>
      <c r="I8558">
        <v>21.64</v>
      </c>
      <c r="J8558" s="50">
        <v>108.2</v>
      </c>
      <c r="K8558" t="s">
        <v>1618</v>
      </c>
      <c r="M8558" t="s">
        <v>1621</v>
      </c>
      <c r="N8558">
        <v>11.42</v>
      </c>
      <c r="O8558" s="49">
        <v>45100</v>
      </c>
      <c r="P8558" s="50">
        <v>48.690000000000005</v>
      </c>
    </row>
    <row r="8559" spans="4:16" x14ac:dyDescent="0.2">
      <c r="D8559">
        <v>100005120</v>
      </c>
      <c r="E8559" s="49">
        <v>44571</v>
      </c>
      <c r="F8559" t="s">
        <v>6314</v>
      </c>
      <c r="G8559" t="s">
        <v>2291</v>
      </c>
      <c r="H8559">
        <v>4</v>
      </c>
      <c r="I8559">
        <v>63.23</v>
      </c>
      <c r="J8559" s="50">
        <v>252.92</v>
      </c>
      <c r="K8559" t="s">
        <v>1618</v>
      </c>
      <c r="M8559" t="s">
        <v>1619</v>
      </c>
      <c r="N8559">
        <v>33.369999999999997</v>
      </c>
      <c r="O8559" s="49">
        <v>44575</v>
      </c>
      <c r="P8559" s="50">
        <v>113.81399999999999</v>
      </c>
    </row>
    <row r="8560" spans="4:16" x14ac:dyDescent="0.2">
      <c r="D8560">
        <v>100005121</v>
      </c>
      <c r="E8560" s="49">
        <v>44832</v>
      </c>
      <c r="F8560" t="s">
        <v>6315</v>
      </c>
      <c r="G8560" t="s">
        <v>2076</v>
      </c>
      <c r="H8560">
        <v>6</v>
      </c>
      <c r="I8560">
        <v>56.19</v>
      </c>
      <c r="J8560" s="50">
        <v>337.14</v>
      </c>
      <c r="K8560" t="s">
        <v>1632</v>
      </c>
      <c r="M8560" t="s">
        <v>1629</v>
      </c>
      <c r="N8560">
        <v>29.66</v>
      </c>
      <c r="O8560" s="49">
        <v>44837</v>
      </c>
      <c r="P8560" s="50">
        <v>151.71299999999999</v>
      </c>
    </row>
    <row r="8561" spans="4:16" x14ac:dyDescent="0.2">
      <c r="D8561">
        <v>100005121</v>
      </c>
      <c r="E8561" s="49">
        <v>45593</v>
      </c>
      <c r="F8561" t="s">
        <v>6315</v>
      </c>
      <c r="G8561" t="s">
        <v>2232</v>
      </c>
      <c r="H8561">
        <v>2</v>
      </c>
      <c r="I8561">
        <v>11.36</v>
      </c>
      <c r="J8561" s="50">
        <v>22.72</v>
      </c>
      <c r="K8561" t="s">
        <v>1632</v>
      </c>
      <c r="M8561" t="s">
        <v>1624</v>
      </c>
      <c r="N8561">
        <v>6</v>
      </c>
      <c r="O8561" s="49">
        <v>45596</v>
      </c>
      <c r="P8561" s="50">
        <v>10.224</v>
      </c>
    </row>
    <row r="8562" spans="4:16" x14ac:dyDescent="0.2">
      <c r="D8562">
        <v>100005122</v>
      </c>
      <c r="E8562" s="49">
        <v>44563</v>
      </c>
      <c r="F8562" t="s">
        <v>6316</v>
      </c>
      <c r="G8562" t="s">
        <v>1719</v>
      </c>
      <c r="H8562">
        <v>3</v>
      </c>
      <c r="I8562">
        <v>116.13</v>
      </c>
      <c r="J8562" s="50">
        <v>348.39</v>
      </c>
      <c r="K8562" t="s">
        <v>1618</v>
      </c>
      <c r="L8562" t="s">
        <v>2924</v>
      </c>
      <c r="M8562" t="s">
        <v>1624</v>
      </c>
      <c r="N8562">
        <v>61.29</v>
      </c>
      <c r="O8562" s="49">
        <v>44568</v>
      </c>
      <c r="P8562" s="50">
        <v>156.77549999999999</v>
      </c>
    </row>
    <row r="8563" spans="4:16" x14ac:dyDescent="0.2">
      <c r="D8563">
        <v>100005122</v>
      </c>
      <c r="E8563" s="49">
        <v>45587</v>
      </c>
      <c r="F8563" t="s">
        <v>6316</v>
      </c>
      <c r="G8563" t="s">
        <v>1928</v>
      </c>
      <c r="H8563">
        <v>3</v>
      </c>
      <c r="I8563">
        <v>106</v>
      </c>
      <c r="J8563" s="50">
        <v>318</v>
      </c>
      <c r="K8563" t="s">
        <v>1618</v>
      </c>
      <c r="L8563" t="s">
        <v>2924</v>
      </c>
      <c r="M8563" t="s">
        <v>1621</v>
      </c>
      <c r="N8563">
        <v>55.94</v>
      </c>
      <c r="O8563" s="49">
        <v>45591</v>
      </c>
      <c r="P8563" s="50">
        <v>143.1</v>
      </c>
    </row>
    <row r="8564" spans="4:16" x14ac:dyDescent="0.2">
      <c r="D8564">
        <v>100005124</v>
      </c>
      <c r="E8564" s="49">
        <v>45653</v>
      </c>
      <c r="F8564" t="s">
        <v>6317</v>
      </c>
      <c r="G8564" t="s">
        <v>1701</v>
      </c>
      <c r="H8564">
        <v>2</v>
      </c>
      <c r="I8564">
        <v>18.64</v>
      </c>
      <c r="J8564" s="50">
        <v>37.28</v>
      </c>
      <c r="K8564" t="s">
        <v>1618</v>
      </c>
      <c r="L8564" t="s">
        <v>4977</v>
      </c>
      <c r="M8564" t="s">
        <v>1627</v>
      </c>
      <c r="N8564">
        <v>9.84</v>
      </c>
      <c r="O8564" s="49">
        <v>45657</v>
      </c>
      <c r="P8564" s="50">
        <v>16.776</v>
      </c>
    </row>
    <row r="8565" spans="4:16" x14ac:dyDescent="0.2">
      <c r="D8565">
        <v>100005124</v>
      </c>
      <c r="E8565" s="49">
        <v>45300</v>
      </c>
      <c r="F8565" t="s">
        <v>6317</v>
      </c>
      <c r="G8565" t="s">
        <v>1802</v>
      </c>
      <c r="H8565">
        <v>5</v>
      </c>
      <c r="I8565">
        <v>78.61</v>
      </c>
      <c r="J8565" s="50">
        <v>393.05</v>
      </c>
      <c r="K8565" t="s">
        <v>1618</v>
      </c>
      <c r="L8565" t="s">
        <v>4977</v>
      </c>
      <c r="M8565" t="s">
        <v>1624</v>
      </c>
      <c r="N8565">
        <v>41.49</v>
      </c>
      <c r="O8565" s="49">
        <v>45301</v>
      </c>
      <c r="P8565" s="50">
        <v>176.8725</v>
      </c>
    </row>
    <row r="8566" spans="4:16" x14ac:dyDescent="0.2">
      <c r="D8566">
        <v>100005124</v>
      </c>
      <c r="E8566" s="49">
        <v>44943</v>
      </c>
      <c r="F8566" t="s">
        <v>6317</v>
      </c>
      <c r="G8566" t="s">
        <v>1674</v>
      </c>
      <c r="H8566">
        <v>7</v>
      </c>
      <c r="I8566">
        <v>38.96</v>
      </c>
      <c r="J8566" s="50">
        <v>272.72000000000003</v>
      </c>
      <c r="K8566" t="s">
        <v>1618</v>
      </c>
      <c r="L8566" t="s">
        <v>4977</v>
      </c>
      <c r="M8566" t="s">
        <v>1629</v>
      </c>
      <c r="N8566">
        <v>20.56</v>
      </c>
      <c r="O8566" s="49">
        <v>44944</v>
      </c>
      <c r="P8566" s="50">
        <v>122.72400000000002</v>
      </c>
    </row>
    <row r="8567" spans="4:16" x14ac:dyDescent="0.2">
      <c r="D8567">
        <v>100005124</v>
      </c>
      <c r="E8567" s="49">
        <v>45208</v>
      </c>
      <c r="F8567" t="s">
        <v>6317</v>
      </c>
      <c r="G8567" t="s">
        <v>1666</v>
      </c>
      <c r="H8567">
        <v>5</v>
      </c>
      <c r="I8567">
        <v>116.8</v>
      </c>
      <c r="J8567" s="50">
        <v>584</v>
      </c>
      <c r="K8567" t="s">
        <v>1618</v>
      </c>
      <c r="L8567" t="s">
        <v>4977</v>
      </c>
      <c r="M8567" t="s">
        <v>1621</v>
      </c>
      <c r="N8567">
        <v>61.64</v>
      </c>
      <c r="O8567" s="49">
        <v>45209</v>
      </c>
      <c r="P8567" s="50">
        <v>262.8</v>
      </c>
    </row>
    <row r="8568" spans="4:16" x14ac:dyDescent="0.2">
      <c r="D8568">
        <v>100005124</v>
      </c>
      <c r="E8568" s="49">
        <v>45104</v>
      </c>
      <c r="F8568" t="s">
        <v>6317</v>
      </c>
      <c r="G8568" t="s">
        <v>1874</v>
      </c>
      <c r="H8568">
        <v>1</v>
      </c>
      <c r="I8568">
        <v>97.48</v>
      </c>
      <c r="J8568" s="50">
        <v>97.48</v>
      </c>
      <c r="K8568" t="s">
        <v>1618</v>
      </c>
      <c r="L8568" t="s">
        <v>4977</v>
      </c>
      <c r="M8568" t="s">
        <v>1627</v>
      </c>
      <c r="N8568">
        <v>51.45</v>
      </c>
      <c r="O8568" s="49">
        <v>45106</v>
      </c>
      <c r="P8568" s="50">
        <v>43.866</v>
      </c>
    </row>
    <row r="8569" spans="4:16" x14ac:dyDescent="0.2">
      <c r="D8569">
        <v>100005125</v>
      </c>
      <c r="E8569" s="49">
        <v>44716</v>
      </c>
      <c r="F8569" t="s">
        <v>6318</v>
      </c>
      <c r="G8569" t="s">
        <v>2378</v>
      </c>
      <c r="H8569">
        <v>1</v>
      </c>
      <c r="I8569">
        <v>95.76</v>
      </c>
      <c r="J8569" s="50">
        <v>95.76</v>
      </c>
      <c r="K8569" t="s">
        <v>1632</v>
      </c>
      <c r="M8569" t="s">
        <v>1619</v>
      </c>
      <c r="N8569">
        <v>50.54</v>
      </c>
      <c r="O8569" s="49">
        <v>44720</v>
      </c>
      <c r="P8569" s="50">
        <v>43.092000000000006</v>
      </c>
    </row>
    <row r="8570" spans="4:16" x14ac:dyDescent="0.2">
      <c r="D8570">
        <v>100005125</v>
      </c>
      <c r="E8570" s="49">
        <v>45212</v>
      </c>
      <c r="F8570" t="s">
        <v>6318</v>
      </c>
      <c r="G8570" t="s">
        <v>2393</v>
      </c>
      <c r="H8570">
        <v>5</v>
      </c>
      <c r="I8570">
        <v>108.49</v>
      </c>
      <c r="J8570" s="50">
        <v>542.44999999999993</v>
      </c>
      <c r="K8570" t="s">
        <v>1632</v>
      </c>
      <c r="M8570" t="s">
        <v>1624</v>
      </c>
      <c r="N8570">
        <v>57.26</v>
      </c>
      <c r="O8570" s="49">
        <v>45217</v>
      </c>
      <c r="P8570" s="50">
        <v>244.10249999999996</v>
      </c>
    </row>
    <row r="8571" spans="4:16" x14ac:dyDescent="0.2">
      <c r="D8571">
        <v>100005126</v>
      </c>
      <c r="E8571" s="49">
        <v>45411</v>
      </c>
      <c r="F8571" t="s">
        <v>6319</v>
      </c>
      <c r="G8571" t="s">
        <v>1932</v>
      </c>
      <c r="H8571">
        <v>9</v>
      </c>
      <c r="I8571">
        <v>86.84</v>
      </c>
      <c r="J8571" s="50">
        <v>781.56000000000006</v>
      </c>
      <c r="K8571" t="s">
        <v>1618</v>
      </c>
      <c r="M8571" t="s">
        <v>1621</v>
      </c>
      <c r="N8571">
        <v>45.83</v>
      </c>
      <c r="O8571" s="49">
        <v>45413</v>
      </c>
      <c r="P8571" s="50">
        <v>351.70200000000006</v>
      </c>
    </row>
    <row r="8572" spans="4:16" x14ac:dyDescent="0.2">
      <c r="D8572">
        <v>100005127</v>
      </c>
      <c r="E8572" s="49">
        <v>45343</v>
      </c>
      <c r="F8572" t="s">
        <v>6320</v>
      </c>
      <c r="G8572" t="s">
        <v>2328</v>
      </c>
      <c r="H8572">
        <v>10</v>
      </c>
      <c r="I8572">
        <v>87.32</v>
      </c>
      <c r="J8572" s="50">
        <v>873.19999999999993</v>
      </c>
      <c r="K8572" t="s">
        <v>1618</v>
      </c>
      <c r="M8572" t="s">
        <v>1621</v>
      </c>
      <c r="N8572">
        <v>46.09</v>
      </c>
      <c r="O8572" s="49">
        <v>45347</v>
      </c>
      <c r="P8572" s="50">
        <v>392.94</v>
      </c>
    </row>
    <row r="8573" spans="4:16" x14ac:dyDescent="0.2">
      <c r="D8573">
        <v>100005127</v>
      </c>
      <c r="E8573" s="49">
        <v>44297</v>
      </c>
      <c r="F8573" t="s">
        <v>6320</v>
      </c>
      <c r="G8573" t="s">
        <v>1740</v>
      </c>
      <c r="H8573">
        <v>6</v>
      </c>
      <c r="I8573">
        <v>43.09</v>
      </c>
      <c r="J8573" s="50">
        <v>258.54000000000002</v>
      </c>
      <c r="K8573" t="s">
        <v>1618</v>
      </c>
      <c r="M8573" t="s">
        <v>1619</v>
      </c>
      <c r="N8573">
        <v>22.74</v>
      </c>
      <c r="O8573" s="49">
        <v>44301</v>
      </c>
      <c r="P8573" s="50">
        <v>116.34300000000002</v>
      </c>
    </row>
    <row r="8574" spans="4:16" x14ac:dyDescent="0.2">
      <c r="D8574">
        <v>100005127</v>
      </c>
      <c r="E8574" s="49">
        <v>44287</v>
      </c>
      <c r="F8574" t="s">
        <v>6320</v>
      </c>
      <c r="G8574" t="s">
        <v>2390</v>
      </c>
      <c r="H8574">
        <v>10</v>
      </c>
      <c r="I8574">
        <v>20.93</v>
      </c>
      <c r="J8574" s="50">
        <v>209.3</v>
      </c>
      <c r="K8574" t="s">
        <v>1618</v>
      </c>
      <c r="M8574" t="s">
        <v>1619</v>
      </c>
      <c r="N8574">
        <v>11.05</v>
      </c>
      <c r="O8574" s="49">
        <v>44291</v>
      </c>
      <c r="P8574" s="50">
        <v>94.185000000000002</v>
      </c>
    </row>
    <row r="8575" spans="4:16" x14ac:dyDescent="0.2">
      <c r="D8575">
        <v>100005128</v>
      </c>
      <c r="E8575" s="49">
        <v>45611</v>
      </c>
      <c r="F8575" t="s">
        <v>6321</v>
      </c>
      <c r="G8575" t="s">
        <v>1904</v>
      </c>
      <c r="H8575">
        <v>7</v>
      </c>
      <c r="I8575">
        <v>45.6</v>
      </c>
      <c r="J8575" s="50">
        <v>319.2</v>
      </c>
      <c r="K8575" t="s">
        <v>1618</v>
      </c>
      <c r="M8575" t="s">
        <v>1619</v>
      </c>
      <c r="N8575">
        <v>24.07</v>
      </c>
      <c r="O8575" s="49">
        <v>45613</v>
      </c>
      <c r="P8575" s="50">
        <v>143.63999999999999</v>
      </c>
    </row>
    <row r="8576" spans="4:16" x14ac:dyDescent="0.2">
      <c r="D8576">
        <v>100005129</v>
      </c>
      <c r="E8576" s="49">
        <v>45432</v>
      </c>
      <c r="F8576" t="s">
        <v>6322</v>
      </c>
      <c r="G8576" t="s">
        <v>2230</v>
      </c>
      <c r="H8576">
        <v>1</v>
      </c>
      <c r="I8576">
        <v>30.84</v>
      </c>
      <c r="J8576" s="50">
        <v>30.84</v>
      </c>
      <c r="K8576" t="s">
        <v>1618</v>
      </c>
      <c r="M8576" t="s">
        <v>1621</v>
      </c>
      <c r="N8576">
        <v>16.28</v>
      </c>
      <c r="O8576" s="49">
        <v>45433</v>
      </c>
      <c r="P8576" s="50">
        <v>13.878</v>
      </c>
    </row>
    <row r="8577" spans="4:16" x14ac:dyDescent="0.2">
      <c r="D8577">
        <v>100005129</v>
      </c>
      <c r="E8577" s="49">
        <v>44865</v>
      </c>
      <c r="F8577" t="s">
        <v>6322</v>
      </c>
      <c r="G8577" t="s">
        <v>2261</v>
      </c>
      <c r="H8577">
        <v>5</v>
      </c>
      <c r="I8577">
        <v>92.77</v>
      </c>
      <c r="J8577" s="50">
        <v>463.85</v>
      </c>
      <c r="K8577" t="s">
        <v>1618</v>
      </c>
      <c r="M8577" t="s">
        <v>1629</v>
      </c>
      <c r="N8577">
        <v>48.96</v>
      </c>
      <c r="O8577" s="49">
        <v>44868</v>
      </c>
      <c r="P8577" s="50">
        <v>208.73250000000002</v>
      </c>
    </row>
    <row r="8578" spans="4:16" x14ac:dyDescent="0.2">
      <c r="D8578">
        <v>100005130</v>
      </c>
      <c r="E8578" s="49">
        <v>44862</v>
      </c>
      <c r="F8578" t="s">
        <v>6323</v>
      </c>
      <c r="G8578" t="s">
        <v>2305</v>
      </c>
      <c r="H8578">
        <v>8</v>
      </c>
      <c r="I8578">
        <v>60.71</v>
      </c>
      <c r="J8578" s="50">
        <v>485.68</v>
      </c>
      <c r="K8578" t="s">
        <v>1618</v>
      </c>
      <c r="L8578" t="s">
        <v>5097</v>
      </c>
      <c r="M8578" t="s">
        <v>1621</v>
      </c>
      <c r="N8578">
        <v>32.04</v>
      </c>
      <c r="O8578" s="49">
        <v>44864</v>
      </c>
      <c r="P8578" s="50">
        <v>218.55600000000001</v>
      </c>
    </row>
    <row r="8579" spans="4:16" x14ac:dyDescent="0.2">
      <c r="D8579">
        <v>100005131</v>
      </c>
      <c r="E8579" s="49">
        <v>44725</v>
      </c>
      <c r="F8579" t="s">
        <v>6324</v>
      </c>
      <c r="G8579" t="s">
        <v>1677</v>
      </c>
      <c r="H8579">
        <v>7</v>
      </c>
      <c r="I8579">
        <v>71.23</v>
      </c>
      <c r="J8579" s="50">
        <v>498.61</v>
      </c>
      <c r="K8579" t="s">
        <v>1618</v>
      </c>
      <c r="L8579" t="s">
        <v>3544</v>
      </c>
      <c r="M8579" t="s">
        <v>1624</v>
      </c>
      <c r="N8579">
        <v>37.590000000000003</v>
      </c>
      <c r="O8579" s="49">
        <v>44727</v>
      </c>
      <c r="P8579" s="50">
        <v>224.37450000000001</v>
      </c>
    </row>
    <row r="8580" spans="4:16" x14ac:dyDescent="0.2">
      <c r="D8580">
        <v>100005131</v>
      </c>
      <c r="E8580" s="49">
        <v>45429</v>
      </c>
      <c r="F8580" t="s">
        <v>6324</v>
      </c>
      <c r="G8580" t="s">
        <v>1679</v>
      </c>
      <c r="H8580">
        <v>6</v>
      </c>
      <c r="I8580">
        <v>115.99</v>
      </c>
      <c r="J8580" s="50">
        <v>695.93999999999994</v>
      </c>
      <c r="K8580" t="s">
        <v>1618</v>
      </c>
      <c r="L8580" t="s">
        <v>3544</v>
      </c>
      <c r="M8580" t="s">
        <v>1627</v>
      </c>
      <c r="N8580">
        <v>61.22</v>
      </c>
      <c r="O8580" s="49">
        <v>45431</v>
      </c>
      <c r="P8580" s="50">
        <v>313.173</v>
      </c>
    </row>
    <row r="8581" spans="4:16" x14ac:dyDescent="0.2">
      <c r="D8581">
        <v>100005131</v>
      </c>
      <c r="E8581" s="49">
        <v>44273</v>
      </c>
      <c r="F8581" t="s">
        <v>6324</v>
      </c>
      <c r="G8581" t="s">
        <v>1838</v>
      </c>
      <c r="H8581">
        <v>1</v>
      </c>
      <c r="I8581">
        <v>35</v>
      </c>
      <c r="J8581" s="50">
        <v>35</v>
      </c>
      <c r="K8581" t="s">
        <v>1618</v>
      </c>
      <c r="L8581" t="s">
        <v>3544</v>
      </c>
      <c r="M8581" t="s">
        <v>1629</v>
      </c>
      <c r="N8581">
        <v>18.47</v>
      </c>
      <c r="O8581" s="49">
        <v>44275</v>
      </c>
      <c r="P8581" s="50">
        <v>15.75</v>
      </c>
    </row>
    <row r="8582" spans="4:16" x14ac:dyDescent="0.2">
      <c r="D8582">
        <v>100005131</v>
      </c>
      <c r="E8582" s="49">
        <v>44676</v>
      </c>
      <c r="F8582" t="s">
        <v>6324</v>
      </c>
      <c r="G8582" t="s">
        <v>1825</v>
      </c>
      <c r="H8582">
        <v>5</v>
      </c>
      <c r="I8582">
        <v>53.01</v>
      </c>
      <c r="J8582" s="50">
        <v>265.05</v>
      </c>
      <c r="K8582" t="s">
        <v>1618</v>
      </c>
      <c r="L8582" t="s">
        <v>3544</v>
      </c>
      <c r="M8582" t="s">
        <v>1629</v>
      </c>
      <c r="N8582">
        <v>27.98</v>
      </c>
      <c r="O8582" s="49">
        <v>44681</v>
      </c>
      <c r="P8582" s="50">
        <v>119.27250000000001</v>
      </c>
    </row>
    <row r="8583" spans="4:16" x14ac:dyDescent="0.2">
      <c r="D8583">
        <v>100005132</v>
      </c>
      <c r="E8583" s="49">
        <v>44736</v>
      </c>
      <c r="F8583" t="s">
        <v>6325</v>
      </c>
      <c r="G8583" t="s">
        <v>1775</v>
      </c>
      <c r="H8583">
        <v>8</v>
      </c>
      <c r="I8583">
        <v>68.28</v>
      </c>
      <c r="J8583" s="50">
        <v>546.24</v>
      </c>
      <c r="K8583" t="s">
        <v>1632</v>
      </c>
      <c r="L8583" t="s">
        <v>6326</v>
      </c>
      <c r="M8583" t="s">
        <v>1629</v>
      </c>
      <c r="N8583">
        <v>36.04</v>
      </c>
      <c r="O8583" s="49">
        <v>44738</v>
      </c>
      <c r="P8583" s="50">
        <v>245.80800000000002</v>
      </c>
    </row>
    <row r="8584" spans="4:16" x14ac:dyDescent="0.2">
      <c r="D8584">
        <v>100005132</v>
      </c>
      <c r="E8584" s="49">
        <v>45069</v>
      </c>
      <c r="F8584" t="s">
        <v>6325</v>
      </c>
      <c r="G8584" t="s">
        <v>1723</v>
      </c>
      <c r="H8584">
        <v>4</v>
      </c>
      <c r="I8584">
        <v>22.93</v>
      </c>
      <c r="J8584" s="50">
        <v>91.72</v>
      </c>
      <c r="K8584" t="s">
        <v>1632</v>
      </c>
      <c r="L8584" t="s">
        <v>6326</v>
      </c>
      <c r="M8584" t="s">
        <v>1629</v>
      </c>
      <c r="N8584">
        <v>12.1</v>
      </c>
      <c r="O8584" s="49">
        <v>45074</v>
      </c>
      <c r="P8584" s="50">
        <v>41.274000000000001</v>
      </c>
    </row>
    <row r="8585" spans="4:16" x14ac:dyDescent="0.2">
      <c r="D8585">
        <v>100005132</v>
      </c>
      <c r="E8585" s="49">
        <v>45216</v>
      </c>
      <c r="F8585" t="s">
        <v>6325</v>
      </c>
      <c r="G8585" t="s">
        <v>1690</v>
      </c>
      <c r="H8585">
        <v>1</v>
      </c>
      <c r="I8585">
        <v>96.33</v>
      </c>
      <c r="J8585" s="50">
        <v>96.33</v>
      </c>
      <c r="K8585" t="s">
        <v>1632</v>
      </c>
      <c r="L8585" t="s">
        <v>6326</v>
      </c>
      <c r="M8585" t="s">
        <v>1629</v>
      </c>
      <c r="N8585">
        <v>50.84</v>
      </c>
      <c r="O8585" s="49">
        <v>45220</v>
      </c>
      <c r="P8585" s="50">
        <v>43.348500000000001</v>
      </c>
    </row>
    <row r="8586" spans="4:16" x14ac:dyDescent="0.2">
      <c r="D8586">
        <v>100005135</v>
      </c>
      <c r="E8586" s="49">
        <v>44634</v>
      </c>
      <c r="F8586" t="s">
        <v>6327</v>
      </c>
      <c r="G8586" t="s">
        <v>2005</v>
      </c>
      <c r="H8586">
        <v>10</v>
      </c>
      <c r="I8586">
        <v>77.569999999999993</v>
      </c>
      <c r="J8586" s="50">
        <v>775.69999999999993</v>
      </c>
      <c r="K8586" t="s">
        <v>1632</v>
      </c>
      <c r="M8586" t="s">
        <v>1624</v>
      </c>
      <c r="N8586">
        <v>40.94</v>
      </c>
      <c r="O8586" s="49">
        <v>44635</v>
      </c>
      <c r="P8586" s="50">
        <v>349.065</v>
      </c>
    </row>
    <row r="8587" spans="4:16" x14ac:dyDescent="0.2">
      <c r="D8587">
        <v>100005135</v>
      </c>
      <c r="E8587" s="49">
        <v>44606</v>
      </c>
      <c r="F8587" t="s">
        <v>6327</v>
      </c>
      <c r="G8587" t="s">
        <v>2603</v>
      </c>
      <c r="H8587">
        <v>2</v>
      </c>
      <c r="I8587">
        <v>115.83</v>
      </c>
      <c r="J8587" s="50">
        <v>231.66</v>
      </c>
      <c r="K8587" t="s">
        <v>1632</v>
      </c>
      <c r="M8587" t="s">
        <v>1624</v>
      </c>
      <c r="N8587">
        <v>61.13</v>
      </c>
      <c r="O8587" s="49">
        <v>44608</v>
      </c>
      <c r="P8587" s="50">
        <v>104.247</v>
      </c>
    </row>
    <row r="8588" spans="4:16" x14ac:dyDescent="0.2">
      <c r="D8588">
        <v>100005138</v>
      </c>
      <c r="E8588" s="49">
        <v>45169</v>
      </c>
      <c r="F8588" t="s">
        <v>6328</v>
      </c>
      <c r="G8588" t="s">
        <v>1719</v>
      </c>
      <c r="H8588">
        <v>8</v>
      </c>
      <c r="I8588">
        <v>15.44</v>
      </c>
      <c r="J8588" s="50">
        <v>123.52</v>
      </c>
      <c r="K8588" t="s">
        <v>1618</v>
      </c>
      <c r="L8588" t="s">
        <v>6329</v>
      </c>
      <c r="M8588" t="s">
        <v>1627</v>
      </c>
      <c r="N8588">
        <v>8.15</v>
      </c>
      <c r="O8588" s="49">
        <v>45174</v>
      </c>
      <c r="P8588" s="50">
        <v>55.583999999999996</v>
      </c>
    </row>
    <row r="8589" spans="4:16" x14ac:dyDescent="0.2">
      <c r="D8589">
        <v>100005138</v>
      </c>
      <c r="E8589" s="49">
        <v>45226</v>
      </c>
      <c r="F8589" t="s">
        <v>6328</v>
      </c>
      <c r="G8589" t="s">
        <v>2098</v>
      </c>
      <c r="H8589">
        <v>2</v>
      </c>
      <c r="I8589">
        <v>64.27</v>
      </c>
      <c r="J8589" s="50">
        <v>128.54</v>
      </c>
      <c r="K8589" t="s">
        <v>1618</v>
      </c>
      <c r="L8589" t="s">
        <v>6329</v>
      </c>
      <c r="M8589" t="s">
        <v>1624</v>
      </c>
      <c r="N8589">
        <v>33.92</v>
      </c>
      <c r="O8589" s="49">
        <v>45230</v>
      </c>
      <c r="P8589" s="50">
        <v>57.842999999999996</v>
      </c>
    </row>
    <row r="8590" spans="4:16" x14ac:dyDescent="0.2">
      <c r="D8590">
        <v>100005138</v>
      </c>
      <c r="E8590" s="49">
        <v>44491</v>
      </c>
      <c r="F8590" t="s">
        <v>6328</v>
      </c>
      <c r="G8590" t="s">
        <v>2163</v>
      </c>
      <c r="H8590">
        <v>5</v>
      </c>
      <c r="I8590">
        <v>104.6</v>
      </c>
      <c r="J8590" s="50">
        <v>523</v>
      </c>
      <c r="K8590" t="s">
        <v>1618</v>
      </c>
      <c r="L8590" t="s">
        <v>6329</v>
      </c>
      <c r="M8590" t="s">
        <v>1627</v>
      </c>
      <c r="N8590">
        <v>55.21</v>
      </c>
      <c r="O8590" s="49">
        <v>44494</v>
      </c>
      <c r="P8590" s="50">
        <v>235.35</v>
      </c>
    </row>
    <row r="8591" spans="4:16" x14ac:dyDescent="0.2">
      <c r="D8591">
        <v>100005139</v>
      </c>
      <c r="E8591" s="49">
        <v>45613</v>
      </c>
      <c r="F8591" t="s">
        <v>1832</v>
      </c>
      <c r="G8591" t="s">
        <v>1932</v>
      </c>
      <c r="H8591">
        <v>3</v>
      </c>
      <c r="I8591">
        <v>99.48</v>
      </c>
      <c r="J8591" s="50">
        <v>298.44</v>
      </c>
      <c r="K8591" t="s">
        <v>1632</v>
      </c>
      <c r="M8591" t="s">
        <v>1619</v>
      </c>
      <c r="N8591">
        <v>52.5</v>
      </c>
      <c r="O8591" s="49">
        <v>45616</v>
      </c>
      <c r="P8591" s="50">
        <v>134.298</v>
      </c>
    </row>
    <row r="8592" spans="4:16" x14ac:dyDescent="0.2">
      <c r="D8592">
        <v>100005140</v>
      </c>
      <c r="E8592" s="49">
        <v>45629</v>
      </c>
      <c r="F8592" t="s">
        <v>6330</v>
      </c>
      <c r="G8592" t="s">
        <v>1844</v>
      </c>
      <c r="H8592">
        <v>2</v>
      </c>
      <c r="I8592">
        <v>25.6</v>
      </c>
      <c r="J8592" s="50">
        <v>51.2</v>
      </c>
      <c r="K8592" t="s">
        <v>1632</v>
      </c>
      <c r="M8592" t="s">
        <v>1619</v>
      </c>
      <c r="N8592">
        <v>13.51</v>
      </c>
      <c r="O8592" s="49">
        <v>45631</v>
      </c>
      <c r="P8592" s="50">
        <v>23.040000000000003</v>
      </c>
    </row>
    <row r="8593" spans="4:16" x14ac:dyDescent="0.2">
      <c r="D8593">
        <v>100005141</v>
      </c>
      <c r="E8593" s="49">
        <v>45046</v>
      </c>
      <c r="F8593" t="s">
        <v>6331</v>
      </c>
      <c r="G8593" t="s">
        <v>1628</v>
      </c>
      <c r="H8593">
        <v>8</v>
      </c>
      <c r="I8593">
        <v>65.42</v>
      </c>
      <c r="J8593" s="50">
        <v>523.36</v>
      </c>
      <c r="K8593" t="s">
        <v>1618</v>
      </c>
      <c r="M8593" t="s">
        <v>1629</v>
      </c>
      <c r="N8593">
        <v>34.53</v>
      </c>
      <c r="O8593" s="49">
        <v>45051</v>
      </c>
      <c r="P8593" s="50">
        <v>235.512</v>
      </c>
    </row>
    <row r="8594" spans="4:16" x14ac:dyDescent="0.2">
      <c r="D8594">
        <v>100005142</v>
      </c>
      <c r="E8594" s="49">
        <v>45492</v>
      </c>
      <c r="F8594" t="s">
        <v>6332</v>
      </c>
      <c r="G8594" t="s">
        <v>1880</v>
      </c>
      <c r="H8594">
        <v>8</v>
      </c>
      <c r="I8594">
        <v>29.82</v>
      </c>
      <c r="J8594" s="50">
        <v>238.56</v>
      </c>
      <c r="K8594" t="s">
        <v>1618</v>
      </c>
      <c r="M8594" t="s">
        <v>1621</v>
      </c>
      <c r="N8594">
        <v>15.74</v>
      </c>
      <c r="O8594" s="49">
        <v>45496</v>
      </c>
      <c r="P8594" s="50">
        <v>107.352</v>
      </c>
    </row>
    <row r="8595" spans="4:16" x14ac:dyDescent="0.2">
      <c r="D8595">
        <v>100005143</v>
      </c>
      <c r="E8595" s="49">
        <v>45442</v>
      </c>
      <c r="F8595" t="s">
        <v>6333</v>
      </c>
      <c r="G8595" t="s">
        <v>1672</v>
      </c>
      <c r="H8595">
        <v>6</v>
      </c>
      <c r="I8595">
        <v>14.97</v>
      </c>
      <c r="J8595" s="50">
        <v>89.820000000000007</v>
      </c>
      <c r="K8595" t="s">
        <v>1618</v>
      </c>
      <c r="M8595" t="s">
        <v>1624</v>
      </c>
      <c r="N8595">
        <v>7.9</v>
      </c>
      <c r="O8595" s="49">
        <v>45445</v>
      </c>
      <c r="P8595" s="50">
        <v>40.419000000000004</v>
      </c>
    </row>
    <row r="8596" spans="4:16" x14ac:dyDescent="0.2">
      <c r="D8596">
        <v>100005143</v>
      </c>
      <c r="E8596" s="49">
        <v>45122</v>
      </c>
      <c r="F8596" t="s">
        <v>6333</v>
      </c>
      <c r="G8596" t="s">
        <v>1828</v>
      </c>
      <c r="H8596">
        <v>5</v>
      </c>
      <c r="I8596">
        <v>14.49</v>
      </c>
      <c r="J8596" s="50">
        <v>72.45</v>
      </c>
      <c r="K8596" t="s">
        <v>1618</v>
      </c>
      <c r="M8596" t="s">
        <v>1619</v>
      </c>
      <c r="N8596">
        <v>7.65</v>
      </c>
      <c r="O8596" s="49">
        <v>45124</v>
      </c>
      <c r="P8596" s="50">
        <v>32.602499999999999</v>
      </c>
    </row>
    <row r="8597" spans="4:16" x14ac:dyDescent="0.2">
      <c r="D8597">
        <v>100005143</v>
      </c>
      <c r="E8597" s="49">
        <v>44313</v>
      </c>
      <c r="F8597" t="s">
        <v>6333</v>
      </c>
      <c r="G8597" t="s">
        <v>2007</v>
      </c>
      <c r="H8597">
        <v>6</v>
      </c>
      <c r="I8597">
        <v>73.73</v>
      </c>
      <c r="J8597" s="50">
        <v>442.38</v>
      </c>
      <c r="K8597" t="s">
        <v>1618</v>
      </c>
      <c r="M8597" t="s">
        <v>1621</v>
      </c>
      <c r="N8597">
        <v>38.909999999999997</v>
      </c>
      <c r="O8597" s="49">
        <v>44318</v>
      </c>
      <c r="P8597" s="50">
        <v>199.071</v>
      </c>
    </row>
    <row r="8598" spans="4:16" x14ac:dyDescent="0.2">
      <c r="D8598">
        <v>100005143</v>
      </c>
      <c r="E8598" s="49">
        <v>44676</v>
      </c>
      <c r="F8598" t="s">
        <v>6333</v>
      </c>
      <c r="G8598" t="s">
        <v>1848</v>
      </c>
      <c r="H8598">
        <v>2</v>
      </c>
      <c r="I8598">
        <v>45.28</v>
      </c>
      <c r="J8598" s="50">
        <v>90.56</v>
      </c>
      <c r="K8598" t="s">
        <v>1618</v>
      </c>
      <c r="M8598" t="s">
        <v>1619</v>
      </c>
      <c r="N8598">
        <v>23.9</v>
      </c>
      <c r="O8598" s="49">
        <v>44681</v>
      </c>
      <c r="P8598" s="50">
        <v>40.752000000000002</v>
      </c>
    </row>
    <row r="8599" spans="4:16" x14ac:dyDescent="0.2">
      <c r="D8599">
        <v>100005143</v>
      </c>
      <c r="E8599" s="49">
        <v>44462</v>
      </c>
      <c r="F8599" t="s">
        <v>6333</v>
      </c>
      <c r="G8599" t="s">
        <v>1737</v>
      </c>
      <c r="H8599">
        <v>7</v>
      </c>
      <c r="I8599">
        <v>75.25</v>
      </c>
      <c r="J8599" s="50">
        <v>526.75</v>
      </c>
      <c r="K8599" t="s">
        <v>1618</v>
      </c>
      <c r="M8599" t="s">
        <v>1621</v>
      </c>
      <c r="N8599">
        <v>39.71</v>
      </c>
      <c r="O8599" s="49">
        <v>44466</v>
      </c>
      <c r="P8599" s="50">
        <v>237.03749999999999</v>
      </c>
    </row>
    <row r="8600" spans="4:16" x14ac:dyDescent="0.2">
      <c r="D8600">
        <v>100005143</v>
      </c>
      <c r="E8600" s="49">
        <v>45273</v>
      </c>
      <c r="F8600" t="s">
        <v>6333</v>
      </c>
      <c r="G8600" t="s">
        <v>1910</v>
      </c>
      <c r="H8600">
        <v>4</v>
      </c>
      <c r="I8600">
        <v>90.15</v>
      </c>
      <c r="J8600" s="50">
        <v>360.6</v>
      </c>
      <c r="K8600" t="s">
        <v>1618</v>
      </c>
      <c r="M8600" t="s">
        <v>1629</v>
      </c>
      <c r="N8600">
        <v>47.58</v>
      </c>
      <c r="O8600" s="49">
        <v>45276</v>
      </c>
      <c r="P8600" s="50">
        <v>162.27000000000001</v>
      </c>
    </row>
    <row r="8601" spans="4:16" x14ac:dyDescent="0.2">
      <c r="D8601">
        <v>100005144</v>
      </c>
      <c r="E8601" s="49">
        <v>44257</v>
      </c>
      <c r="F8601" t="s">
        <v>6334</v>
      </c>
      <c r="G8601" t="s">
        <v>2019</v>
      </c>
      <c r="H8601">
        <v>7</v>
      </c>
      <c r="I8601">
        <v>116.13</v>
      </c>
      <c r="J8601" s="50">
        <v>812.91</v>
      </c>
      <c r="K8601" t="s">
        <v>1618</v>
      </c>
      <c r="M8601" t="s">
        <v>1619</v>
      </c>
      <c r="N8601">
        <v>61.29</v>
      </c>
      <c r="O8601" s="49">
        <v>44259</v>
      </c>
      <c r="P8601" s="50">
        <v>365.80950000000001</v>
      </c>
    </row>
    <row r="8602" spans="4:16" x14ac:dyDescent="0.2">
      <c r="D8602">
        <v>100005144</v>
      </c>
      <c r="E8602" s="49">
        <v>44591</v>
      </c>
      <c r="F8602" t="s">
        <v>6334</v>
      </c>
      <c r="G8602" t="s">
        <v>2344</v>
      </c>
      <c r="H8602">
        <v>7</v>
      </c>
      <c r="I8602">
        <v>80.67</v>
      </c>
      <c r="J8602" s="50">
        <v>564.69000000000005</v>
      </c>
      <c r="K8602" t="s">
        <v>1618</v>
      </c>
      <c r="M8602" t="s">
        <v>1619</v>
      </c>
      <c r="N8602">
        <v>42.58</v>
      </c>
      <c r="O8602" s="49">
        <v>44594</v>
      </c>
      <c r="P8602" s="50">
        <v>254.11050000000003</v>
      </c>
    </row>
    <row r="8603" spans="4:16" x14ac:dyDescent="0.2">
      <c r="D8603">
        <v>100005144</v>
      </c>
      <c r="E8603" s="49">
        <v>45279</v>
      </c>
      <c r="F8603" t="s">
        <v>6334</v>
      </c>
      <c r="G8603" t="s">
        <v>1956</v>
      </c>
      <c r="H8603">
        <v>8</v>
      </c>
      <c r="I8603">
        <v>72.64</v>
      </c>
      <c r="J8603" s="50">
        <v>581.12</v>
      </c>
      <c r="K8603" t="s">
        <v>1618</v>
      </c>
      <c r="M8603" t="s">
        <v>1624</v>
      </c>
      <c r="N8603">
        <v>38.340000000000003</v>
      </c>
      <c r="O8603" s="49">
        <v>45283</v>
      </c>
      <c r="P8603" s="50">
        <v>261.50400000000002</v>
      </c>
    </row>
    <row r="8604" spans="4:16" x14ac:dyDescent="0.2">
      <c r="D8604">
        <v>100005144</v>
      </c>
      <c r="E8604" s="49">
        <v>44532</v>
      </c>
      <c r="F8604" t="s">
        <v>6334</v>
      </c>
      <c r="G8604" t="s">
        <v>1987</v>
      </c>
      <c r="H8604">
        <v>10</v>
      </c>
      <c r="I8604">
        <v>71.16</v>
      </c>
      <c r="J8604" s="50">
        <v>711.59999999999991</v>
      </c>
      <c r="K8604" t="s">
        <v>1618</v>
      </c>
      <c r="M8604" t="s">
        <v>1629</v>
      </c>
      <c r="N8604">
        <v>37.56</v>
      </c>
      <c r="O8604" s="49">
        <v>44534</v>
      </c>
      <c r="P8604" s="50">
        <v>320.21999999999997</v>
      </c>
    </row>
    <row r="8605" spans="4:16" x14ac:dyDescent="0.2">
      <c r="D8605">
        <v>100005145</v>
      </c>
      <c r="E8605" s="49">
        <v>45525</v>
      </c>
      <c r="F8605" t="s">
        <v>6335</v>
      </c>
      <c r="G8605" t="s">
        <v>1717</v>
      </c>
      <c r="H8605">
        <v>6</v>
      </c>
      <c r="I8605">
        <v>72.319999999999993</v>
      </c>
      <c r="J8605" s="50">
        <v>433.92</v>
      </c>
      <c r="K8605" t="s">
        <v>1632</v>
      </c>
      <c r="M8605" t="s">
        <v>1619</v>
      </c>
      <c r="N8605">
        <v>38.17</v>
      </c>
      <c r="O8605" s="49">
        <v>45526</v>
      </c>
      <c r="P8605" s="50">
        <v>195.26400000000001</v>
      </c>
    </row>
    <row r="8606" spans="4:16" x14ac:dyDescent="0.2">
      <c r="D8606">
        <v>100005145</v>
      </c>
      <c r="E8606" s="49">
        <v>45418</v>
      </c>
      <c r="F8606" t="s">
        <v>6335</v>
      </c>
      <c r="G8606" t="s">
        <v>1874</v>
      </c>
      <c r="H8606">
        <v>8</v>
      </c>
      <c r="I8606">
        <v>35.81</v>
      </c>
      <c r="J8606" s="50">
        <v>286.48</v>
      </c>
      <c r="K8606" t="s">
        <v>1632</v>
      </c>
      <c r="M8606" t="s">
        <v>1627</v>
      </c>
      <c r="N8606">
        <v>18.899999999999999</v>
      </c>
      <c r="O8606" s="49">
        <v>45419</v>
      </c>
      <c r="P8606" s="50">
        <v>128.91600000000003</v>
      </c>
    </row>
    <row r="8607" spans="4:16" x14ac:dyDescent="0.2">
      <c r="D8607">
        <v>100005145</v>
      </c>
      <c r="E8607" s="49">
        <v>45272</v>
      </c>
      <c r="F8607" t="s">
        <v>6335</v>
      </c>
      <c r="G8607" t="s">
        <v>1902</v>
      </c>
      <c r="H8607">
        <v>2</v>
      </c>
      <c r="I8607">
        <v>78.930000000000007</v>
      </c>
      <c r="J8607" s="50">
        <v>157.86000000000001</v>
      </c>
      <c r="K8607" t="s">
        <v>1632</v>
      </c>
      <c r="M8607" t="s">
        <v>1619</v>
      </c>
      <c r="N8607">
        <v>41.66</v>
      </c>
      <c r="O8607" s="49">
        <v>45273</v>
      </c>
      <c r="P8607" s="50">
        <v>71.037000000000006</v>
      </c>
    </row>
    <row r="8608" spans="4:16" x14ac:dyDescent="0.2">
      <c r="D8608">
        <v>100005147</v>
      </c>
      <c r="E8608" s="49">
        <v>44519</v>
      </c>
      <c r="F8608" t="s">
        <v>6336</v>
      </c>
      <c r="G8608" t="s">
        <v>2192</v>
      </c>
      <c r="H8608">
        <v>2</v>
      </c>
      <c r="I8608">
        <v>74.239999999999995</v>
      </c>
      <c r="J8608" s="50">
        <v>148.47999999999999</v>
      </c>
      <c r="K8608" t="s">
        <v>1618</v>
      </c>
      <c r="M8608" t="s">
        <v>1629</v>
      </c>
      <c r="N8608">
        <v>39.18</v>
      </c>
      <c r="O8608" s="49">
        <v>44522</v>
      </c>
      <c r="P8608" s="50">
        <v>66.816000000000003</v>
      </c>
    </row>
    <row r="8609" spans="4:16" x14ac:dyDescent="0.2">
      <c r="D8609">
        <v>100005148</v>
      </c>
      <c r="E8609" s="49">
        <v>45346</v>
      </c>
      <c r="F8609" t="s">
        <v>6337</v>
      </c>
      <c r="G8609" t="s">
        <v>1705</v>
      </c>
      <c r="H8609">
        <v>3</v>
      </c>
      <c r="I8609">
        <v>102.55</v>
      </c>
      <c r="J8609" s="50">
        <v>307.64999999999998</v>
      </c>
      <c r="K8609" t="s">
        <v>1632</v>
      </c>
      <c r="M8609" t="s">
        <v>1627</v>
      </c>
      <c r="N8609">
        <v>54.12</v>
      </c>
      <c r="O8609" s="49">
        <v>45349</v>
      </c>
      <c r="P8609" s="50">
        <v>138.4425</v>
      </c>
    </row>
    <row r="8610" spans="4:16" x14ac:dyDescent="0.2">
      <c r="D8610">
        <v>100005148</v>
      </c>
      <c r="E8610" s="49">
        <v>45149</v>
      </c>
      <c r="F8610" t="s">
        <v>6337</v>
      </c>
      <c r="G8610" t="s">
        <v>2180</v>
      </c>
      <c r="H8610">
        <v>4</v>
      </c>
      <c r="I8610">
        <v>96.03</v>
      </c>
      <c r="J8610" s="50">
        <v>384.12</v>
      </c>
      <c r="K8610" t="s">
        <v>1632</v>
      </c>
      <c r="M8610" t="s">
        <v>1629</v>
      </c>
      <c r="N8610">
        <v>50.68</v>
      </c>
      <c r="O8610" s="49">
        <v>45151</v>
      </c>
      <c r="P8610" s="50">
        <v>172.85400000000001</v>
      </c>
    </row>
    <row r="8611" spans="4:16" x14ac:dyDescent="0.2">
      <c r="D8611">
        <v>100005148</v>
      </c>
      <c r="E8611" s="49">
        <v>44973</v>
      </c>
      <c r="F8611" t="s">
        <v>6337</v>
      </c>
      <c r="G8611" t="s">
        <v>1801</v>
      </c>
      <c r="H8611">
        <v>8</v>
      </c>
      <c r="I8611">
        <v>37.380000000000003</v>
      </c>
      <c r="J8611" s="50">
        <v>299.04000000000002</v>
      </c>
      <c r="K8611" t="s">
        <v>1632</v>
      </c>
      <c r="M8611" t="s">
        <v>1629</v>
      </c>
      <c r="N8611">
        <v>19.73</v>
      </c>
      <c r="O8611" s="49">
        <v>44974</v>
      </c>
      <c r="P8611" s="50">
        <v>134.56800000000001</v>
      </c>
    </row>
    <row r="8612" spans="4:16" x14ac:dyDescent="0.2">
      <c r="D8612">
        <v>100005149</v>
      </c>
      <c r="E8612" s="49">
        <v>45072</v>
      </c>
      <c r="F8612" t="s">
        <v>6338</v>
      </c>
      <c r="G8612" t="s">
        <v>1864</v>
      </c>
      <c r="H8612">
        <v>4</v>
      </c>
      <c r="I8612">
        <v>61.27</v>
      </c>
      <c r="J8612" s="50">
        <v>245.08</v>
      </c>
      <c r="K8612" t="s">
        <v>1618</v>
      </c>
      <c r="M8612" t="s">
        <v>1624</v>
      </c>
      <c r="N8612">
        <v>32.340000000000003</v>
      </c>
      <c r="O8612" s="49">
        <v>45077</v>
      </c>
      <c r="P8612" s="50">
        <v>110.286</v>
      </c>
    </row>
    <row r="8613" spans="4:16" x14ac:dyDescent="0.2">
      <c r="D8613">
        <v>100005150</v>
      </c>
      <c r="E8613" s="49">
        <v>45434</v>
      </c>
      <c r="F8613" t="s">
        <v>6339</v>
      </c>
      <c r="G8613" t="s">
        <v>2230</v>
      </c>
      <c r="H8613">
        <v>3</v>
      </c>
      <c r="I8613">
        <v>98.27</v>
      </c>
      <c r="J8613" s="50">
        <v>294.81</v>
      </c>
      <c r="K8613" t="s">
        <v>1632</v>
      </c>
      <c r="L8613" t="s">
        <v>2926</v>
      </c>
      <c r="M8613" t="s">
        <v>1627</v>
      </c>
      <c r="N8613">
        <v>51.86</v>
      </c>
      <c r="O8613" s="49">
        <v>45436</v>
      </c>
      <c r="P8613" s="50">
        <v>132.6645</v>
      </c>
    </row>
    <row r="8614" spans="4:16" x14ac:dyDescent="0.2">
      <c r="D8614">
        <v>100005151</v>
      </c>
      <c r="E8614" s="49">
        <v>44654</v>
      </c>
      <c r="F8614" t="s">
        <v>6340</v>
      </c>
      <c r="G8614" t="s">
        <v>2242</v>
      </c>
      <c r="H8614">
        <v>4</v>
      </c>
      <c r="I8614">
        <v>62.89</v>
      </c>
      <c r="J8614" s="50">
        <v>251.56</v>
      </c>
      <c r="K8614" t="s">
        <v>1618</v>
      </c>
      <c r="M8614" t="s">
        <v>1619</v>
      </c>
      <c r="N8614">
        <v>33.19</v>
      </c>
      <c r="O8614" s="49">
        <v>44658</v>
      </c>
      <c r="P8614" s="50">
        <v>113.202</v>
      </c>
    </row>
    <row r="8615" spans="4:16" x14ac:dyDescent="0.2">
      <c r="D8615">
        <v>100005152</v>
      </c>
      <c r="E8615" s="49">
        <v>44318</v>
      </c>
      <c r="F8615" t="s">
        <v>6341</v>
      </c>
      <c r="G8615" t="s">
        <v>2096</v>
      </c>
      <c r="H8615">
        <v>8</v>
      </c>
      <c r="I8615">
        <v>41.5</v>
      </c>
      <c r="J8615" s="50">
        <v>332</v>
      </c>
      <c r="K8615" t="s">
        <v>1618</v>
      </c>
      <c r="M8615" t="s">
        <v>1621</v>
      </c>
      <c r="N8615">
        <v>21.9</v>
      </c>
      <c r="O8615" s="49">
        <v>44323</v>
      </c>
      <c r="P8615" s="50">
        <v>149.4</v>
      </c>
    </row>
    <row r="8616" spans="4:16" x14ac:dyDescent="0.2">
      <c r="D8616">
        <v>100005152</v>
      </c>
      <c r="E8616" s="49">
        <v>45406</v>
      </c>
      <c r="F8616" t="s">
        <v>6341</v>
      </c>
      <c r="G8616" t="s">
        <v>2485</v>
      </c>
      <c r="H8616">
        <v>8</v>
      </c>
      <c r="I8616">
        <v>91.83</v>
      </c>
      <c r="J8616" s="50">
        <v>734.64</v>
      </c>
      <c r="K8616" t="s">
        <v>1618</v>
      </c>
      <c r="M8616" t="s">
        <v>1629</v>
      </c>
      <c r="N8616">
        <v>48.47</v>
      </c>
      <c r="O8616" s="49">
        <v>45408</v>
      </c>
      <c r="P8616" s="50">
        <v>330.58800000000002</v>
      </c>
    </row>
    <row r="8617" spans="4:16" x14ac:dyDescent="0.2">
      <c r="D8617">
        <v>100005152</v>
      </c>
      <c r="E8617" s="49">
        <v>44891</v>
      </c>
      <c r="F8617" t="s">
        <v>6341</v>
      </c>
      <c r="G8617" t="s">
        <v>1921</v>
      </c>
      <c r="H8617">
        <v>5</v>
      </c>
      <c r="I8617">
        <v>111.98</v>
      </c>
      <c r="J8617" s="50">
        <v>559.9</v>
      </c>
      <c r="K8617" t="s">
        <v>1618</v>
      </c>
      <c r="M8617" t="s">
        <v>1629</v>
      </c>
      <c r="N8617">
        <v>59.1</v>
      </c>
      <c r="O8617" s="49">
        <v>44896</v>
      </c>
      <c r="P8617" s="50">
        <v>251.95499999999998</v>
      </c>
    </row>
    <row r="8618" spans="4:16" x14ac:dyDescent="0.2">
      <c r="D8618">
        <v>100005152</v>
      </c>
      <c r="E8618" s="49">
        <v>45643</v>
      </c>
      <c r="F8618" t="s">
        <v>6341</v>
      </c>
      <c r="G8618" t="s">
        <v>1626</v>
      </c>
      <c r="H8618">
        <v>4</v>
      </c>
      <c r="I8618">
        <v>55.54</v>
      </c>
      <c r="J8618" s="50">
        <v>222.16</v>
      </c>
      <c r="K8618" t="s">
        <v>1618</v>
      </c>
      <c r="M8618" t="s">
        <v>1629</v>
      </c>
      <c r="N8618">
        <v>29.31</v>
      </c>
      <c r="O8618" s="49">
        <v>45647</v>
      </c>
      <c r="P8618" s="50">
        <v>99.971999999999994</v>
      </c>
    </row>
    <row r="8619" spans="4:16" x14ac:dyDescent="0.2">
      <c r="D8619">
        <v>100005152</v>
      </c>
      <c r="E8619" s="49">
        <v>44877</v>
      </c>
      <c r="F8619" t="s">
        <v>6341</v>
      </c>
      <c r="G8619" t="s">
        <v>2158</v>
      </c>
      <c r="H8619">
        <v>3</v>
      </c>
      <c r="I8619">
        <v>108.21</v>
      </c>
      <c r="J8619" s="50">
        <v>324.63</v>
      </c>
      <c r="K8619" t="s">
        <v>1618</v>
      </c>
      <c r="M8619" t="s">
        <v>1619</v>
      </c>
      <c r="N8619">
        <v>57.11</v>
      </c>
      <c r="O8619" s="49">
        <v>44881</v>
      </c>
      <c r="P8619" s="50">
        <v>146.08350000000002</v>
      </c>
    </row>
    <row r="8620" spans="4:16" x14ac:dyDescent="0.2">
      <c r="D8620">
        <v>100005152</v>
      </c>
      <c r="E8620" s="49">
        <v>44326</v>
      </c>
      <c r="F8620" t="s">
        <v>6341</v>
      </c>
      <c r="G8620" t="s">
        <v>1846</v>
      </c>
      <c r="H8620">
        <v>2</v>
      </c>
      <c r="I8620">
        <v>103.49</v>
      </c>
      <c r="J8620" s="50">
        <v>206.98</v>
      </c>
      <c r="K8620" t="s">
        <v>1618</v>
      </c>
      <c r="M8620" t="s">
        <v>1627</v>
      </c>
      <c r="N8620">
        <v>54.62</v>
      </c>
      <c r="O8620" s="49">
        <v>44331</v>
      </c>
      <c r="P8620" s="50">
        <v>93.140999999999991</v>
      </c>
    </row>
    <row r="8621" spans="4:16" x14ac:dyDescent="0.2">
      <c r="D8621">
        <v>100005152</v>
      </c>
      <c r="E8621" s="49">
        <v>44276</v>
      </c>
      <c r="F8621" t="s">
        <v>6341</v>
      </c>
      <c r="G8621" t="s">
        <v>2121</v>
      </c>
      <c r="H8621">
        <v>7</v>
      </c>
      <c r="I8621">
        <v>112.27</v>
      </c>
      <c r="J8621" s="50">
        <v>785.89</v>
      </c>
      <c r="K8621" t="s">
        <v>1618</v>
      </c>
      <c r="M8621" t="s">
        <v>1627</v>
      </c>
      <c r="N8621">
        <v>59.25</v>
      </c>
      <c r="O8621" s="49">
        <v>44278</v>
      </c>
      <c r="P8621" s="50">
        <v>353.65050000000002</v>
      </c>
    </row>
    <row r="8622" spans="4:16" x14ac:dyDescent="0.2">
      <c r="D8622">
        <v>100005152</v>
      </c>
      <c r="E8622" s="49">
        <v>45522</v>
      </c>
      <c r="F8622" t="s">
        <v>6341</v>
      </c>
      <c r="G8622" t="s">
        <v>1807</v>
      </c>
      <c r="H8622">
        <v>8</v>
      </c>
      <c r="I8622">
        <v>24.42</v>
      </c>
      <c r="J8622" s="50">
        <v>195.36</v>
      </c>
      <c r="K8622" t="s">
        <v>1618</v>
      </c>
      <c r="M8622" t="s">
        <v>1629</v>
      </c>
      <c r="N8622">
        <v>12.89</v>
      </c>
      <c r="O8622" s="49">
        <v>45523</v>
      </c>
      <c r="P8622" s="50">
        <v>87.912000000000006</v>
      </c>
    </row>
    <row r="8623" spans="4:16" x14ac:dyDescent="0.2">
      <c r="D8623">
        <v>100005153</v>
      </c>
      <c r="E8623" s="49">
        <v>44207</v>
      </c>
      <c r="F8623" t="s">
        <v>6342</v>
      </c>
      <c r="G8623" t="s">
        <v>1712</v>
      </c>
      <c r="H8623">
        <v>10</v>
      </c>
      <c r="I8623">
        <v>65.23</v>
      </c>
      <c r="J8623" s="50">
        <v>652.30000000000007</v>
      </c>
      <c r="K8623" t="s">
        <v>1632</v>
      </c>
      <c r="L8623" t="s">
        <v>1871</v>
      </c>
      <c r="M8623" t="s">
        <v>1624</v>
      </c>
      <c r="N8623">
        <v>34.43</v>
      </c>
      <c r="O8623" s="49">
        <v>44208</v>
      </c>
      <c r="P8623" s="50">
        <v>293.53500000000003</v>
      </c>
    </row>
    <row r="8624" spans="4:16" x14ac:dyDescent="0.2">
      <c r="D8624">
        <v>100005154</v>
      </c>
      <c r="E8624" s="49">
        <v>45011</v>
      </c>
      <c r="F8624" t="s">
        <v>6343</v>
      </c>
      <c r="G8624" t="s">
        <v>2158</v>
      </c>
      <c r="H8624">
        <v>7</v>
      </c>
      <c r="I8624">
        <v>66.97</v>
      </c>
      <c r="J8624" s="50">
        <v>468.79</v>
      </c>
      <c r="K8624" t="s">
        <v>1632</v>
      </c>
      <c r="M8624" t="s">
        <v>1627</v>
      </c>
      <c r="N8624">
        <v>35.35</v>
      </c>
      <c r="O8624" s="49">
        <v>45014</v>
      </c>
      <c r="P8624" s="50">
        <v>210.9555</v>
      </c>
    </row>
    <row r="8625" spans="4:16" x14ac:dyDescent="0.2">
      <c r="D8625">
        <v>100005154</v>
      </c>
      <c r="E8625" s="49">
        <v>45440</v>
      </c>
      <c r="F8625" t="s">
        <v>6343</v>
      </c>
      <c r="G8625" t="s">
        <v>1865</v>
      </c>
      <c r="H8625">
        <v>9</v>
      </c>
      <c r="I8625">
        <v>70.510000000000005</v>
      </c>
      <c r="J8625" s="50">
        <v>634.59</v>
      </c>
      <c r="K8625" t="s">
        <v>1632</v>
      </c>
      <c r="M8625" t="s">
        <v>1624</v>
      </c>
      <c r="N8625">
        <v>37.21</v>
      </c>
      <c r="O8625" s="49">
        <v>45443</v>
      </c>
      <c r="P8625" s="50">
        <v>285.56550000000004</v>
      </c>
    </row>
    <row r="8626" spans="4:16" x14ac:dyDescent="0.2">
      <c r="D8626">
        <v>100005155</v>
      </c>
      <c r="E8626" s="49">
        <v>45574</v>
      </c>
      <c r="F8626" t="s">
        <v>6344</v>
      </c>
      <c r="G8626" t="s">
        <v>2174</v>
      </c>
      <c r="H8626">
        <v>6</v>
      </c>
      <c r="I8626">
        <v>51.69</v>
      </c>
      <c r="J8626" s="50">
        <v>310.14</v>
      </c>
      <c r="K8626" t="s">
        <v>1618</v>
      </c>
      <c r="M8626" t="s">
        <v>1621</v>
      </c>
      <c r="N8626">
        <v>27.28</v>
      </c>
      <c r="O8626" s="49">
        <v>45575</v>
      </c>
      <c r="P8626" s="50">
        <v>139.56299999999999</v>
      </c>
    </row>
    <row r="8627" spans="4:16" x14ac:dyDescent="0.2">
      <c r="D8627">
        <v>100005155</v>
      </c>
      <c r="E8627" s="49">
        <v>44954</v>
      </c>
      <c r="F8627" t="s">
        <v>6344</v>
      </c>
      <c r="G8627" t="s">
        <v>1649</v>
      </c>
      <c r="H8627">
        <v>7</v>
      </c>
      <c r="I8627">
        <v>90.41</v>
      </c>
      <c r="J8627" s="50">
        <v>632.87</v>
      </c>
      <c r="K8627" t="s">
        <v>1618</v>
      </c>
      <c r="M8627" t="s">
        <v>1627</v>
      </c>
      <c r="N8627">
        <v>47.72</v>
      </c>
      <c r="O8627" s="49">
        <v>44956</v>
      </c>
      <c r="P8627" s="50">
        <v>284.79149999999998</v>
      </c>
    </row>
    <row r="8628" spans="4:16" x14ac:dyDescent="0.2">
      <c r="D8628">
        <v>100005155</v>
      </c>
      <c r="E8628" s="49">
        <v>44285</v>
      </c>
      <c r="F8628" t="s">
        <v>6344</v>
      </c>
      <c r="G8628" t="s">
        <v>2380</v>
      </c>
      <c r="H8628">
        <v>4</v>
      </c>
      <c r="I8628">
        <v>116.92</v>
      </c>
      <c r="J8628" s="50">
        <v>467.68</v>
      </c>
      <c r="K8628" t="s">
        <v>1618</v>
      </c>
      <c r="M8628" t="s">
        <v>1624</v>
      </c>
      <c r="N8628">
        <v>61.71</v>
      </c>
      <c r="O8628" s="49">
        <v>44288</v>
      </c>
      <c r="P8628" s="50">
        <v>210.45600000000002</v>
      </c>
    </row>
    <row r="8629" spans="4:16" x14ac:dyDescent="0.2">
      <c r="D8629">
        <v>100005155</v>
      </c>
      <c r="E8629" s="49">
        <v>44539</v>
      </c>
      <c r="F8629" t="s">
        <v>6344</v>
      </c>
      <c r="G8629" t="s">
        <v>2628</v>
      </c>
      <c r="H8629">
        <v>7</v>
      </c>
      <c r="I8629">
        <v>79.239999999999995</v>
      </c>
      <c r="J8629" s="50">
        <v>554.67999999999995</v>
      </c>
      <c r="K8629" t="s">
        <v>1618</v>
      </c>
      <c r="M8629" t="s">
        <v>1624</v>
      </c>
      <c r="N8629">
        <v>41.82</v>
      </c>
      <c r="O8629" s="49">
        <v>44542</v>
      </c>
      <c r="P8629" s="50">
        <v>249.60599999999999</v>
      </c>
    </row>
    <row r="8630" spans="4:16" x14ac:dyDescent="0.2">
      <c r="D8630">
        <v>100005155</v>
      </c>
      <c r="E8630" s="49">
        <v>45521</v>
      </c>
      <c r="F8630" t="s">
        <v>6344</v>
      </c>
      <c r="G8630" t="s">
        <v>2707</v>
      </c>
      <c r="H8630">
        <v>9</v>
      </c>
      <c r="I8630">
        <v>66.97</v>
      </c>
      <c r="J8630" s="50">
        <v>602.73</v>
      </c>
      <c r="K8630" t="s">
        <v>1618</v>
      </c>
      <c r="M8630" t="s">
        <v>1627</v>
      </c>
      <c r="N8630">
        <v>35.35</v>
      </c>
      <c r="O8630" s="49">
        <v>45526</v>
      </c>
      <c r="P8630" s="50">
        <v>271.2285</v>
      </c>
    </row>
    <row r="8631" spans="4:16" x14ac:dyDescent="0.2">
      <c r="D8631">
        <v>100005155</v>
      </c>
      <c r="E8631" s="49">
        <v>44369</v>
      </c>
      <c r="F8631" t="s">
        <v>6344</v>
      </c>
      <c r="G8631" t="s">
        <v>2514</v>
      </c>
      <c r="H8631">
        <v>2</v>
      </c>
      <c r="I8631">
        <v>21.24</v>
      </c>
      <c r="J8631" s="50">
        <v>42.48</v>
      </c>
      <c r="K8631" t="s">
        <v>1618</v>
      </c>
      <c r="M8631" t="s">
        <v>1629</v>
      </c>
      <c r="N8631">
        <v>11.21</v>
      </c>
      <c r="O8631" s="49">
        <v>44373</v>
      </c>
      <c r="P8631" s="50">
        <v>19.116</v>
      </c>
    </row>
    <row r="8632" spans="4:16" x14ac:dyDescent="0.2">
      <c r="D8632">
        <v>100005155</v>
      </c>
      <c r="E8632" s="49">
        <v>45347</v>
      </c>
      <c r="F8632" t="s">
        <v>6344</v>
      </c>
      <c r="G8632" t="s">
        <v>1932</v>
      </c>
      <c r="H8632">
        <v>9</v>
      </c>
      <c r="I8632">
        <v>100.61</v>
      </c>
      <c r="J8632" s="50">
        <v>905.49</v>
      </c>
      <c r="K8632" t="s">
        <v>1618</v>
      </c>
      <c r="M8632" t="s">
        <v>1619</v>
      </c>
      <c r="N8632">
        <v>53.1</v>
      </c>
      <c r="O8632" s="49">
        <v>45349</v>
      </c>
      <c r="P8632" s="50">
        <v>407.47050000000002</v>
      </c>
    </row>
    <row r="8633" spans="4:16" x14ac:dyDescent="0.2">
      <c r="D8633">
        <v>100005155</v>
      </c>
      <c r="E8633" s="49">
        <v>44800</v>
      </c>
      <c r="F8633" t="s">
        <v>6344</v>
      </c>
      <c r="G8633" t="s">
        <v>1768</v>
      </c>
      <c r="H8633">
        <v>6</v>
      </c>
      <c r="I8633">
        <v>57.41</v>
      </c>
      <c r="J8633" s="50">
        <v>344.46</v>
      </c>
      <c r="K8633" t="s">
        <v>1618</v>
      </c>
      <c r="M8633" t="s">
        <v>1629</v>
      </c>
      <c r="N8633">
        <v>30.3</v>
      </c>
      <c r="O8633" s="49">
        <v>44805</v>
      </c>
      <c r="P8633" s="50">
        <v>155.00700000000001</v>
      </c>
    </row>
    <row r="8634" spans="4:16" x14ac:dyDescent="0.2">
      <c r="D8634">
        <v>100005155</v>
      </c>
      <c r="E8634" s="49">
        <v>45282</v>
      </c>
      <c r="F8634" t="s">
        <v>6344</v>
      </c>
      <c r="G8634" t="s">
        <v>1652</v>
      </c>
      <c r="H8634">
        <v>3</v>
      </c>
      <c r="I8634">
        <v>55.48</v>
      </c>
      <c r="J8634" s="50">
        <v>166.44</v>
      </c>
      <c r="K8634" t="s">
        <v>1618</v>
      </c>
      <c r="M8634" t="s">
        <v>1619</v>
      </c>
      <c r="N8634">
        <v>29.28</v>
      </c>
      <c r="O8634" s="49">
        <v>45284</v>
      </c>
      <c r="P8634" s="50">
        <v>74.897999999999996</v>
      </c>
    </row>
    <row r="8635" spans="4:16" x14ac:dyDescent="0.2">
      <c r="D8635">
        <v>100005155</v>
      </c>
      <c r="E8635" s="49">
        <v>45416</v>
      </c>
      <c r="F8635" t="s">
        <v>6344</v>
      </c>
      <c r="G8635" t="s">
        <v>1701</v>
      </c>
      <c r="H8635">
        <v>5</v>
      </c>
      <c r="I8635">
        <v>61.72</v>
      </c>
      <c r="J8635" s="50">
        <v>308.60000000000002</v>
      </c>
      <c r="K8635" t="s">
        <v>1618</v>
      </c>
      <c r="M8635" t="s">
        <v>1624</v>
      </c>
      <c r="N8635">
        <v>32.57</v>
      </c>
      <c r="O8635" s="49">
        <v>45417</v>
      </c>
      <c r="P8635" s="50">
        <v>138.87</v>
      </c>
    </row>
    <row r="8636" spans="4:16" x14ac:dyDescent="0.2">
      <c r="D8636">
        <v>100005155</v>
      </c>
      <c r="E8636" s="49">
        <v>44861</v>
      </c>
      <c r="F8636" t="s">
        <v>6344</v>
      </c>
      <c r="G8636" t="s">
        <v>2038</v>
      </c>
      <c r="H8636">
        <v>1</v>
      </c>
      <c r="I8636">
        <v>66.47</v>
      </c>
      <c r="J8636" s="50">
        <v>66.47</v>
      </c>
      <c r="K8636" t="s">
        <v>1618</v>
      </c>
      <c r="M8636" t="s">
        <v>1629</v>
      </c>
      <c r="N8636">
        <v>35.08</v>
      </c>
      <c r="O8636" s="49">
        <v>44863</v>
      </c>
      <c r="P8636" s="50">
        <v>29.9115</v>
      </c>
    </row>
    <row r="8637" spans="4:16" x14ac:dyDescent="0.2">
      <c r="D8637">
        <v>100005157</v>
      </c>
      <c r="E8637" s="49">
        <v>44259</v>
      </c>
      <c r="F8637" t="s">
        <v>6345</v>
      </c>
      <c r="G8637" t="s">
        <v>2132</v>
      </c>
      <c r="H8637">
        <v>9</v>
      </c>
      <c r="I8637">
        <v>32.700000000000003</v>
      </c>
      <c r="J8637" s="50">
        <v>294.3</v>
      </c>
      <c r="K8637" t="s">
        <v>1618</v>
      </c>
      <c r="M8637" t="s">
        <v>1624</v>
      </c>
      <c r="N8637">
        <v>17.260000000000002</v>
      </c>
      <c r="O8637" s="49">
        <v>44260</v>
      </c>
      <c r="P8637" s="50">
        <v>132.435</v>
      </c>
    </row>
    <row r="8638" spans="4:16" x14ac:dyDescent="0.2">
      <c r="D8638">
        <v>100005157</v>
      </c>
      <c r="E8638" s="49">
        <v>45630</v>
      </c>
      <c r="F8638" t="s">
        <v>6345</v>
      </c>
      <c r="G8638" t="s">
        <v>2633</v>
      </c>
      <c r="H8638">
        <v>3</v>
      </c>
      <c r="I8638">
        <v>107.62</v>
      </c>
      <c r="J8638" s="50">
        <v>322.86</v>
      </c>
      <c r="K8638" t="s">
        <v>1618</v>
      </c>
      <c r="M8638" t="s">
        <v>1627</v>
      </c>
      <c r="N8638">
        <v>56.8</v>
      </c>
      <c r="O8638" s="49">
        <v>45634</v>
      </c>
      <c r="P8638" s="50">
        <v>145.28700000000001</v>
      </c>
    </row>
    <row r="8639" spans="4:16" x14ac:dyDescent="0.2">
      <c r="D8639">
        <v>100005158</v>
      </c>
      <c r="E8639" s="49">
        <v>45594</v>
      </c>
      <c r="F8639" t="s">
        <v>6346</v>
      </c>
      <c r="G8639" t="s">
        <v>1956</v>
      </c>
      <c r="H8639">
        <v>1</v>
      </c>
      <c r="I8639">
        <v>90.99</v>
      </c>
      <c r="J8639" s="50">
        <v>90.99</v>
      </c>
      <c r="K8639" t="s">
        <v>1632</v>
      </c>
      <c r="M8639" t="s">
        <v>1619</v>
      </c>
      <c r="N8639">
        <v>48.02</v>
      </c>
      <c r="O8639" s="49">
        <v>45599</v>
      </c>
      <c r="P8639" s="50">
        <v>40.945499999999996</v>
      </c>
    </row>
    <row r="8640" spans="4:16" x14ac:dyDescent="0.2">
      <c r="D8640">
        <v>100005158</v>
      </c>
      <c r="E8640" s="49">
        <v>44254</v>
      </c>
      <c r="F8640" t="s">
        <v>6346</v>
      </c>
      <c r="G8640" t="s">
        <v>2418</v>
      </c>
      <c r="H8640">
        <v>2</v>
      </c>
      <c r="I8640">
        <v>62.14</v>
      </c>
      <c r="J8640" s="50">
        <v>124.28</v>
      </c>
      <c r="K8640" t="s">
        <v>1632</v>
      </c>
      <c r="M8640" t="s">
        <v>1621</v>
      </c>
      <c r="N8640">
        <v>32.799999999999997</v>
      </c>
      <c r="O8640" s="49">
        <v>44255</v>
      </c>
      <c r="P8640" s="50">
        <v>55.926000000000002</v>
      </c>
    </row>
    <row r="8641" spans="4:16" x14ac:dyDescent="0.2">
      <c r="D8641">
        <v>100005158</v>
      </c>
      <c r="E8641" s="49">
        <v>45645</v>
      </c>
      <c r="F8641" t="s">
        <v>6346</v>
      </c>
      <c r="G8641" t="s">
        <v>2121</v>
      </c>
      <c r="H8641">
        <v>2</v>
      </c>
      <c r="I8641">
        <v>67.44</v>
      </c>
      <c r="J8641" s="50">
        <v>134.88</v>
      </c>
      <c r="K8641" t="s">
        <v>1632</v>
      </c>
      <c r="M8641" t="s">
        <v>1627</v>
      </c>
      <c r="N8641">
        <v>35.590000000000003</v>
      </c>
      <c r="O8641" s="49">
        <v>45646</v>
      </c>
      <c r="P8641" s="50">
        <v>60.695999999999998</v>
      </c>
    </row>
    <row r="8642" spans="4:16" x14ac:dyDescent="0.2">
      <c r="D8642">
        <v>100005158</v>
      </c>
      <c r="E8642" s="49">
        <v>44798</v>
      </c>
      <c r="F8642" t="s">
        <v>6346</v>
      </c>
      <c r="G8642" t="s">
        <v>2343</v>
      </c>
      <c r="H8642">
        <v>1</v>
      </c>
      <c r="I8642">
        <v>119.67</v>
      </c>
      <c r="J8642" s="50">
        <v>119.67</v>
      </c>
      <c r="K8642" t="s">
        <v>1632</v>
      </c>
      <c r="M8642" t="s">
        <v>1627</v>
      </c>
      <c r="N8642">
        <v>63.16</v>
      </c>
      <c r="O8642" s="49">
        <v>44801</v>
      </c>
      <c r="P8642" s="50">
        <v>53.851500000000001</v>
      </c>
    </row>
    <row r="8643" spans="4:16" x14ac:dyDescent="0.2">
      <c r="D8643">
        <v>100005158</v>
      </c>
      <c r="E8643" s="49">
        <v>44583</v>
      </c>
      <c r="F8643" t="s">
        <v>6346</v>
      </c>
      <c r="G8643" t="s">
        <v>2343</v>
      </c>
      <c r="H8643">
        <v>2</v>
      </c>
      <c r="I8643">
        <v>63.79</v>
      </c>
      <c r="J8643" s="50">
        <v>127.58</v>
      </c>
      <c r="K8643" t="s">
        <v>1632</v>
      </c>
      <c r="M8643" t="s">
        <v>1619</v>
      </c>
      <c r="N8643">
        <v>33.67</v>
      </c>
      <c r="O8643" s="49">
        <v>44587</v>
      </c>
      <c r="P8643" s="50">
        <v>57.411000000000001</v>
      </c>
    </row>
    <row r="8644" spans="4:16" x14ac:dyDescent="0.2">
      <c r="D8644">
        <v>100005158</v>
      </c>
      <c r="E8644" s="49">
        <v>44329</v>
      </c>
      <c r="F8644" t="s">
        <v>6346</v>
      </c>
      <c r="G8644" t="s">
        <v>2112</v>
      </c>
      <c r="H8644">
        <v>6</v>
      </c>
      <c r="I8644">
        <v>39.229999999999997</v>
      </c>
      <c r="J8644" s="50">
        <v>235.38</v>
      </c>
      <c r="K8644" t="s">
        <v>1632</v>
      </c>
      <c r="M8644" t="s">
        <v>1629</v>
      </c>
      <c r="N8644">
        <v>20.7</v>
      </c>
      <c r="O8644" s="49">
        <v>44332</v>
      </c>
      <c r="P8644" s="50">
        <v>105.92100000000001</v>
      </c>
    </row>
    <row r="8645" spans="4:16" x14ac:dyDescent="0.2">
      <c r="D8645">
        <v>100005159</v>
      </c>
      <c r="E8645" s="49">
        <v>45480</v>
      </c>
      <c r="F8645" t="s">
        <v>6347</v>
      </c>
      <c r="G8645" t="s">
        <v>1681</v>
      </c>
      <c r="H8645">
        <v>5</v>
      </c>
      <c r="I8645">
        <v>31.91</v>
      </c>
      <c r="J8645" s="50">
        <v>159.55000000000001</v>
      </c>
      <c r="K8645" t="s">
        <v>1632</v>
      </c>
      <c r="L8645" t="s">
        <v>3429</v>
      </c>
      <c r="M8645" t="s">
        <v>1629</v>
      </c>
      <c r="N8645">
        <v>16.84</v>
      </c>
      <c r="O8645" s="49">
        <v>45485</v>
      </c>
      <c r="P8645" s="50">
        <v>71.797500000000014</v>
      </c>
    </row>
    <row r="8646" spans="4:16" x14ac:dyDescent="0.2">
      <c r="D8646">
        <v>100005159</v>
      </c>
      <c r="E8646" s="49">
        <v>44862</v>
      </c>
      <c r="F8646" t="s">
        <v>6347</v>
      </c>
      <c r="G8646" t="s">
        <v>1987</v>
      </c>
      <c r="H8646">
        <v>7</v>
      </c>
      <c r="I8646">
        <v>80.739999999999995</v>
      </c>
      <c r="J8646" s="50">
        <v>565.17999999999995</v>
      </c>
      <c r="K8646" t="s">
        <v>1632</v>
      </c>
      <c r="L8646" t="s">
        <v>3429</v>
      </c>
      <c r="M8646" t="s">
        <v>1619</v>
      </c>
      <c r="N8646">
        <v>42.61</v>
      </c>
      <c r="O8646" s="49">
        <v>44864</v>
      </c>
      <c r="P8646" s="50">
        <v>254.33099999999999</v>
      </c>
    </row>
    <row r="8647" spans="4:16" x14ac:dyDescent="0.2">
      <c r="D8647">
        <v>100005161</v>
      </c>
      <c r="E8647" s="49">
        <v>44806</v>
      </c>
      <c r="F8647" t="s">
        <v>6348</v>
      </c>
      <c r="G8647" t="s">
        <v>1885</v>
      </c>
      <c r="H8647">
        <v>4</v>
      </c>
      <c r="I8647">
        <v>108.89</v>
      </c>
      <c r="J8647" s="50">
        <v>435.56</v>
      </c>
      <c r="K8647" t="s">
        <v>1632</v>
      </c>
      <c r="M8647" t="s">
        <v>1621</v>
      </c>
      <c r="N8647">
        <v>57.47</v>
      </c>
      <c r="O8647" s="49">
        <v>44809</v>
      </c>
      <c r="P8647" s="50">
        <v>196.00200000000001</v>
      </c>
    </row>
    <row r="8648" spans="4:16" x14ac:dyDescent="0.2">
      <c r="D8648">
        <v>100005162</v>
      </c>
      <c r="E8648" s="49">
        <v>44905</v>
      </c>
      <c r="F8648" t="s">
        <v>6349</v>
      </c>
      <c r="G8648" t="s">
        <v>1770</v>
      </c>
      <c r="H8648">
        <v>9</v>
      </c>
      <c r="I8648">
        <v>102.07</v>
      </c>
      <c r="J8648" s="50">
        <v>918.62999999999988</v>
      </c>
      <c r="K8648" t="s">
        <v>1632</v>
      </c>
      <c r="M8648" t="s">
        <v>1627</v>
      </c>
      <c r="N8648">
        <v>53.87</v>
      </c>
      <c r="O8648" s="49">
        <v>44909</v>
      </c>
      <c r="P8648" s="50">
        <v>413.38349999999997</v>
      </c>
    </row>
    <row r="8649" spans="4:16" x14ac:dyDescent="0.2">
      <c r="D8649">
        <v>100005162</v>
      </c>
      <c r="E8649" s="49">
        <v>45573</v>
      </c>
      <c r="F8649" t="s">
        <v>6349</v>
      </c>
      <c r="G8649" t="s">
        <v>2484</v>
      </c>
      <c r="H8649">
        <v>1</v>
      </c>
      <c r="I8649">
        <v>112.66</v>
      </c>
      <c r="J8649" s="50">
        <v>112.66</v>
      </c>
      <c r="K8649" t="s">
        <v>1632</v>
      </c>
      <c r="M8649" t="s">
        <v>1624</v>
      </c>
      <c r="N8649">
        <v>59.46</v>
      </c>
      <c r="O8649" s="49">
        <v>45574</v>
      </c>
      <c r="P8649" s="50">
        <v>50.697000000000003</v>
      </c>
    </row>
    <row r="8650" spans="4:16" x14ac:dyDescent="0.2">
      <c r="D8650">
        <v>100005162</v>
      </c>
      <c r="E8650" s="49">
        <v>44573</v>
      </c>
      <c r="F8650" t="s">
        <v>6349</v>
      </c>
      <c r="G8650" t="s">
        <v>1644</v>
      </c>
      <c r="H8650">
        <v>2</v>
      </c>
      <c r="I8650">
        <v>107.23</v>
      </c>
      <c r="J8650" s="50">
        <v>214.46</v>
      </c>
      <c r="K8650" t="s">
        <v>1632</v>
      </c>
      <c r="M8650" t="s">
        <v>1624</v>
      </c>
      <c r="N8650">
        <v>56.59</v>
      </c>
      <c r="O8650" s="49">
        <v>44578</v>
      </c>
      <c r="P8650" s="50">
        <v>96.507000000000005</v>
      </c>
    </row>
    <row r="8651" spans="4:16" x14ac:dyDescent="0.2">
      <c r="D8651">
        <v>100005164</v>
      </c>
      <c r="E8651" s="49">
        <v>45256</v>
      </c>
      <c r="F8651" t="s">
        <v>6350</v>
      </c>
      <c r="G8651" t="s">
        <v>1812</v>
      </c>
      <c r="H8651">
        <v>3</v>
      </c>
      <c r="I8651">
        <v>101.55</v>
      </c>
      <c r="J8651" s="50">
        <v>304.64999999999998</v>
      </c>
      <c r="K8651" t="s">
        <v>1632</v>
      </c>
      <c r="L8651" t="s">
        <v>2239</v>
      </c>
      <c r="M8651" t="s">
        <v>1621</v>
      </c>
      <c r="N8651">
        <v>53.6</v>
      </c>
      <c r="O8651" s="49">
        <v>45261</v>
      </c>
      <c r="P8651" s="50">
        <v>137.0925</v>
      </c>
    </row>
    <row r="8652" spans="4:16" x14ac:dyDescent="0.2">
      <c r="D8652">
        <v>100005164</v>
      </c>
      <c r="E8652" s="49">
        <v>44973</v>
      </c>
      <c r="F8652" t="s">
        <v>6350</v>
      </c>
      <c r="G8652" t="s">
        <v>1939</v>
      </c>
      <c r="H8652">
        <v>2</v>
      </c>
      <c r="I8652">
        <v>20.69</v>
      </c>
      <c r="J8652" s="50">
        <v>41.38</v>
      </c>
      <c r="K8652" t="s">
        <v>1632</v>
      </c>
      <c r="L8652" t="s">
        <v>2239</v>
      </c>
      <c r="M8652" t="s">
        <v>1624</v>
      </c>
      <c r="N8652">
        <v>10.92</v>
      </c>
      <c r="O8652" s="49">
        <v>44974</v>
      </c>
      <c r="P8652" s="50">
        <v>18.621000000000002</v>
      </c>
    </row>
    <row r="8653" spans="4:16" x14ac:dyDescent="0.2">
      <c r="D8653">
        <v>100005164</v>
      </c>
      <c r="E8653" s="49">
        <v>45657</v>
      </c>
      <c r="F8653" t="s">
        <v>6350</v>
      </c>
      <c r="G8653" t="s">
        <v>1828</v>
      </c>
      <c r="H8653">
        <v>3</v>
      </c>
      <c r="I8653">
        <v>42.12</v>
      </c>
      <c r="J8653" s="50">
        <v>126.36</v>
      </c>
      <c r="K8653" t="s">
        <v>1632</v>
      </c>
      <c r="L8653" t="s">
        <v>2239</v>
      </c>
      <c r="M8653" t="s">
        <v>1624</v>
      </c>
      <c r="N8653">
        <v>22.23</v>
      </c>
      <c r="O8653" s="49">
        <v>45660</v>
      </c>
      <c r="P8653" s="50">
        <v>56.862000000000002</v>
      </c>
    </row>
    <row r="8654" spans="4:16" x14ac:dyDescent="0.2">
      <c r="D8654">
        <v>100005164</v>
      </c>
      <c r="E8654" s="49">
        <v>45013</v>
      </c>
      <c r="F8654" t="s">
        <v>6350</v>
      </c>
      <c r="G8654" t="s">
        <v>2138</v>
      </c>
      <c r="H8654">
        <v>4</v>
      </c>
      <c r="I8654">
        <v>21.97</v>
      </c>
      <c r="J8654" s="50">
        <v>87.88</v>
      </c>
      <c r="K8654" t="s">
        <v>1632</v>
      </c>
      <c r="L8654" t="s">
        <v>2239</v>
      </c>
      <c r="M8654" t="s">
        <v>1621</v>
      </c>
      <c r="N8654">
        <v>11.6</v>
      </c>
      <c r="O8654" s="49">
        <v>45018</v>
      </c>
      <c r="P8654" s="50">
        <v>39.545999999999999</v>
      </c>
    </row>
    <row r="8655" spans="4:16" x14ac:dyDescent="0.2">
      <c r="D8655">
        <v>100005165</v>
      </c>
      <c r="E8655" s="49">
        <v>44823</v>
      </c>
      <c r="F8655" t="s">
        <v>6351</v>
      </c>
      <c r="G8655" t="s">
        <v>2733</v>
      </c>
      <c r="H8655">
        <v>2</v>
      </c>
      <c r="I8655">
        <v>74.42</v>
      </c>
      <c r="J8655" s="50">
        <v>148.84</v>
      </c>
      <c r="K8655" t="s">
        <v>1618</v>
      </c>
      <c r="L8655" t="s">
        <v>4502</v>
      </c>
      <c r="M8655" t="s">
        <v>1627</v>
      </c>
      <c r="N8655">
        <v>39.28</v>
      </c>
      <c r="O8655" s="49">
        <v>44828</v>
      </c>
      <c r="P8655" s="50">
        <v>66.978000000000009</v>
      </c>
    </row>
    <row r="8656" spans="4:16" x14ac:dyDescent="0.2">
      <c r="D8656">
        <v>100005166</v>
      </c>
      <c r="E8656" s="49">
        <v>45204</v>
      </c>
      <c r="F8656" t="s">
        <v>6352</v>
      </c>
      <c r="G8656" t="s">
        <v>1944</v>
      </c>
      <c r="H8656">
        <v>6</v>
      </c>
      <c r="I8656">
        <v>16.28</v>
      </c>
      <c r="J8656" s="50">
        <v>97.68</v>
      </c>
      <c r="K8656" t="s">
        <v>1618</v>
      </c>
      <c r="M8656" t="s">
        <v>1619</v>
      </c>
      <c r="N8656">
        <v>8.59</v>
      </c>
      <c r="O8656" s="49">
        <v>45209</v>
      </c>
      <c r="P8656" s="50">
        <v>43.956000000000003</v>
      </c>
    </row>
    <row r="8657" spans="4:16" x14ac:dyDescent="0.2">
      <c r="D8657">
        <v>100005167</v>
      </c>
      <c r="E8657" s="49">
        <v>44454</v>
      </c>
      <c r="F8657" t="s">
        <v>2296</v>
      </c>
      <c r="G8657" t="s">
        <v>2232</v>
      </c>
      <c r="H8657">
        <v>1</v>
      </c>
      <c r="I8657">
        <v>67.94</v>
      </c>
      <c r="J8657" s="50">
        <v>67.94</v>
      </c>
      <c r="K8657" t="s">
        <v>1632</v>
      </c>
      <c r="M8657" t="s">
        <v>1619</v>
      </c>
      <c r="N8657">
        <v>35.86</v>
      </c>
      <c r="O8657" s="49">
        <v>44458</v>
      </c>
      <c r="P8657" s="50">
        <v>30.573</v>
      </c>
    </row>
    <row r="8658" spans="4:16" x14ac:dyDescent="0.2">
      <c r="D8658">
        <v>100005169</v>
      </c>
      <c r="E8658" s="49">
        <v>44487</v>
      </c>
      <c r="F8658" t="s">
        <v>6353</v>
      </c>
      <c r="G8658" t="s">
        <v>1642</v>
      </c>
      <c r="H8658">
        <v>3</v>
      </c>
      <c r="I8658">
        <v>108.71</v>
      </c>
      <c r="J8658" s="50">
        <v>326.13</v>
      </c>
      <c r="K8658" t="s">
        <v>1618</v>
      </c>
      <c r="L8658" t="s">
        <v>3972</v>
      </c>
      <c r="M8658" t="s">
        <v>1624</v>
      </c>
      <c r="N8658">
        <v>57.37</v>
      </c>
      <c r="O8658" s="49">
        <v>44490</v>
      </c>
      <c r="P8658" s="50">
        <v>146.7585</v>
      </c>
    </row>
    <row r="8659" spans="4:16" x14ac:dyDescent="0.2">
      <c r="D8659">
        <v>100005170</v>
      </c>
      <c r="E8659" s="49">
        <v>44436</v>
      </c>
      <c r="F8659" t="s">
        <v>6354</v>
      </c>
      <c r="G8659" t="s">
        <v>1620</v>
      </c>
      <c r="H8659">
        <v>5</v>
      </c>
      <c r="I8659">
        <v>20.37</v>
      </c>
      <c r="J8659" s="50">
        <v>101.85</v>
      </c>
      <c r="K8659" t="s">
        <v>1632</v>
      </c>
      <c r="M8659" t="s">
        <v>1627</v>
      </c>
      <c r="N8659">
        <v>10.75</v>
      </c>
      <c r="O8659" s="49">
        <v>44438</v>
      </c>
      <c r="P8659" s="50">
        <v>45.832499999999996</v>
      </c>
    </row>
    <row r="8660" spans="4:16" x14ac:dyDescent="0.2">
      <c r="D8660">
        <v>100005173</v>
      </c>
      <c r="E8660" s="49">
        <v>45056</v>
      </c>
      <c r="F8660" t="s">
        <v>6355</v>
      </c>
      <c r="G8660" t="s">
        <v>2023</v>
      </c>
      <c r="H8660">
        <v>9</v>
      </c>
      <c r="I8660">
        <v>62.9</v>
      </c>
      <c r="J8660" s="50">
        <v>566.1</v>
      </c>
      <c r="K8660" t="s">
        <v>1618</v>
      </c>
      <c r="M8660" t="s">
        <v>1624</v>
      </c>
      <c r="N8660">
        <v>33.200000000000003</v>
      </c>
      <c r="O8660" s="49">
        <v>45061</v>
      </c>
      <c r="P8660" s="50">
        <v>254.745</v>
      </c>
    </row>
    <row r="8661" spans="4:16" x14ac:dyDescent="0.2">
      <c r="D8661">
        <v>100005173</v>
      </c>
      <c r="E8661" s="49">
        <v>44226</v>
      </c>
      <c r="F8661" t="s">
        <v>6355</v>
      </c>
      <c r="G8661" t="s">
        <v>1718</v>
      </c>
      <c r="H8661">
        <v>2</v>
      </c>
      <c r="I8661">
        <v>78.650000000000006</v>
      </c>
      <c r="J8661" s="50">
        <v>157.30000000000001</v>
      </c>
      <c r="K8661" t="s">
        <v>1618</v>
      </c>
      <c r="M8661" t="s">
        <v>1619</v>
      </c>
      <c r="N8661">
        <v>41.51</v>
      </c>
      <c r="O8661" s="49">
        <v>44230</v>
      </c>
      <c r="P8661" s="50">
        <v>70.785000000000011</v>
      </c>
    </row>
    <row r="8662" spans="4:16" x14ac:dyDescent="0.2">
      <c r="D8662">
        <v>100005173</v>
      </c>
      <c r="E8662" s="49">
        <v>44727</v>
      </c>
      <c r="F8662" t="s">
        <v>6355</v>
      </c>
      <c r="G8662" t="s">
        <v>1913</v>
      </c>
      <c r="H8662">
        <v>4</v>
      </c>
      <c r="I8662">
        <v>86.88</v>
      </c>
      <c r="J8662" s="50">
        <v>347.52</v>
      </c>
      <c r="K8662" t="s">
        <v>1618</v>
      </c>
      <c r="M8662" t="s">
        <v>1621</v>
      </c>
      <c r="N8662">
        <v>45.85</v>
      </c>
      <c r="O8662" s="49">
        <v>44731</v>
      </c>
      <c r="P8662" s="50">
        <v>156.38399999999999</v>
      </c>
    </row>
    <row r="8663" spans="4:16" x14ac:dyDescent="0.2">
      <c r="D8663">
        <v>100005173</v>
      </c>
      <c r="E8663" s="49">
        <v>44389</v>
      </c>
      <c r="F8663" t="s">
        <v>6355</v>
      </c>
      <c r="G8663" t="s">
        <v>3075</v>
      </c>
      <c r="H8663">
        <v>9</v>
      </c>
      <c r="I8663">
        <v>105.68</v>
      </c>
      <c r="J8663" s="50">
        <v>951.12000000000012</v>
      </c>
      <c r="K8663" t="s">
        <v>1618</v>
      </c>
      <c r="M8663" t="s">
        <v>1629</v>
      </c>
      <c r="N8663">
        <v>55.78</v>
      </c>
      <c r="O8663" s="49">
        <v>44390</v>
      </c>
      <c r="P8663" s="50">
        <v>428.00400000000008</v>
      </c>
    </row>
    <row r="8664" spans="4:16" x14ac:dyDescent="0.2">
      <c r="D8664">
        <v>100005173</v>
      </c>
      <c r="E8664" s="49">
        <v>44748</v>
      </c>
      <c r="F8664" t="s">
        <v>6355</v>
      </c>
      <c r="G8664" t="s">
        <v>2125</v>
      </c>
      <c r="H8664">
        <v>2</v>
      </c>
      <c r="I8664">
        <v>33.07</v>
      </c>
      <c r="J8664" s="50">
        <v>66.14</v>
      </c>
      <c r="K8664" t="s">
        <v>1618</v>
      </c>
      <c r="M8664" t="s">
        <v>1627</v>
      </c>
      <c r="N8664">
        <v>17.45</v>
      </c>
      <c r="O8664" s="49">
        <v>44752</v>
      </c>
      <c r="P8664" s="50">
        <v>29.763000000000002</v>
      </c>
    </row>
    <row r="8665" spans="4:16" x14ac:dyDescent="0.2">
      <c r="D8665">
        <v>100005173</v>
      </c>
      <c r="E8665" s="49">
        <v>45127</v>
      </c>
      <c r="F8665" t="s">
        <v>6355</v>
      </c>
      <c r="G8665" t="s">
        <v>2084</v>
      </c>
      <c r="H8665">
        <v>10</v>
      </c>
      <c r="I8665">
        <v>78.89</v>
      </c>
      <c r="J8665" s="50">
        <v>788.9</v>
      </c>
      <c r="K8665" t="s">
        <v>1618</v>
      </c>
      <c r="M8665" t="s">
        <v>1627</v>
      </c>
      <c r="N8665">
        <v>41.64</v>
      </c>
      <c r="O8665" s="49">
        <v>45128</v>
      </c>
      <c r="P8665" s="50">
        <v>355.005</v>
      </c>
    </row>
    <row r="8666" spans="4:16" x14ac:dyDescent="0.2">
      <c r="D8666">
        <v>100005173</v>
      </c>
      <c r="E8666" s="49">
        <v>44331</v>
      </c>
      <c r="F8666" t="s">
        <v>6355</v>
      </c>
      <c r="G8666" t="s">
        <v>2465</v>
      </c>
      <c r="H8666">
        <v>4</v>
      </c>
      <c r="I8666">
        <v>16.14</v>
      </c>
      <c r="J8666" s="50">
        <v>64.56</v>
      </c>
      <c r="K8666" t="s">
        <v>1618</v>
      </c>
      <c r="M8666" t="s">
        <v>1629</v>
      </c>
      <c r="N8666">
        <v>8.52</v>
      </c>
      <c r="O8666" s="49">
        <v>44336</v>
      </c>
      <c r="P8666" s="50">
        <v>29.052000000000003</v>
      </c>
    </row>
    <row r="8667" spans="4:16" x14ac:dyDescent="0.2">
      <c r="D8667">
        <v>100005173</v>
      </c>
      <c r="E8667" s="49">
        <v>44268</v>
      </c>
      <c r="F8667" t="s">
        <v>6355</v>
      </c>
      <c r="G8667" t="s">
        <v>1666</v>
      </c>
      <c r="H8667">
        <v>6</v>
      </c>
      <c r="I8667">
        <v>105.06</v>
      </c>
      <c r="J8667" s="50">
        <v>630.36</v>
      </c>
      <c r="K8667" t="s">
        <v>1618</v>
      </c>
      <c r="M8667" t="s">
        <v>1624</v>
      </c>
      <c r="N8667">
        <v>55.45</v>
      </c>
      <c r="O8667" s="49">
        <v>44272</v>
      </c>
      <c r="P8667" s="50">
        <v>283.66200000000003</v>
      </c>
    </row>
    <row r="8668" spans="4:16" x14ac:dyDescent="0.2">
      <c r="D8668">
        <v>100005174</v>
      </c>
      <c r="E8668" s="49">
        <v>44693</v>
      </c>
      <c r="F8668" t="s">
        <v>6356</v>
      </c>
      <c r="G8668" t="s">
        <v>2585</v>
      </c>
      <c r="H8668">
        <v>7</v>
      </c>
      <c r="I8668">
        <v>74.72</v>
      </c>
      <c r="J8668" s="50">
        <v>523.04</v>
      </c>
      <c r="K8668" t="s">
        <v>1632</v>
      </c>
      <c r="L8668" t="s">
        <v>2530</v>
      </c>
      <c r="M8668" t="s">
        <v>1629</v>
      </c>
      <c r="N8668">
        <v>39.44</v>
      </c>
      <c r="O8668" s="49">
        <v>44697</v>
      </c>
      <c r="P8668" s="50">
        <v>235.36799999999999</v>
      </c>
    </row>
    <row r="8669" spans="4:16" x14ac:dyDescent="0.2">
      <c r="D8669">
        <v>100005177</v>
      </c>
      <c r="E8669" s="49">
        <v>44351</v>
      </c>
      <c r="F8669" t="s">
        <v>6357</v>
      </c>
      <c r="G8669" t="s">
        <v>1928</v>
      </c>
      <c r="H8669">
        <v>4</v>
      </c>
      <c r="I8669">
        <v>63.55</v>
      </c>
      <c r="J8669" s="50">
        <v>254.2</v>
      </c>
      <c r="K8669" t="s">
        <v>1618</v>
      </c>
      <c r="L8669" t="s">
        <v>6358</v>
      </c>
      <c r="M8669" t="s">
        <v>1621</v>
      </c>
      <c r="N8669">
        <v>33.54</v>
      </c>
      <c r="O8669" s="49">
        <v>44356</v>
      </c>
      <c r="P8669" s="50">
        <v>114.39</v>
      </c>
    </row>
    <row r="8670" spans="4:16" x14ac:dyDescent="0.2">
      <c r="D8670">
        <v>100005178</v>
      </c>
      <c r="E8670" s="49">
        <v>44887</v>
      </c>
      <c r="F8670" t="s">
        <v>6359</v>
      </c>
      <c r="G8670" t="s">
        <v>2112</v>
      </c>
      <c r="H8670">
        <v>1</v>
      </c>
      <c r="I8670">
        <v>75.37</v>
      </c>
      <c r="J8670" s="50">
        <v>75.37</v>
      </c>
      <c r="K8670" t="s">
        <v>1618</v>
      </c>
      <c r="L8670" t="s">
        <v>6360</v>
      </c>
      <c r="M8670" t="s">
        <v>1627</v>
      </c>
      <c r="N8670">
        <v>39.78</v>
      </c>
      <c r="O8670" s="49">
        <v>44890</v>
      </c>
      <c r="P8670" s="50">
        <v>33.916500000000006</v>
      </c>
    </row>
    <row r="8671" spans="4:16" x14ac:dyDescent="0.2">
      <c r="D8671">
        <v>100005178</v>
      </c>
      <c r="E8671" s="49">
        <v>45584</v>
      </c>
      <c r="F8671" t="s">
        <v>6359</v>
      </c>
      <c r="G8671" t="s">
        <v>1901</v>
      </c>
      <c r="H8671">
        <v>1</v>
      </c>
      <c r="I8671">
        <v>56.13</v>
      </c>
      <c r="J8671" s="50">
        <v>56.13</v>
      </c>
      <c r="K8671" t="s">
        <v>1618</v>
      </c>
      <c r="L8671" t="s">
        <v>6360</v>
      </c>
      <c r="M8671" t="s">
        <v>1619</v>
      </c>
      <c r="N8671">
        <v>29.62</v>
      </c>
      <c r="O8671" s="49">
        <v>45587</v>
      </c>
      <c r="P8671" s="50">
        <v>25.258500000000002</v>
      </c>
    </row>
    <row r="8672" spans="4:16" x14ac:dyDescent="0.2">
      <c r="D8672">
        <v>100005178</v>
      </c>
      <c r="E8672" s="49">
        <v>45086</v>
      </c>
      <c r="F8672" t="s">
        <v>6359</v>
      </c>
      <c r="G8672" t="s">
        <v>1710</v>
      </c>
      <c r="H8672">
        <v>6</v>
      </c>
      <c r="I8672">
        <v>63.64</v>
      </c>
      <c r="J8672" s="50">
        <v>381.84</v>
      </c>
      <c r="K8672" t="s">
        <v>1618</v>
      </c>
      <c r="L8672" t="s">
        <v>6360</v>
      </c>
      <c r="M8672" t="s">
        <v>1619</v>
      </c>
      <c r="N8672">
        <v>33.590000000000003</v>
      </c>
      <c r="O8672" s="49">
        <v>45090</v>
      </c>
      <c r="P8672" s="50">
        <v>171.828</v>
      </c>
    </row>
    <row r="8673" spans="4:16" x14ac:dyDescent="0.2">
      <c r="D8673">
        <v>100005178</v>
      </c>
      <c r="E8673" s="49">
        <v>45003</v>
      </c>
      <c r="F8673" t="s">
        <v>6359</v>
      </c>
      <c r="G8673" t="s">
        <v>2692</v>
      </c>
      <c r="H8673">
        <v>1</v>
      </c>
      <c r="I8673">
        <v>23.74</v>
      </c>
      <c r="J8673" s="50">
        <v>23.74</v>
      </c>
      <c r="K8673" t="s">
        <v>1618</v>
      </c>
      <c r="L8673" t="s">
        <v>6360</v>
      </c>
      <c r="M8673" t="s">
        <v>1629</v>
      </c>
      <c r="N8673">
        <v>12.53</v>
      </c>
      <c r="O8673" s="49">
        <v>45006</v>
      </c>
      <c r="P8673" s="50">
        <v>10.683</v>
      </c>
    </row>
    <row r="8674" spans="4:16" x14ac:dyDescent="0.2">
      <c r="D8674">
        <v>100005180</v>
      </c>
      <c r="E8674" s="49">
        <v>44474</v>
      </c>
      <c r="F8674" t="s">
        <v>6361</v>
      </c>
      <c r="G8674" t="s">
        <v>1762</v>
      </c>
      <c r="H8674">
        <v>10</v>
      </c>
      <c r="I8674">
        <v>73.28</v>
      </c>
      <c r="J8674" s="50">
        <v>732.8</v>
      </c>
      <c r="K8674" t="s">
        <v>1618</v>
      </c>
      <c r="M8674" t="s">
        <v>1624</v>
      </c>
      <c r="N8674">
        <v>38.68</v>
      </c>
      <c r="O8674" s="49">
        <v>44475</v>
      </c>
      <c r="P8674" s="50">
        <v>329.76</v>
      </c>
    </row>
    <row r="8675" spans="4:16" x14ac:dyDescent="0.2">
      <c r="D8675">
        <v>100005181</v>
      </c>
      <c r="E8675" s="49">
        <v>44517</v>
      </c>
      <c r="F8675" t="s">
        <v>6362</v>
      </c>
      <c r="G8675" t="s">
        <v>2096</v>
      </c>
      <c r="H8675">
        <v>1</v>
      </c>
      <c r="I8675">
        <v>19.89</v>
      </c>
      <c r="J8675" s="50">
        <v>19.89</v>
      </c>
      <c r="K8675" t="s">
        <v>1618</v>
      </c>
      <c r="M8675" t="s">
        <v>1624</v>
      </c>
      <c r="N8675">
        <v>10.5</v>
      </c>
      <c r="O8675" s="49">
        <v>44518</v>
      </c>
      <c r="P8675" s="50">
        <v>8.9504999999999999</v>
      </c>
    </row>
    <row r="8676" spans="4:16" x14ac:dyDescent="0.2">
      <c r="D8676">
        <v>100005183</v>
      </c>
      <c r="E8676" s="49">
        <v>44341</v>
      </c>
      <c r="F8676" t="s">
        <v>2792</v>
      </c>
      <c r="G8676" t="s">
        <v>1690</v>
      </c>
      <c r="H8676">
        <v>4</v>
      </c>
      <c r="I8676">
        <v>88.62</v>
      </c>
      <c r="J8676" s="50">
        <v>354.48</v>
      </c>
      <c r="K8676" t="s">
        <v>1618</v>
      </c>
      <c r="M8676" t="s">
        <v>1627</v>
      </c>
      <c r="N8676">
        <v>46.77</v>
      </c>
      <c r="O8676" s="49">
        <v>44344</v>
      </c>
      <c r="P8676" s="50">
        <v>159.51600000000002</v>
      </c>
    </row>
    <row r="8677" spans="4:16" x14ac:dyDescent="0.2">
      <c r="D8677">
        <v>100005185</v>
      </c>
      <c r="E8677" s="49">
        <v>45075</v>
      </c>
      <c r="F8677" t="s">
        <v>6363</v>
      </c>
      <c r="G8677" t="s">
        <v>2766</v>
      </c>
      <c r="H8677">
        <v>5</v>
      </c>
      <c r="I8677">
        <v>20.45</v>
      </c>
      <c r="J8677" s="50">
        <v>102.25</v>
      </c>
      <c r="K8677" t="s">
        <v>1618</v>
      </c>
      <c r="M8677" t="s">
        <v>1619</v>
      </c>
      <c r="N8677">
        <v>10.79</v>
      </c>
      <c r="O8677" s="49">
        <v>45080</v>
      </c>
      <c r="P8677" s="50">
        <v>46.012500000000003</v>
      </c>
    </row>
    <row r="8678" spans="4:16" x14ac:dyDescent="0.2">
      <c r="D8678">
        <v>100005185</v>
      </c>
      <c r="E8678" s="49">
        <v>45517</v>
      </c>
      <c r="F8678" t="s">
        <v>6363</v>
      </c>
      <c r="G8678" t="s">
        <v>2210</v>
      </c>
      <c r="H8678">
        <v>5</v>
      </c>
      <c r="I8678">
        <v>40.270000000000003</v>
      </c>
      <c r="J8678" s="50">
        <v>201.35</v>
      </c>
      <c r="K8678" t="s">
        <v>1618</v>
      </c>
      <c r="M8678" t="s">
        <v>1619</v>
      </c>
      <c r="N8678">
        <v>21.25</v>
      </c>
      <c r="O8678" s="49">
        <v>45518</v>
      </c>
      <c r="P8678" s="50">
        <v>90.607500000000002</v>
      </c>
    </row>
    <row r="8679" spans="4:16" x14ac:dyDescent="0.2">
      <c r="D8679">
        <v>100005188</v>
      </c>
      <c r="E8679" s="49">
        <v>44920</v>
      </c>
      <c r="F8679" t="s">
        <v>6364</v>
      </c>
      <c r="G8679" t="s">
        <v>2460</v>
      </c>
      <c r="H8679">
        <v>10</v>
      </c>
      <c r="I8679">
        <v>16.7</v>
      </c>
      <c r="J8679" s="50">
        <v>167</v>
      </c>
      <c r="K8679" t="s">
        <v>1632</v>
      </c>
      <c r="L8679" t="s">
        <v>4538</v>
      </c>
      <c r="M8679" t="s">
        <v>1627</v>
      </c>
      <c r="N8679">
        <v>8.81</v>
      </c>
      <c r="O8679" s="49">
        <v>44925</v>
      </c>
      <c r="P8679" s="50">
        <v>75.150000000000006</v>
      </c>
    </row>
    <row r="8680" spans="4:16" x14ac:dyDescent="0.2">
      <c r="D8680">
        <v>100005188</v>
      </c>
      <c r="E8680" s="49">
        <v>45638</v>
      </c>
      <c r="F8680" t="s">
        <v>6364</v>
      </c>
      <c r="G8680" t="s">
        <v>2116</v>
      </c>
      <c r="H8680">
        <v>3</v>
      </c>
      <c r="I8680">
        <v>59.05</v>
      </c>
      <c r="J8680" s="50">
        <v>177.15</v>
      </c>
      <c r="K8680" t="s">
        <v>1632</v>
      </c>
      <c r="L8680" t="s">
        <v>4538</v>
      </c>
      <c r="M8680" t="s">
        <v>1621</v>
      </c>
      <c r="N8680">
        <v>31.17</v>
      </c>
      <c r="O8680" s="49">
        <v>45643</v>
      </c>
      <c r="P8680" s="50">
        <v>79.717500000000001</v>
      </c>
    </row>
    <row r="8681" spans="4:16" x14ac:dyDescent="0.2">
      <c r="D8681">
        <v>100005190</v>
      </c>
      <c r="E8681" s="49">
        <v>45258</v>
      </c>
      <c r="F8681" t="s">
        <v>6365</v>
      </c>
      <c r="G8681" t="s">
        <v>1897</v>
      </c>
      <c r="H8681">
        <v>6</v>
      </c>
      <c r="I8681">
        <v>101.51</v>
      </c>
      <c r="J8681" s="50">
        <v>609.06000000000006</v>
      </c>
      <c r="K8681" t="s">
        <v>1618</v>
      </c>
      <c r="M8681" t="s">
        <v>1621</v>
      </c>
      <c r="N8681">
        <v>53.57</v>
      </c>
      <c r="O8681" s="49">
        <v>45259</v>
      </c>
      <c r="P8681" s="50">
        <v>274.07700000000006</v>
      </c>
    </row>
    <row r="8682" spans="4:16" x14ac:dyDescent="0.2">
      <c r="D8682">
        <v>100005191</v>
      </c>
      <c r="E8682" s="49">
        <v>45376</v>
      </c>
      <c r="F8682" t="s">
        <v>6366</v>
      </c>
      <c r="G8682" t="s">
        <v>1893</v>
      </c>
      <c r="H8682">
        <v>8</v>
      </c>
      <c r="I8682">
        <v>23.65</v>
      </c>
      <c r="J8682" s="50">
        <v>189.2</v>
      </c>
      <c r="K8682" t="s">
        <v>1618</v>
      </c>
      <c r="M8682" t="s">
        <v>1621</v>
      </c>
      <c r="N8682">
        <v>12.48</v>
      </c>
      <c r="O8682" s="49">
        <v>45378</v>
      </c>
      <c r="P8682" s="50">
        <v>85.14</v>
      </c>
    </row>
    <row r="8683" spans="4:16" x14ac:dyDescent="0.2">
      <c r="D8683">
        <v>100005192</v>
      </c>
      <c r="E8683" s="49">
        <v>44577</v>
      </c>
      <c r="F8683" t="s">
        <v>6367</v>
      </c>
      <c r="G8683" t="s">
        <v>2230</v>
      </c>
      <c r="H8683">
        <v>8</v>
      </c>
      <c r="I8683">
        <v>50.88</v>
      </c>
      <c r="J8683" s="50">
        <v>407.04</v>
      </c>
      <c r="K8683" t="s">
        <v>1632</v>
      </c>
      <c r="M8683" t="s">
        <v>1621</v>
      </c>
      <c r="N8683">
        <v>26.85</v>
      </c>
      <c r="O8683" s="49">
        <v>44578</v>
      </c>
      <c r="P8683" s="50">
        <v>183.16800000000001</v>
      </c>
    </row>
    <row r="8684" spans="4:16" x14ac:dyDescent="0.2">
      <c r="D8684">
        <v>100005192</v>
      </c>
      <c r="E8684" s="49">
        <v>44847</v>
      </c>
      <c r="F8684" t="s">
        <v>6367</v>
      </c>
      <c r="G8684" t="s">
        <v>2387</v>
      </c>
      <c r="H8684">
        <v>8</v>
      </c>
      <c r="I8684">
        <v>83.36</v>
      </c>
      <c r="J8684" s="50">
        <v>666.88</v>
      </c>
      <c r="K8684" t="s">
        <v>1632</v>
      </c>
      <c r="M8684" t="s">
        <v>1621</v>
      </c>
      <c r="N8684">
        <v>44</v>
      </c>
      <c r="O8684" s="49">
        <v>44848</v>
      </c>
      <c r="P8684" s="50">
        <v>300.096</v>
      </c>
    </row>
    <row r="8685" spans="4:16" x14ac:dyDescent="0.2">
      <c r="D8685">
        <v>100005193</v>
      </c>
      <c r="E8685" s="49">
        <v>44269</v>
      </c>
      <c r="F8685" t="s">
        <v>6368</v>
      </c>
      <c r="G8685" t="s">
        <v>1864</v>
      </c>
      <c r="H8685">
        <v>7</v>
      </c>
      <c r="I8685">
        <v>90.33</v>
      </c>
      <c r="J8685" s="50">
        <v>632.30999999999995</v>
      </c>
      <c r="K8685" t="s">
        <v>1632</v>
      </c>
      <c r="L8685" t="s">
        <v>6369</v>
      </c>
      <c r="M8685" t="s">
        <v>1621</v>
      </c>
      <c r="N8685">
        <v>47.67</v>
      </c>
      <c r="O8685" s="49">
        <v>44272</v>
      </c>
      <c r="P8685" s="50">
        <v>284.53949999999998</v>
      </c>
    </row>
    <row r="8686" spans="4:16" x14ac:dyDescent="0.2">
      <c r="D8686">
        <v>100005194</v>
      </c>
      <c r="E8686" s="49">
        <v>44734</v>
      </c>
      <c r="F8686" t="s">
        <v>6370</v>
      </c>
      <c r="G8686" t="s">
        <v>1666</v>
      </c>
      <c r="H8686">
        <v>10</v>
      </c>
      <c r="I8686">
        <v>10.49</v>
      </c>
      <c r="J8686" s="50">
        <v>104.9</v>
      </c>
      <c r="K8686" t="s">
        <v>1618</v>
      </c>
      <c r="L8686" t="s">
        <v>6371</v>
      </c>
      <c r="M8686" t="s">
        <v>1624</v>
      </c>
      <c r="N8686">
        <v>5.54</v>
      </c>
      <c r="O8686" s="49">
        <v>44737</v>
      </c>
      <c r="P8686" s="50">
        <v>47.205000000000005</v>
      </c>
    </row>
    <row r="8687" spans="4:16" x14ac:dyDescent="0.2">
      <c r="D8687">
        <v>100005194</v>
      </c>
      <c r="E8687" s="49">
        <v>44773</v>
      </c>
      <c r="F8687" t="s">
        <v>6370</v>
      </c>
      <c r="G8687" t="s">
        <v>2065</v>
      </c>
      <c r="H8687">
        <v>7</v>
      </c>
      <c r="I8687">
        <v>40.840000000000003</v>
      </c>
      <c r="J8687" s="50">
        <v>285.88</v>
      </c>
      <c r="K8687" t="s">
        <v>1618</v>
      </c>
      <c r="L8687" t="s">
        <v>6371</v>
      </c>
      <c r="M8687" t="s">
        <v>1624</v>
      </c>
      <c r="N8687">
        <v>21.55</v>
      </c>
      <c r="O8687" s="49">
        <v>44774</v>
      </c>
      <c r="P8687" s="50">
        <v>128.64600000000002</v>
      </c>
    </row>
    <row r="8688" spans="4:16" x14ac:dyDescent="0.2">
      <c r="D8688">
        <v>100005194</v>
      </c>
      <c r="E8688" s="49">
        <v>45570</v>
      </c>
      <c r="F8688" t="s">
        <v>6370</v>
      </c>
      <c r="G8688" t="s">
        <v>1859</v>
      </c>
      <c r="H8688">
        <v>1</v>
      </c>
      <c r="I8688">
        <v>71.010000000000005</v>
      </c>
      <c r="J8688" s="50">
        <v>71.010000000000005</v>
      </c>
      <c r="K8688" t="s">
        <v>1618</v>
      </c>
      <c r="L8688" t="s">
        <v>6371</v>
      </c>
      <c r="M8688" t="s">
        <v>1629</v>
      </c>
      <c r="N8688">
        <v>37.479999999999997</v>
      </c>
      <c r="O8688" s="49">
        <v>45573</v>
      </c>
      <c r="P8688" s="50">
        <v>31.954500000000003</v>
      </c>
    </row>
    <row r="8689" spans="4:16" x14ac:dyDescent="0.2">
      <c r="D8689">
        <v>100005194</v>
      </c>
      <c r="E8689" s="49">
        <v>45185</v>
      </c>
      <c r="F8689" t="s">
        <v>6370</v>
      </c>
      <c r="G8689" t="s">
        <v>1661</v>
      </c>
      <c r="H8689">
        <v>2</v>
      </c>
      <c r="I8689">
        <v>70.12</v>
      </c>
      <c r="J8689" s="50">
        <v>140.24</v>
      </c>
      <c r="K8689" t="s">
        <v>1618</v>
      </c>
      <c r="L8689" t="s">
        <v>6371</v>
      </c>
      <c r="M8689" t="s">
        <v>1624</v>
      </c>
      <c r="N8689">
        <v>37.01</v>
      </c>
      <c r="O8689" s="49">
        <v>45186</v>
      </c>
      <c r="P8689" s="50">
        <v>63.108000000000004</v>
      </c>
    </row>
    <row r="8690" spans="4:16" x14ac:dyDescent="0.2">
      <c r="D8690">
        <v>100005196</v>
      </c>
      <c r="E8690" s="49">
        <v>44712</v>
      </c>
      <c r="F8690" t="s">
        <v>6372</v>
      </c>
      <c r="G8690" t="s">
        <v>2574</v>
      </c>
      <c r="H8690">
        <v>3</v>
      </c>
      <c r="I8690">
        <v>67.05</v>
      </c>
      <c r="J8690" s="50">
        <v>201.15</v>
      </c>
      <c r="K8690" t="s">
        <v>1618</v>
      </c>
      <c r="M8690" t="s">
        <v>1624</v>
      </c>
      <c r="N8690">
        <v>35.39</v>
      </c>
      <c r="O8690" s="49">
        <v>44715</v>
      </c>
      <c r="P8690" s="50">
        <v>90.517499999999998</v>
      </c>
    </row>
    <row r="8691" spans="4:16" x14ac:dyDescent="0.2">
      <c r="D8691">
        <v>100005196</v>
      </c>
      <c r="E8691" s="49">
        <v>44267</v>
      </c>
      <c r="F8691" t="s">
        <v>6372</v>
      </c>
      <c r="G8691" t="s">
        <v>1969</v>
      </c>
      <c r="H8691">
        <v>6</v>
      </c>
      <c r="I8691">
        <v>35.200000000000003</v>
      </c>
      <c r="J8691" s="50">
        <v>211.2</v>
      </c>
      <c r="K8691" t="s">
        <v>1618</v>
      </c>
      <c r="M8691" t="s">
        <v>1619</v>
      </c>
      <c r="N8691">
        <v>18.579999999999998</v>
      </c>
      <c r="O8691" s="49">
        <v>44271</v>
      </c>
      <c r="P8691" s="50">
        <v>95.039999999999992</v>
      </c>
    </row>
    <row r="8692" spans="4:16" x14ac:dyDescent="0.2">
      <c r="D8692">
        <v>100005196</v>
      </c>
      <c r="E8692" s="49">
        <v>44723</v>
      </c>
      <c r="F8692" t="s">
        <v>6372</v>
      </c>
      <c r="G8692" t="s">
        <v>2130</v>
      </c>
      <c r="H8692">
        <v>3</v>
      </c>
      <c r="I8692">
        <v>110.41</v>
      </c>
      <c r="J8692" s="50">
        <v>331.23</v>
      </c>
      <c r="K8692" t="s">
        <v>1618</v>
      </c>
      <c r="M8692" t="s">
        <v>1619</v>
      </c>
      <c r="N8692">
        <v>58.27</v>
      </c>
      <c r="O8692" s="49">
        <v>44728</v>
      </c>
      <c r="P8692" s="50">
        <v>149.05350000000001</v>
      </c>
    </row>
    <row r="8693" spans="4:16" x14ac:dyDescent="0.2">
      <c r="D8693">
        <v>100005196</v>
      </c>
      <c r="E8693" s="49">
        <v>44812</v>
      </c>
      <c r="F8693" t="s">
        <v>6372</v>
      </c>
      <c r="G8693" t="s">
        <v>2380</v>
      </c>
      <c r="H8693">
        <v>2</v>
      </c>
      <c r="I8693">
        <v>108.18</v>
      </c>
      <c r="J8693" s="50">
        <v>216.36</v>
      </c>
      <c r="K8693" t="s">
        <v>1618</v>
      </c>
      <c r="M8693" t="s">
        <v>1621</v>
      </c>
      <c r="N8693">
        <v>57.09</v>
      </c>
      <c r="O8693" s="49">
        <v>44817</v>
      </c>
      <c r="P8693" s="50">
        <v>97.362000000000009</v>
      </c>
    </row>
    <row r="8694" spans="4:16" x14ac:dyDescent="0.2">
      <c r="D8694">
        <v>100005196</v>
      </c>
      <c r="E8694" s="49">
        <v>45642</v>
      </c>
      <c r="F8694" t="s">
        <v>6372</v>
      </c>
      <c r="G8694" t="s">
        <v>1819</v>
      </c>
      <c r="H8694">
        <v>9</v>
      </c>
      <c r="I8694">
        <v>23.34</v>
      </c>
      <c r="J8694" s="50">
        <v>210.06</v>
      </c>
      <c r="K8694" t="s">
        <v>1618</v>
      </c>
      <c r="M8694" t="s">
        <v>1629</v>
      </c>
      <c r="N8694">
        <v>12.32</v>
      </c>
      <c r="O8694" s="49">
        <v>45645</v>
      </c>
      <c r="P8694" s="50">
        <v>94.527000000000001</v>
      </c>
    </row>
    <row r="8695" spans="4:16" x14ac:dyDescent="0.2">
      <c r="D8695">
        <v>100005196</v>
      </c>
      <c r="E8695" s="49">
        <v>44609</v>
      </c>
      <c r="F8695" t="s">
        <v>6372</v>
      </c>
      <c r="G8695" t="s">
        <v>2291</v>
      </c>
      <c r="H8695">
        <v>6</v>
      </c>
      <c r="I8695">
        <v>39.42</v>
      </c>
      <c r="J8695" s="50">
        <v>236.52</v>
      </c>
      <c r="K8695" t="s">
        <v>1618</v>
      </c>
      <c r="M8695" t="s">
        <v>1621</v>
      </c>
      <c r="N8695">
        <v>20.8</v>
      </c>
      <c r="O8695" s="49">
        <v>44612</v>
      </c>
      <c r="P8695" s="50">
        <v>106.43400000000001</v>
      </c>
    </row>
    <row r="8696" spans="4:16" x14ac:dyDescent="0.2">
      <c r="D8696">
        <v>100005196</v>
      </c>
      <c r="E8696" s="49">
        <v>44665</v>
      </c>
      <c r="F8696" t="s">
        <v>6372</v>
      </c>
      <c r="G8696" t="s">
        <v>1651</v>
      </c>
      <c r="H8696">
        <v>4</v>
      </c>
      <c r="I8696">
        <v>103.99</v>
      </c>
      <c r="J8696" s="50">
        <v>415.96</v>
      </c>
      <c r="K8696" t="s">
        <v>1618</v>
      </c>
      <c r="M8696" t="s">
        <v>1621</v>
      </c>
      <c r="N8696">
        <v>54.88</v>
      </c>
      <c r="O8696" s="49">
        <v>44666</v>
      </c>
      <c r="P8696" s="50">
        <v>187.18199999999999</v>
      </c>
    </row>
    <row r="8697" spans="4:16" x14ac:dyDescent="0.2">
      <c r="D8697">
        <v>100005196</v>
      </c>
      <c r="E8697" s="49">
        <v>45162</v>
      </c>
      <c r="F8697" t="s">
        <v>6372</v>
      </c>
      <c r="G8697" t="s">
        <v>2328</v>
      </c>
      <c r="H8697">
        <v>2</v>
      </c>
      <c r="I8697">
        <v>51.57</v>
      </c>
      <c r="J8697" s="50">
        <v>103.14</v>
      </c>
      <c r="K8697" t="s">
        <v>1618</v>
      </c>
      <c r="M8697" t="s">
        <v>1629</v>
      </c>
      <c r="N8697">
        <v>27.22</v>
      </c>
      <c r="O8697" s="49">
        <v>45164</v>
      </c>
      <c r="P8697" s="50">
        <v>46.413000000000004</v>
      </c>
    </row>
    <row r="8698" spans="4:16" x14ac:dyDescent="0.2">
      <c r="D8698">
        <v>100005196</v>
      </c>
      <c r="E8698" s="49">
        <v>44430</v>
      </c>
      <c r="F8698" t="s">
        <v>6372</v>
      </c>
      <c r="G8698" t="s">
        <v>2093</v>
      </c>
      <c r="H8698">
        <v>9</v>
      </c>
      <c r="I8698">
        <v>82.98</v>
      </c>
      <c r="J8698" s="50">
        <v>746.82</v>
      </c>
      <c r="K8698" t="s">
        <v>1618</v>
      </c>
      <c r="M8698" t="s">
        <v>1629</v>
      </c>
      <c r="N8698">
        <v>43.79</v>
      </c>
      <c r="O8698" s="49">
        <v>44432</v>
      </c>
      <c r="P8698" s="50">
        <v>336.06900000000002</v>
      </c>
    </row>
    <row r="8699" spans="4:16" x14ac:dyDescent="0.2">
      <c r="D8699">
        <v>100005197</v>
      </c>
      <c r="E8699" s="49">
        <v>44929</v>
      </c>
      <c r="F8699" t="s">
        <v>6373</v>
      </c>
      <c r="G8699" t="s">
        <v>2514</v>
      </c>
      <c r="H8699">
        <v>1</v>
      </c>
      <c r="I8699">
        <v>75.58</v>
      </c>
      <c r="J8699" s="50">
        <v>75.58</v>
      </c>
      <c r="K8699" t="s">
        <v>1618</v>
      </c>
      <c r="M8699" t="s">
        <v>1624</v>
      </c>
      <c r="N8699">
        <v>39.89</v>
      </c>
      <c r="O8699" s="49">
        <v>44931</v>
      </c>
      <c r="P8699" s="50">
        <v>34.011000000000003</v>
      </c>
    </row>
    <row r="8700" spans="4:16" x14ac:dyDescent="0.2">
      <c r="D8700">
        <v>100005200</v>
      </c>
      <c r="E8700" s="49">
        <v>45535</v>
      </c>
      <c r="F8700" t="s">
        <v>6374</v>
      </c>
      <c r="G8700" t="s">
        <v>1642</v>
      </c>
      <c r="H8700">
        <v>2</v>
      </c>
      <c r="I8700">
        <v>112.44</v>
      </c>
      <c r="J8700" s="50">
        <v>224.88</v>
      </c>
      <c r="K8700" t="s">
        <v>1632</v>
      </c>
      <c r="M8700" t="s">
        <v>1627</v>
      </c>
      <c r="N8700">
        <v>59.34</v>
      </c>
      <c r="O8700" s="49">
        <v>45538</v>
      </c>
      <c r="P8700" s="50">
        <v>101.196</v>
      </c>
    </row>
    <row r="8701" spans="4:16" x14ac:dyDescent="0.2">
      <c r="D8701">
        <v>100005201</v>
      </c>
      <c r="E8701" s="49">
        <v>45613</v>
      </c>
      <c r="F8701" t="s">
        <v>6375</v>
      </c>
      <c r="G8701" t="s">
        <v>1699</v>
      </c>
      <c r="H8701">
        <v>2</v>
      </c>
      <c r="I8701">
        <v>50.87</v>
      </c>
      <c r="J8701" s="50">
        <v>101.74</v>
      </c>
      <c r="K8701" t="s">
        <v>1618</v>
      </c>
      <c r="M8701" t="s">
        <v>1629</v>
      </c>
      <c r="N8701">
        <v>26.85</v>
      </c>
      <c r="O8701" s="49">
        <v>45614</v>
      </c>
      <c r="P8701" s="50">
        <v>45.783000000000001</v>
      </c>
    </row>
    <row r="8702" spans="4:16" x14ac:dyDescent="0.2">
      <c r="D8702">
        <v>100005202</v>
      </c>
      <c r="E8702" s="49">
        <v>45079</v>
      </c>
      <c r="F8702" t="s">
        <v>6376</v>
      </c>
      <c r="G8702" t="s">
        <v>1782</v>
      </c>
      <c r="H8702">
        <v>1</v>
      </c>
      <c r="I8702">
        <v>36.340000000000003</v>
      </c>
      <c r="J8702" s="50">
        <v>36.340000000000003</v>
      </c>
      <c r="K8702" t="s">
        <v>1632</v>
      </c>
      <c r="L8702" t="s">
        <v>6377</v>
      </c>
      <c r="M8702" t="s">
        <v>1621</v>
      </c>
      <c r="N8702">
        <v>19.18</v>
      </c>
      <c r="O8702" s="49">
        <v>45080</v>
      </c>
      <c r="P8702" s="50">
        <v>16.353000000000002</v>
      </c>
    </row>
    <row r="8703" spans="4:16" x14ac:dyDescent="0.2">
      <c r="D8703">
        <v>100005202</v>
      </c>
      <c r="E8703" s="49">
        <v>45401</v>
      </c>
      <c r="F8703" t="s">
        <v>6376</v>
      </c>
      <c r="G8703" t="s">
        <v>1641</v>
      </c>
      <c r="H8703">
        <v>1</v>
      </c>
      <c r="I8703">
        <v>109.98</v>
      </c>
      <c r="J8703" s="50">
        <v>109.98</v>
      </c>
      <c r="K8703" t="s">
        <v>1632</v>
      </c>
      <c r="L8703" t="s">
        <v>6377</v>
      </c>
      <c r="M8703" t="s">
        <v>1619</v>
      </c>
      <c r="N8703">
        <v>58.04</v>
      </c>
      <c r="O8703" s="49">
        <v>45402</v>
      </c>
      <c r="P8703" s="50">
        <v>49.491</v>
      </c>
    </row>
    <row r="8704" spans="4:16" x14ac:dyDescent="0.2">
      <c r="D8704">
        <v>100005202</v>
      </c>
      <c r="E8704" s="49">
        <v>45130</v>
      </c>
      <c r="F8704" t="s">
        <v>6376</v>
      </c>
      <c r="G8704" t="s">
        <v>2343</v>
      </c>
      <c r="H8704">
        <v>7</v>
      </c>
      <c r="I8704">
        <v>75.47</v>
      </c>
      <c r="J8704" s="50">
        <v>528.29</v>
      </c>
      <c r="K8704" t="s">
        <v>1632</v>
      </c>
      <c r="L8704" t="s">
        <v>6377</v>
      </c>
      <c r="M8704" t="s">
        <v>1619</v>
      </c>
      <c r="N8704">
        <v>39.83</v>
      </c>
      <c r="O8704" s="49">
        <v>45134</v>
      </c>
      <c r="P8704" s="50">
        <v>237.73049999999998</v>
      </c>
    </row>
    <row r="8705" spans="4:16" x14ac:dyDescent="0.2">
      <c r="D8705">
        <v>100005203</v>
      </c>
      <c r="E8705" s="49">
        <v>45230</v>
      </c>
      <c r="F8705" t="s">
        <v>6378</v>
      </c>
      <c r="G8705" t="s">
        <v>1676</v>
      </c>
      <c r="H8705">
        <v>4</v>
      </c>
      <c r="I8705">
        <v>14.22</v>
      </c>
      <c r="J8705" s="50">
        <v>56.88</v>
      </c>
      <c r="K8705" t="s">
        <v>1618</v>
      </c>
      <c r="M8705" t="s">
        <v>1627</v>
      </c>
      <c r="N8705">
        <v>7.5</v>
      </c>
      <c r="O8705" s="49">
        <v>45235</v>
      </c>
      <c r="P8705" s="50">
        <v>25.596</v>
      </c>
    </row>
    <row r="8706" spans="4:16" x14ac:dyDescent="0.2">
      <c r="D8706">
        <v>100005203</v>
      </c>
      <c r="E8706" s="49">
        <v>45309</v>
      </c>
      <c r="F8706" t="s">
        <v>6378</v>
      </c>
      <c r="G8706" t="s">
        <v>2050</v>
      </c>
      <c r="H8706">
        <v>3</v>
      </c>
      <c r="I8706">
        <v>118.12</v>
      </c>
      <c r="J8706" s="50">
        <v>354.36</v>
      </c>
      <c r="K8706" t="s">
        <v>1618</v>
      </c>
      <c r="M8706" t="s">
        <v>1627</v>
      </c>
      <c r="N8706">
        <v>62.34</v>
      </c>
      <c r="O8706" s="49">
        <v>45312</v>
      </c>
      <c r="P8706" s="50">
        <v>159.46200000000002</v>
      </c>
    </row>
    <row r="8707" spans="4:16" x14ac:dyDescent="0.2">
      <c r="D8707">
        <v>100005203</v>
      </c>
      <c r="E8707" s="49">
        <v>44925</v>
      </c>
      <c r="F8707" t="s">
        <v>6378</v>
      </c>
      <c r="G8707" t="s">
        <v>1820</v>
      </c>
      <c r="H8707">
        <v>1</v>
      </c>
      <c r="I8707">
        <v>81.3</v>
      </c>
      <c r="J8707" s="50">
        <v>81.3</v>
      </c>
      <c r="K8707" t="s">
        <v>1618</v>
      </c>
      <c r="M8707" t="s">
        <v>1627</v>
      </c>
      <c r="N8707">
        <v>42.91</v>
      </c>
      <c r="O8707" s="49">
        <v>44926</v>
      </c>
      <c r="P8707" s="50">
        <v>36.585000000000001</v>
      </c>
    </row>
    <row r="8708" spans="4:16" x14ac:dyDescent="0.2">
      <c r="D8708">
        <v>100005204</v>
      </c>
      <c r="E8708" s="49">
        <v>44486</v>
      </c>
      <c r="F8708" t="s">
        <v>6379</v>
      </c>
      <c r="G8708" t="s">
        <v>2436</v>
      </c>
      <c r="H8708">
        <v>5</v>
      </c>
      <c r="I8708">
        <v>24.39</v>
      </c>
      <c r="J8708" s="50">
        <v>121.95</v>
      </c>
      <c r="K8708" t="s">
        <v>1618</v>
      </c>
      <c r="M8708" t="s">
        <v>1621</v>
      </c>
      <c r="N8708">
        <v>12.87</v>
      </c>
      <c r="O8708" s="49">
        <v>44487</v>
      </c>
      <c r="P8708" s="50">
        <v>54.877500000000005</v>
      </c>
    </row>
    <row r="8709" spans="4:16" x14ac:dyDescent="0.2">
      <c r="D8709">
        <v>100005205</v>
      </c>
      <c r="E8709" s="49">
        <v>45612</v>
      </c>
      <c r="F8709" t="s">
        <v>6380</v>
      </c>
      <c r="G8709" t="s">
        <v>1841</v>
      </c>
      <c r="H8709">
        <v>8</v>
      </c>
      <c r="I8709">
        <v>23.73</v>
      </c>
      <c r="J8709" s="50">
        <v>189.84</v>
      </c>
      <c r="K8709" t="s">
        <v>1618</v>
      </c>
      <c r="M8709" t="s">
        <v>1629</v>
      </c>
      <c r="N8709">
        <v>12.52</v>
      </c>
      <c r="O8709" s="49">
        <v>45614</v>
      </c>
      <c r="P8709" s="50">
        <v>85.427999999999997</v>
      </c>
    </row>
    <row r="8710" spans="4:16" x14ac:dyDescent="0.2">
      <c r="D8710">
        <v>100005205</v>
      </c>
      <c r="E8710" s="49">
        <v>45469</v>
      </c>
      <c r="F8710" t="s">
        <v>6380</v>
      </c>
      <c r="G8710" t="s">
        <v>1877</v>
      </c>
      <c r="H8710">
        <v>4</v>
      </c>
      <c r="I8710">
        <v>38.619999999999997</v>
      </c>
      <c r="J8710" s="50">
        <v>154.47999999999999</v>
      </c>
      <c r="K8710" t="s">
        <v>1618</v>
      </c>
      <c r="M8710" t="s">
        <v>1627</v>
      </c>
      <c r="N8710">
        <v>20.38</v>
      </c>
      <c r="O8710" s="49">
        <v>45473</v>
      </c>
      <c r="P8710" s="50">
        <v>69.515999999999991</v>
      </c>
    </row>
    <row r="8711" spans="4:16" x14ac:dyDescent="0.2">
      <c r="D8711">
        <v>100005206</v>
      </c>
      <c r="E8711" s="49">
        <v>44668</v>
      </c>
      <c r="F8711" t="s">
        <v>6381</v>
      </c>
      <c r="G8711" t="s">
        <v>1948</v>
      </c>
      <c r="H8711">
        <v>4</v>
      </c>
      <c r="I8711">
        <v>95.22</v>
      </c>
      <c r="J8711" s="50">
        <v>380.88</v>
      </c>
      <c r="K8711" t="s">
        <v>1618</v>
      </c>
      <c r="M8711" t="s">
        <v>1624</v>
      </c>
      <c r="N8711">
        <v>50.25</v>
      </c>
      <c r="O8711" s="49">
        <v>44672</v>
      </c>
      <c r="P8711" s="50">
        <v>171.39600000000002</v>
      </c>
    </row>
    <row r="8712" spans="4:16" x14ac:dyDescent="0.2">
      <c r="D8712">
        <v>100005206</v>
      </c>
      <c r="E8712" s="49">
        <v>44918</v>
      </c>
      <c r="F8712" t="s">
        <v>6381</v>
      </c>
      <c r="G8712" t="s">
        <v>1738</v>
      </c>
      <c r="H8712">
        <v>9</v>
      </c>
      <c r="I8712">
        <v>110.83</v>
      </c>
      <c r="J8712" s="50">
        <v>997.47</v>
      </c>
      <c r="K8712" t="s">
        <v>1618</v>
      </c>
      <c r="M8712" t="s">
        <v>1621</v>
      </c>
      <c r="N8712">
        <v>58.49</v>
      </c>
      <c r="O8712" s="49">
        <v>44921</v>
      </c>
      <c r="P8712" s="50">
        <v>448.86150000000004</v>
      </c>
    </row>
    <row r="8713" spans="4:16" x14ac:dyDescent="0.2">
      <c r="D8713">
        <v>100005206</v>
      </c>
      <c r="E8713" s="49">
        <v>44359</v>
      </c>
      <c r="F8713" t="s">
        <v>6381</v>
      </c>
      <c r="G8713" t="s">
        <v>1667</v>
      </c>
      <c r="H8713">
        <v>5</v>
      </c>
      <c r="I8713">
        <v>103.62</v>
      </c>
      <c r="J8713" s="50">
        <v>518.1</v>
      </c>
      <c r="K8713" t="s">
        <v>1618</v>
      </c>
      <c r="M8713" t="s">
        <v>1621</v>
      </c>
      <c r="N8713">
        <v>54.69</v>
      </c>
      <c r="O8713" s="49">
        <v>44361</v>
      </c>
      <c r="P8713" s="50">
        <v>233.14500000000001</v>
      </c>
    </row>
    <row r="8714" spans="4:16" x14ac:dyDescent="0.2">
      <c r="D8714">
        <v>100005206</v>
      </c>
      <c r="E8714" s="49">
        <v>44877</v>
      </c>
      <c r="F8714" t="s">
        <v>6381</v>
      </c>
      <c r="G8714" t="s">
        <v>1900</v>
      </c>
      <c r="H8714">
        <v>5</v>
      </c>
      <c r="I8714">
        <v>85.29</v>
      </c>
      <c r="J8714" s="50">
        <v>426.45</v>
      </c>
      <c r="K8714" t="s">
        <v>1618</v>
      </c>
      <c r="M8714" t="s">
        <v>1629</v>
      </c>
      <c r="N8714">
        <v>45.01</v>
      </c>
      <c r="O8714" s="49">
        <v>44881</v>
      </c>
      <c r="P8714" s="50">
        <v>191.9025</v>
      </c>
    </row>
    <row r="8715" spans="4:16" x14ac:dyDescent="0.2">
      <c r="D8715">
        <v>100005207</v>
      </c>
      <c r="E8715" s="49">
        <v>44966</v>
      </c>
      <c r="F8715" t="s">
        <v>6382</v>
      </c>
      <c r="G8715" t="s">
        <v>2255</v>
      </c>
      <c r="H8715">
        <v>10</v>
      </c>
      <c r="I8715">
        <v>71.34</v>
      </c>
      <c r="J8715" s="50">
        <v>713.40000000000009</v>
      </c>
      <c r="K8715" t="s">
        <v>1618</v>
      </c>
      <c r="M8715" t="s">
        <v>1624</v>
      </c>
      <c r="N8715">
        <v>37.65</v>
      </c>
      <c r="O8715" s="49">
        <v>44971</v>
      </c>
      <c r="P8715" s="50">
        <v>321.03000000000003</v>
      </c>
    </row>
    <row r="8716" spans="4:16" x14ac:dyDescent="0.2">
      <c r="D8716">
        <v>100005207</v>
      </c>
      <c r="E8716" s="49">
        <v>45288</v>
      </c>
      <c r="F8716" t="s">
        <v>6382</v>
      </c>
      <c r="G8716" t="s">
        <v>2447</v>
      </c>
      <c r="H8716">
        <v>9</v>
      </c>
      <c r="I8716">
        <v>42.25</v>
      </c>
      <c r="J8716" s="50">
        <v>380.25</v>
      </c>
      <c r="K8716" t="s">
        <v>1618</v>
      </c>
      <c r="M8716" t="s">
        <v>1627</v>
      </c>
      <c r="N8716">
        <v>22.3</v>
      </c>
      <c r="O8716" s="49">
        <v>45292</v>
      </c>
      <c r="P8716" s="50">
        <v>171.11250000000001</v>
      </c>
    </row>
    <row r="8717" spans="4:16" x14ac:dyDescent="0.2">
      <c r="D8717">
        <v>100005207</v>
      </c>
      <c r="E8717" s="49">
        <v>44358</v>
      </c>
      <c r="F8717" t="s">
        <v>6382</v>
      </c>
      <c r="G8717" t="s">
        <v>2217</v>
      </c>
      <c r="H8717">
        <v>1</v>
      </c>
      <c r="I8717">
        <v>82.09</v>
      </c>
      <c r="J8717" s="50">
        <v>82.09</v>
      </c>
      <c r="K8717" t="s">
        <v>1618</v>
      </c>
      <c r="M8717" t="s">
        <v>1624</v>
      </c>
      <c r="N8717">
        <v>43.32</v>
      </c>
      <c r="O8717" s="49">
        <v>44362</v>
      </c>
      <c r="P8717" s="50">
        <v>36.9405</v>
      </c>
    </row>
    <row r="8718" spans="4:16" x14ac:dyDescent="0.2">
      <c r="D8718">
        <v>100005209</v>
      </c>
      <c r="E8718" s="49">
        <v>45217</v>
      </c>
      <c r="F8718" t="s">
        <v>6383</v>
      </c>
      <c r="G8718" t="s">
        <v>2328</v>
      </c>
      <c r="H8718">
        <v>10</v>
      </c>
      <c r="I8718">
        <v>117.13</v>
      </c>
      <c r="J8718" s="50">
        <v>1171.3</v>
      </c>
      <c r="K8718" t="s">
        <v>1618</v>
      </c>
      <c r="M8718" t="s">
        <v>1624</v>
      </c>
      <c r="N8718">
        <v>61.82</v>
      </c>
      <c r="O8718" s="49">
        <v>45219</v>
      </c>
      <c r="P8718" s="50">
        <v>527.08500000000004</v>
      </c>
    </row>
    <row r="8719" spans="4:16" x14ac:dyDescent="0.2">
      <c r="D8719">
        <v>100005209</v>
      </c>
      <c r="E8719" s="49">
        <v>45467</v>
      </c>
      <c r="F8719" t="s">
        <v>6383</v>
      </c>
      <c r="G8719" t="s">
        <v>1805</v>
      </c>
      <c r="H8719">
        <v>1</v>
      </c>
      <c r="I8719">
        <v>72.709999999999994</v>
      </c>
      <c r="J8719" s="50">
        <v>72.709999999999994</v>
      </c>
      <c r="K8719" t="s">
        <v>1618</v>
      </c>
      <c r="M8719" t="s">
        <v>1629</v>
      </c>
      <c r="N8719">
        <v>38.369999999999997</v>
      </c>
      <c r="O8719" s="49">
        <v>45471</v>
      </c>
      <c r="P8719" s="50">
        <v>32.719499999999996</v>
      </c>
    </row>
    <row r="8720" spans="4:16" x14ac:dyDescent="0.2">
      <c r="D8720">
        <v>100005209</v>
      </c>
      <c r="E8720" s="49">
        <v>44350</v>
      </c>
      <c r="F8720" t="s">
        <v>6383</v>
      </c>
      <c r="G8720" t="s">
        <v>2514</v>
      </c>
      <c r="H8720">
        <v>10</v>
      </c>
      <c r="I8720">
        <v>100.29</v>
      </c>
      <c r="J8720" s="50">
        <v>1002.9</v>
      </c>
      <c r="K8720" t="s">
        <v>1618</v>
      </c>
      <c r="M8720" t="s">
        <v>1621</v>
      </c>
      <c r="N8720">
        <v>52.93</v>
      </c>
      <c r="O8720" s="49">
        <v>44354</v>
      </c>
      <c r="P8720" s="50">
        <v>451.30500000000001</v>
      </c>
    </row>
    <row r="8721" spans="4:16" x14ac:dyDescent="0.2">
      <c r="D8721">
        <v>100005209</v>
      </c>
      <c r="E8721" s="49">
        <v>44929</v>
      </c>
      <c r="F8721" t="s">
        <v>6383</v>
      </c>
      <c r="G8721" t="s">
        <v>2343</v>
      </c>
      <c r="H8721">
        <v>4</v>
      </c>
      <c r="I8721">
        <v>54.54</v>
      </c>
      <c r="J8721" s="50">
        <v>218.16</v>
      </c>
      <c r="K8721" t="s">
        <v>1618</v>
      </c>
      <c r="M8721" t="s">
        <v>1619</v>
      </c>
      <c r="N8721">
        <v>28.78</v>
      </c>
      <c r="O8721" s="49">
        <v>44932</v>
      </c>
      <c r="P8721" s="50">
        <v>98.171999999999997</v>
      </c>
    </row>
    <row r="8722" spans="4:16" x14ac:dyDescent="0.2">
      <c r="D8722">
        <v>100005210</v>
      </c>
      <c r="E8722" s="49">
        <v>45496</v>
      </c>
      <c r="F8722" t="s">
        <v>6384</v>
      </c>
      <c r="G8722" t="s">
        <v>1721</v>
      </c>
      <c r="H8722">
        <v>9</v>
      </c>
      <c r="I8722">
        <v>93.08</v>
      </c>
      <c r="J8722" s="50">
        <v>837.72</v>
      </c>
      <c r="K8722" t="s">
        <v>1618</v>
      </c>
      <c r="M8722" t="s">
        <v>1619</v>
      </c>
      <c r="N8722">
        <v>49.13</v>
      </c>
      <c r="O8722" s="49">
        <v>45499</v>
      </c>
      <c r="P8722" s="50">
        <v>376.97400000000005</v>
      </c>
    </row>
    <row r="8723" spans="4:16" x14ac:dyDescent="0.2">
      <c r="D8723">
        <v>100005210</v>
      </c>
      <c r="E8723" s="49">
        <v>45517</v>
      </c>
      <c r="F8723" t="s">
        <v>6384</v>
      </c>
      <c r="G8723" t="s">
        <v>1802</v>
      </c>
      <c r="H8723">
        <v>7</v>
      </c>
      <c r="I8723">
        <v>88.77</v>
      </c>
      <c r="J8723" s="50">
        <v>621.39</v>
      </c>
      <c r="K8723" t="s">
        <v>1618</v>
      </c>
      <c r="M8723" t="s">
        <v>1624</v>
      </c>
      <c r="N8723">
        <v>46.85</v>
      </c>
      <c r="O8723" s="49">
        <v>45518</v>
      </c>
      <c r="P8723" s="50">
        <v>279.62549999999999</v>
      </c>
    </row>
    <row r="8724" spans="4:16" x14ac:dyDescent="0.2">
      <c r="D8724">
        <v>100005210</v>
      </c>
      <c r="E8724" s="49">
        <v>44535</v>
      </c>
      <c r="F8724" t="s">
        <v>6384</v>
      </c>
      <c r="G8724" t="s">
        <v>2047</v>
      </c>
      <c r="H8724">
        <v>7</v>
      </c>
      <c r="I8724">
        <v>40.97</v>
      </c>
      <c r="J8724" s="50">
        <v>286.79000000000002</v>
      </c>
      <c r="K8724" t="s">
        <v>1618</v>
      </c>
      <c r="M8724" t="s">
        <v>1629</v>
      </c>
      <c r="N8724">
        <v>21.62</v>
      </c>
      <c r="O8724" s="49">
        <v>44539</v>
      </c>
      <c r="P8724" s="50">
        <v>129.05550000000002</v>
      </c>
    </row>
    <row r="8725" spans="4:16" x14ac:dyDescent="0.2">
      <c r="D8725">
        <v>100005212</v>
      </c>
      <c r="E8725" s="49">
        <v>44939</v>
      </c>
      <c r="F8725" t="s">
        <v>6385</v>
      </c>
      <c r="G8725" t="s">
        <v>1709</v>
      </c>
      <c r="H8725">
        <v>10</v>
      </c>
      <c r="I8725">
        <v>26.72</v>
      </c>
      <c r="J8725" s="50">
        <v>267.2</v>
      </c>
      <c r="K8725" t="s">
        <v>1618</v>
      </c>
      <c r="M8725" t="s">
        <v>1621</v>
      </c>
      <c r="N8725">
        <v>14.1</v>
      </c>
      <c r="O8725" s="49">
        <v>44942</v>
      </c>
      <c r="P8725" s="50">
        <v>120.24</v>
      </c>
    </row>
    <row r="8726" spans="4:16" x14ac:dyDescent="0.2">
      <c r="D8726">
        <v>100005213</v>
      </c>
      <c r="E8726" s="49">
        <v>45570</v>
      </c>
      <c r="F8726" t="s">
        <v>6386</v>
      </c>
      <c r="G8726" t="s">
        <v>2485</v>
      </c>
      <c r="H8726">
        <v>1</v>
      </c>
      <c r="I8726">
        <v>72.09</v>
      </c>
      <c r="J8726" s="50">
        <v>72.09</v>
      </c>
      <c r="K8726" t="s">
        <v>1618</v>
      </c>
      <c r="M8726" t="s">
        <v>1619</v>
      </c>
      <c r="N8726">
        <v>38.049999999999997</v>
      </c>
      <c r="O8726" s="49">
        <v>45574</v>
      </c>
      <c r="P8726" s="50">
        <v>32.4405</v>
      </c>
    </row>
    <row r="8727" spans="4:16" x14ac:dyDescent="0.2">
      <c r="D8727">
        <v>100005215</v>
      </c>
      <c r="E8727" s="49">
        <v>45400</v>
      </c>
      <c r="F8727" t="s">
        <v>6387</v>
      </c>
      <c r="G8727" t="s">
        <v>2418</v>
      </c>
      <c r="H8727">
        <v>5</v>
      </c>
      <c r="I8727">
        <v>42.29</v>
      </c>
      <c r="J8727" s="50">
        <v>211.45</v>
      </c>
      <c r="K8727" t="s">
        <v>1618</v>
      </c>
      <c r="M8727" t="s">
        <v>1627</v>
      </c>
      <c r="N8727">
        <v>22.32</v>
      </c>
      <c r="O8727" s="49">
        <v>45405</v>
      </c>
      <c r="P8727" s="50">
        <v>95.152500000000003</v>
      </c>
    </row>
    <row r="8728" spans="4:16" x14ac:dyDescent="0.2">
      <c r="D8728">
        <v>100005215</v>
      </c>
      <c r="E8728" s="49">
        <v>44853</v>
      </c>
      <c r="F8728" t="s">
        <v>6387</v>
      </c>
      <c r="G8728" t="s">
        <v>1626</v>
      </c>
      <c r="H8728">
        <v>4</v>
      </c>
      <c r="I8728">
        <v>16.02</v>
      </c>
      <c r="J8728" s="50">
        <v>64.08</v>
      </c>
      <c r="K8728" t="s">
        <v>1618</v>
      </c>
      <c r="M8728" t="s">
        <v>1624</v>
      </c>
      <c r="N8728">
        <v>8.4499999999999993</v>
      </c>
      <c r="O8728" s="49">
        <v>44855</v>
      </c>
      <c r="P8728" s="50">
        <v>28.835999999999999</v>
      </c>
    </row>
    <row r="8729" spans="4:16" x14ac:dyDescent="0.2">
      <c r="D8729">
        <v>100005217</v>
      </c>
      <c r="E8729" s="49">
        <v>44900</v>
      </c>
      <c r="F8729" t="s">
        <v>6388</v>
      </c>
      <c r="G8729" t="s">
        <v>1636</v>
      </c>
      <c r="H8729">
        <v>7</v>
      </c>
      <c r="I8729">
        <v>28.29</v>
      </c>
      <c r="J8729" s="50">
        <v>198.03</v>
      </c>
      <c r="K8729" t="s">
        <v>1618</v>
      </c>
      <c r="M8729" t="s">
        <v>1627</v>
      </c>
      <c r="N8729">
        <v>14.93</v>
      </c>
      <c r="O8729" s="49">
        <v>44901</v>
      </c>
      <c r="P8729" s="50">
        <v>89.113500000000002</v>
      </c>
    </row>
    <row r="8730" spans="4:16" x14ac:dyDescent="0.2">
      <c r="D8730">
        <v>100005218</v>
      </c>
      <c r="E8730" s="49">
        <v>44724</v>
      </c>
      <c r="F8730" t="s">
        <v>6389</v>
      </c>
      <c r="G8730" t="s">
        <v>1921</v>
      </c>
      <c r="H8730">
        <v>9</v>
      </c>
      <c r="I8730">
        <v>18.03</v>
      </c>
      <c r="J8730" s="50">
        <v>162.27000000000001</v>
      </c>
      <c r="K8730" t="s">
        <v>1632</v>
      </c>
      <c r="M8730" t="s">
        <v>1627</v>
      </c>
      <c r="N8730">
        <v>9.52</v>
      </c>
      <c r="O8730" s="49">
        <v>44727</v>
      </c>
      <c r="P8730" s="50">
        <v>73.021500000000003</v>
      </c>
    </row>
    <row r="8731" spans="4:16" x14ac:dyDescent="0.2">
      <c r="D8731">
        <v>100005219</v>
      </c>
      <c r="E8731" s="49">
        <v>44391</v>
      </c>
      <c r="F8731" t="s">
        <v>6390</v>
      </c>
      <c r="G8731" t="s">
        <v>2706</v>
      </c>
      <c r="H8731">
        <v>6</v>
      </c>
      <c r="I8731">
        <v>40.01</v>
      </c>
      <c r="J8731" s="50">
        <v>240.06</v>
      </c>
      <c r="K8731" t="s">
        <v>1618</v>
      </c>
      <c r="M8731" t="s">
        <v>1627</v>
      </c>
      <c r="N8731">
        <v>21.12</v>
      </c>
      <c r="O8731" s="49">
        <v>44392</v>
      </c>
      <c r="P8731" s="50">
        <v>108.027</v>
      </c>
    </row>
    <row r="8732" spans="4:16" x14ac:dyDescent="0.2">
      <c r="D8732">
        <v>100005220</v>
      </c>
      <c r="E8732" s="49">
        <v>44481</v>
      </c>
      <c r="F8732" t="s">
        <v>6391</v>
      </c>
      <c r="G8732" t="s">
        <v>1948</v>
      </c>
      <c r="H8732">
        <v>3</v>
      </c>
      <c r="I8732">
        <v>99.28</v>
      </c>
      <c r="J8732" s="50">
        <v>297.83999999999997</v>
      </c>
      <c r="K8732" t="s">
        <v>1618</v>
      </c>
      <c r="M8732" t="s">
        <v>1627</v>
      </c>
      <c r="N8732">
        <v>52.4</v>
      </c>
      <c r="O8732" s="49">
        <v>44483</v>
      </c>
      <c r="P8732" s="50">
        <v>134.02799999999999</v>
      </c>
    </row>
    <row r="8733" spans="4:16" x14ac:dyDescent="0.2">
      <c r="D8733">
        <v>100005221</v>
      </c>
      <c r="E8733" s="49">
        <v>44479</v>
      </c>
      <c r="F8733" t="s">
        <v>6392</v>
      </c>
      <c r="G8733" t="s">
        <v>2033</v>
      </c>
      <c r="H8733">
        <v>1</v>
      </c>
      <c r="I8733">
        <v>35.01</v>
      </c>
      <c r="J8733" s="50">
        <v>35.01</v>
      </c>
      <c r="K8733" t="s">
        <v>1618</v>
      </c>
      <c r="L8733" t="s">
        <v>2723</v>
      </c>
      <c r="M8733" t="s">
        <v>1629</v>
      </c>
      <c r="N8733">
        <v>18.48</v>
      </c>
      <c r="O8733" s="49">
        <v>44484</v>
      </c>
      <c r="P8733" s="50">
        <v>15.7545</v>
      </c>
    </row>
    <row r="8734" spans="4:16" x14ac:dyDescent="0.2">
      <c r="D8734">
        <v>100005222</v>
      </c>
      <c r="E8734" s="49">
        <v>45629</v>
      </c>
      <c r="F8734" t="s">
        <v>6393</v>
      </c>
      <c r="G8734" t="s">
        <v>2069</v>
      </c>
      <c r="H8734">
        <v>8</v>
      </c>
      <c r="I8734">
        <v>101.54</v>
      </c>
      <c r="J8734" s="50">
        <v>812.32</v>
      </c>
      <c r="K8734" t="s">
        <v>1632</v>
      </c>
      <c r="M8734" t="s">
        <v>1629</v>
      </c>
      <c r="N8734">
        <v>53.59</v>
      </c>
      <c r="O8734" s="49">
        <v>45631</v>
      </c>
      <c r="P8734" s="50">
        <v>365.54400000000004</v>
      </c>
    </row>
    <row r="8735" spans="4:16" x14ac:dyDescent="0.2">
      <c r="D8735">
        <v>100005223</v>
      </c>
      <c r="E8735" s="49">
        <v>44794</v>
      </c>
      <c r="F8735" t="s">
        <v>6394</v>
      </c>
      <c r="G8735" t="s">
        <v>1697</v>
      </c>
      <c r="H8735">
        <v>9</v>
      </c>
      <c r="I8735">
        <v>116.65</v>
      </c>
      <c r="J8735" s="50">
        <v>1049.8499999999999</v>
      </c>
      <c r="K8735" t="s">
        <v>1618</v>
      </c>
      <c r="M8735" t="s">
        <v>1627</v>
      </c>
      <c r="N8735">
        <v>61.56</v>
      </c>
      <c r="O8735" s="49">
        <v>44797</v>
      </c>
      <c r="P8735" s="50">
        <v>472.43249999999995</v>
      </c>
    </row>
    <row r="8736" spans="4:16" x14ac:dyDescent="0.2">
      <c r="D8736">
        <v>100005223</v>
      </c>
      <c r="E8736" s="49">
        <v>45607</v>
      </c>
      <c r="F8736" t="s">
        <v>6394</v>
      </c>
      <c r="G8736" t="s">
        <v>2024</v>
      </c>
      <c r="H8736">
        <v>8</v>
      </c>
      <c r="I8736">
        <v>95.42</v>
      </c>
      <c r="J8736" s="50">
        <v>763.36</v>
      </c>
      <c r="K8736" t="s">
        <v>1618</v>
      </c>
      <c r="M8736" t="s">
        <v>1629</v>
      </c>
      <c r="N8736">
        <v>50.36</v>
      </c>
      <c r="O8736" s="49">
        <v>45609</v>
      </c>
      <c r="P8736" s="50">
        <v>343.512</v>
      </c>
    </row>
    <row r="8737" spans="4:16" x14ac:dyDescent="0.2">
      <c r="D8737">
        <v>100005223</v>
      </c>
      <c r="E8737" s="49">
        <v>44481</v>
      </c>
      <c r="F8737" t="s">
        <v>6394</v>
      </c>
      <c r="G8737" t="s">
        <v>2301</v>
      </c>
      <c r="H8737">
        <v>9</v>
      </c>
      <c r="I8737">
        <v>57.76</v>
      </c>
      <c r="J8737" s="50">
        <v>519.84</v>
      </c>
      <c r="K8737" t="s">
        <v>1618</v>
      </c>
      <c r="M8737" t="s">
        <v>1624</v>
      </c>
      <c r="N8737">
        <v>30.48</v>
      </c>
      <c r="O8737" s="49">
        <v>44483</v>
      </c>
      <c r="P8737" s="50">
        <v>233.92800000000003</v>
      </c>
    </row>
    <row r="8738" spans="4:16" x14ac:dyDescent="0.2">
      <c r="D8738">
        <v>100005223</v>
      </c>
      <c r="E8738" s="49">
        <v>44297</v>
      </c>
      <c r="F8738" t="s">
        <v>6394</v>
      </c>
      <c r="G8738" t="s">
        <v>1787</v>
      </c>
      <c r="H8738">
        <v>10</v>
      </c>
      <c r="I8738">
        <v>95.56</v>
      </c>
      <c r="J8738" s="50">
        <v>955.6</v>
      </c>
      <c r="K8738" t="s">
        <v>1618</v>
      </c>
      <c r="M8738" t="s">
        <v>1619</v>
      </c>
      <c r="N8738">
        <v>50.43</v>
      </c>
      <c r="O8738" s="49">
        <v>44298</v>
      </c>
      <c r="P8738" s="50">
        <v>430.02000000000004</v>
      </c>
    </row>
    <row r="8739" spans="4:16" x14ac:dyDescent="0.2">
      <c r="D8739">
        <v>100005223</v>
      </c>
      <c r="E8739" s="49">
        <v>45591</v>
      </c>
      <c r="F8739" t="s">
        <v>6394</v>
      </c>
      <c r="G8739" t="s">
        <v>1939</v>
      </c>
      <c r="H8739">
        <v>3</v>
      </c>
      <c r="I8739">
        <v>73.48</v>
      </c>
      <c r="J8739" s="50">
        <v>220.44</v>
      </c>
      <c r="K8739" t="s">
        <v>1618</v>
      </c>
      <c r="M8739" t="s">
        <v>1627</v>
      </c>
      <c r="N8739">
        <v>38.78</v>
      </c>
      <c r="O8739" s="49">
        <v>45592</v>
      </c>
      <c r="P8739" s="50">
        <v>99.198000000000008</v>
      </c>
    </row>
    <row r="8740" spans="4:16" x14ac:dyDescent="0.2">
      <c r="D8740">
        <v>100005223</v>
      </c>
      <c r="E8740" s="49">
        <v>44655</v>
      </c>
      <c r="F8740" t="s">
        <v>6394</v>
      </c>
      <c r="G8740" t="s">
        <v>2762</v>
      </c>
      <c r="H8740">
        <v>5</v>
      </c>
      <c r="I8740">
        <v>84.98</v>
      </c>
      <c r="J8740" s="50">
        <v>424.9</v>
      </c>
      <c r="K8740" t="s">
        <v>1618</v>
      </c>
      <c r="M8740" t="s">
        <v>1629</v>
      </c>
      <c r="N8740">
        <v>44.85</v>
      </c>
      <c r="O8740" s="49">
        <v>44660</v>
      </c>
      <c r="P8740" s="50">
        <v>191.20499999999998</v>
      </c>
    </row>
    <row r="8741" spans="4:16" x14ac:dyDescent="0.2">
      <c r="D8741">
        <v>100005224</v>
      </c>
      <c r="E8741" s="49">
        <v>44608</v>
      </c>
      <c r="F8741" t="s">
        <v>6395</v>
      </c>
      <c r="G8741" t="s">
        <v>2151</v>
      </c>
      <c r="H8741">
        <v>4</v>
      </c>
      <c r="I8741">
        <v>75.5</v>
      </c>
      <c r="J8741" s="50">
        <v>302</v>
      </c>
      <c r="K8741" t="s">
        <v>1632</v>
      </c>
      <c r="M8741" t="s">
        <v>1629</v>
      </c>
      <c r="N8741">
        <v>39.85</v>
      </c>
      <c r="O8741" s="49">
        <v>44609</v>
      </c>
      <c r="P8741" s="50">
        <v>135.9</v>
      </c>
    </row>
    <row r="8742" spans="4:16" x14ac:dyDescent="0.2">
      <c r="D8742">
        <v>100005224</v>
      </c>
      <c r="E8742" s="49">
        <v>44621</v>
      </c>
      <c r="F8742" t="s">
        <v>6395</v>
      </c>
      <c r="G8742" t="s">
        <v>1674</v>
      </c>
      <c r="H8742">
        <v>4</v>
      </c>
      <c r="I8742">
        <v>24.2</v>
      </c>
      <c r="J8742" s="50">
        <v>96.8</v>
      </c>
      <c r="K8742" t="s">
        <v>1632</v>
      </c>
      <c r="M8742" t="s">
        <v>1629</v>
      </c>
      <c r="N8742">
        <v>12.77</v>
      </c>
      <c r="O8742" s="49">
        <v>44623</v>
      </c>
      <c r="P8742" s="50">
        <v>43.56</v>
      </c>
    </row>
    <row r="8743" spans="4:16" x14ac:dyDescent="0.2">
      <c r="D8743">
        <v>100005225</v>
      </c>
      <c r="E8743" s="49">
        <v>45288</v>
      </c>
      <c r="F8743" t="s">
        <v>6396</v>
      </c>
      <c r="G8743" t="s">
        <v>2706</v>
      </c>
      <c r="H8743">
        <v>2</v>
      </c>
      <c r="I8743">
        <v>92.46</v>
      </c>
      <c r="J8743" s="50">
        <v>184.92</v>
      </c>
      <c r="K8743" t="s">
        <v>1618</v>
      </c>
      <c r="M8743" t="s">
        <v>1619</v>
      </c>
      <c r="N8743">
        <v>48.8</v>
      </c>
      <c r="O8743" s="49">
        <v>45292</v>
      </c>
      <c r="P8743" s="50">
        <v>83.213999999999999</v>
      </c>
    </row>
    <row r="8744" spans="4:16" x14ac:dyDescent="0.2">
      <c r="D8744">
        <v>100005225</v>
      </c>
      <c r="E8744" s="49">
        <v>44708</v>
      </c>
      <c r="F8744" t="s">
        <v>6396</v>
      </c>
      <c r="G8744" t="s">
        <v>1872</v>
      </c>
      <c r="H8744">
        <v>9</v>
      </c>
      <c r="I8744">
        <v>41.73</v>
      </c>
      <c r="J8744" s="50">
        <v>375.57</v>
      </c>
      <c r="K8744" t="s">
        <v>1618</v>
      </c>
      <c r="M8744" t="s">
        <v>1624</v>
      </c>
      <c r="N8744">
        <v>22.02</v>
      </c>
      <c r="O8744" s="49">
        <v>44710</v>
      </c>
      <c r="P8744" s="50">
        <v>169.00649999999999</v>
      </c>
    </row>
    <row r="8745" spans="4:16" x14ac:dyDescent="0.2">
      <c r="D8745">
        <v>100005226</v>
      </c>
      <c r="E8745" s="49">
        <v>45249</v>
      </c>
      <c r="F8745" t="s">
        <v>6397</v>
      </c>
      <c r="G8745" t="s">
        <v>2024</v>
      </c>
      <c r="H8745">
        <v>8</v>
      </c>
      <c r="I8745">
        <v>112.61</v>
      </c>
      <c r="J8745" s="50">
        <v>900.88</v>
      </c>
      <c r="K8745" t="s">
        <v>1618</v>
      </c>
      <c r="L8745" t="s">
        <v>6398</v>
      </c>
      <c r="M8745" t="s">
        <v>1624</v>
      </c>
      <c r="N8745">
        <v>59.43</v>
      </c>
      <c r="O8745" s="49">
        <v>45250</v>
      </c>
      <c r="P8745" s="50">
        <v>405.39600000000002</v>
      </c>
    </row>
    <row r="8746" spans="4:16" x14ac:dyDescent="0.2">
      <c r="D8746">
        <v>100005227</v>
      </c>
      <c r="E8746" s="49">
        <v>45148</v>
      </c>
      <c r="F8746" t="s">
        <v>6399</v>
      </c>
      <c r="G8746" t="s">
        <v>3135</v>
      </c>
      <c r="H8746">
        <v>1</v>
      </c>
      <c r="I8746">
        <v>14.03</v>
      </c>
      <c r="J8746" s="50">
        <v>14.03</v>
      </c>
      <c r="K8746" t="s">
        <v>1618</v>
      </c>
      <c r="M8746" t="s">
        <v>1624</v>
      </c>
      <c r="N8746">
        <v>7.4</v>
      </c>
      <c r="O8746" s="49">
        <v>45152</v>
      </c>
      <c r="P8746" s="50">
        <v>6.3134999999999994</v>
      </c>
    </row>
    <row r="8747" spans="4:16" x14ac:dyDescent="0.2">
      <c r="D8747">
        <v>100005229</v>
      </c>
      <c r="E8747" s="49">
        <v>45504</v>
      </c>
      <c r="F8747" t="s">
        <v>6400</v>
      </c>
      <c r="G8747" t="s">
        <v>1664</v>
      </c>
      <c r="H8747">
        <v>9</v>
      </c>
      <c r="I8747">
        <v>40.39</v>
      </c>
      <c r="J8747" s="50">
        <v>363.51</v>
      </c>
      <c r="K8747" t="s">
        <v>1618</v>
      </c>
      <c r="M8747" t="s">
        <v>1627</v>
      </c>
      <c r="N8747">
        <v>21.32</v>
      </c>
      <c r="O8747" s="49">
        <v>45509</v>
      </c>
      <c r="P8747" s="50">
        <v>163.5795</v>
      </c>
    </row>
    <row r="8748" spans="4:16" x14ac:dyDescent="0.2">
      <c r="D8748">
        <v>100005230</v>
      </c>
      <c r="E8748" s="49">
        <v>45081</v>
      </c>
      <c r="F8748" t="s">
        <v>6401</v>
      </c>
      <c r="G8748" t="s">
        <v>1760</v>
      </c>
      <c r="H8748">
        <v>5</v>
      </c>
      <c r="I8748">
        <v>108.41</v>
      </c>
      <c r="J8748" s="50">
        <v>542.04999999999995</v>
      </c>
      <c r="K8748" t="s">
        <v>1618</v>
      </c>
      <c r="L8748" t="s">
        <v>6402</v>
      </c>
      <c r="M8748" t="s">
        <v>1627</v>
      </c>
      <c r="N8748">
        <v>57.22</v>
      </c>
      <c r="O8748" s="49">
        <v>45086</v>
      </c>
      <c r="P8748" s="50">
        <v>243.92249999999999</v>
      </c>
    </row>
    <row r="8749" spans="4:16" x14ac:dyDescent="0.2">
      <c r="D8749">
        <v>100005231</v>
      </c>
      <c r="E8749" s="49">
        <v>45442</v>
      </c>
      <c r="F8749" t="s">
        <v>6403</v>
      </c>
      <c r="G8749" t="s">
        <v>1670</v>
      </c>
      <c r="H8749">
        <v>7</v>
      </c>
      <c r="I8749">
        <v>10.18</v>
      </c>
      <c r="J8749" s="50">
        <v>71.259999999999991</v>
      </c>
      <c r="K8749" t="s">
        <v>1618</v>
      </c>
      <c r="M8749" t="s">
        <v>1621</v>
      </c>
      <c r="N8749">
        <v>5.37</v>
      </c>
      <c r="O8749" s="49">
        <v>45445</v>
      </c>
      <c r="P8749" s="50">
        <v>32.067</v>
      </c>
    </row>
    <row r="8750" spans="4:16" x14ac:dyDescent="0.2">
      <c r="D8750">
        <v>100005232</v>
      </c>
      <c r="E8750" s="49">
        <v>45114</v>
      </c>
      <c r="F8750" t="s">
        <v>6404</v>
      </c>
      <c r="G8750" t="s">
        <v>2063</v>
      </c>
      <c r="H8750">
        <v>8</v>
      </c>
      <c r="I8750">
        <v>66.66</v>
      </c>
      <c r="J8750" s="50">
        <v>533.28</v>
      </c>
      <c r="K8750" t="s">
        <v>1618</v>
      </c>
      <c r="M8750" t="s">
        <v>1621</v>
      </c>
      <c r="N8750">
        <v>35.18</v>
      </c>
      <c r="O8750" s="49">
        <v>45116</v>
      </c>
      <c r="P8750" s="50">
        <v>239.976</v>
      </c>
    </row>
    <row r="8751" spans="4:16" x14ac:dyDescent="0.2">
      <c r="D8751">
        <v>100005232</v>
      </c>
      <c r="E8751" s="49">
        <v>44277</v>
      </c>
      <c r="F8751" t="s">
        <v>6404</v>
      </c>
      <c r="G8751" t="s">
        <v>3075</v>
      </c>
      <c r="H8751">
        <v>2</v>
      </c>
      <c r="I8751">
        <v>72.459999999999994</v>
      </c>
      <c r="J8751" s="50">
        <v>144.91999999999999</v>
      </c>
      <c r="K8751" t="s">
        <v>1618</v>
      </c>
      <c r="M8751" t="s">
        <v>1621</v>
      </c>
      <c r="N8751">
        <v>38.24</v>
      </c>
      <c r="O8751" s="49">
        <v>44279</v>
      </c>
      <c r="P8751" s="50">
        <v>65.213999999999999</v>
      </c>
    </row>
    <row r="8752" spans="4:16" x14ac:dyDescent="0.2">
      <c r="D8752">
        <v>100005234</v>
      </c>
      <c r="E8752" s="49">
        <v>45233</v>
      </c>
      <c r="F8752" t="s">
        <v>6405</v>
      </c>
      <c r="G8752" t="s">
        <v>2099</v>
      </c>
      <c r="H8752">
        <v>2</v>
      </c>
      <c r="I8752">
        <v>42.87</v>
      </c>
      <c r="J8752" s="50">
        <v>85.74</v>
      </c>
      <c r="K8752" t="s">
        <v>1632</v>
      </c>
      <c r="M8752" t="s">
        <v>1619</v>
      </c>
      <c r="N8752">
        <v>22.63</v>
      </c>
      <c r="O8752" s="49">
        <v>45235</v>
      </c>
      <c r="P8752" s="50">
        <v>38.582999999999998</v>
      </c>
    </row>
    <row r="8753" spans="4:16" x14ac:dyDescent="0.2">
      <c r="D8753">
        <v>100005234</v>
      </c>
      <c r="E8753" s="49">
        <v>44570</v>
      </c>
      <c r="F8753" t="s">
        <v>6405</v>
      </c>
      <c r="G8753" t="s">
        <v>2412</v>
      </c>
      <c r="H8753">
        <v>5</v>
      </c>
      <c r="I8753">
        <v>118.95</v>
      </c>
      <c r="J8753" s="50">
        <v>594.75</v>
      </c>
      <c r="K8753" t="s">
        <v>1632</v>
      </c>
      <c r="M8753" t="s">
        <v>1627</v>
      </c>
      <c r="N8753">
        <v>62.78</v>
      </c>
      <c r="O8753" s="49">
        <v>44572</v>
      </c>
      <c r="P8753" s="50">
        <v>267.63749999999999</v>
      </c>
    </row>
    <row r="8754" spans="4:16" x14ac:dyDescent="0.2">
      <c r="D8754">
        <v>100005234</v>
      </c>
      <c r="E8754" s="49">
        <v>45251</v>
      </c>
      <c r="F8754" t="s">
        <v>6405</v>
      </c>
      <c r="G8754" t="s">
        <v>1805</v>
      </c>
      <c r="H8754">
        <v>5</v>
      </c>
      <c r="I8754">
        <v>89.07</v>
      </c>
      <c r="J8754" s="50">
        <v>445.35</v>
      </c>
      <c r="K8754" t="s">
        <v>1632</v>
      </c>
      <c r="M8754" t="s">
        <v>1621</v>
      </c>
      <c r="N8754">
        <v>47.01</v>
      </c>
      <c r="O8754" s="49">
        <v>45252</v>
      </c>
      <c r="P8754" s="50">
        <v>200.40750000000003</v>
      </c>
    </row>
    <row r="8755" spans="4:16" x14ac:dyDescent="0.2">
      <c r="D8755">
        <v>100005235</v>
      </c>
      <c r="E8755" s="49">
        <v>45120</v>
      </c>
      <c r="F8755" t="s">
        <v>6406</v>
      </c>
      <c r="G8755" t="s">
        <v>1647</v>
      </c>
      <c r="H8755">
        <v>4</v>
      </c>
      <c r="I8755">
        <v>64.52</v>
      </c>
      <c r="J8755" s="50">
        <v>258.08</v>
      </c>
      <c r="K8755" t="s">
        <v>1618</v>
      </c>
      <c r="M8755" t="s">
        <v>1619</v>
      </c>
      <c r="N8755">
        <v>34.049999999999997</v>
      </c>
      <c r="O8755" s="49">
        <v>45121</v>
      </c>
      <c r="P8755" s="50">
        <v>116.136</v>
      </c>
    </row>
    <row r="8756" spans="4:16" x14ac:dyDescent="0.2">
      <c r="D8756">
        <v>100005235</v>
      </c>
      <c r="E8756" s="49">
        <v>44453</v>
      </c>
      <c r="F8756" t="s">
        <v>6406</v>
      </c>
      <c r="G8756" t="s">
        <v>1744</v>
      </c>
      <c r="H8756">
        <v>3</v>
      </c>
      <c r="I8756">
        <v>70.48</v>
      </c>
      <c r="J8756" s="50">
        <v>211.44</v>
      </c>
      <c r="K8756" t="s">
        <v>1618</v>
      </c>
      <c r="M8756" t="s">
        <v>1627</v>
      </c>
      <c r="N8756">
        <v>37.200000000000003</v>
      </c>
      <c r="O8756" s="49">
        <v>44458</v>
      </c>
      <c r="P8756" s="50">
        <v>95.147999999999996</v>
      </c>
    </row>
    <row r="8757" spans="4:16" x14ac:dyDescent="0.2">
      <c r="D8757">
        <v>100005235</v>
      </c>
      <c r="E8757" s="49">
        <v>45232</v>
      </c>
      <c r="F8757" t="s">
        <v>6406</v>
      </c>
      <c r="G8757" t="s">
        <v>1971</v>
      </c>
      <c r="H8757">
        <v>8</v>
      </c>
      <c r="I8757">
        <v>87.73</v>
      </c>
      <c r="J8757" s="50">
        <v>701.84</v>
      </c>
      <c r="K8757" t="s">
        <v>1618</v>
      </c>
      <c r="M8757" t="s">
        <v>1621</v>
      </c>
      <c r="N8757">
        <v>46.3</v>
      </c>
      <c r="O8757" s="49">
        <v>45234</v>
      </c>
      <c r="P8757" s="50">
        <v>315.82800000000003</v>
      </c>
    </row>
    <row r="8758" spans="4:16" x14ac:dyDescent="0.2">
      <c r="D8758">
        <v>100005235</v>
      </c>
      <c r="E8758" s="49">
        <v>44717</v>
      </c>
      <c r="F8758" t="s">
        <v>6406</v>
      </c>
      <c r="G8758" t="s">
        <v>2103</v>
      </c>
      <c r="H8758">
        <v>6</v>
      </c>
      <c r="I8758">
        <v>81.06</v>
      </c>
      <c r="J8758" s="50">
        <v>486.36</v>
      </c>
      <c r="K8758" t="s">
        <v>1618</v>
      </c>
      <c r="M8758" t="s">
        <v>1627</v>
      </c>
      <c r="N8758">
        <v>42.78</v>
      </c>
      <c r="O8758" s="49">
        <v>44721</v>
      </c>
      <c r="P8758" s="50">
        <v>218.86200000000002</v>
      </c>
    </row>
    <row r="8759" spans="4:16" x14ac:dyDescent="0.2">
      <c r="D8759">
        <v>100005235</v>
      </c>
      <c r="E8759" s="49">
        <v>45345</v>
      </c>
      <c r="F8759" t="s">
        <v>6406</v>
      </c>
      <c r="G8759" t="s">
        <v>2174</v>
      </c>
      <c r="H8759">
        <v>5</v>
      </c>
      <c r="I8759">
        <v>38.369999999999997</v>
      </c>
      <c r="J8759" s="50">
        <v>191.85</v>
      </c>
      <c r="K8759" t="s">
        <v>1618</v>
      </c>
      <c r="M8759" t="s">
        <v>1624</v>
      </c>
      <c r="N8759">
        <v>20.25</v>
      </c>
      <c r="O8759" s="49">
        <v>45347</v>
      </c>
      <c r="P8759" s="50">
        <v>86.332499999999996</v>
      </c>
    </row>
    <row r="8760" spans="4:16" x14ac:dyDescent="0.2">
      <c r="D8760">
        <v>100005235</v>
      </c>
      <c r="E8760" s="49">
        <v>45089</v>
      </c>
      <c r="F8760" t="s">
        <v>6406</v>
      </c>
      <c r="G8760" t="s">
        <v>1958</v>
      </c>
      <c r="H8760">
        <v>9</v>
      </c>
      <c r="I8760">
        <v>105.22</v>
      </c>
      <c r="J8760" s="50">
        <v>946.98</v>
      </c>
      <c r="K8760" t="s">
        <v>1618</v>
      </c>
      <c r="M8760" t="s">
        <v>1629</v>
      </c>
      <c r="N8760">
        <v>55.53</v>
      </c>
      <c r="O8760" s="49">
        <v>45094</v>
      </c>
      <c r="P8760" s="50">
        <v>426.14100000000002</v>
      </c>
    </row>
    <row r="8761" spans="4:16" x14ac:dyDescent="0.2">
      <c r="D8761">
        <v>100005235</v>
      </c>
      <c r="E8761" s="49">
        <v>45357</v>
      </c>
      <c r="F8761" t="s">
        <v>6406</v>
      </c>
      <c r="G8761" t="s">
        <v>1812</v>
      </c>
      <c r="H8761">
        <v>10</v>
      </c>
      <c r="I8761">
        <v>109.55</v>
      </c>
      <c r="J8761" s="50">
        <v>1095.5</v>
      </c>
      <c r="K8761" t="s">
        <v>1618</v>
      </c>
      <c r="M8761" t="s">
        <v>1629</v>
      </c>
      <c r="N8761">
        <v>57.82</v>
      </c>
      <c r="O8761" s="49">
        <v>45358</v>
      </c>
      <c r="P8761" s="50">
        <v>492.97500000000002</v>
      </c>
    </row>
    <row r="8762" spans="4:16" x14ac:dyDescent="0.2">
      <c r="D8762">
        <v>100005235</v>
      </c>
      <c r="E8762" s="49">
        <v>45327</v>
      </c>
      <c r="F8762" t="s">
        <v>6406</v>
      </c>
      <c r="G8762" t="s">
        <v>2373</v>
      </c>
      <c r="H8762">
        <v>5</v>
      </c>
      <c r="I8762">
        <v>71.680000000000007</v>
      </c>
      <c r="J8762" s="50">
        <v>358.4</v>
      </c>
      <c r="K8762" t="s">
        <v>1618</v>
      </c>
      <c r="M8762" t="s">
        <v>1629</v>
      </c>
      <c r="N8762">
        <v>37.83</v>
      </c>
      <c r="O8762" s="49">
        <v>45329</v>
      </c>
      <c r="P8762" s="50">
        <v>161.28</v>
      </c>
    </row>
    <row r="8763" spans="4:16" x14ac:dyDescent="0.2">
      <c r="D8763">
        <v>100005235</v>
      </c>
      <c r="E8763" s="49">
        <v>45053</v>
      </c>
      <c r="F8763" t="s">
        <v>6406</v>
      </c>
      <c r="G8763" t="s">
        <v>1727</v>
      </c>
      <c r="H8763">
        <v>10</v>
      </c>
      <c r="I8763">
        <v>80</v>
      </c>
      <c r="J8763" s="50">
        <v>800</v>
      </c>
      <c r="K8763" t="s">
        <v>1618</v>
      </c>
      <c r="M8763" t="s">
        <v>1621</v>
      </c>
      <c r="N8763">
        <v>42.22</v>
      </c>
      <c r="O8763" s="49">
        <v>45056</v>
      </c>
      <c r="P8763" s="50">
        <v>360</v>
      </c>
    </row>
    <row r="8764" spans="4:16" x14ac:dyDescent="0.2">
      <c r="D8764">
        <v>100005235</v>
      </c>
      <c r="E8764" s="49">
        <v>45571</v>
      </c>
      <c r="F8764" t="s">
        <v>6406</v>
      </c>
      <c r="G8764" t="s">
        <v>1924</v>
      </c>
      <c r="H8764">
        <v>10</v>
      </c>
      <c r="I8764">
        <v>65.510000000000005</v>
      </c>
      <c r="J8764" s="50">
        <v>655.1</v>
      </c>
      <c r="K8764" t="s">
        <v>1618</v>
      </c>
      <c r="M8764" t="s">
        <v>1624</v>
      </c>
      <c r="N8764">
        <v>34.57</v>
      </c>
      <c r="O8764" s="49">
        <v>45572</v>
      </c>
      <c r="P8764" s="50">
        <v>294.79500000000002</v>
      </c>
    </row>
    <row r="8765" spans="4:16" x14ac:dyDescent="0.2">
      <c r="D8765">
        <v>100005235</v>
      </c>
      <c r="E8765" s="49">
        <v>45091</v>
      </c>
      <c r="F8765" t="s">
        <v>6406</v>
      </c>
      <c r="G8765" t="s">
        <v>2331</v>
      </c>
      <c r="H8765">
        <v>3</v>
      </c>
      <c r="I8765">
        <v>61.27</v>
      </c>
      <c r="J8765" s="50">
        <v>183.81</v>
      </c>
      <c r="K8765" t="s">
        <v>1618</v>
      </c>
      <c r="M8765" t="s">
        <v>1627</v>
      </c>
      <c r="N8765">
        <v>32.340000000000003</v>
      </c>
      <c r="O8765" s="49">
        <v>45092</v>
      </c>
      <c r="P8765" s="50">
        <v>82.714500000000001</v>
      </c>
    </row>
    <row r="8766" spans="4:16" x14ac:dyDescent="0.2">
      <c r="D8766">
        <v>100005236</v>
      </c>
      <c r="E8766" s="49">
        <v>45602</v>
      </c>
      <c r="F8766" t="s">
        <v>6407</v>
      </c>
      <c r="G8766" t="s">
        <v>2692</v>
      </c>
      <c r="H8766">
        <v>10</v>
      </c>
      <c r="I8766">
        <v>53.08</v>
      </c>
      <c r="J8766" s="50">
        <v>530.79999999999995</v>
      </c>
      <c r="K8766" t="s">
        <v>1632</v>
      </c>
      <c r="M8766" t="s">
        <v>1621</v>
      </c>
      <c r="N8766">
        <v>28.01</v>
      </c>
      <c r="O8766" s="49">
        <v>45607</v>
      </c>
      <c r="P8766" s="50">
        <v>238.85999999999999</v>
      </c>
    </row>
    <row r="8767" spans="4:16" x14ac:dyDescent="0.2">
      <c r="D8767">
        <v>100005238</v>
      </c>
      <c r="E8767" s="49">
        <v>44275</v>
      </c>
      <c r="F8767" t="s">
        <v>6408</v>
      </c>
      <c r="G8767" t="s">
        <v>2202</v>
      </c>
      <c r="H8767">
        <v>10</v>
      </c>
      <c r="I8767">
        <v>76.45</v>
      </c>
      <c r="J8767" s="50">
        <v>764.5</v>
      </c>
      <c r="K8767" t="s">
        <v>1618</v>
      </c>
      <c r="M8767" t="s">
        <v>1629</v>
      </c>
      <c r="N8767">
        <v>40.35</v>
      </c>
      <c r="O8767" s="49">
        <v>44280</v>
      </c>
      <c r="P8767" s="50">
        <v>344.02500000000003</v>
      </c>
    </row>
    <row r="8768" spans="4:16" x14ac:dyDescent="0.2">
      <c r="D8768">
        <v>100005238</v>
      </c>
      <c r="E8768" s="49">
        <v>45440</v>
      </c>
      <c r="F8768" t="s">
        <v>6408</v>
      </c>
      <c r="G8768" t="s">
        <v>2125</v>
      </c>
      <c r="H8768">
        <v>9</v>
      </c>
      <c r="I8768">
        <v>14.36</v>
      </c>
      <c r="J8768" s="50">
        <v>129.24</v>
      </c>
      <c r="K8768" t="s">
        <v>1618</v>
      </c>
      <c r="M8768" t="s">
        <v>1629</v>
      </c>
      <c r="N8768">
        <v>7.58</v>
      </c>
      <c r="O8768" s="49">
        <v>45445</v>
      </c>
      <c r="P8768" s="50">
        <v>58.158000000000008</v>
      </c>
    </row>
    <row r="8769" spans="4:16" x14ac:dyDescent="0.2">
      <c r="D8769">
        <v>100005239</v>
      </c>
      <c r="E8769" s="49">
        <v>45273</v>
      </c>
      <c r="F8769" t="s">
        <v>6409</v>
      </c>
      <c r="G8769" t="s">
        <v>1797</v>
      </c>
      <c r="H8769">
        <v>8</v>
      </c>
      <c r="I8769">
        <v>110.81</v>
      </c>
      <c r="J8769" s="50">
        <v>886.48</v>
      </c>
      <c r="K8769" t="s">
        <v>1618</v>
      </c>
      <c r="L8769" t="s">
        <v>6410</v>
      </c>
      <c r="M8769" t="s">
        <v>1621</v>
      </c>
      <c r="N8769">
        <v>58.48</v>
      </c>
      <c r="O8769" s="49">
        <v>45276</v>
      </c>
      <c r="P8769" s="50">
        <v>398.916</v>
      </c>
    </row>
    <row r="8770" spans="4:16" x14ac:dyDescent="0.2">
      <c r="D8770">
        <v>100005239</v>
      </c>
      <c r="E8770" s="49">
        <v>44849</v>
      </c>
      <c r="F8770" t="s">
        <v>6409</v>
      </c>
      <c r="G8770" t="s">
        <v>1736</v>
      </c>
      <c r="H8770">
        <v>8</v>
      </c>
      <c r="I8770">
        <v>114.33</v>
      </c>
      <c r="J8770" s="50">
        <v>914.64</v>
      </c>
      <c r="K8770" t="s">
        <v>1618</v>
      </c>
      <c r="L8770" t="s">
        <v>6410</v>
      </c>
      <c r="M8770" t="s">
        <v>1619</v>
      </c>
      <c r="N8770">
        <v>60.34</v>
      </c>
      <c r="O8770" s="49">
        <v>44851</v>
      </c>
      <c r="P8770" s="50">
        <v>411.58800000000002</v>
      </c>
    </row>
    <row r="8771" spans="4:16" x14ac:dyDescent="0.2">
      <c r="D8771">
        <v>100005239</v>
      </c>
      <c r="E8771" s="49">
        <v>44788</v>
      </c>
      <c r="F8771" t="s">
        <v>6409</v>
      </c>
      <c r="G8771" t="s">
        <v>1916</v>
      </c>
      <c r="H8771">
        <v>5</v>
      </c>
      <c r="I8771">
        <v>83.47</v>
      </c>
      <c r="J8771" s="50">
        <v>417.35</v>
      </c>
      <c r="K8771" t="s">
        <v>1618</v>
      </c>
      <c r="L8771" t="s">
        <v>6410</v>
      </c>
      <c r="M8771" t="s">
        <v>1629</v>
      </c>
      <c r="N8771">
        <v>44.05</v>
      </c>
      <c r="O8771" s="49">
        <v>44791</v>
      </c>
      <c r="P8771" s="50">
        <v>187.8075</v>
      </c>
    </row>
    <row r="8772" spans="4:16" x14ac:dyDescent="0.2">
      <c r="D8772">
        <v>100005239</v>
      </c>
      <c r="E8772" s="49">
        <v>45583</v>
      </c>
      <c r="F8772" t="s">
        <v>6409</v>
      </c>
      <c r="G8772" t="s">
        <v>1754</v>
      </c>
      <c r="H8772">
        <v>5</v>
      </c>
      <c r="I8772">
        <v>93.14</v>
      </c>
      <c r="J8772" s="50">
        <v>465.7</v>
      </c>
      <c r="K8772" t="s">
        <v>1618</v>
      </c>
      <c r="L8772" t="s">
        <v>6410</v>
      </c>
      <c r="M8772" t="s">
        <v>1621</v>
      </c>
      <c r="N8772">
        <v>49.16</v>
      </c>
      <c r="O8772" s="49">
        <v>45584</v>
      </c>
      <c r="P8772" s="50">
        <v>209.565</v>
      </c>
    </row>
    <row r="8773" spans="4:16" x14ac:dyDescent="0.2">
      <c r="D8773">
        <v>100005240</v>
      </c>
      <c r="E8773" s="49">
        <v>44988</v>
      </c>
      <c r="F8773" t="s">
        <v>6411</v>
      </c>
      <c r="G8773" t="s">
        <v>2269</v>
      </c>
      <c r="H8773">
        <v>6</v>
      </c>
      <c r="I8773">
        <v>75.23</v>
      </c>
      <c r="J8773" s="50">
        <v>451.38</v>
      </c>
      <c r="K8773" t="s">
        <v>1618</v>
      </c>
      <c r="M8773" t="s">
        <v>1619</v>
      </c>
      <c r="N8773">
        <v>39.700000000000003</v>
      </c>
      <c r="O8773" s="49">
        <v>44989</v>
      </c>
      <c r="P8773" s="50">
        <v>203.12100000000001</v>
      </c>
    </row>
    <row r="8774" spans="4:16" x14ac:dyDescent="0.2">
      <c r="D8774">
        <v>100005241</v>
      </c>
      <c r="E8774" s="49">
        <v>44817</v>
      </c>
      <c r="F8774" t="s">
        <v>5755</v>
      </c>
      <c r="G8774" t="s">
        <v>1700</v>
      </c>
      <c r="H8774">
        <v>7</v>
      </c>
      <c r="I8774">
        <v>67.16</v>
      </c>
      <c r="J8774" s="50">
        <v>470.12</v>
      </c>
      <c r="K8774" t="s">
        <v>1618</v>
      </c>
      <c r="M8774" t="s">
        <v>1621</v>
      </c>
      <c r="N8774">
        <v>35.450000000000003</v>
      </c>
      <c r="O8774" s="49">
        <v>44818</v>
      </c>
      <c r="P8774" s="50">
        <v>211.554</v>
      </c>
    </row>
    <row r="8775" spans="4:16" x14ac:dyDescent="0.2">
      <c r="D8775">
        <v>100005242</v>
      </c>
      <c r="E8775" s="49">
        <v>44425</v>
      </c>
      <c r="F8775" t="s">
        <v>6412</v>
      </c>
      <c r="G8775" t="s">
        <v>1768</v>
      </c>
      <c r="H8775">
        <v>3</v>
      </c>
      <c r="I8775">
        <v>54.47</v>
      </c>
      <c r="J8775" s="50">
        <v>163.41</v>
      </c>
      <c r="K8775" t="s">
        <v>1632</v>
      </c>
      <c r="L8775" t="s">
        <v>6413</v>
      </c>
      <c r="M8775" t="s">
        <v>1619</v>
      </c>
      <c r="N8775">
        <v>28.75</v>
      </c>
      <c r="O8775" s="49">
        <v>44426</v>
      </c>
      <c r="P8775" s="50">
        <v>73.534499999999994</v>
      </c>
    </row>
    <row r="8776" spans="4:16" x14ac:dyDescent="0.2">
      <c r="D8776">
        <v>100005243</v>
      </c>
      <c r="E8776" s="49">
        <v>44382</v>
      </c>
      <c r="F8776" t="s">
        <v>6414</v>
      </c>
      <c r="G8776" t="s">
        <v>1701</v>
      </c>
      <c r="H8776">
        <v>9</v>
      </c>
      <c r="I8776">
        <v>92.54</v>
      </c>
      <c r="J8776" s="50">
        <v>832.86</v>
      </c>
      <c r="K8776" t="s">
        <v>1618</v>
      </c>
      <c r="M8776" t="s">
        <v>1624</v>
      </c>
      <c r="N8776">
        <v>48.84</v>
      </c>
      <c r="O8776" s="49">
        <v>44384</v>
      </c>
      <c r="P8776" s="50">
        <v>374.78700000000003</v>
      </c>
    </row>
    <row r="8777" spans="4:16" x14ac:dyDescent="0.2">
      <c r="D8777">
        <v>100005244</v>
      </c>
      <c r="E8777" s="49">
        <v>45566</v>
      </c>
      <c r="F8777" t="s">
        <v>6415</v>
      </c>
      <c r="G8777" t="s">
        <v>1955</v>
      </c>
      <c r="H8777">
        <v>1</v>
      </c>
      <c r="I8777">
        <v>55.3</v>
      </c>
      <c r="J8777" s="50">
        <v>55.3</v>
      </c>
      <c r="K8777" t="s">
        <v>1618</v>
      </c>
      <c r="M8777" t="s">
        <v>1629</v>
      </c>
      <c r="N8777">
        <v>29.19</v>
      </c>
      <c r="O8777" s="49">
        <v>45571</v>
      </c>
      <c r="P8777" s="50">
        <v>24.884999999999998</v>
      </c>
    </row>
    <row r="8778" spans="4:16" x14ac:dyDescent="0.2">
      <c r="D8778">
        <v>100005244</v>
      </c>
      <c r="E8778" s="49">
        <v>45639</v>
      </c>
      <c r="F8778" t="s">
        <v>6415</v>
      </c>
      <c r="G8778" t="s">
        <v>1770</v>
      </c>
      <c r="H8778">
        <v>8</v>
      </c>
      <c r="I8778">
        <v>115.75</v>
      </c>
      <c r="J8778" s="50">
        <v>926</v>
      </c>
      <c r="K8778" t="s">
        <v>1618</v>
      </c>
      <c r="M8778" t="s">
        <v>1627</v>
      </c>
      <c r="N8778">
        <v>61.09</v>
      </c>
      <c r="O8778" s="49">
        <v>45641</v>
      </c>
      <c r="P8778" s="50">
        <v>416.7</v>
      </c>
    </row>
    <row r="8779" spans="4:16" x14ac:dyDescent="0.2">
      <c r="D8779">
        <v>100005245</v>
      </c>
      <c r="E8779" s="49">
        <v>45398</v>
      </c>
      <c r="F8779" t="s">
        <v>6416</v>
      </c>
      <c r="G8779" t="s">
        <v>1864</v>
      </c>
      <c r="H8779">
        <v>6</v>
      </c>
      <c r="I8779">
        <v>22.08</v>
      </c>
      <c r="J8779" s="50">
        <v>132.47999999999999</v>
      </c>
      <c r="K8779" t="s">
        <v>1632</v>
      </c>
      <c r="M8779" t="s">
        <v>1619</v>
      </c>
      <c r="N8779">
        <v>11.65</v>
      </c>
      <c r="O8779" s="49">
        <v>45401</v>
      </c>
      <c r="P8779" s="50">
        <v>59.616</v>
      </c>
    </row>
    <row r="8780" spans="4:16" x14ac:dyDescent="0.2">
      <c r="D8780">
        <v>100005247</v>
      </c>
      <c r="E8780" s="49">
        <v>44771</v>
      </c>
      <c r="F8780" t="s">
        <v>6417</v>
      </c>
      <c r="G8780" t="s">
        <v>2330</v>
      </c>
      <c r="H8780">
        <v>1</v>
      </c>
      <c r="I8780">
        <v>41.45</v>
      </c>
      <c r="J8780" s="50">
        <v>41.45</v>
      </c>
      <c r="K8780" t="s">
        <v>1618</v>
      </c>
      <c r="M8780" t="s">
        <v>1621</v>
      </c>
      <c r="N8780">
        <v>21.88</v>
      </c>
      <c r="O8780" s="49">
        <v>44775</v>
      </c>
      <c r="P8780" s="50">
        <v>18.652500000000003</v>
      </c>
    </row>
    <row r="8781" spans="4:16" x14ac:dyDescent="0.2">
      <c r="D8781">
        <v>100005247</v>
      </c>
      <c r="E8781" s="49">
        <v>45389</v>
      </c>
      <c r="F8781" t="s">
        <v>6417</v>
      </c>
      <c r="G8781" t="s">
        <v>2069</v>
      </c>
      <c r="H8781">
        <v>5</v>
      </c>
      <c r="I8781">
        <v>82.63</v>
      </c>
      <c r="J8781" s="50">
        <v>413.15</v>
      </c>
      <c r="K8781" t="s">
        <v>1618</v>
      </c>
      <c r="M8781" t="s">
        <v>1619</v>
      </c>
      <c r="N8781">
        <v>43.61</v>
      </c>
      <c r="O8781" s="49">
        <v>45394</v>
      </c>
      <c r="P8781" s="50">
        <v>185.91749999999999</v>
      </c>
    </row>
    <row r="8782" spans="4:16" x14ac:dyDescent="0.2">
      <c r="D8782">
        <v>100005249</v>
      </c>
      <c r="E8782" s="49">
        <v>44531</v>
      </c>
      <c r="F8782" t="s">
        <v>6418</v>
      </c>
      <c r="G8782" t="s">
        <v>1722</v>
      </c>
      <c r="H8782">
        <v>6</v>
      </c>
      <c r="I8782">
        <v>77.23</v>
      </c>
      <c r="J8782" s="50">
        <v>463.38</v>
      </c>
      <c r="K8782" t="s">
        <v>1618</v>
      </c>
      <c r="M8782" t="s">
        <v>1619</v>
      </c>
      <c r="N8782">
        <v>40.76</v>
      </c>
      <c r="O8782" s="49">
        <v>44532</v>
      </c>
      <c r="P8782" s="50">
        <v>208.52100000000002</v>
      </c>
    </row>
    <row r="8783" spans="4:16" x14ac:dyDescent="0.2">
      <c r="D8783">
        <v>100005249</v>
      </c>
      <c r="E8783" s="49">
        <v>44475</v>
      </c>
      <c r="F8783" t="s">
        <v>6418</v>
      </c>
      <c r="G8783" t="s">
        <v>2707</v>
      </c>
      <c r="H8783">
        <v>2</v>
      </c>
      <c r="I8783">
        <v>104.17</v>
      </c>
      <c r="J8783" s="50">
        <v>208.34</v>
      </c>
      <c r="K8783" t="s">
        <v>1618</v>
      </c>
      <c r="M8783" t="s">
        <v>1624</v>
      </c>
      <c r="N8783">
        <v>54.98</v>
      </c>
      <c r="O8783" s="49">
        <v>44477</v>
      </c>
      <c r="P8783" s="50">
        <v>93.753</v>
      </c>
    </row>
    <row r="8784" spans="4:16" x14ac:dyDescent="0.2">
      <c r="D8784">
        <v>100005249</v>
      </c>
      <c r="E8784" s="49">
        <v>45072</v>
      </c>
      <c r="F8784" t="s">
        <v>6418</v>
      </c>
      <c r="G8784" t="s">
        <v>1658</v>
      </c>
      <c r="H8784">
        <v>10</v>
      </c>
      <c r="I8784">
        <v>58.81</v>
      </c>
      <c r="J8784" s="50">
        <v>588.1</v>
      </c>
      <c r="K8784" t="s">
        <v>1618</v>
      </c>
      <c r="M8784" t="s">
        <v>1629</v>
      </c>
      <c r="N8784">
        <v>31.04</v>
      </c>
      <c r="O8784" s="49">
        <v>45075</v>
      </c>
      <c r="P8784" s="50">
        <v>264.64500000000004</v>
      </c>
    </row>
    <row r="8785" spans="4:16" x14ac:dyDescent="0.2">
      <c r="D8785">
        <v>100005250</v>
      </c>
      <c r="E8785" s="49">
        <v>44727</v>
      </c>
      <c r="F8785" t="s">
        <v>6419</v>
      </c>
      <c r="G8785" t="s">
        <v>2099</v>
      </c>
      <c r="H8785">
        <v>5</v>
      </c>
      <c r="I8785">
        <v>80.19</v>
      </c>
      <c r="J8785" s="50">
        <v>400.95</v>
      </c>
      <c r="K8785" t="s">
        <v>1632</v>
      </c>
      <c r="M8785" t="s">
        <v>1627</v>
      </c>
      <c r="N8785">
        <v>42.32</v>
      </c>
      <c r="O8785" s="49">
        <v>44729</v>
      </c>
      <c r="P8785" s="50">
        <v>180.42750000000001</v>
      </c>
    </row>
    <row r="8786" spans="4:16" x14ac:dyDescent="0.2">
      <c r="D8786">
        <v>100005251</v>
      </c>
      <c r="E8786" s="49">
        <v>44891</v>
      </c>
      <c r="F8786" t="s">
        <v>6420</v>
      </c>
      <c r="G8786" t="s">
        <v>1939</v>
      </c>
      <c r="H8786">
        <v>4</v>
      </c>
      <c r="I8786">
        <v>54.27</v>
      </c>
      <c r="J8786" s="50">
        <v>217.08</v>
      </c>
      <c r="K8786" t="s">
        <v>1632</v>
      </c>
      <c r="M8786" t="s">
        <v>1624</v>
      </c>
      <c r="N8786">
        <v>28.64</v>
      </c>
      <c r="O8786" s="49">
        <v>44896</v>
      </c>
      <c r="P8786" s="50">
        <v>97.686000000000007</v>
      </c>
    </row>
    <row r="8787" spans="4:16" x14ac:dyDescent="0.2">
      <c r="D8787">
        <v>100005251</v>
      </c>
      <c r="E8787" s="49">
        <v>45263</v>
      </c>
      <c r="F8787" t="s">
        <v>6420</v>
      </c>
      <c r="G8787" t="s">
        <v>1982</v>
      </c>
      <c r="H8787">
        <v>10</v>
      </c>
      <c r="I8787">
        <v>47.62</v>
      </c>
      <c r="J8787" s="50">
        <v>476.2</v>
      </c>
      <c r="K8787" t="s">
        <v>1632</v>
      </c>
      <c r="M8787" t="s">
        <v>1619</v>
      </c>
      <c r="N8787">
        <v>25.13</v>
      </c>
      <c r="O8787" s="49">
        <v>45267</v>
      </c>
      <c r="P8787" s="50">
        <v>214.29</v>
      </c>
    </row>
    <row r="8788" spans="4:16" x14ac:dyDescent="0.2">
      <c r="D8788">
        <v>100005252</v>
      </c>
      <c r="E8788" s="49">
        <v>44865</v>
      </c>
      <c r="F8788" t="s">
        <v>6421</v>
      </c>
      <c r="G8788" t="s">
        <v>1777</v>
      </c>
      <c r="H8788">
        <v>1</v>
      </c>
      <c r="I8788">
        <v>59.42</v>
      </c>
      <c r="J8788" s="50">
        <v>59.42</v>
      </c>
      <c r="K8788" t="s">
        <v>1618</v>
      </c>
      <c r="M8788" t="s">
        <v>1619</v>
      </c>
      <c r="N8788">
        <v>31.36</v>
      </c>
      <c r="O8788" s="49">
        <v>44868</v>
      </c>
      <c r="P8788" s="50">
        <v>26.739000000000001</v>
      </c>
    </row>
    <row r="8789" spans="4:16" x14ac:dyDescent="0.2">
      <c r="D8789">
        <v>100005255</v>
      </c>
      <c r="E8789" s="49">
        <v>44439</v>
      </c>
      <c r="F8789" t="s">
        <v>6422</v>
      </c>
      <c r="G8789" t="s">
        <v>2130</v>
      </c>
      <c r="H8789">
        <v>6</v>
      </c>
      <c r="I8789">
        <v>88.51</v>
      </c>
      <c r="J8789" s="50">
        <v>531.06000000000006</v>
      </c>
      <c r="K8789" t="s">
        <v>1618</v>
      </c>
      <c r="L8789" t="s">
        <v>6423</v>
      </c>
      <c r="M8789" t="s">
        <v>1627</v>
      </c>
      <c r="N8789">
        <v>46.71</v>
      </c>
      <c r="O8789" s="49">
        <v>44442</v>
      </c>
      <c r="P8789" s="50">
        <v>238.97700000000003</v>
      </c>
    </row>
    <row r="8790" spans="4:16" x14ac:dyDescent="0.2">
      <c r="D8790">
        <v>100005260</v>
      </c>
      <c r="E8790" s="49">
        <v>44385</v>
      </c>
      <c r="F8790" t="s">
        <v>6424</v>
      </c>
      <c r="G8790" t="s">
        <v>1958</v>
      </c>
      <c r="H8790">
        <v>4</v>
      </c>
      <c r="I8790">
        <v>66.94</v>
      </c>
      <c r="J8790" s="50">
        <v>267.76</v>
      </c>
      <c r="K8790" t="s">
        <v>1618</v>
      </c>
      <c r="M8790" t="s">
        <v>1619</v>
      </c>
      <c r="N8790">
        <v>35.33</v>
      </c>
      <c r="O8790" s="49">
        <v>44388</v>
      </c>
      <c r="P8790" s="50">
        <v>120.492</v>
      </c>
    </row>
    <row r="8791" spans="4:16" x14ac:dyDescent="0.2">
      <c r="D8791">
        <v>100005262</v>
      </c>
      <c r="E8791" s="49">
        <v>44975</v>
      </c>
      <c r="F8791" t="s">
        <v>6425</v>
      </c>
      <c r="G8791" t="s">
        <v>1631</v>
      </c>
      <c r="H8791">
        <v>8</v>
      </c>
      <c r="I8791">
        <v>51.87</v>
      </c>
      <c r="J8791" s="50">
        <v>414.96</v>
      </c>
      <c r="K8791" t="s">
        <v>1618</v>
      </c>
      <c r="M8791" t="s">
        <v>1629</v>
      </c>
      <c r="N8791">
        <v>27.38</v>
      </c>
      <c r="O8791" s="49">
        <v>44977</v>
      </c>
      <c r="P8791" s="50">
        <v>186.732</v>
      </c>
    </row>
    <row r="8792" spans="4:16" x14ac:dyDescent="0.2">
      <c r="D8792">
        <v>100005262</v>
      </c>
      <c r="E8792" s="49">
        <v>44363</v>
      </c>
      <c r="F8792" t="s">
        <v>6425</v>
      </c>
      <c r="G8792" t="s">
        <v>1740</v>
      </c>
      <c r="H8792">
        <v>4</v>
      </c>
      <c r="I8792">
        <v>118.97</v>
      </c>
      <c r="J8792" s="50">
        <v>475.88</v>
      </c>
      <c r="K8792" t="s">
        <v>1618</v>
      </c>
      <c r="M8792" t="s">
        <v>1621</v>
      </c>
      <c r="N8792">
        <v>62.79</v>
      </c>
      <c r="O8792" s="49">
        <v>44365</v>
      </c>
      <c r="P8792" s="50">
        <v>214.14600000000002</v>
      </c>
    </row>
    <row r="8793" spans="4:16" x14ac:dyDescent="0.2">
      <c r="D8793">
        <v>100005262</v>
      </c>
      <c r="E8793" s="49">
        <v>45015</v>
      </c>
      <c r="F8793" t="s">
        <v>6425</v>
      </c>
      <c r="G8793" t="s">
        <v>2762</v>
      </c>
      <c r="H8793">
        <v>9</v>
      </c>
      <c r="I8793">
        <v>50.14</v>
      </c>
      <c r="J8793" s="50">
        <v>451.26</v>
      </c>
      <c r="K8793" t="s">
        <v>1618</v>
      </c>
      <c r="M8793" t="s">
        <v>1624</v>
      </c>
      <c r="N8793">
        <v>26.46</v>
      </c>
      <c r="O8793" s="49">
        <v>45019</v>
      </c>
      <c r="P8793" s="50">
        <v>203.06700000000001</v>
      </c>
    </row>
    <row r="8794" spans="4:16" x14ac:dyDescent="0.2">
      <c r="D8794">
        <v>100005262</v>
      </c>
      <c r="E8794" s="49">
        <v>45484</v>
      </c>
      <c r="F8794" t="s">
        <v>6425</v>
      </c>
      <c r="G8794" t="s">
        <v>2079</v>
      </c>
      <c r="H8794">
        <v>9</v>
      </c>
      <c r="I8794">
        <v>79.959999999999994</v>
      </c>
      <c r="J8794" s="50">
        <v>719.64</v>
      </c>
      <c r="K8794" t="s">
        <v>1618</v>
      </c>
      <c r="M8794" t="s">
        <v>1621</v>
      </c>
      <c r="N8794">
        <v>42.2</v>
      </c>
      <c r="O8794" s="49">
        <v>45487</v>
      </c>
      <c r="P8794" s="50">
        <v>323.83800000000002</v>
      </c>
    </row>
    <row r="8795" spans="4:16" x14ac:dyDescent="0.2">
      <c r="D8795">
        <v>100005264</v>
      </c>
      <c r="E8795" s="49">
        <v>44611</v>
      </c>
      <c r="F8795" t="s">
        <v>6426</v>
      </c>
      <c r="G8795" t="s">
        <v>1696</v>
      </c>
      <c r="H8795">
        <v>1</v>
      </c>
      <c r="I8795">
        <v>76.63</v>
      </c>
      <c r="J8795" s="50">
        <v>76.63</v>
      </c>
      <c r="K8795" t="s">
        <v>1618</v>
      </c>
      <c r="M8795" t="s">
        <v>1629</v>
      </c>
      <c r="N8795">
        <v>40.44</v>
      </c>
      <c r="O8795" s="49">
        <v>44616</v>
      </c>
      <c r="P8795" s="50">
        <v>34.483499999999999</v>
      </c>
    </row>
    <row r="8796" spans="4:16" x14ac:dyDescent="0.2">
      <c r="D8796">
        <v>100005265</v>
      </c>
      <c r="E8796" s="49">
        <v>44429</v>
      </c>
      <c r="F8796" t="s">
        <v>6427</v>
      </c>
      <c r="G8796" t="s">
        <v>1709</v>
      </c>
      <c r="H8796">
        <v>1</v>
      </c>
      <c r="I8796">
        <v>72.16</v>
      </c>
      <c r="J8796" s="50">
        <v>72.16</v>
      </c>
      <c r="K8796" t="s">
        <v>1632</v>
      </c>
      <c r="L8796" t="s">
        <v>6428</v>
      </c>
      <c r="M8796" t="s">
        <v>1627</v>
      </c>
      <c r="N8796">
        <v>38.08</v>
      </c>
      <c r="O8796" s="49">
        <v>44430</v>
      </c>
      <c r="P8796" s="50">
        <v>32.472000000000001</v>
      </c>
    </row>
    <row r="8797" spans="4:16" x14ac:dyDescent="0.2">
      <c r="D8797">
        <v>100005266</v>
      </c>
      <c r="E8797" s="49">
        <v>45246</v>
      </c>
      <c r="F8797" t="s">
        <v>6429</v>
      </c>
      <c r="G8797" t="s">
        <v>1730</v>
      </c>
      <c r="H8797">
        <v>4</v>
      </c>
      <c r="I8797">
        <v>41.37</v>
      </c>
      <c r="J8797" s="50">
        <v>165.48</v>
      </c>
      <c r="K8797" t="s">
        <v>1618</v>
      </c>
      <c r="M8797" t="s">
        <v>1627</v>
      </c>
      <c r="N8797">
        <v>21.83</v>
      </c>
      <c r="O8797" s="49">
        <v>45250</v>
      </c>
      <c r="P8797" s="50">
        <v>74.465999999999994</v>
      </c>
    </row>
    <row r="8798" spans="4:16" x14ac:dyDescent="0.2">
      <c r="D8798">
        <v>100005266</v>
      </c>
      <c r="E8798" s="49">
        <v>44392</v>
      </c>
      <c r="F8798" t="s">
        <v>6429</v>
      </c>
      <c r="G8798" t="s">
        <v>1699</v>
      </c>
      <c r="H8798">
        <v>7</v>
      </c>
      <c r="I8798">
        <v>35.799999999999997</v>
      </c>
      <c r="J8798" s="50">
        <v>250.6</v>
      </c>
      <c r="K8798" t="s">
        <v>1618</v>
      </c>
      <c r="M8798" t="s">
        <v>1619</v>
      </c>
      <c r="N8798">
        <v>18.89</v>
      </c>
      <c r="O8798" s="49">
        <v>44397</v>
      </c>
      <c r="P8798" s="50">
        <v>112.77</v>
      </c>
    </row>
    <row r="8799" spans="4:16" x14ac:dyDescent="0.2">
      <c r="D8799">
        <v>100005267</v>
      </c>
      <c r="E8799" s="49">
        <v>44780</v>
      </c>
      <c r="F8799" t="s">
        <v>6430</v>
      </c>
      <c r="G8799" t="s">
        <v>1820</v>
      </c>
      <c r="H8799">
        <v>1</v>
      </c>
      <c r="I8799">
        <v>88.6</v>
      </c>
      <c r="J8799" s="50">
        <v>88.6</v>
      </c>
      <c r="K8799" t="s">
        <v>1618</v>
      </c>
      <c r="L8799" t="s">
        <v>3294</v>
      </c>
      <c r="M8799" t="s">
        <v>1629</v>
      </c>
      <c r="N8799">
        <v>46.76</v>
      </c>
      <c r="O8799" s="49">
        <v>44782</v>
      </c>
      <c r="P8799" s="50">
        <v>39.869999999999997</v>
      </c>
    </row>
    <row r="8800" spans="4:16" x14ac:dyDescent="0.2">
      <c r="D8800">
        <v>100005268</v>
      </c>
      <c r="E8800" s="49">
        <v>44671</v>
      </c>
      <c r="F8800" t="s">
        <v>6431</v>
      </c>
      <c r="G8800" t="s">
        <v>1834</v>
      </c>
      <c r="H8800">
        <v>6</v>
      </c>
      <c r="I8800">
        <v>42.48</v>
      </c>
      <c r="J8800" s="50">
        <v>254.88</v>
      </c>
      <c r="K8800" t="s">
        <v>1632</v>
      </c>
      <c r="L8800" t="s">
        <v>6432</v>
      </c>
      <c r="M8800" t="s">
        <v>1619</v>
      </c>
      <c r="N8800">
        <v>22.42</v>
      </c>
      <c r="O8800" s="49">
        <v>44676</v>
      </c>
      <c r="P8800" s="50">
        <v>114.696</v>
      </c>
    </row>
    <row r="8801" spans="4:16" x14ac:dyDescent="0.2">
      <c r="D8801">
        <v>100005268</v>
      </c>
      <c r="E8801" s="49">
        <v>45014</v>
      </c>
      <c r="F8801" t="s">
        <v>6431</v>
      </c>
      <c r="G8801" t="s">
        <v>1733</v>
      </c>
      <c r="H8801">
        <v>1</v>
      </c>
      <c r="I8801">
        <v>45.47</v>
      </c>
      <c r="J8801" s="50">
        <v>45.47</v>
      </c>
      <c r="K8801" t="s">
        <v>1632</v>
      </c>
      <c r="L8801" t="s">
        <v>6432</v>
      </c>
      <c r="M8801" t="s">
        <v>1621</v>
      </c>
      <c r="N8801">
        <v>24</v>
      </c>
      <c r="O8801" s="49">
        <v>45015</v>
      </c>
      <c r="P8801" s="50">
        <v>20.461500000000001</v>
      </c>
    </row>
    <row r="8802" spans="4:16" x14ac:dyDescent="0.2">
      <c r="D8802">
        <v>100005268</v>
      </c>
      <c r="E8802" s="49">
        <v>44810</v>
      </c>
      <c r="F8802" t="s">
        <v>6431</v>
      </c>
      <c r="G8802" t="s">
        <v>2048</v>
      </c>
      <c r="H8802">
        <v>8</v>
      </c>
      <c r="I8802">
        <v>115.99</v>
      </c>
      <c r="J8802" s="50">
        <v>927.92</v>
      </c>
      <c r="K8802" t="s">
        <v>1632</v>
      </c>
      <c r="L8802" t="s">
        <v>6432</v>
      </c>
      <c r="M8802" t="s">
        <v>1627</v>
      </c>
      <c r="N8802">
        <v>61.22</v>
      </c>
      <c r="O8802" s="49">
        <v>44811</v>
      </c>
      <c r="P8802" s="50">
        <v>417.56399999999996</v>
      </c>
    </row>
    <row r="8803" spans="4:16" x14ac:dyDescent="0.2">
      <c r="D8803">
        <v>100005268</v>
      </c>
      <c r="E8803" s="49">
        <v>44483</v>
      </c>
      <c r="F8803" t="s">
        <v>6431</v>
      </c>
      <c r="G8803" t="s">
        <v>2628</v>
      </c>
      <c r="H8803">
        <v>7</v>
      </c>
      <c r="I8803">
        <v>38.15</v>
      </c>
      <c r="J8803" s="50">
        <v>267.05</v>
      </c>
      <c r="K8803" t="s">
        <v>1632</v>
      </c>
      <c r="L8803" t="s">
        <v>6432</v>
      </c>
      <c r="M8803" t="s">
        <v>1619</v>
      </c>
      <c r="N8803">
        <v>20.13</v>
      </c>
      <c r="O8803" s="49">
        <v>44486</v>
      </c>
      <c r="P8803" s="50">
        <v>120.17250000000001</v>
      </c>
    </row>
    <row r="8804" spans="4:16" x14ac:dyDescent="0.2">
      <c r="D8804">
        <v>100005269</v>
      </c>
      <c r="E8804" s="49">
        <v>44539</v>
      </c>
      <c r="F8804" t="s">
        <v>6433</v>
      </c>
      <c r="G8804" t="s">
        <v>1801</v>
      </c>
      <c r="H8804">
        <v>4</v>
      </c>
      <c r="I8804">
        <v>21.29</v>
      </c>
      <c r="J8804" s="50">
        <v>85.16</v>
      </c>
      <c r="K8804" t="s">
        <v>1618</v>
      </c>
      <c r="L8804" t="s">
        <v>2962</v>
      </c>
      <c r="M8804" t="s">
        <v>1629</v>
      </c>
      <c r="N8804">
        <v>11.24</v>
      </c>
      <c r="O8804" s="49">
        <v>44541</v>
      </c>
      <c r="P8804" s="50">
        <v>38.322000000000003</v>
      </c>
    </row>
    <row r="8805" spans="4:16" x14ac:dyDescent="0.2">
      <c r="D8805">
        <v>100005269</v>
      </c>
      <c r="E8805" s="49">
        <v>44256</v>
      </c>
      <c r="F8805" t="s">
        <v>6433</v>
      </c>
      <c r="G8805" t="s">
        <v>2213</v>
      </c>
      <c r="H8805">
        <v>6</v>
      </c>
      <c r="I8805">
        <v>24.87</v>
      </c>
      <c r="J8805" s="50">
        <v>149.22</v>
      </c>
      <c r="K8805" t="s">
        <v>1618</v>
      </c>
      <c r="L8805" t="s">
        <v>2962</v>
      </c>
      <c r="M8805" t="s">
        <v>1621</v>
      </c>
      <c r="N8805">
        <v>13.13</v>
      </c>
      <c r="O8805" s="49">
        <v>44261</v>
      </c>
      <c r="P8805" s="50">
        <v>67.149000000000001</v>
      </c>
    </row>
    <row r="8806" spans="4:16" x14ac:dyDescent="0.2">
      <c r="D8806">
        <v>100005270</v>
      </c>
      <c r="E8806" s="49">
        <v>44918</v>
      </c>
      <c r="F8806" t="s">
        <v>6434</v>
      </c>
      <c r="G8806" t="s">
        <v>2112</v>
      </c>
      <c r="H8806">
        <v>9</v>
      </c>
      <c r="I8806">
        <v>59.23</v>
      </c>
      <c r="J8806" s="50">
        <v>533.06999999999994</v>
      </c>
      <c r="K8806" t="s">
        <v>1618</v>
      </c>
      <c r="M8806" t="s">
        <v>1624</v>
      </c>
      <c r="N8806">
        <v>31.26</v>
      </c>
      <c r="O8806" s="49">
        <v>44922</v>
      </c>
      <c r="P8806" s="50">
        <v>239.88149999999999</v>
      </c>
    </row>
    <row r="8807" spans="4:16" x14ac:dyDescent="0.2">
      <c r="D8807">
        <v>100005271</v>
      </c>
      <c r="E8807" s="49">
        <v>44358</v>
      </c>
      <c r="F8807" t="s">
        <v>6435</v>
      </c>
      <c r="G8807" t="s">
        <v>1782</v>
      </c>
      <c r="H8807">
        <v>6</v>
      </c>
      <c r="I8807">
        <v>55.86</v>
      </c>
      <c r="J8807" s="50">
        <v>335.16</v>
      </c>
      <c r="K8807" t="s">
        <v>1632</v>
      </c>
      <c r="M8807" t="s">
        <v>1621</v>
      </c>
      <c r="N8807">
        <v>29.48</v>
      </c>
      <c r="O8807" s="49">
        <v>44360</v>
      </c>
      <c r="P8807" s="50">
        <v>150.822</v>
      </c>
    </row>
    <row r="8808" spans="4:16" x14ac:dyDescent="0.2">
      <c r="D8808">
        <v>100005271</v>
      </c>
      <c r="E8808" s="49">
        <v>44359</v>
      </c>
      <c r="F8808" t="s">
        <v>6435</v>
      </c>
      <c r="G8808" t="s">
        <v>2628</v>
      </c>
      <c r="H8808">
        <v>6</v>
      </c>
      <c r="I8808">
        <v>25.51</v>
      </c>
      <c r="J8808" s="50">
        <v>153.06</v>
      </c>
      <c r="K8808" t="s">
        <v>1632</v>
      </c>
      <c r="M8808" t="s">
        <v>1624</v>
      </c>
      <c r="N8808">
        <v>13.46</v>
      </c>
      <c r="O8808" s="49">
        <v>44361</v>
      </c>
      <c r="P8808" s="50">
        <v>68.87700000000001</v>
      </c>
    </row>
    <row r="8809" spans="4:16" x14ac:dyDescent="0.2">
      <c r="D8809">
        <v>100005271</v>
      </c>
      <c r="E8809" s="49">
        <v>44959</v>
      </c>
      <c r="F8809" t="s">
        <v>6435</v>
      </c>
      <c r="G8809" t="s">
        <v>2301</v>
      </c>
      <c r="H8809">
        <v>4</v>
      </c>
      <c r="I8809">
        <v>92.73</v>
      </c>
      <c r="J8809" s="50">
        <v>370.92</v>
      </c>
      <c r="K8809" t="s">
        <v>1632</v>
      </c>
      <c r="M8809" t="s">
        <v>1627</v>
      </c>
      <c r="N8809">
        <v>48.94</v>
      </c>
      <c r="O8809" s="49">
        <v>44962</v>
      </c>
      <c r="P8809" s="50">
        <v>166.91400000000002</v>
      </c>
    </row>
    <row r="8810" spans="4:16" x14ac:dyDescent="0.2">
      <c r="D8810">
        <v>100005272</v>
      </c>
      <c r="E8810" s="49">
        <v>44527</v>
      </c>
      <c r="F8810" t="s">
        <v>6436</v>
      </c>
      <c r="G8810" t="s">
        <v>1770</v>
      </c>
      <c r="H8810">
        <v>10</v>
      </c>
      <c r="I8810">
        <v>34.799999999999997</v>
      </c>
      <c r="J8810" s="50">
        <v>348</v>
      </c>
      <c r="K8810" t="s">
        <v>1632</v>
      </c>
      <c r="M8810" t="s">
        <v>1627</v>
      </c>
      <c r="N8810">
        <v>18.37</v>
      </c>
      <c r="O8810" s="49">
        <v>44531</v>
      </c>
      <c r="P8810" s="50">
        <v>156.6</v>
      </c>
    </row>
    <row r="8811" spans="4:16" x14ac:dyDescent="0.2">
      <c r="D8811">
        <v>100005277</v>
      </c>
      <c r="E8811" s="49">
        <v>45627</v>
      </c>
      <c r="F8811" t="s">
        <v>6437</v>
      </c>
      <c r="G8811" t="s">
        <v>1679</v>
      </c>
      <c r="H8811">
        <v>7</v>
      </c>
      <c r="I8811">
        <v>31.02</v>
      </c>
      <c r="J8811" s="50">
        <v>217.14</v>
      </c>
      <c r="K8811" t="s">
        <v>1632</v>
      </c>
      <c r="M8811" t="s">
        <v>1629</v>
      </c>
      <c r="N8811">
        <v>16.37</v>
      </c>
      <c r="O8811" s="49">
        <v>45628</v>
      </c>
      <c r="P8811" s="50">
        <v>97.712999999999994</v>
      </c>
    </row>
    <row r="8812" spans="4:16" x14ac:dyDescent="0.2">
      <c r="D8812">
        <v>100005277</v>
      </c>
      <c r="E8812" s="49">
        <v>45437</v>
      </c>
      <c r="F8812" t="s">
        <v>6437</v>
      </c>
      <c r="G8812" t="s">
        <v>2202</v>
      </c>
      <c r="H8812">
        <v>5</v>
      </c>
      <c r="I8812">
        <v>65.819999999999993</v>
      </c>
      <c r="J8812" s="50">
        <v>329.1</v>
      </c>
      <c r="K8812" t="s">
        <v>1632</v>
      </c>
      <c r="M8812" t="s">
        <v>1629</v>
      </c>
      <c r="N8812">
        <v>34.74</v>
      </c>
      <c r="O8812" s="49">
        <v>45440</v>
      </c>
      <c r="P8812" s="50">
        <v>148.09500000000003</v>
      </c>
    </row>
    <row r="8813" spans="4:16" x14ac:dyDescent="0.2">
      <c r="D8813">
        <v>100005277</v>
      </c>
      <c r="E8813" s="49">
        <v>44542</v>
      </c>
      <c r="F8813" t="s">
        <v>6437</v>
      </c>
      <c r="G8813" t="s">
        <v>2263</v>
      </c>
      <c r="H8813">
        <v>1</v>
      </c>
      <c r="I8813">
        <v>12.39</v>
      </c>
      <c r="J8813" s="50">
        <v>12.39</v>
      </c>
      <c r="K8813" t="s">
        <v>1632</v>
      </c>
      <c r="M8813" t="s">
        <v>1629</v>
      </c>
      <c r="N8813">
        <v>6.54</v>
      </c>
      <c r="O8813" s="49">
        <v>44545</v>
      </c>
      <c r="P8813" s="50">
        <v>5.5755000000000008</v>
      </c>
    </row>
    <row r="8814" spans="4:16" x14ac:dyDescent="0.2">
      <c r="D8814">
        <v>100005278</v>
      </c>
      <c r="E8814" s="49">
        <v>44461</v>
      </c>
      <c r="F8814" t="s">
        <v>6438</v>
      </c>
      <c r="G8814" t="s">
        <v>1723</v>
      </c>
      <c r="H8814">
        <v>6</v>
      </c>
      <c r="I8814">
        <v>55.31</v>
      </c>
      <c r="J8814" s="50">
        <v>331.86</v>
      </c>
      <c r="K8814" t="s">
        <v>1618</v>
      </c>
      <c r="M8814" t="s">
        <v>1624</v>
      </c>
      <c r="N8814">
        <v>29.19</v>
      </c>
      <c r="O8814" s="49">
        <v>44466</v>
      </c>
      <c r="P8814" s="50">
        <v>149.33700000000002</v>
      </c>
    </row>
    <row r="8815" spans="4:16" x14ac:dyDescent="0.2">
      <c r="D8815">
        <v>100005279</v>
      </c>
      <c r="E8815" s="49">
        <v>44440</v>
      </c>
      <c r="F8815" t="s">
        <v>6439</v>
      </c>
      <c r="G8815" t="s">
        <v>1777</v>
      </c>
      <c r="H8815">
        <v>8</v>
      </c>
      <c r="I8815">
        <v>99.73</v>
      </c>
      <c r="J8815" s="50">
        <v>797.84</v>
      </c>
      <c r="K8815" t="s">
        <v>1632</v>
      </c>
      <c r="M8815" t="s">
        <v>1621</v>
      </c>
      <c r="N8815">
        <v>52.63</v>
      </c>
      <c r="O8815" s="49">
        <v>44443</v>
      </c>
      <c r="P8815" s="50">
        <v>359.02800000000002</v>
      </c>
    </row>
    <row r="8816" spans="4:16" x14ac:dyDescent="0.2">
      <c r="D8816">
        <v>100005279</v>
      </c>
      <c r="E8816" s="49">
        <v>45468</v>
      </c>
      <c r="F8816" t="s">
        <v>6439</v>
      </c>
      <c r="G8816" t="s">
        <v>1857</v>
      </c>
      <c r="H8816">
        <v>1</v>
      </c>
      <c r="I8816">
        <v>54.71</v>
      </c>
      <c r="J8816" s="50">
        <v>54.71</v>
      </c>
      <c r="K8816" t="s">
        <v>1632</v>
      </c>
      <c r="M8816" t="s">
        <v>1619</v>
      </c>
      <c r="N8816">
        <v>28.87</v>
      </c>
      <c r="O8816" s="49">
        <v>45471</v>
      </c>
      <c r="P8816" s="50">
        <v>24.619500000000002</v>
      </c>
    </row>
    <row r="8817" spans="4:16" x14ac:dyDescent="0.2">
      <c r="D8817">
        <v>100005279</v>
      </c>
      <c r="E8817" s="49">
        <v>45317</v>
      </c>
      <c r="F8817" t="s">
        <v>6439</v>
      </c>
      <c r="G8817" t="s">
        <v>1645</v>
      </c>
      <c r="H8817">
        <v>5</v>
      </c>
      <c r="I8817">
        <v>43.32</v>
      </c>
      <c r="J8817" s="50">
        <v>216.6</v>
      </c>
      <c r="K8817" t="s">
        <v>1632</v>
      </c>
      <c r="M8817" t="s">
        <v>1619</v>
      </c>
      <c r="N8817">
        <v>22.86</v>
      </c>
      <c r="O8817" s="49">
        <v>45318</v>
      </c>
      <c r="P8817" s="50">
        <v>97.47</v>
      </c>
    </row>
    <row r="8818" spans="4:16" x14ac:dyDescent="0.2">
      <c r="D8818">
        <v>100005280</v>
      </c>
      <c r="E8818" s="49">
        <v>44514</v>
      </c>
      <c r="F8818" t="s">
        <v>6440</v>
      </c>
      <c r="G8818" t="s">
        <v>2305</v>
      </c>
      <c r="H8818">
        <v>2</v>
      </c>
      <c r="I8818">
        <v>17.71</v>
      </c>
      <c r="J8818" s="50">
        <v>35.42</v>
      </c>
      <c r="K8818" t="s">
        <v>1618</v>
      </c>
      <c r="L8818" t="s">
        <v>2593</v>
      </c>
      <c r="M8818" t="s">
        <v>1627</v>
      </c>
      <c r="N8818">
        <v>9.35</v>
      </c>
      <c r="O8818" s="49">
        <v>44519</v>
      </c>
      <c r="P8818" s="50">
        <v>15.939000000000002</v>
      </c>
    </row>
    <row r="8819" spans="4:16" x14ac:dyDescent="0.2">
      <c r="D8819">
        <v>100005280</v>
      </c>
      <c r="E8819" s="49">
        <v>44499</v>
      </c>
      <c r="F8819" t="s">
        <v>6440</v>
      </c>
      <c r="G8819" t="s">
        <v>1742</v>
      </c>
      <c r="H8819">
        <v>10</v>
      </c>
      <c r="I8819">
        <v>66.33</v>
      </c>
      <c r="J8819" s="50">
        <v>663.3</v>
      </c>
      <c r="K8819" t="s">
        <v>1618</v>
      </c>
      <c r="L8819" t="s">
        <v>2593</v>
      </c>
      <c r="M8819" t="s">
        <v>1619</v>
      </c>
      <c r="N8819">
        <v>35.01</v>
      </c>
      <c r="O8819" s="49">
        <v>44502</v>
      </c>
      <c r="P8819" s="50">
        <v>298.48500000000001</v>
      </c>
    </row>
    <row r="8820" spans="4:16" x14ac:dyDescent="0.2">
      <c r="D8820">
        <v>100005280</v>
      </c>
      <c r="E8820" s="49">
        <v>44254</v>
      </c>
      <c r="F8820" t="s">
        <v>6440</v>
      </c>
      <c r="G8820" t="s">
        <v>2005</v>
      </c>
      <c r="H8820">
        <v>2</v>
      </c>
      <c r="I8820">
        <v>106.85</v>
      </c>
      <c r="J8820" s="50">
        <v>213.7</v>
      </c>
      <c r="K8820" t="s">
        <v>1618</v>
      </c>
      <c r="L8820" t="s">
        <v>2593</v>
      </c>
      <c r="M8820" t="s">
        <v>1629</v>
      </c>
      <c r="N8820">
        <v>56.39</v>
      </c>
      <c r="O8820" s="49">
        <v>44256</v>
      </c>
      <c r="P8820" s="50">
        <v>96.164999999999992</v>
      </c>
    </row>
    <row r="8821" spans="4:16" x14ac:dyDescent="0.2">
      <c r="D8821">
        <v>100005280</v>
      </c>
      <c r="E8821" s="49">
        <v>44360</v>
      </c>
      <c r="F8821" t="s">
        <v>6440</v>
      </c>
      <c r="G8821" t="s">
        <v>1900</v>
      </c>
      <c r="H8821">
        <v>4</v>
      </c>
      <c r="I8821">
        <v>119.75</v>
      </c>
      <c r="J8821" s="50">
        <v>479</v>
      </c>
      <c r="K8821" t="s">
        <v>1618</v>
      </c>
      <c r="L8821" t="s">
        <v>2593</v>
      </c>
      <c r="M8821" t="s">
        <v>1627</v>
      </c>
      <c r="N8821">
        <v>63.2</v>
      </c>
      <c r="O8821" s="49">
        <v>44361</v>
      </c>
      <c r="P8821" s="50">
        <v>215.55</v>
      </c>
    </row>
    <row r="8822" spans="4:16" x14ac:dyDescent="0.2">
      <c r="D8822">
        <v>100005280</v>
      </c>
      <c r="E8822" s="49">
        <v>44534</v>
      </c>
      <c r="F8822" t="s">
        <v>6440</v>
      </c>
      <c r="G8822" t="s">
        <v>1971</v>
      </c>
      <c r="H8822">
        <v>10</v>
      </c>
      <c r="I8822">
        <v>50.71</v>
      </c>
      <c r="J8822" s="50">
        <v>507.1</v>
      </c>
      <c r="K8822" t="s">
        <v>1618</v>
      </c>
      <c r="L8822" t="s">
        <v>2593</v>
      </c>
      <c r="M8822" t="s">
        <v>1621</v>
      </c>
      <c r="N8822">
        <v>26.76</v>
      </c>
      <c r="O8822" s="49">
        <v>44539</v>
      </c>
      <c r="P8822" s="50">
        <v>228.19500000000002</v>
      </c>
    </row>
    <row r="8823" spans="4:16" x14ac:dyDescent="0.2">
      <c r="D8823">
        <v>100005281</v>
      </c>
      <c r="E8823" s="49">
        <v>44232</v>
      </c>
      <c r="F8823" t="s">
        <v>6441</v>
      </c>
      <c r="G8823" t="s">
        <v>1710</v>
      </c>
      <c r="H8823">
        <v>5</v>
      </c>
      <c r="I8823">
        <v>33.74</v>
      </c>
      <c r="J8823" s="50">
        <v>168.7</v>
      </c>
      <c r="K8823" t="s">
        <v>1618</v>
      </c>
      <c r="L8823" t="s">
        <v>3025</v>
      </c>
      <c r="M8823" t="s">
        <v>1619</v>
      </c>
      <c r="N8823">
        <v>17.809999999999999</v>
      </c>
      <c r="O8823" s="49">
        <v>44235</v>
      </c>
      <c r="P8823" s="50">
        <v>75.914999999999992</v>
      </c>
    </row>
    <row r="8824" spans="4:16" x14ac:dyDescent="0.2">
      <c r="D8824">
        <v>100005282</v>
      </c>
      <c r="E8824" s="49">
        <v>45531</v>
      </c>
      <c r="F8824" t="s">
        <v>6442</v>
      </c>
      <c r="G8824" t="s">
        <v>2393</v>
      </c>
      <c r="H8824">
        <v>7</v>
      </c>
      <c r="I8824">
        <v>43.44</v>
      </c>
      <c r="J8824" s="50">
        <v>304.08</v>
      </c>
      <c r="K8824" t="s">
        <v>1618</v>
      </c>
      <c r="M8824" t="s">
        <v>1627</v>
      </c>
      <c r="N8824">
        <v>22.93</v>
      </c>
      <c r="O8824" s="49">
        <v>45536</v>
      </c>
      <c r="P8824" s="50">
        <v>136.83599999999998</v>
      </c>
    </row>
    <row r="8825" spans="4:16" x14ac:dyDescent="0.2">
      <c r="D8825">
        <v>100005283</v>
      </c>
      <c r="E8825" s="49">
        <v>44889</v>
      </c>
      <c r="F8825" t="s">
        <v>6443</v>
      </c>
      <c r="G8825" t="s">
        <v>2138</v>
      </c>
      <c r="H8825">
        <v>1</v>
      </c>
      <c r="I8825">
        <v>95.73</v>
      </c>
      <c r="J8825" s="50">
        <v>95.73</v>
      </c>
      <c r="K8825" t="s">
        <v>1618</v>
      </c>
      <c r="M8825" t="s">
        <v>1624</v>
      </c>
      <c r="N8825">
        <v>50.52</v>
      </c>
      <c r="O8825" s="49">
        <v>44892</v>
      </c>
      <c r="P8825" s="50">
        <v>43.078500000000005</v>
      </c>
    </row>
    <row r="8826" spans="4:16" x14ac:dyDescent="0.2">
      <c r="D8826">
        <v>100005284</v>
      </c>
      <c r="E8826" s="49">
        <v>44338</v>
      </c>
      <c r="F8826" t="s">
        <v>6444</v>
      </c>
      <c r="G8826" t="s">
        <v>1675</v>
      </c>
      <c r="H8826">
        <v>4</v>
      </c>
      <c r="I8826">
        <v>82.01</v>
      </c>
      <c r="J8826" s="50">
        <v>328.04</v>
      </c>
      <c r="K8826" t="s">
        <v>1632</v>
      </c>
      <c r="L8826" t="s">
        <v>6445</v>
      </c>
      <c r="M8826" t="s">
        <v>1624</v>
      </c>
      <c r="N8826">
        <v>43.28</v>
      </c>
      <c r="O8826" s="49">
        <v>44339</v>
      </c>
      <c r="P8826" s="50">
        <v>147.61800000000002</v>
      </c>
    </row>
    <row r="8827" spans="4:16" x14ac:dyDescent="0.2">
      <c r="D8827">
        <v>100005285</v>
      </c>
      <c r="E8827" s="49">
        <v>44441</v>
      </c>
      <c r="F8827" t="s">
        <v>6446</v>
      </c>
      <c r="G8827" t="s">
        <v>1722</v>
      </c>
      <c r="H8827">
        <v>5</v>
      </c>
      <c r="I8827">
        <v>104.26</v>
      </c>
      <c r="J8827" s="50">
        <v>521.30000000000007</v>
      </c>
      <c r="K8827" t="s">
        <v>1632</v>
      </c>
      <c r="M8827" t="s">
        <v>1624</v>
      </c>
      <c r="N8827">
        <v>55.03</v>
      </c>
      <c r="O8827" s="49">
        <v>44445</v>
      </c>
      <c r="P8827" s="50">
        <v>234.58500000000004</v>
      </c>
    </row>
    <row r="8828" spans="4:16" x14ac:dyDescent="0.2">
      <c r="D8828">
        <v>100005285</v>
      </c>
      <c r="E8828" s="49">
        <v>44762</v>
      </c>
      <c r="F8828" t="s">
        <v>6446</v>
      </c>
      <c r="G8828" t="s">
        <v>2436</v>
      </c>
      <c r="H8828">
        <v>2</v>
      </c>
      <c r="I8828">
        <v>74.83</v>
      </c>
      <c r="J8828" s="50">
        <v>149.66</v>
      </c>
      <c r="K8828" t="s">
        <v>1632</v>
      </c>
      <c r="M8828" t="s">
        <v>1624</v>
      </c>
      <c r="N8828">
        <v>39.49</v>
      </c>
      <c r="O8828" s="49">
        <v>44763</v>
      </c>
      <c r="P8828" s="50">
        <v>67.346999999999994</v>
      </c>
    </row>
    <row r="8829" spans="4:16" x14ac:dyDescent="0.2">
      <c r="D8829">
        <v>100005285</v>
      </c>
      <c r="E8829" s="49">
        <v>45612</v>
      </c>
      <c r="F8829" t="s">
        <v>6446</v>
      </c>
      <c r="G8829" t="s">
        <v>2024</v>
      </c>
      <c r="H8829">
        <v>9</v>
      </c>
      <c r="I8829">
        <v>80</v>
      </c>
      <c r="J8829" s="50">
        <v>720</v>
      </c>
      <c r="K8829" t="s">
        <v>1632</v>
      </c>
      <c r="M8829" t="s">
        <v>1619</v>
      </c>
      <c r="N8829">
        <v>42.22</v>
      </c>
      <c r="O8829" s="49">
        <v>45616</v>
      </c>
      <c r="P8829" s="50">
        <v>324</v>
      </c>
    </row>
    <row r="8830" spans="4:16" x14ac:dyDescent="0.2">
      <c r="D8830">
        <v>100005285</v>
      </c>
      <c r="E8830" s="49">
        <v>45059</v>
      </c>
      <c r="F8830" t="s">
        <v>6446</v>
      </c>
      <c r="G8830" t="s">
        <v>2130</v>
      </c>
      <c r="H8830">
        <v>7</v>
      </c>
      <c r="I8830">
        <v>70.98</v>
      </c>
      <c r="J8830" s="50">
        <v>496.86</v>
      </c>
      <c r="K8830" t="s">
        <v>1632</v>
      </c>
      <c r="M8830" t="s">
        <v>1619</v>
      </c>
      <c r="N8830">
        <v>37.46</v>
      </c>
      <c r="O8830" s="49">
        <v>45064</v>
      </c>
      <c r="P8830" s="50">
        <v>223.58700000000002</v>
      </c>
    </row>
    <row r="8831" spans="4:16" x14ac:dyDescent="0.2">
      <c r="D8831">
        <v>100005287</v>
      </c>
      <c r="E8831" s="49">
        <v>45563</v>
      </c>
      <c r="F8831" t="s">
        <v>6447</v>
      </c>
      <c r="G8831" t="s">
        <v>3075</v>
      </c>
      <c r="H8831">
        <v>3</v>
      </c>
      <c r="I8831">
        <v>16.03</v>
      </c>
      <c r="J8831" s="50">
        <v>48.09</v>
      </c>
      <c r="K8831" t="s">
        <v>1618</v>
      </c>
      <c r="M8831" t="s">
        <v>1627</v>
      </c>
      <c r="N8831">
        <v>8.4600000000000009</v>
      </c>
      <c r="O8831" s="49">
        <v>45565</v>
      </c>
      <c r="P8831" s="50">
        <v>21.640500000000003</v>
      </c>
    </row>
    <row r="8832" spans="4:16" x14ac:dyDescent="0.2">
      <c r="D8832">
        <v>100005290</v>
      </c>
      <c r="E8832" s="49">
        <v>44944</v>
      </c>
      <c r="F8832" t="s">
        <v>6448</v>
      </c>
      <c r="G8832" t="s">
        <v>2375</v>
      </c>
      <c r="H8832">
        <v>4</v>
      </c>
      <c r="I8832">
        <v>83.88</v>
      </c>
      <c r="J8832" s="50">
        <v>335.52</v>
      </c>
      <c r="K8832" t="s">
        <v>1618</v>
      </c>
      <c r="L8832" t="s">
        <v>6402</v>
      </c>
      <c r="M8832" t="s">
        <v>1621</v>
      </c>
      <c r="N8832">
        <v>44.27</v>
      </c>
      <c r="O8832" s="49">
        <v>44945</v>
      </c>
      <c r="P8832" s="50">
        <v>150.98400000000001</v>
      </c>
    </row>
    <row r="8833" spans="4:16" x14ac:dyDescent="0.2">
      <c r="D8833">
        <v>100005291</v>
      </c>
      <c r="E8833" s="49">
        <v>44454</v>
      </c>
      <c r="F8833" t="s">
        <v>6449</v>
      </c>
      <c r="G8833" t="s">
        <v>2182</v>
      </c>
      <c r="H8833">
        <v>4</v>
      </c>
      <c r="I8833">
        <v>79.95</v>
      </c>
      <c r="J8833" s="50">
        <v>319.8</v>
      </c>
      <c r="K8833" t="s">
        <v>1618</v>
      </c>
      <c r="M8833" t="s">
        <v>1624</v>
      </c>
      <c r="N8833">
        <v>42.2</v>
      </c>
      <c r="O8833" s="49">
        <v>44455</v>
      </c>
      <c r="P8833" s="50">
        <v>143.91</v>
      </c>
    </row>
    <row r="8834" spans="4:16" x14ac:dyDescent="0.2">
      <c r="D8834">
        <v>100005291</v>
      </c>
      <c r="E8834" s="49">
        <v>45542</v>
      </c>
      <c r="F8834" t="s">
        <v>6449</v>
      </c>
      <c r="G8834" t="s">
        <v>1767</v>
      </c>
      <c r="H8834">
        <v>10</v>
      </c>
      <c r="I8834">
        <v>25.19</v>
      </c>
      <c r="J8834" s="50">
        <v>251.9</v>
      </c>
      <c r="K8834" t="s">
        <v>1618</v>
      </c>
      <c r="M8834" t="s">
        <v>1621</v>
      </c>
      <c r="N8834">
        <v>13.29</v>
      </c>
      <c r="O8834" s="49">
        <v>45547</v>
      </c>
      <c r="P8834" s="50">
        <v>113.355</v>
      </c>
    </row>
    <row r="8835" spans="4:16" x14ac:dyDescent="0.2">
      <c r="D8835">
        <v>100005291</v>
      </c>
      <c r="E8835" s="49">
        <v>44833</v>
      </c>
      <c r="F8835" t="s">
        <v>6449</v>
      </c>
      <c r="G8835" t="s">
        <v>2161</v>
      </c>
      <c r="H8835">
        <v>1</v>
      </c>
      <c r="I8835">
        <v>62.65</v>
      </c>
      <c r="J8835" s="50">
        <v>62.65</v>
      </c>
      <c r="K8835" t="s">
        <v>1618</v>
      </c>
      <c r="M8835" t="s">
        <v>1624</v>
      </c>
      <c r="N8835">
        <v>33.07</v>
      </c>
      <c r="O8835" s="49">
        <v>44838</v>
      </c>
      <c r="P8835" s="50">
        <v>28.192499999999999</v>
      </c>
    </row>
    <row r="8836" spans="4:16" x14ac:dyDescent="0.2">
      <c r="D8836">
        <v>100005291</v>
      </c>
      <c r="E8836" s="49">
        <v>45412</v>
      </c>
      <c r="F8836" t="s">
        <v>6449</v>
      </c>
      <c r="G8836" t="s">
        <v>1667</v>
      </c>
      <c r="H8836">
        <v>6</v>
      </c>
      <c r="I8836">
        <v>60.66</v>
      </c>
      <c r="J8836" s="50">
        <v>363.96</v>
      </c>
      <c r="K8836" t="s">
        <v>1618</v>
      </c>
      <c r="M8836" t="s">
        <v>1629</v>
      </c>
      <c r="N8836">
        <v>32.01</v>
      </c>
      <c r="O8836" s="49">
        <v>45414</v>
      </c>
      <c r="P8836" s="50">
        <v>163.78199999999998</v>
      </c>
    </row>
    <row r="8837" spans="4:16" x14ac:dyDescent="0.2">
      <c r="D8837">
        <v>100005291</v>
      </c>
      <c r="E8837" s="49">
        <v>44515</v>
      </c>
      <c r="F8837" t="s">
        <v>6449</v>
      </c>
      <c r="G8837" t="s">
        <v>1787</v>
      </c>
      <c r="H8837">
        <v>3</v>
      </c>
      <c r="I8837">
        <v>95.22</v>
      </c>
      <c r="J8837" s="50">
        <v>285.66000000000003</v>
      </c>
      <c r="K8837" t="s">
        <v>1618</v>
      </c>
      <c r="M8837" t="s">
        <v>1627</v>
      </c>
      <c r="N8837">
        <v>50.25</v>
      </c>
      <c r="O8837" s="49">
        <v>44517</v>
      </c>
      <c r="P8837" s="50">
        <v>128.54700000000003</v>
      </c>
    </row>
    <row r="8838" spans="4:16" x14ac:dyDescent="0.2">
      <c r="D8838">
        <v>100005291</v>
      </c>
      <c r="E8838" s="49">
        <v>45148</v>
      </c>
      <c r="F8838" t="s">
        <v>6449</v>
      </c>
      <c r="G8838" t="s">
        <v>1700</v>
      </c>
      <c r="H8838">
        <v>1</v>
      </c>
      <c r="I8838">
        <v>116.72</v>
      </c>
      <c r="J8838" s="50">
        <v>116.72</v>
      </c>
      <c r="K8838" t="s">
        <v>1618</v>
      </c>
      <c r="M8838" t="s">
        <v>1619</v>
      </c>
      <c r="N8838">
        <v>61.6</v>
      </c>
      <c r="O8838" s="49">
        <v>45153</v>
      </c>
      <c r="P8838" s="50">
        <v>52.524000000000001</v>
      </c>
    </row>
    <row r="8839" spans="4:16" x14ac:dyDescent="0.2">
      <c r="D8839">
        <v>100005292</v>
      </c>
      <c r="E8839" s="49">
        <v>44855</v>
      </c>
      <c r="F8839" t="s">
        <v>6450</v>
      </c>
      <c r="G8839" t="s">
        <v>2331</v>
      </c>
      <c r="H8839">
        <v>3</v>
      </c>
      <c r="I8839">
        <v>55.35</v>
      </c>
      <c r="J8839" s="50">
        <v>166.05</v>
      </c>
      <c r="K8839" t="s">
        <v>1618</v>
      </c>
      <c r="M8839" t="s">
        <v>1621</v>
      </c>
      <c r="N8839">
        <v>29.21</v>
      </c>
      <c r="O8839" s="49">
        <v>44858</v>
      </c>
      <c r="P8839" s="50">
        <v>74.722500000000011</v>
      </c>
    </row>
    <row r="8840" spans="4:16" x14ac:dyDescent="0.2">
      <c r="D8840">
        <v>100005293</v>
      </c>
      <c r="E8840" s="49">
        <v>45200</v>
      </c>
      <c r="F8840" t="s">
        <v>6451</v>
      </c>
      <c r="G8840" t="s">
        <v>1973</v>
      </c>
      <c r="H8840">
        <v>9</v>
      </c>
      <c r="I8840">
        <v>75.42</v>
      </c>
      <c r="J8840" s="50">
        <v>678.78</v>
      </c>
      <c r="K8840" t="s">
        <v>1618</v>
      </c>
      <c r="L8840" t="s">
        <v>5416</v>
      </c>
      <c r="M8840" t="s">
        <v>1627</v>
      </c>
      <c r="N8840">
        <v>39.799999999999997</v>
      </c>
      <c r="O8840" s="49">
        <v>45204</v>
      </c>
      <c r="P8840" s="50">
        <v>305.45100000000002</v>
      </c>
    </row>
    <row r="8841" spans="4:16" x14ac:dyDescent="0.2">
      <c r="D8841">
        <v>100005294</v>
      </c>
      <c r="E8841" s="49">
        <v>44426</v>
      </c>
      <c r="F8841" t="s">
        <v>6452</v>
      </c>
      <c r="G8841" t="s">
        <v>2142</v>
      </c>
      <c r="H8841">
        <v>7</v>
      </c>
      <c r="I8841">
        <v>34.840000000000003</v>
      </c>
      <c r="J8841" s="50">
        <v>243.88</v>
      </c>
      <c r="K8841" t="s">
        <v>1618</v>
      </c>
      <c r="L8841" t="s">
        <v>6453</v>
      </c>
      <c r="M8841" t="s">
        <v>1629</v>
      </c>
      <c r="N8841">
        <v>18.39</v>
      </c>
      <c r="O8841" s="49">
        <v>44429</v>
      </c>
      <c r="P8841" s="50">
        <v>109.746</v>
      </c>
    </row>
    <row r="8842" spans="4:16" x14ac:dyDescent="0.2">
      <c r="D8842">
        <v>100005294</v>
      </c>
      <c r="E8842" s="49">
        <v>45076</v>
      </c>
      <c r="F8842" t="s">
        <v>6452</v>
      </c>
      <c r="G8842" t="s">
        <v>1715</v>
      </c>
      <c r="H8842">
        <v>1</v>
      </c>
      <c r="I8842">
        <v>28.57</v>
      </c>
      <c r="J8842" s="50">
        <v>28.57</v>
      </c>
      <c r="K8842" t="s">
        <v>1618</v>
      </c>
      <c r="L8842" t="s">
        <v>6453</v>
      </c>
      <c r="M8842" t="s">
        <v>1629</v>
      </c>
      <c r="N8842">
        <v>15.08</v>
      </c>
      <c r="O8842" s="49">
        <v>45081</v>
      </c>
      <c r="P8842" s="50">
        <v>12.8565</v>
      </c>
    </row>
    <row r="8843" spans="4:16" x14ac:dyDescent="0.2">
      <c r="D8843">
        <v>100005294</v>
      </c>
      <c r="E8843" s="49">
        <v>45547</v>
      </c>
      <c r="F8843" t="s">
        <v>6452</v>
      </c>
      <c r="G8843" t="s">
        <v>1787</v>
      </c>
      <c r="H8843">
        <v>6</v>
      </c>
      <c r="I8843">
        <v>116.33</v>
      </c>
      <c r="J8843" s="50">
        <v>697.98</v>
      </c>
      <c r="K8843" t="s">
        <v>1618</v>
      </c>
      <c r="L8843" t="s">
        <v>6453</v>
      </c>
      <c r="M8843" t="s">
        <v>1624</v>
      </c>
      <c r="N8843">
        <v>61.4</v>
      </c>
      <c r="O8843" s="49">
        <v>45551</v>
      </c>
      <c r="P8843" s="50">
        <v>314.09100000000001</v>
      </c>
    </row>
    <row r="8844" spans="4:16" x14ac:dyDescent="0.2">
      <c r="D8844">
        <v>100005296</v>
      </c>
      <c r="E8844" s="49">
        <v>45343</v>
      </c>
      <c r="F8844" t="s">
        <v>6454</v>
      </c>
      <c r="G8844" t="s">
        <v>1932</v>
      </c>
      <c r="H8844">
        <v>6</v>
      </c>
      <c r="I8844">
        <v>96.5</v>
      </c>
      <c r="J8844" s="50">
        <v>579</v>
      </c>
      <c r="K8844" t="s">
        <v>1618</v>
      </c>
      <c r="M8844" t="s">
        <v>1627</v>
      </c>
      <c r="N8844">
        <v>50.93</v>
      </c>
      <c r="O8844" s="49">
        <v>45346</v>
      </c>
      <c r="P8844" s="50">
        <v>260.55</v>
      </c>
    </row>
    <row r="8845" spans="4:16" x14ac:dyDescent="0.2">
      <c r="D8845">
        <v>100005296</v>
      </c>
      <c r="E8845" s="49">
        <v>45142</v>
      </c>
      <c r="F8845" t="s">
        <v>6454</v>
      </c>
      <c r="G8845" t="s">
        <v>2574</v>
      </c>
      <c r="H8845">
        <v>4</v>
      </c>
      <c r="I8845">
        <v>71.88</v>
      </c>
      <c r="J8845" s="50">
        <v>287.52</v>
      </c>
      <c r="K8845" t="s">
        <v>1618</v>
      </c>
      <c r="M8845" t="s">
        <v>1629</v>
      </c>
      <c r="N8845">
        <v>37.94</v>
      </c>
      <c r="O8845" s="49">
        <v>45147</v>
      </c>
      <c r="P8845" s="50">
        <v>129.38399999999999</v>
      </c>
    </row>
    <row r="8846" spans="4:16" x14ac:dyDescent="0.2">
      <c r="D8846">
        <v>100005296</v>
      </c>
      <c r="E8846" s="49">
        <v>45113</v>
      </c>
      <c r="F8846" t="s">
        <v>6454</v>
      </c>
      <c r="G8846" t="s">
        <v>2330</v>
      </c>
      <c r="H8846">
        <v>2</v>
      </c>
      <c r="I8846">
        <v>11.16</v>
      </c>
      <c r="J8846" s="50">
        <v>22.32</v>
      </c>
      <c r="K8846" t="s">
        <v>1618</v>
      </c>
      <c r="M8846" t="s">
        <v>1627</v>
      </c>
      <c r="N8846">
        <v>5.89</v>
      </c>
      <c r="O8846" s="49">
        <v>45118</v>
      </c>
      <c r="P8846" s="50">
        <v>10.044</v>
      </c>
    </row>
    <row r="8847" spans="4:16" x14ac:dyDescent="0.2">
      <c r="D8847">
        <v>100005297</v>
      </c>
      <c r="E8847" s="49">
        <v>44686</v>
      </c>
      <c r="F8847" t="s">
        <v>6455</v>
      </c>
      <c r="G8847" t="s">
        <v>2039</v>
      </c>
      <c r="H8847">
        <v>3</v>
      </c>
      <c r="I8847">
        <v>26.57</v>
      </c>
      <c r="J8847" s="50">
        <v>79.710000000000008</v>
      </c>
      <c r="K8847" t="s">
        <v>1618</v>
      </c>
      <c r="M8847" t="s">
        <v>1619</v>
      </c>
      <c r="N8847">
        <v>14.02</v>
      </c>
      <c r="O8847" s="49">
        <v>44687</v>
      </c>
      <c r="P8847" s="50">
        <v>35.869500000000002</v>
      </c>
    </row>
    <row r="8848" spans="4:16" x14ac:dyDescent="0.2">
      <c r="D8848">
        <v>100005298</v>
      </c>
      <c r="E8848" s="49">
        <v>44597</v>
      </c>
      <c r="F8848" t="s">
        <v>6456</v>
      </c>
      <c r="G8848" t="s">
        <v>1910</v>
      </c>
      <c r="H8848">
        <v>10</v>
      </c>
      <c r="I8848">
        <v>63.93</v>
      </c>
      <c r="J8848" s="50">
        <v>639.29999999999995</v>
      </c>
      <c r="K8848" t="s">
        <v>1618</v>
      </c>
      <c r="L8848" t="s">
        <v>2576</v>
      </c>
      <c r="M8848" t="s">
        <v>1619</v>
      </c>
      <c r="N8848">
        <v>33.74</v>
      </c>
      <c r="O8848" s="49">
        <v>44601</v>
      </c>
      <c r="P8848" s="50">
        <v>287.685</v>
      </c>
    </row>
    <row r="8849" spans="4:16" x14ac:dyDescent="0.2">
      <c r="D8849">
        <v>100005299</v>
      </c>
      <c r="E8849" s="49">
        <v>45027</v>
      </c>
      <c r="F8849" t="s">
        <v>6457</v>
      </c>
      <c r="G8849" t="s">
        <v>1902</v>
      </c>
      <c r="H8849">
        <v>9</v>
      </c>
      <c r="I8849">
        <v>56.87</v>
      </c>
      <c r="J8849" s="50">
        <v>511.83</v>
      </c>
      <c r="K8849" t="s">
        <v>1618</v>
      </c>
      <c r="M8849" t="s">
        <v>1624</v>
      </c>
      <c r="N8849">
        <v>30.01</v>
      </c>
      <c r="O8849" s="49">
        <v>45028</v>
      </c>
      <c r="P8849" s="50">
        <v>230.3235</v>
      </c>
    </row>
    <row r="8850" spans="4:16" x14ac:dyDescent="0.2">
      <c r="D8850">
        <v>100005299</v>
      </c>
      <c r="E8850" s="49">
        <v>44964</v>
      </c>
      <c r="F8850" t="s">
        <v>6457</v>
      </c>
      <c r="G8850" t="s">
        <v>2393</v>
      </c>
      <c r="H8850">
        <v>8</v>
      </c>
      <c r="I8850">
        <v>87.49</v>
      </c>
      <c r="J8850" s="50">
        <v>699.92</v>
      </c>
      <c r="K8850" t="s">
        <v>1618</v>
      </c>
      <c r="M8850" t="s">
        <v>1621</v>
      </c>
      <c r="N8850">
        <v>46.17</v>
      </c>
      <c r="O8850" s="49">
        <v>44967</v>
      </c>
      <c r="P8850" s="50">
        <v>314.964</v>
      </c>
    </row>
    <row r="8851" spans="4:16" x14ac:dyDescent="0.2">
      <c r="D8851">
        <v>100005301</v>
      </c>
      <c r="E8851" s="49">
        <v>45123</v>
      </c>
      <c r="F8851" t="s">
        <v>6458</v>
      </c>
      <c r="G8851" t="s">
        <v>1844</v>
      </c>
      <c r="H8851">
        <v>2</v>
      </c>
      <c r="I8851">
        <v>31.62</v>
      </c>
      <c r="J8851" s="50">
        <v>63.24</v>
      </c>
      <c r="K8851" t="s">
        <v>1618</v>
      </c>
      <c r="M8851" t="s">
        <v>1629</v>
      </c>
      <c r="N8851">
        <v>16.690000000000001</v>
      </c>
      <c r="O8851" s="49">
        <v>45125</v>
      </c>
      <c r="P8851" s="50">
        <v>28.458000000000002</v>
      </c>
    </row>
    <row r="8852" spans="4:16" x14ac:dyDescent="0.2">
      <c r="D8852">
        <v>100005301</v>
      </c>
      <c r="E8852" s="49">
        <v>44829</v>
      </c>
      <c r="F8852" t="s">
        <v>6458</v>
      </c>
      <c r="G8852" t="s">
        <v>2387</v>
      </c>
      <c r="H8852">
        <v>10</v>
      </c>
      <c r="I8852">
        <v>85.12</v>
      </c>
      <c r="J8852" s="50">
        <v>851.2</v>
      </c>
      <c r="K8852" t="s">
        <v>1618</v>
      </c>
      <c r="M8852" t="s">
        <v>1627</v>
      </c>
      <c r="N8852">
        <v>44.92</v>
      </c>
      <c r="O8852" s="49">
        <v>44830</v>
      </c>
      <c r="P8852" s="50">
        <v>383.04</v>
      </c>
    </row>
    <row r="8853" spans="4:16" x14ac:dyDescent="0.2">
      <c r="D8853">
        <v>100005303</v>
      </c>
      <c r="E8853" s="49">
        <v>44557</v>
      </c>
      <c r="F8853" t="s">
        <v>6459</v>
      </c>
      <c r="G8853" t="s">
        <v>1846</v>
      </c>
      <c r="H8853">
        <v>8</v>
      </c>
      <c r="I8853">
        <v>76.47</v>
      </c>
      <c r="J8853" s="50">
        <v>611.76</v>
      </c>
      <c r="K8853" t="s">
        <v>1618</v>
      </c>
      <c r="M8853" t="s">
        <v>1627</v>
      </c>
      <c r="N8853">
        <v>40.36</v>
      </c>
      <c r="O8853" s="49">
        <v>44560</v>
      </c>
      <c r="P8853" s="50">
        <v>275.29200000000003</v>
      </c>
    </row>
    <row r="8854" spans="4:16" x14ac:dyDescent="0.2">
      <c r="D8854">
        <v>100005303</v>
      </c>
      <c r="E8854" s="49">
        <v>44415</v>
      </c>
      <c r="F8854" t="s">
        <v>6459</v>
      </c>
      <c r="G8854" t="s">
        <v>2191</v>
      </c>
      <c r="H8854">
        <v>10</v>
      </c>
      <c r="I8854">
        <v>80.47</v>
      </c>
      <c r="J8854" s="50">
        <v>804.7</v>
      </c>
      <c r="K8854" t="s">
        <v>1618</v>
      </c>
      <c r="M8854" t="s">
        <v>1621</v>
      </c>
      <c r="N8854">
        <v>42.47</v>
      </c>
      <c r="O8854" s="49">
        <v>44419</v>
      </c>
      <c r="P8854" s="50">
        <v>362.11500000000001</v>
      </c>
    </row>
    <row r="8855" spans="4:16" x14ac:dyDescent="0.2">
      <c r="D8855">
        <v>100005303</v>
      </c>
      <c r="E8855" s="49">
        <v>44823</v>
      </c>
      <c r="F8855" t="s">
        <v>6459</v>
      </c>
      <c r="G8855" t="s">
        <v>2057</v>
      </c>
      <c r="H8855">
        <v>2</v>
      </c>
      <c r="I8855">
        <v>74.77</v>
      </c>
      <c r="J8855" s="50">
        <v>149.54</v>
      </c>
      <c r="K8855" t="s">
        <v>1618</v>
      </c>
      <c r="M8855" t="s">
        <v>1619</v>
      </c>
      <c r="N8855">
        <v>39.46</v>
      </c>
      <c r="O8855" s="49">
        <v>44828</v>
      </c>
      <c r="P8855" s="50">
        <v>67.292999999999992</v>
      </c>
    </row>
    <row r="8856" spans="4:16" x14ac:dyDescent="0.2">
      <c r="D8856">
        <v>100005303</v>
      </c>
      <c r="E8856" s="49">
        <v>45518</v>
      </c>
      <c r="F8856" t="s">
        <v>6459</v>
      </c>
      <c r="G8856" t="s">
        <v>1754</v>
      </c>
      <c r="H8856">
        <v>7</v>
      </c>
      <c r="I8856">
        <v>66.84</v>
      </c>
      <c r="J8856" s="50">
        <v>467.88</v>
      </c>
      <c r="K8856" t="s">
        <v>1618</v>
      </c>
      <c r="M8856" t="s">
        <v>1621</v>
      </c>
      <c r="N8856">
        <v>35.28</v>
      </c>
      <c r="O8856" s="49">
        <v>45522</v>
      </c>
      <c r="P8856" s="50">
        <v>210.54599999999999</v>
      </c>
    </row>
    <row r="8857" spans="4:16" x14ac:dyDescent="0.2">
      <c r="D8857">
        <v>100005303</v>
      </c>
      <c r="E8857" s="49">
        <v>44389</v>
      </c>
      <c r="F8857" t="s">
        <v>6459</v>
      </c>
      <c r="G8857" t="s">
        <v>2416</v>
      </c>
      <c r="H8857">
        <v>3</v>
      </c>
      <c r="I8857">
        <v>109.41</v>
      </c>
      <c r="J8857" s="50">
        <v>328.23</v>
      </c>
      <c r="K8857" t="s">
        <v>1618</v>
      </c>
      <c r="M8857" t="s">
        <v>1627</v>
      </c>
      <c r="N8857">
        <v>57.74</v>
      </c>
      <c r="O8857" s="49">
        <v>44391</v>
      </c>
      <c r="P8857" s="50">
        <v>147.70350000000002</v>
      </c>
    </row>
    <row r="8858" spans="4:16" x14ac:dyDescent="0.2">
      <c r="D8858">
        <v>100005303</v>
      </c>
      <c r="E8858" s="49">
        <v>45370</v>
      </c>
      <c r="F8858" t="s">
        <v>6459</v>
      </c>
      <c r="G8858" t="s">
        <v>2151</v>
      </c>
      <c r="H8858">
        <v>8</v>
      </c>
      <c r="I8858">
        <v>32.520000000000003</v>
      </c>
      <c r="J8858" s="50">
        <v>260.16000000000003</v>
      </c>
      <c r="K8858" t="s">
        <v>1618</v>
      </c>
      <c r="M8858" t="s">
        <v>1619</v>
      </c>
      <c r="N8858">
        <v>17.16</v>
      </c>
      <c r="O8858" s="49">
        <v>45372</v>
      </c>
      <c r="P8858" s="50">
        <v>117.07200000000002</v>
      </c>
    </row>
    <row r="8859" spans="4:16" x14ac:dyDescent="0.2">
      <c r="D8859">
        <v>100005304</v>
      </c>
      <c r="E8859" s="49">
        <v>45269</v>
      </c>
      <c r="F8859" t="s">
        <v>6460</v>
      </c>
      <c r="G8859" t="s">
        <v>1744</v>
      </c>
      <c r="H8859">
        <v>5</v>
      </c>
      <c r="I8859">
        <v>82.85</v>
      </c>
      <c r="J8859" s="50">
        <v>414.25</v>
      </c>
      <c r="K8859" t="s">
        <v>1632</v>
      </c>
      <c r="M8859" t="s">
        <v>1619</v>
      </c>
      <c r="N8859">
        <v>43.73</v>
      </c>
      <c r="O8859" s="49">
        <v>45270</v>
      </c>
      <c r="P8859" s="50">
        <v>186.41249999999999</v>
      </c>
    </row>
    <row r="8860" spans="4:16" x14ac:dyDescent="0.2">
      <c r="D8860">
        <v>100005304</v>
      </c>
      <c r="E8860" s="49">
        <v>45284</v>
      </c>
      <c r="F8860" t="s">
        <v>6460</v>
      </c>
      <c r="G8860" t="s">
        <v>1893</v>
      </c>
      <c r="H8860">
        <v>7</v>
      </c>
      <c r="I8860">
        <v>65.900000000000006</v>
      </c>
      <c r="J8860" s="50">
        <v>461.30000000000013</v>
      </c>
      <c r="K8860" t="s">
        <v>1632</v>
      </c>
      <c r="M8860" t="s">
        <v>1619</v>
      </c>
      <c r="N8860">
        <v>34.78</v>
      </c>
      <c r="O8860" s="49">
        <v>45285</v>
      </c>
      <c r="P8860" s="50">
        <v>207.58500000000006</v>
      </c>
    </row>
    <row r="8861" spans="4:16" x14ac:dyDescent="0.2">
      <c r="D8861">
        <v>100005304</v>
      </c>
      <c r="E8861" s="49">
        <v>45657</v>
      </c>
      <c r="F8861" t="s">
        <v>6460</v>
      </c>
      <c r="G8861" t="s">
        <v>2151</v>
      </c>
      <c r="H8861">
        <v>8</v>
      </c>
      <c r="I8861">
        <v>54.38</v>
      </c>
      <c r="J8861" s="50">
        <v>435.04</v>
      </c>
      <c r="K8861" t="s">
        <v>1632</v>
      </c>
      <c r="M8861" t="s">
        <v>1619</v>
      </c>
      <c r="N8861">
        <v>28.7</v>
      </c>
      <c r="O8861" s="49">
        <v>45661</v>
      </c>
      <c r="P8861" s="50">
        <v>195.768</v>
      </c>
    </row>
    <row r="8862" spans="4:16" x14ac:dyDescent="0.2">
      <c r="D8862">
        <v>100005304</v>
      </c>
      <c r="E8862" s="49">
        <v>45324</v>
      </c>
      <c r="F8862" t="s">
        <v>6460</v>
      </c>
      <c r="G8862" t="s">
        <v>1895</v>
      </c>
      <c r="H8862">
        <v>3</v>
      </c>
      <c r="I8862">
        <v>47.58</v>
      </c>
      <c r="J8862" s="50">
        <v>142.74</v>
      </c>
      <c r="K8862" t="s">
        <v>1632</v>
      </c>
      <c r="M8862" t="s">
        <v>1624</v>
      </c>
      <c r="N8862">
        <v>25.11</v>
      </c>
      <c r="O8862" s="49">
        <v>45329</v>
      </c>
      <c r="P8862" s="50">
        <v>64.233000000000004</v>
      </c>
    </row>
    <row r="8863" spans="4:16" x14ac:dyDescent="0.2">
      <c r="D8863">
        <v>100005304</v>
      </c>
      <c r="E8863" s="49">
        <v>44231</v>
      </c>
      <c r="F8863" t="s">
        <v>6460</v>
      </c>
      <c r="G8863" t="s">
        <v>1670</v>
      </c>
      <c r="H8863">
        <v>2</v>
      </c>
      <c r="I8863">
        <v>24.07</v>
      </c>
      <c r="J8863" s="50">
        <v>48.14</v>
      </c>
      <c r="K8863" t="s">
        <v>1632</v>
      </c>
      <c r="M8863" t="s">
        <v>1627</v>
      </c>
      <c r="N8863">
        <v>12.7</v>
      </c>
      <c r="O8863" s="49">
        <v>44234</v>
      </c>
      <c r="P8863" s="50">
        <v>21.663</v>
      </c>
    </row>
    <row r="8864" spans="4:16" x14ac:dyDescent="0.2">
      <c r="D8864">
        <v>100005307</v>
      </c>
      <c r="E8864" s="49">
        <v>45601</v>
      </c>
      <c r="F8864" t="s">
        <v>6461</v>
      </c>
      <c r="G8864" t="s">
        <v>1742</v>
      </c>
      <c r="H8864">
        <v>4</v>
      </c>
      <c r="I8864">
        <v>60.17</v>
      </c>
      <c r="J8864" s="50">
        <v>240.68</v>
      </c>
      <c r="K8864" t="s">
        <v>1618</v>
      </c>
      <c r="M8864" t="s">
        <v>1629</v>
      </c>
      <c r="N8864">
        <v>31.76</v>
      </c>
      <c r="O8864" s="49">
        <v>45602</v>
      </c>
      <c r="P8864" s="50">
        <v>108.30600000000001</v>
      </c>
    </row>
    <row r="8865" spans="4:16" x14ac:dyDescent="0.2">
      <c r="D8865">
        <v>100005308</v>
      </c>
      <c r="E8865" s="49">
        <v>44635</v>
      </c>
      <c r="F8865" t="s">
        <v>6462</v>
      </c>
      <c r="G8865" t="s">
        <v>1808</v>
      </c>
      <c r="H8865">
        <v>8</v>
      </c>
      <c r="I8865">
        <v>49.3</v>
      </c>
      <c r="J8865" s="50">
        <v>394.4</v>
      </c>
      <c r="K8865" t="s">
        <v>1618</v>
      </c>
      <c r="M8865" t="s">
        <v>1627</v>
      </c>
      <c r="N8865">
        <v>26.02</v>
      </c>
      <c r="O8865" s="49">
        <v>44640</v>
      </c>
      <c r="P8865" s="50">
        <v>177.48</v>
      </c>
    </row>
    <row r="8866" spans="4:16" x14ac:dyDescent="0.2">
      <c r="D8866">
        <v>100005308</v>
      </c>
      <c r="E8866" s="49">
        <v>44886</v>
      </c>
      <c r="F8866" t="s">
        <v>6462</v>
      </c>
      <c r="G8866" t="s">
        <v>2062</v>
      </c>
      <c r="H8866">
        <v>8</v>
      </c>
      <c r="I8866">
        <v>63.05</v>
      </c>
      <c r="J8866" s="50">
        <v>504.4</v>
      </c>
      <c r="K8866" t="s">
        <v>1618</v>
      </c>
      <c r="M8866" t="s">
        <v>1627</v>
      </c>
      <c r="N8866">
        <v>33.28</v>
      </c>
      <c r="O8866" s="49">
        <v>44888</v>
      </c>
      <c r="P8866" s="50">
        <v>226.98</v>
      </c>
    </row>
    <row r="8867" spans="4:16" x14ac:dyDescent="0.2">
      <c r="D8867">
        <v>100005309</v>
      </c>
      <c r="E8867" s="49">
        <v>44409</v>
      </c>
      <c r="F8867" t="s">
        <v>5489</v>
      </c>
      <c r="G8867" t="s">
        <v>2074</v>
      </c>
      <c r="H8867">
        <v>6</v>
      </c>
      <c r="I8867">
        <v>98.8</v>
      </c>
      <c r="J8867" s="50">
        <v>592.79999999999995</v>
      </c>
      <c r="K8867" t="s">
        <v>1632</v>
      </c>
      <c r="M8867" t="s">
        <v>1627</v>
      </c>
      <c r="N8867">
        <v>52.14</v>
      </c>
      <c r="O8867" s="49">
        <v>44411</v>
      </c>
      <c r="P8867" s="50">
        <v>266.76</v>
      </c>
    </row>
    <row r="8868" spans="4:16" x14ac:dyDescent="0.2">
      <c r="D8868">
        <v>100005309</v>
      </c>
      <c r="E8868" s="49">
        <v>45429</v>
      </c>
      <c r="F8868" t="s">
        <v>5489</v>
      </c>
      <c r="G8868" t="s">
        <v>1651</v>
      </c>
      <c r="H8868">
        <v>7</v>
      </c>
      <c r="I8868">
        <v>87.22</v>
      </c>
      <c r="J8868" s="50">
        <v>610.54</v>
      </c>
      <c r="K8868" t="s">
        <v>1632</v>
      </c>
      <c r="M8868" t="s">
        <v>1619</v>
      </c>
      <c r="N8868">
        <v>46.03</v>
      </c>
      <c r="O8868" s="49">
        <v>45430</v>
      </c>
      <c r="P8868" s="50">
        <v>274.74299999999999</v>
      </c>
    </row>
    <row r="8869" spans="4:16" x14ac:dyDescent="0.2">
      <c r="D8869">
        <v>100005310</v>
      </c>
      <c r="E8869" s="49">
        <v>45132</v>
      </c>
      <c r="F8869" t="s">
        <v>6463</v>
      </c>
      <c r="G8869" t="s">
        <v>2346</v>
      </c>
      <c r="H8869">
        <v>9</v>
      </c>
      <c r="I8869">
        <v>57.5</v>
      </c>
      <c r="J8869" s="50">
        <v>517.5</v>
      </c>
      <c r="K8869" t="s">
        <v>1618</v>
      </c>
      <c r="M8869" t="s">
        <v>1627</v>
      </c>
      <c r="N8869">
        <v>30.35</v>
      </c>
      <c r="O8869" s="49">
        <v>45136</v>
      </c>
      <c r="P8869" s="50">
        <v>232.875</v>
      </c>
    </row>
    <row r="8870" spans="4:16" x14ac:dyDescent="0.2">
      <c r="D8870">
        <v>100005310</v>
      </c>
      <c r="E8870" s="49">
        <v>45165</v>
      </c>
      <c r="F8870" t="s">
        <v>6463</v>
      </c>
      <c r="G8870" t="s">
        <v>2024</v>
      </c>
      <c r="H8870">
        <v>5</v>
      </c>
      <c r="I8870">
        <v>47.9</v>
      </c>
      <c r="J8870" s="50">
        <v>239.5</v>
      </c>
      <c r="K8870" t="s">
        <v>1618</v>
      </c>
      <c r="M8870" t="s">
        <v>1619</v>
      </c>
      <c r="N8870">
        <v>25.28</v>
      </c>
      <c r="O8870" s="49">
        <v>45167</v>
      </c>
      <c r="P8870" s="50">
        <v>107.77500000000001</v>
      </c>
    </row>
    <row r="8871" spans="4:16" x14ac:dyDescent="0.2">
      <c r="D8871">
        <v>100005311</v>
      </c>
      <c r="E8871" s="49">
        <v>45292</v>
      </c>
      <c r="F8871" t="s">
        <v>4241</v>
      </c>
      <c r="G8871" t="s">
        <v>1707</v>
      </c>
      <c r="H8871">
        <v>5</v>
      </c>
      <c r="I8871">
        <v>53.45</v>
      </c>
      <c r="J8871" s="50">
        <v>267.25</v>
      </c>
      <c r="K8871" t="s">
        <v>1618</v>
      </c>
      <c r="M8871" t="s">
        <v>1629</v>
      </c>
      <c r="N8871">
        <v>28.21</v>
      </c>
      <c r="O8871" s="49">
        <v>45296</v>
      </c>
      <c r="P8871" s="50">
        <v>120.2625</v>
      </c>
    </row>
    <row r="8872" spans="4:16" x14ac:dyDescent="0.2">
      <c r="D8872">
        <v>100005311</v>
      </c>
      <c r="E8872" s="49">
        <v>44807</v>
      </c>
      <c r="F8872" t="s">
        <v>4241</v>
      </c>
      <c r="G8872" t="s">
        <v>1865</v>
      </c>
      <c r="H8872">
        <v>5</v>
      </c>
      <c r="I8872">
        <v>92.05</v>
      </c>
      <c r="J8872" s="50">
        <v>460.25</v>
      </c>
      <c r="K8872" t="s">
        <v>1618</v>
      </c>
      <c r="M8872" t="s">
        <v>1629</v>
      </c>
      <c r="N8872">
        <v>48.58</v>
      </c>
      <c r="O8872" s="49">
        <v>44812</v>
      </c>
      <c r="P8872" s="50">
        <v>207.11250000000001</v>
      </c>
    </row>
    <row r="8873" spans="4:16" x14ac:dyDescent="0.2">
      <c r="D8873">
        <v>100005312</v>
      </c>
      <c r="E8873" s="49">
        <v>45471</v>
      </c>
      <c r="F8873" t="s">
        <v>6464</v>
      </c>
      <c r="G8873" t="s">
        <v>1765</v>
      </c>
      <c r="H8873">
        <v>4</v>
      </c>
      <c r="I8873">
        <v>44.01</v>
      </c>
      <c r="J8873" s="50">
        <v>176.04</v>
      </c>
      <c r="K8873" t="s">
        <v>1618</v>
      </c>
      <c r="M8873" t="s">
        <v>1627</v>
      </c>
      <c r="N8873">
        <v>23.23</v>
      </c>
      <c r="O8873" s="49">
        <v>45473</v>
      </c>
      <c r="P8873" s="50">
        <v>79.218000000000004</v>
      </c>
    </row>
    <row r="8874" spans="4:16" x14ac:dyDescent="0.2">
      <c r="D8874">
        <v>100005312</v>
      </c>
      <c r="E8874" s="49">
        <v>45556</v>
      </c>
      <c r="F8874" t="s">
        <v>6464</v>
      </c>
      <c r="G8874" t="s">
        <v>2116</v>
      </c>
      <c r="H8874">
        <v>6</v>
      </c>
      <c r="I8874">
        <v>116.93</v>
      </c>
      <c r="J8874" s="50">
        <v>701.58</v>
      </c>
      <c r="K8874" t="s">
        <v>1618</v>
      </c>
      <c r="M8874" t="s">
        <v>1629</v>
      </c>
      <c r="N8874">
        <v>61.71</v>
      </c>
      <c r="O8874" s="49">
        <v>45560</v>
      </c>
      <c r="P8874" s="50">
        <v>315.71100000000001</v>
      </c>
    </row>
    <row r="8875" spans="4:16" x14ac:dyDescent="0.2">
      <c r="D8875">
        <v>100005314</v>
      </c>
      <c r="E8875" s="49">
        <v>45212</v>
      </c>
      <c r="F8875" t="s">
        <v>6465</v>
      </c>
      <c r="G8875" t="s">
        <v>2348</v>
      </c>
      <c r="H8875">
        <v>8</v>
      </c>
      <c r="I8875">
        <v>28.32</v>
      </c>
      <c r="J8875" s="50">
        <v>226.56</v>
      </c>
      <c r="K8875" t="s">
        <v>1632</v>
      </c>
      <c r="M8875" t="s">
        <v>1621</v>
      </c>
      <c r="N8875">
        <v>14.95</v>
      </c>
      <c r="O8875" s="49">
        <v>45213</v>
      </c>
      <c r="P8875" s="50">
        <v>101.952</v>
      </c>
    </row>
    <row r="8876" spans="4:16" x14ac:dyDescent="0.2">
      <c r="D8876">
        <v>100005316</v>
      </c>
      <c r="E8876" s="49">
        <v>45520</v>
      </c>
      <c r="F8876" t="s">
        <v>6466</v>
      </c>
      <c r="G8876" t="s">
        <v>1916</v>
      </c>
      <c r="H8876">
        <v>5</v>
      </c>
      <c r="I8876">
        <v>117.91</v>
      </c>
      <c r="J8876" s="50">
        <v>589.54999999999995</v>
      </c>
      <c r="K8876" t="s">
        <v>1632</v>
      </c>
      <c r="M8876" t="s">
        <v>1627</v>
      </c>
      <c r="N8876">
        <v>62.23</v>
      </c>
      <c r="O8876" s="49">
        <v>45522</v>
      </c>
      <c r="P8876" s="50">
        <v>265.29750000000001</v>
      </c>
    </row>
    <row r="8877" spans="4:16" x14ac:dyDescent="0.2">
      <c r="D8877">
        <v>100005316</v>
      </c>
      <c r="E8877" s="49">
        <v>45360</v>
      </c>
      <c r="F8877" t="s">
        <v>6466</v>
      </c>
      <c r="G8877" t="s">
        <v>1646</v>
      </c>
      <c r="H8877">
        <v>9</v>
      </c>
      <c r="I8877">
        <v>17.489999999999998</v>
      </c>
      <c r="J8877" s="50">
        <v>157.41</v>
      </c>
      <c r="K8877" t="s">
        <v>1632</v>
      </c>
      <c r="M8877" t="s">
        <v>1629</v>
      </c>
      <c r="N8877">
        <v>9.23</v>
      </c>
      <c r="O8877" s="49">
        <v>45363</v>
      </c>
      <c r="P8877" s="50">
        <v>70.834500000000006</v>
      </c>
    </row>
    <row r="8878" spans="4:16" x14ac:dyDescent="0.2">
      <c r="D8878">
        <v>100005317</v>
      </c>
      <c r="E8878" s="49">
        <v>45303</v>
      </c>
      <c r="F8878" t="s">
        <v>6467</v>
      </c>
      <c r="G8878" t="s">
        <v>2393</v>
      </c>
      <c r="H8878">
        <v>1</v>
      </c>
      <c r="I8878">
        <v>37.479999999999997</v>
      </c>
      <c r="J8878" s="50">
        <v>37.479999999999997</v>
      </c>
      <c r="K8878" t="s">
        <v>1632</v>
      </c>
      <c r="M8878" t="s">
        <v>1624</v>
      </c>
      <c r="N8878">
        <v>19.78</v>
      </c>
      <c r="O8878" s="49">
        <v>45306</v>
      </c>
      <c r="P8878" s="50">
        <v>16.866</v>
      </c>
    </row>
    <row r="8879" spans="4:16" x14ac:dyDescent="0.2">
      <c r="D8879">
        <v>100005320</v>
      </c>
      <c r="E8879" s="49">
        <v>45176</v>
      </c>
      <c r="F8879" t="s">
        <v>6468</v>
      </c>
      <c r="G8879" t="s">
        <v>2042</v>
      </c>
      <c r="H8879">
        <v>2</v>
      </c>
      <c r="I8879">
        <v>61.86</v>
      </c>
      <c r="J8879" s="50">
        <v>123.72</v>
      </c>
      <c r="K8879" t="s">
        <v>1632</v>
      </c>
      <c r="M8879" t="s">
        <v>1624</v>
      </c>
      <c r="N8879">
        <v>32.65</v>
      </c>
      <c r="O8879" s="49">
        <v>45177</v>
      </c>
      <c r="P8879" s="50">
        <v>55.673999999999999</v>
      </c>
    </row>
    <row r="8880" spans="4:16" x14ac:dyDescent="0.2">
      <c r="D8880">
        <v>100005320</v>
      </c>
      <c r="E8880" s="49">
        <v>45533</v>
      </c>
      <c r="F8880" t="s">
        <v>6468</v>
      </c>
      <c r="G8880" t="s">
        <v>2158</v>
      </c>
      <c r="H8880">
        <v>8</v>
      </c>
      <c r="I8880">
        <v>50.47</v>
      </c>
      <c r="J8880" s="50">
        <v>403.76</v>
      </c>
      <c r="K8880" t="s">
        <v>1632</v>
      </c>
      <c r="M8880" t="s">
        <v>1621</v>
      </c>
      <c r="N8880">
        <v>26.64</v>
      </c>
      <c r="O8880" s="49">
        <v>45536</v>
      </c>
      <c r="P8880" s="50">
        <v>181.69200000000001</v>
      </c>
    </row>
    <row r="8881" spans="4:16" x14ac:dyDescent="0.2">
      <c r="D8881">
        <v>100005321</v>
      </c>
      <c r="E8881" s="49">
        <v>44848</v>
      </c>
      <c r="F8881" t="s">
        <v>3698</v>
      </c>
      <c r="G8881" t="s">
        <v>1729</v>
      </c>
      <c r="H8881">
        <v>3</v>
      </c>
      <c r="I8881">
        <v>85.93</v>
      </c>
      <c r="J8881" s="50">
        <v>257.79000000000002</v>
      </c>
      <c r="K8881" t="s">
        <v>1632</v>
      </c>
      <c r="L8881" t="s">
        <v>4872</v>
      </c>
      <c r="M8881" t="s">
        <v>1619</v>
      </c>
      <c r="N8881">
        <v>45.35</v>
      </c>
      <c r="O8881" s="49">
        <v>44851</v>
      </c>
      <c r="P8881" s="50">
        <v>116.00550000000001</v>
      </c>
    </row>
    <row r="8882" spans="4:16" x14ac:dyDescent="0.2">
      <c r="D8882">
        <v>100005323</v>
      </c>
      <c r="E8882" s="49">
        <v>45032</v>
      </c>
      <c r="F8882" t="s">
        <v>6469</v>
      </c>
      <c r="G8882" t="s">
        <v>2098</v>
      </c>
      <c r="H8882">
        <v>3</v>
      </c>
      <c r="I8882">
        <v>82.23</v>
      </c>
      <c r="J8882" s="50">
        <v>246.69</v>
      </c>
      <c r="K8882" t="s">
        <v>1618</v>
      </c>
      <c r="M8882" t="s">
        <v>1624</v>
      </c>
      <c r="N8882">
        <v>43.4</v>
      </c>
      <c r="O8882" s="49">
        <v>45036</v>
      </c>
      <c r="P8882" s="50">
        <v>111.01050000000001</v>
      </c>
    </row>
    <row r="8883" spans="4:16" x14ac:dyDescent="0.2">
      <c r="D8883">
        <v>100005323</v>
      </c>
      <c r="E8883" s="49">
        <v>45610</v>
      </c>
      <c r="F8883" t="s">
        <v>6469</v>
      </c>
      <c r="G8883" t="s">
        <v>2068</v>
      </c>
      <c r="H8883">
        <v>4</v>
      </c>
      <c r="I8883">
        <v>62.98</v>
      </c>
      <c r="J8883" s="50">
        <v>251.92</v>
      </c>
      <c r="K8883" t="s">
        <v>1618</v>
      </c>
      <c r="M8883" t="s">
        <v>1619</v>
      </c>
      <c r="N8883">
        <v>33.24</v>
      </c>
      <c r="O8883" s="49">
        <v>45614</v>
      </c>
      <c r="P8883" s="50">
        <v>113.36399999999999</v>
      </c>
    </row>
    <row r="8884" spans="4:16" x14ac:dyDescent="0.2">
      <c r="D8884">
        <v>100005323</v>
      </c>
      <c r="E8884" s="49">
        <v>44551</v>
      </c>
      <c r="F8884" t="s">
        <v>6469</v>
      </c>
      <c r="G8884" t="s">
        <v>1904</v>
      </c>
      <c r="H8884">
        <v>5</v>
      </c>
      <c r="I8884">
        <v>14.1</v>
      </c>
      <c r="J8884" s="50">
        <v>70.5</v>
      </c>
      <c r="K8884" t="s">
        <v>1618</v>
      </c>
      <c r="M8884" t="s">
        <v>1627</v>
      </c>
      <c r="N8884">
        <v>7.44</v>
      </c>
      <c r="O8884" s="49">
        <v>44553</v>
      </c>
      <c r="P8884" s="50">
        <v>31.725000000000001</v>
      </c>
    </row>
    <row r="8885" spans="4:16" x14ac:dyDescent="0.2">
      <c r="D8885">
        <v>100005323</v>
      </c>
      <c r="E8885" s="49">
        <v>44507</v>
      </c>
      <c r="F8885" t="s">
        <v>6469</v>
      </c>
      <c r="G8885" t="s">
        <v>1789</v>
      </c>
      <c r="H8885">
        <v>4</v>
      </c>
      <c r="I8885">
        <v>119.7</v>
      </c>
      <c r="J8885" s="50">
        <v>478.8</v>
      </c>
      <c r="K8885" t="s">
        <v>1618</v>
      </c>
      <c r="M8885" t="s">
        <v>1624</v>
      </c>
      <c r="N8885">
        <v>63.17</v>
      </c>
      <c r="O8885" s="49">
        <v>44508</v>
      </c>
      <c r="P8885" s="50">
        <v>215.46</v>
      </c>
    </row>
    <row r="8886" spans="4:16" x14ac:dyDescent="0.2">
      <c r="D8886">
        <v>100005323</v>
      </c>
      <c r="E8886" s="49">
        <v>44205</v>
      </c>
      <c r="F8886" t="s">
        <v>6469</v>
      </c>
      <c r="G8886" t="s">
        <v>1910</v>
      </c>
      <c r="H8886">
        <v>5</v>
      </c>
      <c r="I8886">
        <v>43.29</v>
      </c>
      <c r="J8886" s="50">
        <v>216.45</v>
      </c>
      <c r="K8886" t="s">
        <v>1618</v>
      </c>
      <c r="M8886" t="s">
        <v>1619</v>
      </c>
      <c r="N8886">
        <v>22.85</v>
      </c>
      <c r="O8886" s="49">
        <v>44207</v>
      </c>
      <c r="P8886" s="50">
        <v>97.402500000000003</v>
      </c>
    </row>
    <row r="8887" spans="4:16" x14ac:dyDescent="0.2">
      <c r="D8887">
        <v>100005323</v>
      </c>
      <c r="E8887" s="49">
        <v>44808</v>
      </c>
      <c r="F8887" t="s">
        <v>6469</v>
      </c>
      <c r="G8887" t="s">
        <v>2159</v>
      </c>
      <c r="H8887">
        <v>8</v>
      </c>
      <c r="I8887">
        <v>87.53</v>
      </c>
      <c r="J8887" s="50">
        <v>700.24</v>
      </c>
      <c r="K8887" t="s">
        <v>1618</v>
      </c>
      <c r="M8887" t="s">
        <v>1629</v>
      </c>
      <c r="N8887">
        <v>46.2</v>
      </c>
      <c r="O8887" s="49">
        <v>44813</v>
      </c>
      <c r="P8887" s="50">
        <v>315.108</v>
      </c>
    </row>
    <row r="8888" spans="4:16" x14ac:dyDescent="0.2">
      <c r="D8888">
        <v>100005323</v>
      </c>
      <c r="E8888" s="49">
        <v>45059</v>
      </c>
      <c r="F8888" t="s">
        <v>6469</v>
      </c>
      <c r="G8888" t="s">
        <v>2745</v>
      </c>
      <c r="H8888">
        <v>7</v>
      </c>
      <c r="I8888">
        <v>88.61</v>
      </c>
      <c r="J8888" s="50">
        <v>620.27</v>
      </c>
      <c r="K8888" t="s">
        <v>1618</v>
      </c>
      <c r="M8888" t="s">
        <v>1629</v>
      </c>
      <c r="N8888">
        <v>46.77</v>
      </c>
      <c r="O8888" s="49">
        <v>45060</v>
      </c>
      <c r="P8888" s="50">
        <v>279.12150000000003</v>
      </c>
    </row>
    <row r="8889" spans="4:16" x14ac:dyDescent="0.2">
      <c r="D8889">
        <v>100005324</v>
      </c>
      <c r="E8889" s="49">
        <v>44448</v>
      </c>
      <c r="F8889" t="s">
        <v>6470</v>
      </c>
      <c r="G8889" t="s">
        <v>2762</v>
      </c>
      <c r="H8889">
        <v>7</v>
      </c>
      <c r="I8889">
        <v>69.63</v>
      </c>
      <c r="J8889" s="50">
        <v>487.41</v>
      </c>
      <c r="K8889" t="s">
        <v>1632</v>
      </c>
      <c r="M8889" t="s">
        <v>1629</v>
      </c>
      <c r="N8889">
        <v>36.75</v>
      </c>
      <c r="O8889" s="49">
        <v>44451</v>
      </c>
      <c r="P8889" s="50">
        <v>219.33450000000002</v>
      </c>
    </row>
    <row r="8890" spans="4:16" x14ac:dyDescent="0.2">
      <c r="D8890">
        <v>100005326</v>
      </c>
      <c r="E8890" s="49">
        <v>44935</v>
      </c>
      <c r="F8890" t="s">
        <v>6471</v>
      </c>
      <c r="G8890" t="s">
        <v>1661</v>
      </c>
      <c r="H8890">
        <v>4</v>
      </c>
      <c r="I8890">
        <v>19.14</v>
      </c>
      <c r="J8890" s="50">
        <v>76.56</v>
      </c>
      <c r="K8890" t="s">
        <v>1632</v>
      </c>
      <c r="M8890" t="s">
        <v>1629</v>
      </c>
      <c r="N8890">
        <v>10.1</v>
      </c>
      <c r="O8890" s="49">
        <v>44937</v>
      </c>
      <c r="P8890" s="50">
        <v>34.452000000000005</v>
      </c>
    </row>
    <row r="8891" spans="4:16" x14ac:dyDescent="0.2">
      <c r="D8891">
        <v>100005326</v>
      </c>
      <c r="E8891" s="49">
        <v>44211</v>
      </c>
      <c r="F8891" t="s">
        <v>6471</v>
      </c>
      <c r="G8891" t="s">
        <v>1751</v>
      </c>
      <c r="H8891">
        <v>10</v>
      </c>
      <c r="I8891">
        <v>68.63</v>
      </c>
      <c r="J8891" s="50">
        <v>686.3</v>
      </c>
      <c r="K8891" t="s">
        <v>1632</v>
      </c>
      <c r="M8891" t="s">
        <v>1627</v>
      </c>
      <c r="N8891">
        <v>36.22</v>
      </c>
      <c r="O8891" s="49">
        <v>44216</v>
      </c>
      <c r="P8891" s="50">
        <v>308.83499999999998</v>
      </c>
    </row>
    <row r="8892" spans="4:16" x14ac:dyDescent="0.2">
      <c r="D8892">
        <v>100005326</v>
      </c>
      <c r="E8892" s="49">
        <v>44325</v>
      </c>
      <c r="F8892" t="s">
        <v>6471</v>
      </c>
      <c r="G8892" t="s">
        <v>2733</v>
      </c>
      <c r="H8892">
        <v>6</v>
      </c>
      <c r="I8892">
        <v>19.02</v>
      </c>
      <c r="J8892" s="50">
        <v>114.12</v>
      </c>
      <c r="K8892" t="s">
        <v>1632</v>
      </c>
      <c r="M8892" t="s">
        <v>1624</v>
      </c>
      <c r="N8892">
        <v>10.039999999999999</v>
      </c>
      <c r="O8892" s="49">
        <v>44328</v>
      </c>
      <c r="P8892" s="50">
        <v>51.354000000000006</v>
      </c>
    </row>
    <row r="8893" spans="4:16" x14ac:dyDescent="0.2">
      <c r="D8893">
        <v>100005326</v>
      </c>
      <c r="E8893" s="49">
        <v>44766</v>
      </c>
      <c r="F8893" t="s">
        <v>6471</v>
      </c>
      <c r="G8893" t="s">
        <v>1807</v>
      </c>
      <c r="H8893">
        <v>10</v>
      </c>
      <c r="I8893">
        <v>25.97</v>
      </c>
      <c r="J8893" s="50">
        <v>259.7</v>
      </c>
      <c r="K8893" t="s">
        <v>1632</v>
      </c>
      <c r="M8893" t="s">
        <v>1629</v>
      </c>
      <c r="N8893">
        <v>13.71</v>
      </c>
      <c r="O8893" s="49">
        <v>44769</v>
      </c>
      <c r="P8893" s="50">
        <v>116.86499999999999</v>
      </c>
    </row>
    <row r="8894" spans="4:16" x14ac:dyDescent="0.2">
      <c r="D8894">
        <v>100005326</v>
      </c>
      <c r="E8894" s="49">
        <v>44319</v>
      </c>
      <c r="F8894" t="s">
        <v>6471</v>
      </c>
      <c r="G8894" t="s">
        <v>1808</v>
      </c>
      <c r="H8894">
        <v>6</v>
      </c>
      <c r="I8894">
        <v>71.72</v>
      </c>
      <c r="J8894" s="50">
        <v>430.32</v>
      </c>
      <c r="K8894" t="s">
        <v>1632</v>
      </c>
      <c r="M8894" t="s">
        <v>1621</v>
      </c>
      <c r="N8894">
        <v>37.85</v>
      </c>
      <c r="O8894" s="49">
        <v>44322</v>
      </c>
      <c r="P8894" s="50">
        <v>193.64400000000001</v>
      </c>
    </row>
    <row r="8895" spans="4:16" x14ac:dyDescent="0.2">
      <c r="D8895">
        <v>100005327</v>
      </c>
      <c r="E8895" s="49">
        <v>44903</v>
      </c>
      <c r="F8895" t="s">
        <v>6472</v>
      </c>
      <c r="G8895" t="s">
        <v>2204</v>
      </c>
      <c r="H8895">
        <v>3</v>
      </c>
      <c r="I8895">
        <v>69.930000000000007</v>
      </c>
      <c r="J8895" s="50">
        <v>209.79</v>
      </c>
      <c r="K8895" t="s">
        <v>1618</v>
      </c>
      <c r="L8895" t="s">
        <v>6473</v>
      </c>
      <c r="M8895" t="s">
        <v>1629</v>
      </c>
      <c r="N8895">
        <v>36.909999999999997</v>
      </c>
      <c r="O8895" s="49">
        <v>44904</v>
      </c>
      <c r="P8895" s="50">
        <v>94.405500000000004</v>
      </c>
    </row>
    <row r="8896" spans="4:16" x14ac:dyDescent="0.2">
      <c r="D8896">
        <v>100005327</v>
      </c>
      <c r="E8896" s="49">
        <v>44209</v>
      </c>
      <c r="F8896" t="s">
        <v>6472</v>
      </c>
      <c r="G8896" t="s">
        <v>1844</v>
      </c>
      <c r="H8896">
        <v>4</v>
      </c>
      <c r="I8896">
        <v>110.69</v>
      </c>
      <c r="J8896" s="50">
        <v>442.76</v>
      </c>
      <c r="K8896" t="s">
        <v>1618</v>
      </c>
      <c r="L8896" t="s">
        <v>6473</v>
      </c>
      <c r="M8896" t="s">
        <v>1627</v>
      </c>
      <c r="N8896">
        <v>58.42</v>
      </c>
      <c r="O8896" s="49">
        <v>44212</v>
      </c>
      <c r="P8896" s="50">
        <v>199.24199999999999</v>
      </c>
    </row>
    <row r="8897" spans="4:16" x14ac:dyDescent="0.2">
      <c r="D8897">
        <v>100005328</v>
      </c>
      <c r="E8897" s="49">
        <v>44654</v>
      </c>
      <c r="F8897" t="s">
        <v>6474</v>
      </c>
      <c r="G8897" t="s">
        <v>1985</v>
      </c>
      <c r="H8897">
        <v>3</v>
      </c>
      <c r="I8897">
        <v>28.29</v>
      </c>
      <c r="J8897" s="50">
        <v>84.87</v>
      </c>
      <c r="K8897" t="s">
        <v>1618</v>
      </c>
      <c r="M8897" t="s">
        <v>1621</v>
      </c>
      <c r="N8897">
        <v>14.93</v>
      </c>
      <c r="O8897" s="49">
        <v>44655</v>
      </c>
      <c r="P8897" s="50">
        <v>38.191500000000005</v>
      </c>
    </row>
    <row r="8898" spans="4:16" x14ac:dyDescent="0.2">
      <c r="D8898">
        <v>100005329</v>
      </c>
      <c r="E8898" s="49">
        <v>45290</v>
      </c>
      <c r="F8898" t="s">
        <v>6475</v>
      </c>
      <c r="G8898" t="s">
        <v>2628</v>
      </c>
      <c r="H8898">
        <v>6</v>
      </c>
      <c r="I8898">
        <v>114.24</v>
      </c>
      <c r="J8898" s="50">
        <v>685.43999999999994</v>
      </c>
      <c r="K8898" t="s">
        <v>1632</v>
      </c>
      <c r="M8898" t="s">
        <v>1624</v>
      </c>
      <c r="N8898">
        <v>60.29</v>
      </c>
      <c r="O8898" s="49">
        <v>45291</v>
      </c>
      <c r="P8898" s="50">
        <v>308.44799999999998</v>
      </c>
    </row>
    <row r="8899" spans="4:16" x14ac:dyDescent="0.2">
      <c r="D8899">
        <v>100005329</v>
      </c>
      <c r="E8899" s="49">
        <v>45527</v>
      </c>
      <c r="F8899" t="s">
        <v>6475</v>
      </c>
      <c r="G8899" t="s">
        <v>1827</v>
      </c>
      <c r="H8899">
        <v>4</v>
      </c>
      <c r="I8899">
        <v>42.94</v>
      </c>
      <c r="J8899" s="50">
        <v>171.76</v>
      </c>
      <c r="K8899" t="s">
        <v>1632</v>
      </c>
      <c r="M8899" t="s">
        <v>1627</v>
      </c>
      <c r="N8899">
        <v>22.66</v>
      </c>
      <c r="O8899" s="49">
        <v>45532</v>
      </c>
      <c r="P8899" s="50">
        <v>77.292000000000002</v>
      </c>
    </row>
    <row r="8900" spans="4:16" x14ac:dyDescent="0.2">
      <c r="D8900">
        <v>100005331</v>
      </c>
      <c r="E8900" s="49">
        <v>44329</v>
      </c>
      <c r="F8900" t="s">
        <v>6476</v>
      </c>
      <c r="G8900" t="s">
        <v>1756</v>
      </c>
      <c r="H8900">
        <v>1</v>
      </c>
      <c r="I8900">
        <v>38.11</v>
      </c>
      <c r="J8900" s="50">
        <v>38.11</v>
      </c>
      <c r="K8900" t="s">
        <v>1632</v>
      </c>
      <c r="M8900" t="s">
        <v>1629</v>
      </c>
      <c r="N8900">
        <v>20.11</v>
      </c>
      <c r="O8900" s="49">
        <v>44333</v>
      </c>
      <c r="P8900" s="50">
        <v>17.1495</v>
      </c>
    </row>
    <row r="8901" spans="4:16" x14ac:dyDescent="0.2">
      <c r="D8901">
        <v>100005331</v>
      </c>
      <c r="E8901" s="49">
        <v>44958</v>
      </c>
      <c r="F8901" t="s">
        <v>6476</v>
      </c>
      <c r="G8901" t="s">
        <v>1760</v>
      </c>
      <c r="H8901">
        <v>9</v>
      </c>
      <c r="I8901">
        <v>31.74</v>
      </c>
      <c r="J8901" s="50">
        <v>285.66000000000003</v>
      </c>
      <c r="K8901" t="s">
        <v>1632</v>
      </c>
      <c r="M8901" t="s">
        <v>1621</v>
      </c>
      <c r="N8901">
        <v>16.75</v>
      </c>
      <c r="O8901" s="49">
        <v>44959</v>
      </c>
      <c r="P8901" s="50">
        <v>128.54700000000003</v>
      </c>
    </row>
    <row r="8902" spans="4:16" x14ac:dyDescent="0.2">
      <c r="D8902">
        <v>100005332</v>
      </c>
      <c r="E8902" s="49">
        <v>44197</v>
      </c>
      <c r="F8902" t="s">
        <v>6477</v>
      </c>
      <c r="G8902" t="s">
        <v>2484</v>
      </c>
      <c r="H8902">
        <v>3</v>
      </c>
      <c r="I8902">
        <v>96.38</v>
      </c>
      <c r="J8902" s="50">
        <v>289.14</v>
      </c>
      <c r="K8902" t="s">
        <v>1632</v>
      </c>
      <c r="L8902" t="s">
        <v>2695</v>
      </c>
      <c r="M8902" t="s">
        <v>1621</v>
      </c>
      <c r="N8902">
        <v>50.87</v>
      </c>
      <c r="O8902" s="49">
        <v>44200</v>
      </c>
      <c r="P8902" s="50">
        <v>130.113</v>
      </c>
    </row>
    <row r="8903" spans="4:16" x14ac:dyDescent="0.2">
      <c r="D8903">
        <v>100005332</v>
      </c>
      <c r="E8903" s="49">
        <v>44199</v>
      </c>
      <c r="F8903" t="s">
        <v>6477</v>
      </c>
      <c r="G8903" t="s">
        <v>2305</v>
      </c>
      <c r="H8903">
        <v>2</v>
      </c>
      <c r="I8903">
        <v>13.85</v>
      </c>
      <c r="J8903" s="50">
        <v>27.7</v>
      </c>
      <c r="K8903" t="s">
        <v>1632</v>
      </c>
      <c r="L8903" t="s">
        <v>2695</v>
      </c>
      <c r="M8903" t="s">
        <v>1624</v>
      </c>
      <c r="N8903">
        <v>7.31</v>
      </c>
      <c r="O8903" s="49">
        <v>44202</v>
      </c>
      <c r="P8903" s="50">
        <v>12.465</v>
      </c>
    </row>
    <row r="8904" spans="4:16" x14ac:dyDescent="0.2">
      <c r="D8904">
        <v>100005334</v>
      </c>
      <c r="E8904" s="49">
        <v>44800</v>
      </c>
      <c r="F8904" t="s">
        <v>6478</v>
      </c>
      <c r="G8904" t="s">
        <v>1731</v>
      </c>
      <c r="H8904">
        <v>1</v>
      </c>
      <c r="I8904">
        <v>20.02</v>
      </c>
      <c r="J8904" s="50">
        <v>20.02</v>
      </c>
      <c r="K8904" t="s">
        <v>1618</v>
      </c>
      <c r="L8904" t="s">
        <v>3812</v>
      </c>
      <c r="M8904" t="s">
        <v>1629</v>
      </c>
      <c r="N8904">
        <v>10.57</v>
      </c>
      <c r="O8904" s="49">
        <v>44801</v>
      </c>
      <c r="P8904" s="50">
        <v>9.0090000000000003</v>
      </c>
    </row>
    <row r="8905" spans="4:16" x14ac:dyDescent="0.2">
      <c r="D8905">
        <v>100005334</v>
      </c>
      <c r="E8905" s="49">
        <v>45402</v>
      </c>
      <c r="F8905" t="s">
        <v>6478</v>
      </c>
      <c r="G8905" t="s">
        <v>2161</v>
      </c>
      <c r="H8905">
        <v>10</v>
      </c>
      <c r="I8905">
        <v>113.82</v>
      </c>
      <c r="J8905" s="50">
        <v>1138.2</v>
      </c>
      <c r="K8905" t="s">
        <v>1618</v>
      </c>
      <c r="L8905" t="s">
        <v>3812</v>
      </c>
      <c r="M8905" t="s">
        <v>1621</v>
      </c>
      <c r="N8905">
        <v>60.07</v>
      </c>
      <c r="O8905" s="49">
        <v>45403</v>
      </c>
      <c r="P8905" s="50">
        <v>512.19000000000005</v>
      </c>
    </row>
    <row r="8906" spans="4:16" x14ac:dyDescent="0.2">
      <c r="D8906">
        <v>100005334</v>
      </c>
      <c r="E8906" s="49">
        <v>45512</v>
      </c>
      <c r="F8906" t="s">
        <v>6478</v>
      </c>
      <c r="G8906" t="s">
        <v>1973</v>
      </c>
      <c r="H8906">
        <v>5</v>
      </c>
      <c r="I8906">
        <v>14.63</v>
      </c>
      <c r="J8906" s="50">
        <v>73.150000000000006</v>
      </c>
      <c r="K8906" t="s">
        <v>1618</v>
      </c>
      <c r="L8906" t="s">
        <v>3812</v>
      </c>
      <c r="M8906" t="s">
        <v>1627</v>
      </c>
      <c r="N8906">
        <v>7.72</v>
      </c>
      <c r="O8906" s="49">
        <v>45513</v>
      </c>
      <c r="P8906" s="50">
        <v>32.917500000000004</v>
      </c>
    </row>
    <row r="8907" spans="4:16" x14ac:dyDescent="0.2">
      <c r="D8907">
        <v>100005334</v>
      </c>
      <c r="E8907" s="49">
        <v>45127</v>
      </c>
      <c r="F8907" t="s">
        <v>6478</v>
      </c>
      <c r="G8907" t="s">
        <v>1717</v>
      </c>
      <c r="H8907">
        <v>2</v>
      </c>
      <c r="I8907">
        <v>23.8</v>
      </c>
      <c r="J8907" s="50">
        <v>47.6</v>
      </c>
      <c r="K8907" t="s">
        <v>1618</v>
      </c>
      <c r="L8907" t="s">
        <v>3812</v>
      </c>
      <c r="M8907" t="s">
        <v>1627</v>
      </c>
      <c r="N8907">
        <v>12.56</v>
      </c>
      <c r="O8907" s="49">
        <v>45132</v>
      </c>
      <c r="P8907" s="50">
        <v>21.42</v>
      </c>
    </row>
    <row r="8908" spans="4:16" x14ac:dyDescent="0.2">
      <c r="D8908">
        <v>100005334</v>
      </c>
      <c r="E8908" s="49">
        <v>45562</v>
      </c>
      <c r="F8908" t="s">
        <v>6478</v>
      </c>
      <c r="G8908" t="s">
        <v>1880</v>
      </c>
      <c r="H8908">
        <v>3</v>
      </c>
      <c r="I8908">
        <v>11.26</v>
      </c>
      <c r="J8908" s="50">
        <v>33.78</v>
      </c>
      <c r="K8908" t="s">
        <v>1618</v>
      </c>
      <c r="L8908" t="s">
        <v>3812</v>
      </c>
      <c r="M8908" t="s">
        <v>1627</v>
      </c>
      <c r="N8908">
        <v>5.94</v>
      </c>
      <c r="O8908" s="49">
        <v>45564</v>
      </c>
      <c r="P8908" s="50">
        <v>15.201000000000001</v>
      </c>
    </row>
    <row r="8909" spans="4:16" x14ac:dyDescent="0.2">
      <c r="D8909">
        <v>100005335</v>
      </c>
      <c r="E8909" s="49">
        <v>45541</v>
      </c>
      <c r="F8909" t="s">
        <v>6479</v>
      </c>
      <c r="G8909" t="s">
        <v>2485</v>
      </c>
      <c r="H8909">
        <v>2</v>
      </c>
      <c r="I8909">
        <v>19.79</v>
      </c>
      <c r="J8909" s="50">
        <v>39.58</v>
      </c>
      <c r="K8909" t="s">
        <v>1618</v>
      </c>
      <c r="M8909" t="s">
        <v>1619</v>
      </c>
      <c r="N8909">
        <v>10.44</v>
      </c>
      <c r="O8909" s="49">
        <v>45542</v>
      </c>
      <c r="P8909" s="50">
        <v>17.811</v>
      </c>
    </row>
    <row r="8910" spans="4:16" x14ac:dyDescent="0.2">
      <c r="D8910">
        <v>100005336</v>
      </c>
      <c r="E8910" s="49">
        <v>45326</v>
      </c>
      <c r="F8910" t="s">
        <v>6480</v>
      </c>
      <c r="G8910" t="s">
        <v>2328</v>
      </c>
      <c r="H8910">
        <v>3</v>
      </c>
      <c r="I8910">
        <v>52.9</v>
      </c>
      <c r="J8910" s="50">
        <v>158.69999999999999</v>
      </c>
      <c r="K8910" t="s">
        <v>1618</v>
      </c>
      <c r="M8910" t="s">
        <v>1627</v>
      </c>
      <c r="N8910">
        <v>27.92</v>
      </c>
      <c r="O8910" s="49">
        <v>45329</v>
      </c>
      <c r="P8910" s="50">
        <v>71.414999999999992</v>
      </c>
    </row>
    <row r="8911" spans="4:16" x14ac:dyDescent="0.2">
      <c r="D8911">
        <v>100005336</v>
      </c>
      <c r="E8911" s="49">
        <v>45458</v>
      </c>
      <c r="F8911" t="s">
        <v>6480</v>
      </c>
      <c r="G8911" t="s">
        <v>2357</v>
      </c>
      <c r="H8911">
        <v>4</v>
      </c>
      <c r="I8911">
        <v>15.45</v>
      </c>
      <c r="J8911" s="50">
        <v>61.8</v>
      </c>
      <c r="K8911" t="s">
        <v>1618</v>
      </c>
      <c r="M8911" t="s">
        <v>1629</v>
      </c>
      <c r="N8911">
        <v>8.15</v>
      </c>
      <c r="O8911" s="49">
        <v>45463</v>
      </c>
      <c r="P8911" s="50">
        <v>27.81</v>
      </c>
    </row>
    <row r="8912" spans="4:16" x14ac:dyDescent="0.2">
      <c r="D8912">
        <v>100005337</v>
      </c>
      <c r="E8912" s="49">
        <v>45083</v>
      </c>
      <c r="F8912" t="s">
        <v>6481</v>
      </c>
      <c r="G8912" t="s">
        <v>2574</v>
      </c>
      <c r="H8912">
        <v>10</v>
      </c>
      <c r="I8912">
        <v>108.74</v>
      </c>
      <c r="J8912" s="50">
        <v>1087.4000000000001</v>
      </c>
      <c r="K8912" t="s">
        <v>1632</v>
      </c>
      <c r="M8912" t="s">
        <v>1627</v>
      </c>
      <c r="N8912">
        <v>57.39</v>
      </c>
      <c r="O8912" s="49">
        <v>45085</v>
      </c>
      <c r="P8912" s="50">
        <v>489.33000000000004</v>
      </c>
    </row>
    <row r="8913" spans="4:16" x14ac:dyDescent="0.2">
      <c r="D8913">
        <v>100005338</v>
      </c>
      <c r="E8913" s="49">
        <v>44474</v>
      </c>
      <c r="F8913" t="s">
        <v>6482</v>
      </c>
      <c r="G8913" t="s">
        <v>1672</v>
      </c>
      <c r="H8913">
        <v>8</v>
      </c>
      <c r="I8913">
        <v>111.38</v>
      </c>
      <c r="J8913" s="50">
        <v>891.04</v>
      </c>
      <c r="K8913" t="s">
        <v>1632</v>
      </c>
      <c r="M8913" t="s">
        <v>1627</v>
      </c>
      <c r="N8913">
        <v>58.78</v>
      </c>
      <c r="O8913" s="49">
        <v>44478</v>
      </c>
      <c r="P8913" s="50">
        <v>400.96800000000002</v>
      </c>
    </row>
    <row r="8914" spans="4:16" x14ac:dyDescent="0.2">
      <c r="D8914">
        <v>100005338</v>
      </c>
      <c r="E8914" s="49">
        <v>44277</v>
      </c>
      <c r="F8914" t="s">
        <v>6482</v>
      </c>
      <c r="G8914" t="s">
        <v>2291</v>
      </c>
      <c r="H8914">
        <v>6</v>
      </c>
      <c r="I8914">
        <v>65.52</v>
      </c>
      <c r="J8914" s="50">
        <v>393.12</v>
      </c>
      <c r="K8914" t="s">
        <v>1632</v>
      </c>
      <c r="M8914" t="s">
        <v>1619</v>
      </c>
      <c r="N8914">
        <v>34.58</v>
      </c>
      <c r="O8914" s="49">
        <v>44279</v>
      </c>
      <c r="P8914" s="50">
        <v>176.904</v>
      </c>
    </row>
    <row r="8915" spans="4:16" x14ac:dyDescent="0.2">
      <c r="D8915">
        <v>100005338</v>
      </c>
      <c r="E8915" s="49">
        <v>45542</v>
      </c>
      <c r="F8915" t="s">
        <v>6482</v>
      </c>
      <c r="G8915" t="s">
        <v>2387</v>
      </c>
      <c r="H8915">
        <v>5</v>
      </c>
      <c r="I8915">
        <v>62.48</v>
      </c>
      <c r="J8915" s="50">
        <v>312.39999999999998</v>
      </c>
      <c r="K8915" t="s">
        <v>1632</v>
      </c>
      <c r="M8915" t="s">
        <v>1629</v>
      </c>
      <c r="N8915">
        <v>32.979999999999997</v>
      </c>
      <c r="O8915" s="49">
        <v>45546</v>
      </c>
      <c r="P8915" s="50">
        <v>140.57999999999998</v>
      </c>
    </row>
    <row r="8916" spans="4:16" x14ac:dyDescent="0.2">
      <c r="D8916">
        <v>100005338</v>
      </c>
      <c r="E8916" s="49">
        <v>44568</v>
      </c>
      <c r="F8916" t="s">
        <v>6482</v>
      </c>
      <c r="G8916" t="s">
        <v>2240</v>
      </c>
      <c r="H8916">
        <v>10</v>
      </c>
      <c r="I8916">
        <v>56.71</v>
      </c>
      <c r="J8916" s="50">
        <v>567.1</v>
      </c>
      <c r="K8916" t="s">
        <v>1632</v>
      </c>
      <c r="M8916" t="s">
        <v>1629</v>
      </c>
      <c r="N8916">
        <v>29.93</v>
      </c>
      <c r="O8916" s="49">
        <v>44571</v>
      </c>
      <c r="P8916" s="50">
        <v>255.19500000000002</v>
      </c>
    </row>
    <row r="8917" spans="4:16" x14ac:dyDescent="0.2">
      <c r="D8917">
        <v>100005338</v>
      </c>
      <c r="E8917" s="49">
        <v>44691</v>
      </c>
      <c r="F8917" t="s">
        <v>6482</v>
      </c>
      <c r="G8917" t="s">
        <v>1655</v>
      </c>
      <c r="H8917">
        <v>7</v>
      </c>
      <c r="I8917">
        <v>18.2</v>
      </c>
      <c r="J8917" s="50">
        <v>127.4</v>
      </c>
      <c r="K8917" t="s">
        <v>1632</v>
      </c>
      <c r="M8917" t="s">
        <v>1621</v>
      </c>
      <c r="N8917">
        <v>9.61</v>
      </c>
      <c r="O8917" s="49">
        <v>44692</v>
      </c>
      <c r="P8917" s="50">
        <v>57.330000000000005</v>
      </c>
    </row>
    <row r="8918" spans="4:16" x14ac:dyDescent="0.2">
      <c r="D8918">
        <v>100005339</v>
      </c>
      <c r="E8918" s="49">
        <v>45176</v>
      </c>
      <c r="F8918" t="s">
        <v>6483</v>
      </c>
      <c r="G8918" t="s">
        <v>1885</v>
      </c>
      <c r="H8918">
        <v>4</v>
      </c>
      <c r="I8918">
        <v>65.3</v>
      </c>
      <c r="J8918" s="50">
        <v>261.2</v>
      </c>
      <c r="K8918" t="s">
        <v>1632</v>
      </c>
      <c r="M8918" t="s">
        <v>1624</v>
      </c>
      <c r="N8918">
        <v>34.46</v>
      </c>
      <c r="O8918" s="49">
        <v>45181</v>
      </c>
      <c r="P8918" s="50">
        <v>117.53999999999999</v>
      </c>
    </row>
    <row r="8919" spans="4:16" x14ac:dyDescent="0.2">
      <c r="D8919">
        <v>100005340</v>
      </c>
      <c r="E8919" s="49">
        <v>44322</v>
      </c>
      <c r="F8919" t="s">
        <v>6484</v>
      </c>
      <c r="G8919" t="s">
        <v>1721</v>
      </c>
      <c r="H8919">
        <v>5</v>
      </c>
      <c r="I8919">
        <v>57.84</v>
      </c>
      <c r="J8919" s="50">
        <v>289.2</v>
      </c>
      <c r="K8919" t="s">
        <v>1618</v>
      </c>
      <c r="M8919" t="s">
        <v>1627</v>
      </c>
      <c r="N8919">
        <v>30.53</v>
      </c>
      <c r="O8919" s="49">
        <v>44327</v>
      </c>
      <c r="P8919" s="50">
        <v>130.13999999999999</v>
      </c>
    </row>
    <row r="8920" spans="4:16" x14ac:dyDescent="0.2">
      <c r="D8920">
        <v>100005341</v>
      </c>
      <c r="E8920" s="49">
        <v>45360</v>
      </c>
      <c r="F8920" t="s">
        <v>6485</v>
      </c>
      <c r="G8920" t="s">
        <v>2263</v>
      </c>
      <c r="H8920">
        <v>5</v>
      </c>
      <c r="I8920">
        <v>65.48</v>
      </c>
      <c r="J8920" s="50">
        <v>327.39999999999998</v>
      </c>
      <c r="K8920" t="s">
        <v>1618</v>
      </c>
      <c r="M8920" t="s">
        <v>1627</v>
      </c>
      <c r="N8920">
        <v>34.56</v>
      </c>
      <c r="O8920" s="49">
        <v>45362</v>
      </c>
      <c r="P8920" s="50">
        <v>147.32999999999998</v>
      </c>
    </row>
    <row r="8921" spans="4:16" x14ac:dyDescent="0.2">
      <c r="D8921">
        <v>100005341</v>
      </c>
      <c r="E8921" s="49">
        <v>44394</v>
      </c>
      <c r="F8921" t="s">
        <v>6485</v>
      </c>
      <c r="G8921" t="s">
        <v>2553</v>
      </c>
      <c r="H8921">
        <v>10</v>
      </c>
      <c r="I8921">
        <v>68.31</v>
      </c>
      <c r="J8921" s="50">
        <v>683.1</v>
      </c>
      <c r="K8921" t="s">
        <v>1618</v>
      </c>
      <c r="M8921" t="s">
        <v>1621</v>
      </c>
      <c r="N8921">
        <v>36.049999999999997</v>
      </c>
      <c r="O8921" s="49">
        <v>44399</v>
      </c>
      <c r="P8921" s="50">
        <v>307.39500000000004</v>
      </c>
    </row>
    <row r="8922" spans="4:16" x14ac:dyDescent="0.2">
      <c r="D8922">
        <v>100005341</v>
      </c>
      <c r="E8922" s="49">
        <v>44294</v>
      </c>
      <c r="F8922" t="s">
        <v>6485</v>
      </c>
      <c r="G8922" t="s">
        <v>2242</v>
      </c>
      <c r="H8922">
        <v>5</v>
      </c>
      <c r="I8922">
        <v>55.18</v>
      </c>
      <c r="J8922" s="50">
        <v>275.89999999999998</v>
      </c>
      <c r="K8922" t="s">
        <v>1618</v>
      </c>
      <c r="M8922" t="s">
        <v>1629</v>
      </c>
      <c r="N8922">
        <v>29.12</v>
      </c>
      <c r="O8922" s="49">
        <v>44297</v>
      </c>
      <c r="P8922" s="50">
        <v>124.15499999999999</v>
      </c>
    </row>
    <row r="8923" spans="4:16" x14ac:dyDescent="0.2">
      <c r="D8923">
        <v>100005341</v>
      </c>
      <c r="E8923" s="49">
        <v>44974</v>
      </c>
      <c r="F8923" t="s">
        <v>6485</v>
      </c>
      <c r="G8923" t="s">
        <v>1730</v>
      </c>
      <c r="H8923">
        <v>1</v>
      </c>
      <c r="I8923">
        <v>51.61</v>
      </c>
      <c r="J8923" s="50">
        <v>51.61</v>
      </c>
      <c r="K8923" t="s">
        <v>1618</v>
      </c>
      <c r="M8923" t="s">
        <v>1624</v>
      </c>
      <c r="N8923">
        <v>27.24</v>
      </c>
      <c r="O8923" s="49">
        <v>44979</v>
      </c>
      <c r="P8923" s="50">
        <v>23.224499999999999</v>
      </c>
    </row>
    <row r="8924" spans="4:16" x14ac:dyDescent="0.2">
      <c r="D8924">
        <v>100005342</v>
      </c>
      <c r="E8924" s="49">
        <v>45587</v>
      </c>
      <c r="F8924" t="s">
        <v>6486</v>
      </c>
      <c r="G8924" t="s">
        <v>2306</v>
      </c>
      <c r="H8924">
        <v>1</v>
      </c>
      <c r="I8924">
        <v>61.76</v>
      </c>
      <c r="J8924" s="50">
        <v>61.76</v>
      </c>
      <c r="K8924" t="s">
        <v>1632</v>
      </c>
      <c r="M8924" t="s">
        <v>1624</v>
      </c>
      <c r="N8924">
        <v>32.6</v>
      </c>
      <c r="O8924" s="49">
        <v>45588</v>
      </c>
      <c r="P8924" s="50">
        <v>27.791999999999998</v>
      </c>
    </row>
    <row r="8925" spans="4:16" x14ac:dyDescent="0.2">
      <c r="D8925">
        <v>100005342</v>
      </c>
      <c r="E8925" s="49">
        <v>44877</v>
      </c>
      <c r="F8925" t="s">
        <v>6486</v>
      </c>
      <c r="G8925" t="s">
        <v>1982</v>
      </c>
      <c r="H8925">
        <v>3</v>
      </c>
      <c r="I8925">
        <v>63.64</v>
      </c>
      <c r="J8925" s="50">
        <v>190.92</v>
      </c>
      <c r="K8925" t="s">
        <v>1632</v>
      </c>
      <c r="M8925" t="s">
        <v>1624</v>
      </c>
      <c r="N8925">
        <v>33.590000000000003</v>
      </c>
      <c r="O8925" s="49">
        <v>44881</v>
      </c>
      <c r="P8925" s="50">
        <v>85.914000000000001</v>
      </c>
    </row>
    <row r="8926" spans="4:16" x14ac:dyDescent="0.2">
      <c r="D8926">
        <v>100005342</v>
      </c>
      <c r="E8926" s="49">
        <v>45168</v>
      </c>
      <c r="F8926" t="s">
        <v>6486</v>
      </c>
      <c r="G8926" t="s">
        <v>1944</v>
      </c>
      <c r="H8926">
        <v>10</v>
      </c>
      <c r="I8926">
        <v>73.25</v>
      </c>
      <c r="J8926" s="50">
        <v>732.5</v>
      </c>
      <c r="K8926" t="s">
        <v>1632</v>
      </c>
      <c r="M8926" t="s">
        <v>1624</v>
      </c>
      <c r="N8926">
        <v>38.659999999999997</v>
      </c>
      <c r="O8926" s="49">
        <v>45171</v>
      </c>
      <c r="P8926" s="50">
        <v>329.625</v>
      </c>
    </row>
    <row r="8927" spans="4:16" x14ac:dyDescent="0.2">
      <c r="D8927">
        <v>100005342</v>
      </c>
      <c r="E8927" s="49">
        <v>45502</v>
      </c>
      <c r="F8927" t="s">
        <v>6486</v>
      </c>
      <c r="G8927" t="s">
        <v>2706</v>
      </c>
      <c r="H8927">
        <v>4</v>
      </c>
      <c r="I8927">
        <v>11.16</v>
      </c>
      <c r="J8927" s="50">
        <v>44.64</v>
      </c>
      <c r="K8927" t="s">
        <v>1632</v>
      </c>
      <c r="M8927" t="s">
        <v>1621</v>
      </c>
      <c r="N8927">
        <v>5.89</v>
      </c>
      <c r="O8927" s="49">
        <v>45505</v>
      </c>
      <c r="P8927" s="50">
        <v>20.088000000000001</v>
      </c>
    </row>
    <row r="8928" spans="4:16" x14ac:dyDescent="0.2">
      <c r="D8928">
        <v>100005343</v>
      </c>
      <c r="E8928" s="49">
        <v>45590</v>
      </c>
      <c r="F8928" t="s">
        <v>6487</v>
      </c>
      <c r="G8928" t="s">
        <v>1717</v>
      </c>
      <c r="H8928">
        <v>6</v>
      </c>
      <c r="I8928">
        <v>74.2</v>
      </c>
      <c r="J8928" s="50">
        <v>445.2</v>
      </c>
      <c r="K8928" t="s">
        <v>1618</v>
      </c>
      <c r="M8928" t="s">
        <v>1629</v>
      </c>
      <c r="N8928">
        <v>39.159999999999997</v>
      </c>
      <c r="O8928" s="49">
        <v>45593</v>
      </c>
      <c r="P8928" s="50">
        <v>200.34</v>
      </c>
    </row>
    <row r="8929" spans="4:16" x14ac:dyDescent="0.2">
      <c r="D8929">
        <v>100005343</v>
      </c>
      <c r="E8929" s="49">
        <v>44381</v>
      </c>
      <c r="F8929" t="s">
        <v>6487</v>
      </c>
      <c r="G8929" t="s">
        <v>2387</v>
      </c>
      <c r="H8929">
        <v>8</v>
      </c>
      <c r="I8929">
        <v>64.86</v>
      </c>
      <c r="J8929" s="50">
        <v>518.88</v>
      </c>
      <c r="K8929" t="s">
        <v>1618</v>
      </c>
      <c r="M8929" t="s">
        <v>1627</v>
      </c>
      <c r="N8929">
        <v>34.229999999999997</v>
      </c>
      <c r="O8929" s="49">
        <v>44383</v>
      </c>
      <c r="P8929" s="50">
        <v>233.49600000000001</v>
      </c>
    </row>
    <row r="8930" spans="4:16" x14ac:dyDescent="0.2">
      <c r="D8930">
        <v>100005343</v>
      </c>
      <c r="E8930" s="49">
        <v>45120</v>
      </c>
      <c r="F8930" t="s">
        <v>6487</v>
      </c>
      <c r="G8930" t="s">
        <v>2514</v>
      </c>
      <c r="H8930">
        <v>1</v>
      </c>
      <c r="I8930">
        <v>35.229999999999997</v>
      </c>
      <c r="J8930" s="50">
        <v>35.229999999999997</v>
      </c>
      <c r="K8930" t="s">
        <v>1618</v>
      </c>
      <c r="M8930" t="s">
        <v>1627</v>
      </c>
      <c r="N8930">
        <v>18.59</v>
      </c>
      <c r="O8930" s="49">
        <v>45123</v>
      </c>
      <c r="P8930" s="50">
        <v>15.853499999999999</v>
      </c>
    </row>
    <row r="8931" spans="4:16" x14ac:dyDescent="0.2">
      <c r="D8931">
        <v>100005344</v>
      </c>
      <c r="E8931" s="49">
        <v>45427</v>
      </c>
      <c r="F8931" t="s">
        <v>6488</v>
      </c>
      <c r="G8931" t="s">
        <v>2766</v>
      </c>
      <c r="H8931">
        <v>2</v>
      </c>
      <c r="I8931">
        <v>84.54</v>
      </c>
      <c r="J8931" s="50">
        <v>169.08</v>
      </c>
      <c r="K8931" t="s">
        <v>1618</v>
      </c>
      <c r="L8931" t="s">
        <v>2166</v>
      </c>
      <c r="M8931" t="s">
        <v>1624</v>
      </c>
      <c r="N8931">
        <v>44.62</v>
      </c>
      <c r="O8931" s="49">
        <v>45429</v>
      </c>
      <c r="P8931" s="50">
        <v>76.086000000000013</v>
      </c>
    </row>
    <row r="8932" spans="4:16" x14ac:dyDescent="0.2">
      <c r="D8932">
        <v>100005344</v>
      </c>
      <c r="E8932" s="49">
        <v>44481</v>
      </c>
      <c r="F8932" t="s">
        <v>6488</v>
      </c>
      <c r="G8932" t="s">
        <v>2112</v>
      </c>
      <c r="H8932">
        <v>5</v>
      </c>
      <c r="I8932">
        <v>42.74</v>
      </c>
      <c r="J8932" s="50">
        <v>213.7</v>
      </c>
      <c r="K8932" t="s">
        <v>1618</v>
      </c>
      <c r="L8932" t="s">
        <v>2166</v>
      </c>
      <c r="M8932" t="s">
        <v>1621</v>
      </c>
      <c r="N8932">
        <v>22.56</v>
      </c>
      <c r="O8932" s="49">
        <v>44483</v>
      </c>
      <c r="P8932" s="50">
        <v>96.164999999999992</v>
      </c>
    </row>
    <row r="8933" spans="4:16" x14ac:dyDescent="0.2">
      <c r="D8933">
        <v>100005344</v>
      </c>
      <c r="E8933" s="49">
        <v>45420</v>
      </c>
      <c r="F8933" t="s">
        <v>6488</v>
      </c>
      <c r="G8933" t="s">
        <v>1817</v>
      </c>
      <c r="H8933">
        <v>5</v>
      </c>
      <c r="I8933">
        <v>90.54</v>
      </c>
      <c r="J8933" s="50">
        <v>452.7</v>
      </c>
      <c r="K8933" t="s">
        <v>1618</v>
      </c>
      <c r="L8933" t="s">
        <v>2166</v>
      </c>
      <c r="M8933" t="s">
        <v>1629</v>
      </c>
      <c r="N8933">
        <v>47.78</v>
      </c>
      <c r="O8933" s="49">
        <v>45423</v>
      </c>
      <c r="P8933" s="50">
        <v>203.715</v>
      </c>
    </row>
    <row r="8934" spans="4:16" x14ac:dyDescent="0.2">
      <c r="D8934">
        <v>100005344</v>
      </c>
      <c r="E8934" s="49">
        <v>44420</v>
      </c>
      <c r="F8934" t="s">
        <v>6488</v>
      </c>
      <c r="G8934" t="s">
        <v>1751</v>
      </c>
      <c r="H8934">
        <v>3</v>
      </c>
      <c r="I8934">
        <v>104.74</v>
      </c>
      <c r="J8934" s="50">
        <v>314.22000000000003</v>
      </c>
      <c r="K8934" t="s">
        <v>1618</v>
      </c>
      <c r="L8934" t="s">
        <v>2166</v>
      </c>
      <c r="M8934" t="s">
        <v>1624</v>
      </c>
      <c r="N8934">
        <v>55.28</v>
      </c>
      <c r="O8934" s="49">
        <v>44421</v>
      </c>
      <c r="P8934" s="50">
        <v>141.39900000000003</v>
      </c>
    </row>
    <row r="8935" spans="4:16" x14ac:dyDescent="0.2">
      <c r="D8935">
        <v>100005346</v>
      </c>
      <c r="E8935" s="49">
        <v>44491</v>
      </c>
      <c r="F8935" t="s">
        <v>6489</v>
      </c>
      <c r="G8935" t="s">
        <v>2380</v>
      </c>
      <c r="H8935">
        <v>4</v>
      </c>
      <c r="I8935">
        <v>105.4</v>
      </c>
      <c r="J8935" s="50">
        <v>421.6</v>
      </c>
      <c r="K8935" t="s">
        <v>1618</v>
      </c>
      <c r="M8935" t="s">
        <v>1621</v>
      </c>
      <c r="N8935">
        <v>55.63</v>
      </c>
      <c r="O8935" s="49">
        <v>44494</v>
      </c>
      <c r="P8935" s="50">
        <v>189.72000000000003</v>
      </c>
    </row>
    <row r="8936" spans="4:16" x14ac:dyDescent="0.2">
      <c r="D8936">
        <v>100005347</v>
      </c>
      <c r="E8936" s="49">
        <v>45460</v>
      </c>
      <c r="F8936" t="s">
        <v>6490</v>
      </c>
      <c r="G8936" t="s">
        <v>1701</v>
      </c>
      <c r="H8936">
        <v>3</v>
      </c>
      <c r="I8936">
        <v>108.17</v>
      </c>
      <c r="J8936" s="50">
        <v>324.51</v>
      </c>
      <c r="K8936" t="s">
        <v>1618</v>
      </c>
      <c r="M8936" t="s">
        <v>1619</v>
      </c>
      <c r="N8936">
        <v>57.09</v>
      </c>
      <c r="O8936" s="49">
        <v>45463</v>
      </c>
      <c r="P8936" s="50">
        <v>146.02950000000001</v>
      </c>
    </row>
    <row r="8937" spans="4:16" x14ac:dyDescent="0.2">
      <c r="D8937">
        <v>100005347</v>
      </c>
      <c r="E8937" s="49">
        <v>45252</v>
      </c>
      <c r="F8937" t="s">
        <v>6490</v>
      </c>
      <c r="G8937" t="s">
        <v>1704</v>
      </c>
      <c r="H8937">
        <v>3</v>
      </c>
      <c r="I8937">
        <v>28.13</v>
      </c>
      <c r="J8937" s="50">
        <v>84.39</v>
      </c>
      <c r="K8937" t="s">
        <v>1618</v>
      </c>
      <c r="M8937" t="s">
        <v>1629</v>
      </c>
      <c r="N8937">
        <v>14.85</v>
      </c>
      <c r="O8937" s="49">
        <v>45255</v>
      </c>
      <c r="P8937" s="50">
        <v>37.975500000000004</v>
      </c>
    </row>
    <row r="8938" spans="4:16" x14ac:dyDescent="0.2">
      <c r="D8938">
        <v>100005349</v>
      </c>
      <c r="E8938" s="49">
        <v>44671</v>
      </c>
      <c r="F8938" t="s">
        <v>3145</v>
      </c>
      <c r="G8938" t="s">
        <v>1669</v>
      </c>
      <c r="H8938">
        <v>6</v>
      </c>
      <c r="I8938">
        <v>105.47</v>
      </c>
      <c r="J8938" s="50">
        <v>632.81999999999994</v>
      </c>
      <c r="K8938" t="s">
        <v>1618</v>
      </c>
      <c r="M8938" t="s">
        <v>1624</v>
      </c>
      <c r="N8938">
        <v>55.66</v>
      </c>
      <c r="O8938" s="49">
        <v>44675</v>
      </c>
      <c r="P8938" s="50">
        <v>284.76900000000001</v>
      </c>
    </row>
    <row r="8939" spans="4:16" x14ac:dyDescent="0.2">
      <c r="D8939">
        <v>100005349</v>
      </c>
      <c r="E8939" s="49">
        <v>44994</v>
      </c>
      <c r="F8939" t="s">
        <v>3145</v>
      </c>
      <c r="G8939" t="s">
        <v>2194</v>
      </c>
      <c r="H8939">
        <v>1</v>
      </c>
      <c r="I8939">
        <v>104.56</v>
      </c>
      <c r="J8939" s="50">
        <v>104.56</v>
      </c>
      <c r="K8939" t="s">
        <v>1618</v>
      </c>
      <c r="M8939" t="s">
        <v>1621</v>
      </c>
      <c r="N8939">
        <v>55.18</v>
      </c>
      <c r="O8939" s="49">
        <v>44995</v>
      </c>
      <c r="P8939" s="50">
        <v>47.052</v>
      </c>
    </row>
    <row r="8940" spans="4:16" x14ac:dyDescent="0.2">
      <c r="D8940">
        <v>100005349</v>
      </c>
      <c r="E8940" s="49">
        <v>44858</v>
      </c>
      <c r="F8940" t="s">
        <v>3145</v>
      </c>
      <c r="G8940" t="s">
        <v>1671</v>
      </c>
      <c r="H8940">
        <v>10</v>
      </c>
      <c r="I8940">
        <v>103.62</v>
      </c>
      <c r="J8940" s="50">
        <v>1036.2</v>
      </c>
      <c r="K8940" t="s">
        <v>1618</v>
      </c>
      <c r="M8940" t="s">
        <v>1624</v>
      </c>
      <c r="N8940">
        <v>54.69</v>
      </c>
      <c r="O8940" s="49">
        <v>44861</v>
      </c>
      <c r="P8940" s="50">
        <v>466.29</v>
      </c>
    </row>
    <row r="8941" spans="4:16" x14ac:dyDescent="0.2">
      <c r="D8941">
        <v>100005349</v>
      </c>
      <c r="E8941" s="49">
        <v>44364</v>
      </c>
      <c r="F8941" t="s">
        <v>3145</v>
      </c>
      <c r="G8941" t="s">
        <v>2198</v>
      </c>
      <c r="H8941">
        <v>3</v>
      </c>
      <c r="I8941">
        <v>72.67</v>
      </c>
      <c r="J8941" s="50">
        <v>218.01</v>
      </c>
      <c r="K8941" t="s">
        <v>1618</v>
      </c>
      <c r="M8941" t="s">
        <v>1619</v>
      </c>
      <c r="N8941">
        <v>38.35</v>
      </c>
      <c r="O8941" s="49">
        <v>44365</v>
      </c>
      <c r="P8941" s="50">
        <v>98.104500000000002</v>
      </c>
    </row>
    <row r="8942" spans="4:16" x14ac:dyDescent="0.2">
      <c r="D8942">
        <v>100005349</v>
      </c>
      <c r="E8942" s="49">
        <v>44777</v>
      </c>
      <c r="F8942" t="s">
        <v>3145</v>
      </c>
      <c r="G8942" t="s">
        <v>1944</v>
      </c>
      <c r="H8942">
        <v>4</v>
      </c>
      <c r="I8942">
        <v>79.86</v>
      </c>
      <c r="J8942" s="50">
        <v>319.44</v>
      </c>
      <c r="K8942" t="s">
        <v>1618</v>
      </c>
      <c r="M8942" t="s">
        <v>1627</v>
      </c>
      <c r="N8942">
        <v>42.15</v>
      </c>
      <c r="O8942" s="49">
        <v>44779</v>
      </c>
      <c r="P8942" s="50">
        <v>143.74799999999999</v>
      </c>
    </row>
    <row r="8943" spans="4:16" x14ac:dyDescent="0.2">
      <c r="D8943">
        <v>100005349</v>
      </c>
      <c r="E8943" s="49">
        <v>44549</v>
      </c>
      <c r="F8943" t="s">
        <v>3145</v>
      </c>
      <c r="G8943" t="s">
        <v>1825</v>
      </c>
      <c r="H8943">
        <v>3</v>
      </c>
      <c r="I8943">
        <v>28.45</v>
      </c>
      <c r="J8943" s="50">
        <v>85.35</v>
      </c>
      <c r="K8943" t="s">
        <v>1618</v>
      </c>
      <c r="M8943" t="s">
        <v>1627</v>
      </c>
      <c r="N8943">
        <v>15.02</v>
      </c>
      <c r="O8943" s="49">
        <v>44550</v>
      </c>
      <c r="P8943" s="50">
        <v>38.407499999999999</v>
      </c>
    </row>
    <row r="8944" spans="4:16" x14ac:dyDescent="0.2">
      <c r="D8944">
        <v>100005349</v>
      </c>
      <c r="E8944" s="49">
        <v>44306</v>
      </c>
      <c r="F8944" t="s">
        <v>3145</v>
      </c>
      <c r="G8944" t="s">
        <v>1709</v>
      </c>
      <c r="H8944">
        <v>9</v>
      </c>
      <c r="I8944">
        <v>48.99</v>
      </c>
      <c r="J8944" s="50">
        <v>440.91</v>
      </c>
      <c r="K8944" t="s">
        <v>1618</v>
      </c>
      <c r="M8944" t="s">
        <v>1619</v>
      </c>
      <c r="N8944">
        <v>25.86</v>
      </c>
      <c r="O8944" s="49">
        <v>44309</v>
      </c>
      <c r="P8944" s="50">
        <v>198.40950000000001</v>
      </c>
    </row>
    <row r="8945" spans="4:16" x14ac:dyDescent="0.2">
      <c r="D8945">
        <v>100005350</v>
      </c>
      <c r="E8945" s="49">
        <v>45414</v>
      </c>
      <c r="F8945" t="s">
        <v>6491</v>
      </c>
      <c r="G8945" t="s">
        <v>1975</v>
      </c>
      <c r="H8945">
        <v>2</v>
      </c>
      <c r="I8945">
        <v>68.180000000000007</v>
      </c>
      <c r="J8945" s="50">
        <v>136.36000000000001</v>
      </c>
      <c r="K8945" t="s">
        <v>1632</v>
      </c>
      <c r="L8945" t="s">
        <v>2962</v>
      </c>
      <c r="M8945" t="s">
        <v>1624</v>
      </c>
      <c r="N8945">
        <v>35.979999999999997</v>
      </c>
      <c r="O8945" s="49">
        <v>45416</v>
      </c>
      <c r="P8945" s="50">
        <v>61.362000000000009</v>
      </c>
    </row>
    <row r="8946" spans="4:16" x14ac:dyDescent="0.2">
      <c r="D8946">
        <v>100005350</v>
      </c>
      <c r="E8946" s="49">
        <v>45308</v>
      </c>
      <c r="F8946" t="s">
        <v>6491</v>
      </c>
      <c r="G8946" t="s">
        <v>1731</v>
      </c>
      <c r="H8946">
        <v>7</v>
      </c>
      <c r="I8946">
        <v>72.66</v>
      </c>
      <c r="J8946" s="50">
        <v>508.62</v>
      </c>
      <c r="K8946" t="s">
        <v>1632</v>
      </c>
      <c r="L8946" t="s">
        <v>2962</v>
      </c>
      <c r="M8946" t="s">
        <v>1627</v>
      </c>
      <c r="N8946">
        <v>38.35</v>
      </c>
      <c r="O8946" s="49">
        <v>45313</v>
      </c>
      <c r="P8946" s="50">
        <v>228.87900000000002</v>
      </c>
    </row>
    <row r="8947" spans="4:16" x14ac:dyDescent="0.2">
      <c r="D8947">
        <v>100005350</v>
      </c>
      <c r="E8947" s="49">
        <v>44670</v>
      </c>
      <c r="F8947" t="s">
        <v>6491</v>
      </c>
      <c r="G8947" t="s">
        <v>2412</v>
      </c>
      <c r="H8947">
        <v>5</v>
      </c>
      <c r="I8947">
        <v>83.84</v>
      </c>
      <c r="J8947" s="50">
        <v>419.2</v>
      </c>
      <c r="K8947" t="s">
        <v>1632</v>
      </c>
      <c r="L8947" t="s">
        <v>2962</v>
      </c>
      <c r="M8947" t="s">
        <v>1627</v>
      </c>
      <c r="N8947">
        <v>44.25</v>
      </c>
      <c r="O8947" s="49">
        <v>44675</v>
      </c>
      <c r="P8947" s="50">
        <v>188.64</v>
      </c>
    </row>
    <row r="8948" spans="4:16" x14ac:dyDescent="0.2">
      <c r="D8948">
        <v>100005350</v>
      </c>
      <c r="E8948" s="49">
        <v>45265</v>
      </c>
      <c r="F8948" t="s">
        <v>6491</v>
      </c>
      <c r="G8948" t="s">
        <v>2305</v>
      </c>
      <c r="H8948">
        <v>5</v>
      </c>
      <c r="I8948">
        <v>91.34</v>
      </c>
      <c r="J8948" s="50">
        <v>456.7</v>
      </c>
      <c r="K8948" t="s">
        <v>1632</v>
      </c>
      <c r="L8948" t="s">
        <v>2962</v>
      </c>
      <c r="M8948" t="s">
        <v>1629</v>
      </c>
      <c r="N8948">
        <v>48.21</v>
      </c>
      <c r="O8948" s="49">
        <v>45269</v>
      </c>
      <c r="P8948" s="50">
        <v>205.51499999999999</v>
      </c>
    </row>
    <row r="8949" spans="4:16" x14ac:dyDescent="0.2">
      <c r="D8949">
        <v>100005350</v>
      </c>
      <c r="E8949" s="49">
        <v>44487</v>
      </c>
      <c r="F8949" t="s">
        <v>6491</v>
      </c>
      <c r="G8949" t="s">
        <v>1953</v>
      </c>
      <c r="H8949">
        <v>6</v>
      </c>
      <c r="I8949">
        <v>118.19</v>
      </c>
      <c r="J8949" s="50">
        <v>709.14</v>
      </c>
      <c r="K8949" t="s">
        <v>1632</v>
      </c>
      <c r="L8949" t="s">
        <v>2962</v>
      </c>
      <c r="M8949" t="s">
        <v>1619</v>
      </c>
      <c r="N8949">
        <v>62.38</v>
      </c>
      <c r="O8949" s="49">
        <v>44492</v>
      </c>
      <c r="P8949" s="50">
        <v>319.113</v>
      </c>
    </row>
    <row r="8950" spans="4:16" x14ac:dyDescent="0.2">
      <c r="D8950">
        <v>100005350</v>
      </c>
      <c r="E8950" s="49">
        <v>44620</v>
      </c>
      <c r="F8950" t="s">
        <v>6491</v>
      </c>
      <c r="G8950" t="s">
        <v>2142</v>
      </c>
      <c r="H8950">
        <v>3</v>
      </c>
      <c r="I8950">
        <v>16.190000000000001</v>
      </c>
      <c r="J8950" s="50">
        <v>48.570000000000007</v>
      </c>
      <c r="K8950" t="s">
        <v>1632</v>
      </c>
      <c r="L8950" t="s">
        <v>2962</v>
      </c>
      <c r="M8950" t="s">
        <v>1624</v>
      </c>
      <c r="N8950">
        <v>8.5399999999999991</v>
      </c>
      <c r="O8950" s="49">
        <v>44624</v>
      </c>
      <c r="P8950" s="50">
        <v>21.856500000000004</v>
      </c>
    </row>
    <row r="8951" spans="4:16" x14ac:dyDescent="0.2">
      <c r="D8951">
        <v>100005350</v>
      </c>
      <c r="E8951" s="49">
        <v>45197</v>
      </c>
      <c r="F8951" t="s">
        <v>6491</v>
      </c>
      <c r="G8951" t="s">
        <v>2050</v>
      </c>
      <c r="H8951">
        <v>10</v>
      </c>
      <c r="I8951">
        <v>11.48</v>
      </c>
      <c r="J8951" s="50">
        <v>114.8</v>
      </c>
      <c r="K8951" t="s">
        <v>1632</v>
      </c>
      <c r="L8951" t="s">
        <v>2962</v>
      </c>
      <c r="M8951" t="s">
        <v>1624</v>
      </c>
      <c r="N8951">
        <v>6.06</v>
      </c>
      <c r="O8951" s="49">
        <v>45198</v>
      </c>
      <c r="P8951" s="50">
        <v>51.66</v>
      </c>
    </row>
    <row r="8952" spans="4:16" x14ac:dyDescent="0.2">
      <c r="D8952">
        <v>100005350</v>
      </c>
      <c r="E8952" s="49">
        <v>44527</v>
      </c>
      <c r="F8952" t="s">
        <v>6491</v>
      </c>
      <c r="G8952" t="s">
        <v>2019</v>
      </c>
      <c r="H8952">
        <v>3</v>
      </c>
      <c r="I8952">
        <v>37.78</v>
      </c>
      <c r="J8952" s="50">
        <v>113.34</v>
      </c>
      <c r="K8952" t="s">
        <v>1632</v>
      </c>
      <c r="L8952" t="s">
        <v>2962</v>
      </c>
      <c r="M8952" t="s">
        <v>1624</v>
      </c>
      <c r="N8952">
        <v>19.940000000000001</v>
      </c>
      <c r="O8952" s="49">
        <v>44531</v>
      </c>
      <c r="P8952" s="50">
        <v>51.003</v>
      </c>
    </row>
    <row r="8953" spans="4:16" x14ac:dyDescent="0.2">
      <c r="D8953">
        <v>100005350</v>
      </c>
      <c r="E8953" s="49">
        <v>44857</v>
      </c>
      <c r="F8953" t="s">
        <v>6491</v>
      </c>
      <c r="G8953" t="s">
        <v>2278</v>
      </c>
      <c r="H8953">
        <v>5</v>
      </c>
      <c r="I8953">
        <v>83.19</v>
      </c>
      <c r="J8953" s="50">
        <v>415.95</v>
      </c>
      <c r="K8953" t="s">
        <v>1632</v>
      </c>
      <c r="L8953" t="s">
        <v>2962</v>
      </c>
      <c r="M8953" t="s">
        <v>1624</v>
      </c>
      <c r="N8953">
        <v>43.91</v>
      </c>
      <c r="O8953" s="49">
        <v>44859</v>
      </c>
      <c r="P8953" s="50">
        <v>187.17750000000001</v>
      </c>
    </row>
    <row r="8954" spans="4:16" x14ac:dyDescent="0.2">
      <c r="D8954">
        <v>100005350</v>
      </c>
      <c r="E8954" s="49">
        <v>45537</v>
      </c>
      <c r="F8954" t="s">
        <v>6491</v>
      </c>
      <c r="G8954" t="s">
        <v>2230</v>
      </c>
      <c r="H8954">
        <v>9</v>
      </c>
      <c r="I8954">
        <v>33.700000000000003</v>
      </c>
      <c r="J8954" s="50">
        <v>303.3</v>
      </c>
      <c r="K8954" t="s">
        <v>1632</v>
      </c>
      <c r="L8954" t="s">
        <v>2962</v>
      </c>
      <c r="M8954" t="s">
        <v>1627</v>
      </c>
      <c r="N8954">
        <v>17.79</v>
      </c>
      <c r="O8954" s="49">
        <v>45541</v>
      </c>
      <c r="P8954" s="50">
        <v>136.48500000000001</v>
      </c>
    </row>
    <row r="8955" spans="4:16" x14ac:dyDescent="0.2">
      <c r="D8955">
        <v>100005352</v>
      </c>
      <c r="E8955" s="49">
        <v>44664</v>
      </c>
      <c r="F8955" t="s">
        <v>6492</v>
      </c>
      <c r="G8955" t="s">
        <v>2147</v>
      </c>
      <c r="H8955">
        <v>5</v>
      </c>
      <c r="I8955">
        <v>69.180000000000007</v>
      </c>
      <c r="J8955" s="50">
        <v>345.9</v>
      </c>
      <c r="K8955" t="s">
        <v>1618</v>
      </c>
      <c r="L8955" t="s">
        <v>6493</v>
      </c>
      <c r="M8955" t="s">
        <v>1624</v>
      </c>
      <c r="N8955">
        <v>36.51</v>
      </c>
      <c r="O8955" s="49">
        <v>44667</v>
      </c>
      <c r="P8955" s="50">
        <v>155.655</v>
      </c>
    </row>
    <row r="8956" spans="4:16" x14ac:dyDescent="0.2">
      <c r="D8956">
        <v>100005352</v>
      </c>
      <c r="E8956" s="49">
        <v>45505</v>
      </c>
      <c r="F8956" t="s">
        <v>6492</v>
      </c>
      <c r="G8956" t="s">
        <v>2698</v>
      </c>
      <c r="H8956">
        <v>3</v>
      </c>
      <c r="I8956">
        <v>33.47</v>
      </c>
      <c r="J8956" s="50">
        <v>100.41</v>
      </c>
      <c r="K8956" t="s">
        <v>1618</v>
      </c>
      <c r="L8956" t="s">
        <v>6493</v>
      </c>
      <c r="M8956" t="s">
        <v>1619</v>
      </c>
      <c r="N8956">
        <v>17.66</v>
      </c>
      <c r="O8956" s="49">
        <v>45507</v>
      </c>
      <c r="P8956" s="50">
        <v>45.1845</v>
      </c>
    </row>
    <row r="8957" spans="4:16" x14ac:dyDescent="0.2">
      <c r="D8957">
        <v>100005352</v>
      </c>
      <c r="E8957" s="49">
        <v>44563</v>
      </c>
      <c r="F8957" t="s">
        <v>6492</v>
      </c>
      <c r="G8957" t="s">
        <v>2016</v>
      </c>
      <c r="H8957">
        <v>10</v>
      </c>
      <c r="I8957">
        <v>43.59</v>
      </c>
      <c r="J8957" s="50">
        <v>435.9</v>
      </c>
      <c r="K8957" t="s">
        <v>1618</v>
      </c>
      <c r="L8957" t="s">
        <v>6493</v>
      </c>
      <c r="M8957" t="s">
        <v>1627</v>
      </c>
      <c r="N8957">
        <v>23.01</v>
      </c>
      <c r="O8957" s="49">
        <v>44567</v>
      </c>
      <c r="P8957" s="50">
        <v>196.155</v>
      </c>
    </row>
    <row r="8958" spans="4:16" x14ac:dyDescent="0.2">
      <c r="D8958">
        <v>100005353</v>
      </c>
      <c r="E8958" s="49">
        <v>45418</v>
      </c>
      <c r="F8958" t="s">
        <v>6494</v>
      </c>
      <c r="G8958" t="s">
        <v>1815</v>
      </c>
      <c r="H8958">
        <v>7</v>
      </c>
      <c r="I8958">
        <v>26.92</v>
      </c>
      <c r="J8958" s="50">
        <v>188.44</v>
      </c>
      <c r="K8958" t="s">
        <v>1618</v>
      </c>
      <c r="M8958" t="s">
        <v>1627</v>
      </c>
      <c r="N8958">
        <v>14.21</v>
      </c>
      <c r="O8958" s="49">
        <v>45420</v>
      </c>
      <c r="P8958" s="50">
        <v>84.798000000000002</v>
      </c>
    </row>
    <row r="8959" spans="4:16" x14ac:dyDescent="0.2">
      <c r="D8959">
        <v>100005353</v>
      </c>
      <c r="E8959" s="49">
        <v>44859</v>
      </c>
      <c r="F8959" t="s">
        <v>6494</v>
      </c>
      <c r="G8959" t="s">
        <v>1807</v>
      </c>
      <c r="H8959">
        <v>1</v>
      </c>
      <c r="I8959">
        <v>115.04</v>
      </c>
      <c r="J8959" s="50">
        <v>115.04</v>
      </c>
      <c r="K8959" t="s">
        <v>1618</v>
      </c>
      <c r="M8959" t="s">
        <v>1624</v>
      </c>
      <c r="N8959">
        <v>60.72</v>
      </c>
      <c r="O8959" s="49">
        <v>44864</v>
      </c>
      <c r="P8959" s="50">
        <v>51.768000000000001</v>
      </c>
    </row>
    <row r="8960" spans="4:16" x14ac:dyDescent="0.2">
      <c r="D8960">
        <v>100005353</v>
      </c>
      <c r="E8960" s="49">
        <v>45397</v>
      </c>
      <c r="F8960" t="s">
        <v>6494</v>
      </c>
      <c r="G8960" t="s">
        <v>2416</v>
      </c>
      <c r="H8960">
        <v>6</v>
      </c>
      <c r="I8960">
        <v>73.959999999999994</v>
      </c>
      <c r="J8960" s="50">
        <v>443.76</v>
      </c>
      <c r="K8960" t="s">
        <v>1618</v>
      </c>
      <c r="M8960" t="s">
        <v>1624</v>
      </c>
      <c r="N8960">
        <v>39.03</v>
      </c>
      <c r="O8960" s="49">
        <v>45401</v>
      </c>
      <c r="P8960" s="50">
        <v>199.69200000000001</v>
      </c>
    </row>
    <row r="8961" spans="4:16" x14ac:dyDescent="0.2">
      <c r="D8961">
        <v>100005353</v>
      </c>
      <c r="E8961" s="49">
        <v>44268</v>
      </c>
      <c r="F8961" t="s">
        <v>6494</v>
      </c>
      <c r="G8961" t="s">
        <v>1924</v>
      </c>
      <c r="H8961">
        <v>7</v>
      </c>
      <c r="I8961">
        <v>98.76</v>
      </c>
      <c r="J8961" s="50">
        <v>691.32</v>
      </c>
      <c r="K8961" t="s">
        <v>1618</v>
      </c>
      <c r="M8961" t="s">
        <v>1624</v>
      </c>
      <c r="N8961">
        <v>52.12</v>
      </c>
      <c r="O8961" s="49">
        <v>44273</v>
      </c>
      <c r="P8961" s="50">
        <v>311.09400000000005</v>
      </c>
    </row>
    <row r="8962" spans="4:16" x14ac:dyDescent="0.2">
      <c r="D8962">
        <v>100005354</v>
      </c>
      <c r="E8962" s="49">
        <v>45208</v>
      </c>
      <c r="F8962" t="s">
        <v>6495</v>
      </c>
      <c r="G8962" t="s">
        <v>1648</v>
      </c>
      <c r="H8962">
        <v>10</v>
      </c>
      <c r="I8962">
        <v>25.22</v>
      </c>
      <c r="J8962" s="50">
        <v>252.2</v>
      </c>
      <c r="K8962" t="s">
        <v>1618</v>
      </c>
      <c r="M8962" t="s">
        <v>1627</v>
      </c>
      <c r="N8962">
        <v>13.31</v>
      </c>
      <c r="O8962" s="49">
        <v>45212</v>
      </c>
      <c r="P8962" s="50">
        <v>113.49</v>
      </c>
    </row>
    <row r="8963" spans="4:16" x14ac:dyDescent="0.2">
      <c r="D8963">
        <v>100005356</v>
      </c>
      <c r="E8963" s="49">
        <v>45324</v>
      </c>
      <c r="F8963" t="s">
        <v>6496</v>
      </c>
      <c r="G8963" t="s">
        <v>2099</v>
      </c>
      <c r="H8963">
        <v>7</v>
      </c>
      <c r="I8963">
        <v>41.48</v>
      </c>
      <c r="J8963" s="50">
        <v>290.36</v>
      </c>
      <c r="K8963" t="s">
        <v>1632</v>
      </c>
      <c r="L8963" t="s">
        <v>6497</v>
      </c>
      <c r="M8963" t="s">
        <v>1629</v>
      </c>
      <c r="N8963">
        <v>21.89</v>
      </c>
      <c r="O8963" s="49">
        <v>45328</v>
      </c>
      <c r="P8963" s="50">
        <v>130.66200000000001</v>
      </c>
    </row>
    <row r="8964" spans="4:16" x14ac:dyDescent="0.2">
      <c r="D8964">
        <v>100005356</v>
      </c>
      <c r="E8964" s="49">
        <v>44882</v>
      </c>
      <c r="F8964" t="s">
        <v>6496</v>
      </c>
      <c r="G8964" t="s">
        <v>1820</v>
      </c>
      <c r="H8964">
        <v>8</v>
      </c>
      <c r="I8964">
        <v>30.24</v>
      </c>
      <c r="J8964" s="50">
        <v>241.92</v>
      </c>
      <c r="K8964" t="s">
        <v>1632</v>
      </c>
      <c r="L8964" t="s">
        <v>6497</v>
      </c>
      <c r="M8964" t="s">
        <v>1627</v>
      </c>
      <c r="N8964">
        <v>15.96</v>
      </c>
      <c r="O8964" s="49">
        <v>44885</v>
      </c>
      <c r="P8964" s="50">
        <v>108.86399999999999</v>
      </c>
    </row>
    <row r="8965" spans="4:16" x14ac:dyDescent="0.2">
      <c r="D8965">
        <v>100005358</v>
      </c>
      <c r="E8965" s="49">
        <v>44780</v>
      </c>
      <c r="F8965" t="s">
        <v>6498</v>
      </c>
      <c r="G8965" t="s">
        <v>2132</v>
      </c>
      <c r="H8965">
        <v>8</v>
      </c>
      <c r="I8965">
        <v>107.82</v>
      </c>
      <c r="J8965" s="50">
        <v>862.56</v>
      </c>
      <c r="K8965" t="s">
        <v>1618</v>
      </c>
      <c r="M8965" t="s">
        <v>1621</v>
      </c>
      <c r="N8965">
        <v>56.9</v>
      </c>
      <c r="O8965" s="49">
        <v>44784</v>
      </c>
      <c r="P8965" s="50">
        <v>388.15199999999999</v>
      </c>
    </row>
    <row r="8966" spans="4:16" x14ac:dyDescent="0.2">
      <c r="D8966">
        <v>100005358</v>
      </c>
      <c r="E8966" s="49">
        <v>45273</v>
      </c>
      <c r="F8966" t="s">
        <v>6498</v>
      </c>
      <c r="G8966" t="s">
        <v>1697</v>
      </c>
      <c r="H8966">
        <v>1</v>
      </c>
      <c r="I8966">
        <v>105.68</v>
      </c>
      <c r="J8966" s="50">
        <v>105.68</v>
      </c>
      <c r="K8966" t="s">
        <v>1618</v>
      </c>
      <c r="M8966" t="s">
        <v>1627</v>
      </c>
      <c r="N8966">
        <v>55.78</v>
      </c>
      <c r="O8966" s="49">
        <v>45275</v>
      </c>
      <c r="P8966" s="50">
        <v>47.556000000000004</v>
      </c>
    </row>
    <row r="8967" spans="4:16" x14ac:dyDescent="0.2">
      <c r="D8967">
        <v>100005359</v>
      </c>
      <c r="E8967" s="49">
        <v>45055</v>
      </c>
      <c r="F8967" t="s">
        <v>6499</v>
      </c>
      <c r="G8967" t="s">
        <v>2078</v>
      </c>
      <c r="H8967">
        <v>2</v>
      </c>
      <c r="I8967">
        <v>47.61</v>
      </c>
      <c r="J8967" s="50">
        <v>95.22</v>
      </c>
      <c r="K8967" t="s">
        <v>1618</v>
      </c>
      <c r="M8967" t="s">
        <v>1629</v>
      </c>
      <c r="N8967">
        <v>25.13</v>
      </c>
      <c r="O8967" s="49">
        <v>45056</v>
      </c>
      <c r="P8967" s="50">
        <v>42.849000000000004</v>
      </c>
    </row>
    <row r="8968" spans="4:16" x14ac:dyDescent="0.2">
      <c r="D8968">
        <v>100005359</v>
      </c>
      <c r="E8968" s="49">
        <v>44437</v>
      </c>
      <c r="F8968" t="s">
        <v>6499</v>
      </c>
      <c r="G8968" t="s">
        <v>1916</v>
      </c>
      <c r="H8968">
        <v>5</v>
      </c>
      <c r="I8968">
        <v>32.200000000000003</v>
      </c>
      <c r="J8968" s="50">
        <v>161</v>
      </c>
      <c r="K8968" t="s">
        <v>1618</v>
      </c>
      <c r="M8968" t="s">
        <v>1619</v>
      </c>
      <c r="N8968">
        <v>16.989999999999998</v>
      </c>
      <c r="O8968" s="49">
        <v>44440</v>
      </c>
      <c r="P8968" s="50">
        <v>72.45</v>
      </c>
    </row>
    <row r="8969" spans="4:16" x14ac:dyDescent="0.2">
      <c r="D8969">
        <v>100005359</v>
      </c>
      <c r="E8969" s="49">
        <v>45063</v>
      </c>
      <c r="F8969" t="s">
        <v>6499</v>
      </c>
      <c r="G8969" t="s">
        <v>2007</v>
      </c>
      <c r="H8969">
        <v>10</v>
      </c>
      <c r="I8969">
        <v>88.53</v>
      </c>
      <c r="J8969" s="50">
        <v>885.3</v>
      </c>
      <c r="K8969" t="s">
        <v>1618</v>
      </c>
      <c r="M8969" t="s">
        <v>1627</v>
      </c>
      <c r="N8969">
        <v>46.72</v>
      </c>
      <c r="O8969" s="49">
        <v>45066</v>
      </c>
      <c r="P8969" s="50">
        <v>398.38499999999999</v>
      </c>
    </row>
    <row r="8970" spans="4:16" x14ac:dyDescent="0.2">
      <c r="D8970">
        <v>100005359</v>
      </c>
      <c r="E8970" s="49">
        <v>44622</v>
      </c>
      <c r="F8970" t="s">
        <v>6499</v>
      </c>
      <c r="G8970" t="s">
        <v>2098</v>
      </c>
      <c r="H8970">
        <v>5</v>
      </c>
      <c r="I8970">
        <v>64.23</v>
      </c>
      <c r="J8970" s="50">
        <v>321.14999999999998</v>
      </c>
      <c r="K8970" t="s">
        <v>1618</v>
      </c>
      <c r="M8970" t="s">
        <v>1627</v>
      </c>
      <c r="N8970">
        <v>33.9</v>
      </c>
      <c r="O8970" s="49">
        <v>44627</v>
      </c>
      <c r="P8970" s="50">
        <v>144.51749999999998</v>
      </c>
    </row>
    <row r="8971" spans="4:16" x14ac:dyDescent="0.2">
      <c r="D8971">
        <v>100005360</v>
      </c>
      <c r="E8971" s="49">
        <v>44529</v>
      </c>
      <c r="F8971" t="s">
        <v>6500</v>
      </c>
      <c r="G8971" t="s">
        <v>3075</v>
      </c>
      <c r="H8971">
        <v>4</v>
      </c>
      <c r="I8971">
        <v>117.31</v>
      </c>
      <c r="J8971" s="50">
        <v>469.24</v>
      </c>
      <c r="K8971" t="s">
        <v>1618</v>
      </c>
      <c r="M8971" t="s">
        <v>1627</v>
      </c>
      <c r="N8971">
        <v>61.91</v>
      </c>
      <c r="O8971" s="49">
        <v>44534</v>
      </c>
      <c r="P8971" s="50">
        <v>211.15800000000002</v>
      </c>
    </row>
    <row r="8972" spans="4:16" x14ac:dyDescent="0.2">
      <c r="D8972">
        <v>100005362</v>
      </c>
      <c r="E8972" s="49">
        <v>44809</v>
      </c>
      <c r="F8972" t="s">
        <v>6501</v>
      </c>
      <c r="G8972" t="s">
        <v>1941</v>
      </c>
      <c r="H8972">
        <v>3</v>
      </c>
      <c r="I8972">
        <v>58.34</v>
      </c>
      <c r="J8972" s="50">
        <v>175.02</v>
      </c>
      <c r="K8972" t="s">
        <v>1618</v>
      </c>
      <c r="M8972" t="s">
        <v>1624</v>
      </c>
      <c r="N8972">
        <v>30.79</v>
      </c>
      <c r="O8972" s="49">
        <v>44811</v>
      </c>
      <c r="P8972" s="50">
        <v>78.759</v>
      </c>
    </row>
    <row r="8973" spans="4:16" x14ac:dyDescent="0.2">
      <c r="D8973">
        <v>100005362</v>
      </c>
      <c r="E8973" s="49">
        <v>44615</v>
      </c>
      <c r="F8973" t="s">
        <v>6501</v>
      </c>
      <c r="G8973" t="s">
        <v>2004</v>
      </c>
      <c r="H8973">
        <v>3</v>
      </c>
      <c r="I8973">
        <v>72.150000000000006</v>
      </c>
      <c r="J8973" s="50">
        <v>216.45</v>
      </c>
      <c r="K8973" t="s">
        <v>1618</v>
      </c>
      <c r="M8973" t="s">
        <v>1621</v>
      </c>
      <c r="N8973">
        <v>38.08</v>
      </c>
      <c r="O8973" s="49">
        <v>44617</v>
      </c>
      <c r="P8973" s="50">
        <v>97.402500000000003</v>
      </c>
    </row>
    <row r="8974" spans="4:16" x14ac:dyDescent="0.2">
      <c r="D8974">
        <v>100005362</v>
      </c>
      <c r="E8974" s="49">
        <v>45330</v>
      </c>
      <c r="F8974" t="s">
        <v>6501</v>
      </c>
      <c r="G8974" t="s">
        <v>1693</v>
      </c>
      <c r="H8974">
        <v>10</v>
      </c>
      <c r="I8974">
        <v>87.29</v>
      </c>
      <c r="J8974" s="50">
        <v>872.90000000000009</v>
      </c>
      <c r="K8974" t="s">
        <v>1618</v>
      </c>
      <c r="M8974" t="s">
        <v>1619</v>
      </c>
      <c r="N8974">
        <v>46.07</v>
      </c>
      <c r="O8974" s="49">
        <v>45335</v>
      </c>
      <c r="P8974" s="50">
        <v>392.80500000000006</v>
      </c>
    </row>
    <row r="8975" spans="4:16" x14ac:dyDescent="0.2">
      <c r="D8975">
        <v>100005363</v>
      </c>
      <c r="E8975" s="49">
        <v>45591</v>
      </c>
      <c r="F8975" t="s">
        <v>6502</v>
      </c>
      <c r="G8975" t="s">
        <v>2033</v>
      </c>
      <c r="H8975">
        <v>2</v>
      </c>
      <c r="I8975">
        <v>117.06</v>
      </c>
      <c r="J8975" s="50">
        <v>234.12</v>
      </c>
      <c r="K8975" t="s">
        <v>1618</v>
      </c>
      <c r="M8975" t="s">
        <v>1624</v>
      </c>
      <c r="N8975">
        <v>61.78</v>
      </c>
      <c r="O8975" s="49">
        <v>45594</v>
      </c>
      <c r="P8975" s="50">
        <v>105.354</v>
      </c>
    </row>
    <row r="8976" spans="4:16" x14ac:dyDescent="0.2">
      <c r="D8976">
        <v>100005363</v>
      </c>
      <c r="E8976" s="49">
        <v>45456</v>
      </c>
      <c r="F8976" t="s">
        <v>6502</v>
      </c>
      <c r="G8976" t="s">
        <v>1623</v>
      </c>
      <c r="H8976">
        <v>5</v>
      </c>
      <c r="I8976">
        <v>64.31</v>
      </c>
      <c r="J8976" s="50">
        <v>321.55</v>
      </c>
      <c r="K8976" t="s">
        <v>1618</v>
      </c>
      <c r="M8976" t="s">
        <v>1619</v>
      </c>
      <c r="N8976">
        <v>33.94</v>
      </c>
      <c r="O8976" s="49">
        <v>45460</v>
      </c>
      <c r="P8976" s="50">
        <v>144.69750000000002</v>
      </c>
    </row>
    <row r="8977" spans="4:16" x14ac:dyDescent="0.2">
      <c r="D8977">
        <v>100005364</v>
      </c>
      <c r="E8977" s="49">
        <v>44393</v>
      </c>
      <c r="F8977" t="s">
        <v>6503</v>
      </c>
      <c r="G8977" t="s">
        <v>1765</v>
      </c>
      <c r="H8977">
        <v>2</v>
      </c>
      <c r="I8977">
        <v>87.47</v>
      </c>
      <c r="J8977" s="50">
        <v>174.94</v>
      </c>
      <c r="K8977" t="s">
        <v>1632</v>
      </c>
      <c r="M8977" t="s">
        <v>1629</v>
      </c>
      <c r="N8977">
        <v>46.16</v>
      </c>
      <c r="O8977" s="49">
        <v>44396</v>
      </c>
      <c r="P8977" s="50">
        <v>78.722999999999999</v>
      </c>
    </row>
    <row r="8978" spans="4:16" x14ac:dyDescent="0.2">
      <c r="D8978">
        <v>100005365</v>
      </c>
      <c r="E8978" s="49">
        <v>45431</v>
      </c>
      <c r="F8978" t="s">
        <v>6504</v>
      </c>
      <c r="G8978" t="s">
        <v>1838</v>
      </c>
      <c r="H8978">
        <v>9</v>
      </c>
      <c r="I8978">
        <v>16.18</v>
      </c>
      <c r="J8978" s="50">
        <v>145.62</v>
      </c>
      <c r="K8978" t="s">
        <v>1632</v>
      </c>
      <c r="M8978" t="s">
        <v>1624</v>
      </c>
      <c r="N8978">
        <v>8.5399999999999991</v>
      </c>
      <c r="O8978" s="49">
        <v>45434</v>
      </c>
      <c r="P8978" s="50">
        <v>65.529000000000011</v>
      </c>
    </row>
    <row r="8979" spans="4:16" x14ac:dyDescent="0.2">
      <c r="D8979">
        <v>100005367</v>
      </c>
      <c r="E8979" s="49">
        <v>44749</v>
      </c>
      <c r="F8979" t="s">
        <v>6505</v>
      </c>
      <c r="G8979" t="s">
        <v>2003</v>
      </c>
      <c r="H8979">
        <v>5</v>
      </c>
      <c r="I8979">
        <v>19.239999999999998</v>
      </c>
      <c r="J8979" s="50">
        <v>96.199999999999989</v>
      </c>
      <c r="K8979" t="s">
        <v>1618</v>
      </c>
      <c r="L8979" t="s">
        <v>4688</v>
      </c>
      <c r="M8979" t="s">
        <v>1621</v>
      </c>
      <c r="N8979">
        <v>10.15</v>
      </c>
      <c r="O8979" s="49">
        <v>44752</v>
      </c>
      <c r="P8979" s="50">
        <v>43.29</v>
      </c>
    </row>
    <row r="8980" spans="4:16" x14ac:dyDescent="0.2">
      <c r="D8980">
        <v>100005367</v>
      </c>
      <c r="E8980" s="49">
        <v>45559</v>
      </c>
      <c r="F8980" t="s">
        <v>6505</v>
      </c>
      <c r="G8980" t="s">
        <v>1900</v>
      </c>
      <c r="H8980">
        <v>4</v>
      </c>
      <c r="I8980">
        <v>104.42</v>
      </c>
      <c r="J8980" s="50">
        <v>417.68</v>
      </c>
      <c r="K8980" t="s">
        <v>1618</v>
      </c>
      <c r="L8980" t="s">
        <v>4688</v>
      </c>
      <c r="M8980" t="s">
        <v>1619</v>
      </c>
      <c r="N8980">
        <v>55.11</v>
      </c>
      <c r="O8980" s="49">
        <v>45563</v>
      </c>
      <c r="P8980" s="50">
        <v>187.95600000000002</v>
      </c>
    </row>
    <row r="8981" spans="4:16" x14ac:dyDescent="0.2">
      <c r="D8981">
        <v>100005368</v>
      </c>
      <c r="E8981" s="49">
        <v>44747</v>
      </c>
      <c r="F8981" t="s">
        <v>6506</v>
      </c>
      <c r="G8981" t="s">
        <v>1653</v>
      </c>
      <c r="H8981">
        <v>2</v>
      </c>
      <c r="I8981">
        <v>48.28</v>
      </c>
      <c r="J8981" s="50">
        <v>96.56</v>
      </c>
      <c r="K8981" t="s">
        <v>1618</v>
      </c>
      <c r="M8981" t="s">
        <v>1619</v>
      </c>
      <c r="N8981">
        <v>25.48</v>
      </c>
      <c r="O8981" s="49">
        <v>44751</v>
      </c>
      <c r="P8981" s="50">
        <v>43.452000000000005</v>
      </c>
    </row>
    <row r="8982" spans="4:16" x14ac:dyDescent="0.2">
      <c r="D8982">
        <v>100005368</v>
      </c>
      <c r="E8982" s="49">
        <v>44875</v>
      </c>
      <c r="F8982" t="s">
        <v>6506</v>
      </c>
      <c r="G8982" t="s">
        <v>1767</v>
      </c>
      <c r="H8982">
        <v>10</v>
      </c>
      <c r="I8982">
        <v>117.73</v>
      </c>
      <c r="J8982" s="50">
        <v>1177.3</v>
      </c>
      <c r="K8982" t="s">
        <v>1618</v>
      </c>
      <c r="M8982" t="s">
        <v>1627</v>
      </c>
      <c r="N8982">
        <v>62.13</v>
      </c>
      <c r="O8982" s="49">
        <v>44880</v>
      </c>
      <c r="P8982" s="50">
        <v>529.78499999999997</v>
      </c>
    </row>
    <row r="8983" spans="4:16" x14ac:dyDescent="0.2">
      <c r="D8983">
        <v>100005368</v>
      </c>
      <c r="E8983" s="49">
        <v>44417</v>
      </c>
      <c r="F8983" t="s">
        <v>6506</v>
      </c>
      <c r="G8983" t="s">
        <v>1700</v>
      </c>
      <c r="H8983">
        <v>3</v>
      </c>
      <c r="I8983">
        <v>25.38</v>
      </c>
      <c r="J8983" s="50">
        <v>76.14</v>
      </c>
      <c r="K8983" t="s">
        <v>1618</v>
      </c>
      <c r="M8983" t="s">
        <v>1624</v>
      </c>
      <c r="N8983">
        <v>13.39</v>
      </c>
      <c r="O8983" s="49">
        <v>44418</v>
      </c>
      <c r="P8983" s="50">
        <v>34.262999999999998</v>
      </c>
    </row>
    <row r="8984" spans="4:16" x14ac:dyDescent="0.2">
      <c r="D8984">
        <v>100005368</v>
      </c>
      <c r="E8984" s="49">
        <v>45345</v>
      </c>
      <c r="F8984" t="s">
        <v>6506</v>
      </c>
      <c r="G8984" t="s">
        <v>1691</v>
      </c>
      <c r="H8984">
        <v>5</v>
      </c>
      <c r="I8984">
        <v>100.29</v>
      </c>
      <c r="J8984" s="50">
        <v>501.45</v>
      </c>
      <c r="K8984" t="s">
        <v>1618</v>
      </c>
      <c r="M8984" t="s">
        <v>1629</v>
      </c>
      <c r="N8984">
        <v>52.93</v>
      </c>
      <c r="O8984" s="49">
        <v>45346</v>
      </c>
      <c r="P8984" s="50">
        <v>225.6525</v>
      </c>
    </row>
    <row r="8985" spans="4:16" x14ac:dyDescent="0.2">
      <c r="D8985">
        <v>100005368</v>
      </c>
      <c r="E8985" s="49">
        <v>44573</v>
      </c>
      <c r="F8985" t="s">
        <v>6506</v>
      </c>
      <c r="G8985" t="s">
        <v>1900</v>
      </c>
      <c r="H8985">
        <v>4</v>
      </c>
      <c r="I8985">
        <v>38.32</v>
      </c>
      <c r="J8985" s="50">
        <v>153.28</v>
      </c>
      <c r="K8985" t="s">
        <v>1618</v>
      </c>
      <c r="M8985" t="s">
        <v>1629</v>
      </c>
      <c r="N8985">
        <v>20.22</v>
      </c>
      <c r="O8985" s="49">
        <v>44578</v>
      </c>
      <c r="P8985" s="50">
        <v>68.975999999999999</v>
      </c>
    </row>
    <row r="8986" spans="4:16" x14ac:dyDescent="0.2">
      <c r="D8986">
        <v>100005369</v>
      </c>
      <c r="E8986" s="49">
        <v>44574</v>
      </c>
      <c r="F8986" t="s">
        <v>6507</v>
      </c>
      <c r="G8986" t="s">
        <v>1939</v>
      </c>
      <c r="H8986">
        <v>1</v>
      </c>
      <c r="I8986">
        <v>39.44</v>
      </c>
      <c r="J8986" s="50">
        <v>39.44</v>
      </c>
      <c r="K8986" t="s">
        <v>1618</v>
      </c>
      <c r="M8986" t="s">
        <v>1621</v>
      </c>
      <c r="N8986">
        <v>20.82</v>
      </c>
      <c r="O8986" s="49">
        <v>44575</v>
      </c>
      <c r="P8986" s="50">
        <v>17.748000000000001</v>
      </c>
    </row>
    <row r="8987" spans="4:16" x14ac:dyDescent="0.2">
      <c r="D8987">
        <v>100005370</v>
      </c>
      <c r="E8987" s="49">
        <v>44753</v>
      </c>
      <c r="F8987" t="s">
        <v>6508</v>
      </c>
      <c r="G8987" t="s">
        <v>2390</v>
      </c>
      <c r="H8987">
        <v>3</v>
      </c>
      <c r="I8987">
        <v>83.87</v>
      </c>
      <c r="J8987" s="50">
        <v>251.61</v>
      </c>
      <c r="K8987" t="s">
        <v>1618</v>
      </c>
      <c r="M8987" t="s">
        <v>1621</v>
      </c>
      <c r="N8987">
        <v>44.26</v>
      </c>
      <c r="O8987" s="49">
        <v>44754</v>
      </c>
      <c r="P8987" s="50">
        <v>113.22450000000001</v>
      </c>
    </row>
    <row r="8988" spans="4:16" x14ac:dyDescent="0.2">
      <c r="D8988">
        <v>100005370</v>
      </c>
      <c r="E8988" s="49">
        <v>45245</v>
      </c>
      <c r="F8988" t="s">
        <v>6508</v>
      </c>
      <c r="G8988" t="s">
        <v>1669</v>
      </c>
      <c r="H8988">
        <v>8</v>
      </c>
      <c r="I8988">
        <v>40</v>
      </c>
      <c r="J8988" s="50">
        <v>320</v>
      </c>
      <c r="K8988" t="s">
        <v>1618</v>
      </c>
      <c r="M8988" t="s">
        <v>1629</v>
      </c>
      <c r="N8988">
        <v>21.11</v>
      </c>
      <c r="O8988" s="49">
        <v>45247</v>
      </c>
      <c r="P8988" s="50">
        <v>144</v>
      </c>
    </row>
    <row r="8989" spans="4:16" x14ac:dyDescent="0.2">
      <c r="D8989">
        <v>100005371</v>
      </c>
      <c r="E8989" s="49">
        <v>44256</v>
      </c>
      <c r="F8989" t="s">
        <v>6509</v>
      </c>
      <c r="G8989" t="s">
        <v>2628</v>
      </c>
      <c r="H8989">
        <v>6</v>
      </c>
      <c r="I8989">
        <v>20.37</v>
      </c>
      <c r="J8989" s="50">
        <v>122.22</v>
      </c>
      <c r="K8989" t="s">
        <v>1632</v>
      </c>
      <c r="L8989" t="s">
        <v>6510</v>
      </c>
      <c r="M8989" t="s">
        <v>1629</v>
      </c>
      <c r="N8989">
        <v>10.75</v>
      </c>
      <c r="O8989" s="49">
        <v>44258</v>
      </c>
      <c r="P8989" s="50">
        <v>54.999000000000002</v>
      </c>
    </row>
    <row r="8990" spans="4:16" x14ac:dyDescent="0.2">
      <c r="D8990">
        <v>100005372</v>
      </c>
      <c r="E8990" s="49">
        <v>45241</v>
      </c>
      <c r="F8990" t="s">
        <v>6511</v>
      </c>
      <c r="G8990" t="s">
        <v>2574</v>
      </c>
      <c r="H8990">
        <v>10</v>
      </c>
      <c r="I8990">
        <v>89.6</v>
      </c>
      <c r="J8990" s="50">
        <v>896</v>
      </c>
      <c r="K8990" t="s">
        <v>1632</v>
      </c>
      <c r="L8990" t="s">
        <v>6512</v>
      </c>
      <c r="M8990" t="s">
        <v>1627</v>
      </c>
      <c r="N8990">
        <v>47.29</v>
      </c>
      <c r="O8990" s="49">
        <v>45245</v>
      </c>
      <c r="P8990" s="50">
        <v>403.2</v>
      </c>
    </row>
    <row r="8991" spans="4:16" x14ac:dyDescent="0.2">
      <c r="D8991">
        <v>100005372</v>
      </c>
      <c r="E8991" s="49">
        <v>45238</v>
      </c>
      <c r="F8991" t="s">
        <v>6511</v>
      </c>
      <c r="G8991" t="s">
        <v>1848</v>
      </c>
      <c r="H8991">
        <v>2</v>
      </c>
      <c r="I8991">
        <v>12.58</v>
      </c>
      <c r="J8991" s="50">
        <v>25.16</v>
      </c>
      <c r="K8991" t="s">
        <v>1632</v>
      </c>
      <c r="L8991" t="s">
        <v>6512</v>
      </c>
      <c r="M8991" t="s">
        <v>1624</v>
      </c>
      <c r="N8991">
        <v>6.64</v>
      </c>
      <c r="O8991" s="49">
        <v>45242</v>
      </c>
      <c r="P8991" s="50">
        <v>11.322000000000001</v>
      </c>
    </row>
    <row r="8992" spans="4:16" x14ac:dyDescent="0.2">
      <c r="D8992">
        <v>100005373</v>
      </c>
      <c r="E8992" s="49">
        <v>44931</v>
      </c>
      <c r="F8992" t="s">
        <v>6513</v>
      </c>
      <c r="G8992" t="s">
        <v>2111</v>
      </c>
      <c r="H8992">
        <v>5</v>
      </c>
      <c r="I8992">
        <v>117.01</v>
      </c>
      <c r="J8992" s="50">
        <v>585.05000000000007</v>
      </c>
      <c r="K8992" t="s">
        <v>1618</v>
      </c>
      <c r="L8992" t="s">
        <v>2528</v>
      </c>
      <c r="M8992" t="s">
        <v>1619</v>
      </c>
      <c r="N8992">
        <v>61.75</v>
      </c>
      <c r="O8992" s="49">
        <v>44935</v>
      </c>
      <c r="P8992" s="50">
        <v>263.27250000000004</v>
      </c>
    </row>
    <row r="8993" spans="4:16" x14ac:dyDescent="0.2">
      <c r="D8993">
        <v>100005375</v>
      </c>
      <c r="E8993" s="49">
        <v>44982</v>
      </c>
      <c r="F8993" t="s">
        <v>6514</v>
      </c>
      <c r="G8993" t="s">
        <v>2255</v>
      </c>
      <c r="H8993">
        <v>8</v>
      </c>
      <c r="I8993">
        <v>105.96</v>
      </c>
      <c r="J8993" s="50">
        <v>847.68</v>
      </c>
      <c r="K8993" t="s">
        <v>1632</v>
      </c>
      <c r="M8993" t="s">
        <v>1627</v>
      </c>
      <c r="N8993">
        <v>55.92</v>
      </c>
      <c r="O8993" s="49">
        <v>44985</v>
      </c>
      <c r="P8993" s="50">
        <v>381.45599999999996</v>
      </c>
    </row>
    <row r="8994" spans="4:16" x14ac:dyDescent="0.2">
      <c r="D8994">
        <v>100005375</v>
      </c>
      <c r="E8994" s="49">
        <v>44743</v>
      </c>
      <c r="F8994" t="s">
        <v>6514</v>
      </c>
      <c r="G8994" t="s">
        <v>1709</v>
      </c>
      <c r="H8994">
        <v>3</v>
      </c>
      <c r="I8994">
        <v>75.650000000000006</v>
      </c>
      <c r="J8994" s="50">
        <v>226.95</v>
      </c>
      <c r="K8994" t="s">
        <v>1632</v>
      </c>
      <c r="M8994" t="s">
        <v>1621</v>
      </c>
      <c r="N8994">
        <v>39.93</v>
      </c>
      <c r="O8994" s="49">
        <v>44748</v>
      </c>
      <c r="P8994" s="50">
        <v>102.1275</v>
      </c>
    </row>
    <row r="8995" spans="4:16" x14ac:dyDescent="0.2">
      <c r="D8995">
        <v>100005378</v>
      </c>
      <c r="E8995" s="49">
        <v>44278</v>
      </c>
      <c r="F8995" t="s">
        <v>6515</v>
      </c>
      <c r="G8995" t="s">
        <v>1916</v>
      </c>
      <c r="H8995">
        <v>1</v>
      </c>
      <c r="I8995">
        <v>33.020000000000003</v>
      </c>
      <c r="J8995" s="50">
        <v>33.020000000000003</v>
      </c>
      <c r="K8995" t="s">
        <v>1632</v>
      </c>
      <c r="M8995" t="s">
        <v>1621</v>
      </c>
      <c r="N8995">
        <v>17.43</v>
      </c>
      <c r="O8995" s="49">
        <v>44280</v>
      </c>
      <c r="P8995" s="50">
        <v>14.859000000000002</v>
      </c>
    </row>
    <row r="8996" spans="4:16" x14ac:dyDescent="0.2">
      <c r="D8996">
        <v>100005380</v>
      </c>
      <c r="E8996" s="49">
        <v>44417</v>
      </c>
      <c r="F8996" t="s">
        <v>6516</v>
      </c>
      <c r="G8996" t="s">
        <v>1828</v>
      </c>
      <c r="H8996">
        <v>4</v>
      </c>
      <c r="I8996">
        <v>113.18</v>
      </c>
      <c r="J8996" s="50">
        <v>452.72</v>
      </c>
      <c r="K8996" t="s">
        <v>1618</v>
      </c>
      <c r="L8996" t="s">
        <v>6517</v>
      </c>
      <c r="M8996" t="s">
        <v>1627</v>
      </c>
      <c r="N8996">
        <v>59.73</v>
      </c>
      <c r="O8996" s="49">
        <v>44418</v>
      </c>
      <c r="P8996" s="50">
        <v>203.72400000000002</v>
      </c>
    </row>
    <row r="8997" spans="4:16" x14ac:dyDescent="0.2">
      <c r="D8997">
        <v>100005381</v>
      </c>
      <c r="E8997" s="49">
        <v>45370</v>
      </c>
      <c r="F8997" t="s">
        <v>6518</v>
      </c>
      <c r="G8997" t="s">
        <v>1943</v>
      </c>
      <c r="H8997">
        <v>3</v>
      </c>
      <c r="I8997">
        <v>80.31</v>
      </c>
      <c r="J8997" s="50">
        <v>240.93</v>
      </c>
      <c r="K8997" t="s">
        <v>1618</v>
      </c>
      <c r="M8997" t="s">
        <v>1621</v>
      </c>
      <c r="N8997">
        <v>42.39</v>
      </c>
      <c r="O8997" s="49">
        <v>45374</v>
      </c>
      <c r="P8997" s="50">
        <v>108.41850000000001</v>
      </c>
    </row>
    <row r="8998" spans="4:16" x14ac:dyDescent="0.2">
      <c r="D8998">
        <v>100005381</v>
      </c>
      <c r="E8998" s="49">
        <v>44789</v>
      </c>
      <c r="F8998" t="s">
        <v>6518</v>
      </c>
      <c r="G8998" t="s">
        <v>1634</v>
      </c>
      <c r="H8998">
        <v>6</v>
      </c>
      <c r="I8998">
        <v>43.42</v>
      </c>
      <c r="J8998" s="50">
        <v>260.52</v>
      </c>
      <c r="K8998" t="s">
        <v>1618</v>
      </c>
      <c r="M8998" t="s">
        <v>1624</v>
      </c>
      <c r="N8998">
        <v>22.92</v>
      </c>
      <c r="O8998" s="49">
        <v>44794</v>
      </c>
      <c r="P8998" s="50">
        <v>117.23399999999999</v>
      </c>
    </row>
    <row r="8999" spans="4:16" x14ac:dyDescent="0.2">
      <c r="D8999">
        <v>100005381</v>
      </c>
      <c r="E8999" s="49">
        <v>45538</v>
      </c>
      <c r="F8999" t="s">
        <v>6518</v>
      </c>
      <c r="G8999" t="s">
        <v>1781</v>
      </c>
      <c r="H8999">
        <v>2</v>
      </c>
      <c r="I8999">
        <v>47.47</v>
      </c>
      <c r="J8999" s="50">
        <v>94.94</v>
      </c>
      <c r="K8999" t="s">
        <v>1618</v>
      </c>
      <c r="M8999" t="s">
        <v>1621</v>
      </c>
      <c r="N8999">
        <v>25.05</v>
      </c>
      <c r="O8999" s="49">
        <v>45539</v>
      </c>
      <c r="P8999" s="50">
        <v>42.722999999999999</v>
      </c>
    </row>
    <row r="9000" spans="4:16" x14ac:dyDescent="0.2">
      <c r="D9000">
        <v>100005382</v>
      </c>
      <c r="E9000" s="49">
        <v>45257</v>
      </c>
      <c r="F9000" t="s">
        <v>6519</v>
      </c>
      <c r="G9000" t="s">
        <v>1846</v>
      </c>
      <c r="H9000">
        <v>2</v>
      </c>
      <c r="I9000">
        <v>16.75</v>
      </c>
      <c r="J9000" s="50">
        <v>33.5</v>
      </c>
      <c r="K9000" t="s">
        <v>1618</v>
      </c>
      <c r="M9000" t="s">
        <v>1629</v>
      </c>
      <c r="N9000">
        <v>8.84</v>
      </c>
      <c r="O9000" s="49">
        <v>45262</v>
      </c>
      <c r="P9000" s="50">
        <v>15.075000000000001</v>
      </c>
    </row>
    <row r="9001" spans="4:16" x14ac:dyDescent="0.2">
      <c r="D9001">
        <v>100005383</v>
      </c>
      <c r="E9001" s="49">
        <v>45007</v>
      </c>
      <c r="F9001" t="s">
        <v>6520</v>
      </c>
      <c r="G9001" t="s">
        <v>1637</v>
      </c>
      <c r="H9001">
        <v>1</v>
      </c>
      <c r="I9001">
        <v>109.25</v>
      </c>
      <c r="J9001" s="50">
        <v>109.25</v>
      </c>
      <c r="K9001" t="s">
        <v>1618</v>
      </c>
      <c r="M9001" t="s">
        <v>1627</v>
      </c>
      <c r="N9001">
        <v>57.66</v>
      </c>
      <c r="O9001" s="49">
        <v>45011</v>
      </c>
      <c r="P9001" s="50">
        <v>49.162500000000001</v>
      </c>
    </row>
    <row r="9002" spans="4:16" x14ac:dyDescent="0.2">
      <c r="D9002">
        <v>100005383</v>
      </c>
      <c r="E9002" s="49">
        <v>45069</v>
      </c>
      <c r="F9002" t="s">
        <v>6520</v>
      </c>
      <c r="G9002" t="s">
        <v>1853</v>
      </c>
      <c r="H9002">
        <v>7</v>
      </c>
      <c r="I9002">
        <v>12.77</v>
      </c>
      <c r="J9002" s="50">
        <v>89.39</v>
      </c>
      <c r="K9002" t="s">
        <v>1618</v>
      </c>
      <c r="M9002" t="s">
        <v>1627</v>
      </c>
      <c r="N9002">
        <v>6.74</v>
      </c>
      <c r="O9002" s="49">
        <v>45070</v>
      </c>
      <c r="P9002" s="50">
        <v>40.225500000000004</v>
      </c>
    </row>
    <row r="9003" spans="4:16" x14ac:dyDescent="0.2">
      <c r="D9003">
        <v>100005384</v>
      </c>
      <c r="E9003" s="49">
        <v>44492</v>
      </c>
      <c r="F9003" t="s">
        <v>6521</v>
      </c>
      <c r="G9003" t="s">
        <v>1947</v>
      </c>
      <c r="H9003">
        <v>5</v>
      </c>
      <c r="I9003">
        <v>103.57</v>
      </c>
      <c r="J9003" s="50">
        <v>517.84999999999991</v>
      </c>
      <c r="K9003" t="s">
        <v>1632</v>
      </c>
      <c r="L9003" t="s">
        <v>3489</v>
      </c>
      <c r="M9003" t="s">
        <v>1619</v>
      </c>
      <c r="N9003">
        <v>54.66</v>
      </c>
      <c r="O9003" s="49">
        <v>44497</v>
      </c>
      <c r="P9003" s="50">
        <v>233.03249999999997</v>
      </c>
    </row>
    <row r="9004" spans="4:16" x14ac:dyDescent="0.2">
      <c r="D9004">
        <v>100005385</v>
      </c>
      <c r="E9004" s="49">
        <v>44643</v>
      </c>
      <c r="F9004" t="s">
        <v>6522</v>
      </c>
      <c r="G9004" t="s">
        <v>2480</v>
      </c>
      <c r="H9004">
        <v>9</v>
      </c>
      <c r="I9004">
        <v>103.75</v>
      </c>
      <c r="J9004" s="50">
        <v>933.75</v>
      </c>
      <c r="K9004" t="s">
        <v>1618</v>
      </c>
      <c r="M9004" t="s">
        <v>1627</v>
      </c>
      <c r="N9004">
        <v>54.76</v>
      </c>
      <c r="O9004" s="49">
        <v>44646</v>
      </c>
      <c r="P9004" s="50">
        <v>420.1875</v>
      </c>
    </row>
    <row r="9005" spans="4:16" x14ac:dyDescent="0.2">
      <c r="D9005">
        <v>100005385</v>
      </c>
      <c r="E9005" s="49">
        <v>44684</v>
      </c>
      <c r="F9005" t="s">
        <v>6522</v>
      </c>
      <c r="G9005" t="s">
        <v>2048</v>
      </c>
      <c r="H9005">
        <v>4</v>
      </c>
      <c r="I9005">
        <v>40.049999999999997</v>
      </c>
      <c r="J9005" s="50">
        <v>160.19999999999999</v>
      </c>
      <c r="K9005" t="s">
        <v>1618</v>
      </c>
      <c r="M9005" t="s">
        <v>1619</v>
      </c>
      <c r="N9005">
        <v>21.14</v>
      </c>
      <c r="O9005" s="49">
        <v>44685</v>
      </c>
      <c r="P9005" s="50">
        <v>72.09</v>
      </c>
    </row>
    <row r="9006" spans="4:16" x14ac:dyDescent="0.2">
      <c r="D9006">
        <v>100005385</v>
      </c>
      <c r="E9006" s="49">
        <v>44825</v>
      </c>
      <c r="F9006" t="s">
        <v>6522</v>
      </c>
      <c r="G9006" t="s">
        <v>2130</v>
      </c>
      <c r="H9006">
        <v>10</v>
      </c>
      <c r="I9006">
        <v>51.91</v>
      </c>
      <c r="J9006" s="50">
        <v>519.09999999999991</v>
      </c>
      <c r="K9006" t="s">
        <v>1618</v>
      </c>
      <c r="M9006" t="s">
        <v>1629</v>
      </c>
      <c r="N9006">
        <v>27.4</v>
      </c>
      <c r="O9006" s="49">
        <v>44828</v>
      </c>
      <c r="P9006" s="50">
        <v>233.59499999999997</v>
      </c>
    </row>
    <row r="9007" spans="4:16" x14ac:dyDescent="0.2">
      <c r="D9007">
        <v>100005385</v>
      </c>
      <c r="E9007" s="49">
        <v>45614</v>
      </c>
      <c r="F9007" t="s">
        <v>6522</v>
      </c>
      <c r="G9007" t="s">
        <v>1792</v>
      </c>
      <c r="H9007">
        <v>10</v>
      </c>
      <c r="I9007">
        <v>118.06</v>
      </c>
      <c r="J9007" s="50">
        <v>1180.5999999999999</v>
      </c>
      <c r="K9007" t="s">
        <v>1618</v>
      </c>
      <c r="M9007" t="s">
        <v>1624</v>
      </c>
      <c r="N9007">
        <v>62.31</v>
      </c>
      <c r="O9007" s="49">
        <v>45616</v>
      </c>
      <c r="P9007" s="50">
        <v>531.27</v>
      </c>
    </row>
    <row r="9008" spans="4:16" x14ac:dyDescent="0.2">
      <c r="D9008">
        <v>100005385</v>
      </c>
      <c r="E9008" s="49">
        <v>44792</v>
      </c>
      <c r="F9008" t="s">
        <v>6522</v>
      </c>
      <c r="G9008" t="s">
        <v>1939</v>
      </c>
      <c r="H9008">
        <v>8</v>
      </c>
      <c r="I9008">
        <v>86.51</v>
      </c>
      <c r="J9008" s="50">
        <v>692.08</v>
      </c>
      <c r="K9008" t="s">
        <v>1618</v>
      </c>
      <c r="M9008" t="s">
        <v>1621</v>
      </c>
      <c r="N9008">
        <v>45.66</v>
      </c>
      <c r="O9008" s="49">
        <v>44793</v>
      </c>
      <c r="P9008" s="50">
        <v>311.43600000000004</v>
      </c>
    </row>
    <row r="9009" spans="4:16" x14ac:dyDescent="0.2">
      <c r="D9009">
        <v>100005386</v>
      </c>
      <c r="E9009" s="49">
        <v>44471</v>
      </c>
      <c r="F9009" t="s">
        <v>4500</v>
      </c>
      <c r="G9009" t="s">
        <v>1724</v>
      </c>
      <c r="H9009">
        <v>1</v>
      </c>
      <c r="I9009">
        <v>74.209999999999994</v>
      </c>
      <c r="J9009" s="50">
        <v>74.209999999999994</v>
      </c>
      <c r="K9009" t="s">
        <v>1618</v>
      </c>
      <c r="M9009" t="s">
        <v>1629</v>
      </c>
      <c r="N9009">
        <v>39.17</v>
      </c>
      <c r="O9009" s="49">
        <v>44474</v>
      </c>
      <c r="P9009" s="50">
        <v>33.394500000000001</v>
      </c>
    </row>
    <row r="9010" spans="4:16" x14ac:dyDescent="0.2">
      <c r="D9010">
        <v>100005386</v>
      </c>
      <c r="E9010" s="49">
        <v>45088</v>
      </c>
      <c r="F9010" t="s">
        <v>4500</v>
      </c>
      <c r="G9010" t="s">
        <v>1890</v>
      </c>
      <c r="H9010">
        <v>6</v>
      </c>
      <c r="I9010">
        <v>16.75</v>
      </c>
      <c r="J9010" s="50">
        <v>100.5</v>
      </c>
      <c r="K9010" t="s">
        <v>1618</v>
      </c>
      <c r="M9010" t="s">
        <v>1619</v>
      </c>
      <c r="N9010">
        <v>8.84</v>
      </c>
      <c r="O9010" s="49">
        <v>45091</v>
      </c>
      <c r="P9010" s="50">
        <v>45.225000000000001</v>
      </c>
    </row>
    <row r="9011" spans="4:16" x14ac:dyDescent="0.2">
      <c r="D9011">
        <v>100005387</v>
      </c>
      <c r="E9011" s="49">
        <v>44780</v>
      </c>
      <c r="F9011" t="s">
        <v>5717</v>
      </c>
      <c r="G9011" t="s">
        <v>1770</v>
      </c>
      <c r="H9011">
        <v>1</v>
      </c>
      <c r="I9011">
        <v>117.53</v>
      </c>
      <c r="J9011" s="50">
        <v>117.53</v>
      </c>
      <c r="K9011" t="s">
        <v>1618</v>
      </c>
      <c r="M9011" t="s">
        <v>1629</v>
      </c>
      <c r="N9011">
        <v>62.03</v>
      </c>
      <c r="O9011" s="49">
        <v>44784</v>
      </c>
      <c r="P9011" s="50">
        <v>52.888500000000001</v>
      </c>
    </row>
    <row r="9012" spans="4:16" x14ac:dyDescent="0.2">
      <c r="D9012">
        <v>100005387</v>
      </c>
      <c r="E9012" s="49">
        <v>45236</v>
      </c>
      <c r="F9012" t="s">
        <v>5717</v>
      </c>
      <c r="G9012" t="s">
        <v>1890</v>
      </c>
      <c r="H9012">
        <v>8</v>
      </c>
      <c r="I9012">
        <v>30.58</v>
      </c>
      <c r="J9012" s="50">
        <v>244.64</v>
      </c>
      <c r="K9012" t="s">
        <v>1618</v>
      </c>
      <c r="M9012" t="s">
        <v>1629</v>
      </c>
      <c r="N9012">
        <v>16.14</v>
      </c>
      <c r="O9012" s="49">
        <v>45238</v>
      </c>
      <c r="P9012" s="50">
        <v>110.08799999999999</v>
      </c>
    </row>
    <row r="9013" spans="4:16" x14ac:dyDescent="0.2">
      <c r="D9013">
        <v>100005387</v>
      </c>
      <c r="E9013" s="49">
        <v>45178</v>
      </c>
      <c r="F9013" t="s">
        <v>5717</v>
      </c>
      <c r="G9013" t="s">
        <v>2194</v>
      </c>
      <c r="H9013">
        <v>3</v>
      </c>
      <c r="I9013">
        <v>17.5</v>
      </c>
      <c r="J9013" s="50">
        <v>52.5</v>
      </c>
      <c r="K9013" t="s">
        <v>1618</v>
      </c>
      <c r="M9013" t="s">
        <v>1629</v>
      </c>
      <c r="N9013">
        <v>9.24</v>
      </c>
      <c r="O9013" s="49">
        <v>45181</v>
      </c>
      <c r="P9013" s="50">
        <v>23.625</v>
      </c>
    </row>
    <row r="9014" spans="4:16" x14ac:dyDescent="0.2">
      <c r="D9014">
        <v>100005387</v>
      </c>
      <c r="E9014" s="49">
        <v>44474</v>
      </c>
      <c r="F9014" t="s">
        <v>5717</v>
      </c>
      <c r="G9014" t="s">
        <v>2217</v>
      </c>
      <c r="H9014">
        <v>6</v>
      </c>
      <c r="I9014">
        <v>77.33</v>
      </c>
      <c r="J9014" s="50">
        <v>463.98</v>
      </c>
      <c r="K9014" t="s">
        <v>1618</v>
      </c>
      <c r="M9014" t="s">
        <v>1629</v>
      </c>
      <c r="N9014">
        <v>40.81</v>
      </c>
      <c r="O9014" s="49">
        <v>44479</v>
      </c>
      <c r="P9014" s="50">
        <v>208.79100000000003</v>
      </c>
    </row>
    <row r="9015" spans="4:16" x14ac:dyDescent="0.2">
      <c r="D9015">
        <v>100005387</v>
      </c>
      <c r="E9015" s="49">
        <v>45123</v>
      </c>
      <c r="F9015" t="s">
        <v>5717</v>
      </c>
      <c r="G9015" t="s">
        <v>1739</v>
      </c>
      <c r="H9015">
        <v>7</v>
      </c>
      <c r="I9015">
        <v>95.08</v>
      </c>
      <c r="J9015" s="50">
        <v>665.56</v>
      </c>
      <c r="K9015" t="s">
        <v>1618</v>
      </c>
      <c r="M9015" t="s">
        <v>1619</v>
      </c>
      <c r="N9015">
        <v>50.18</v>
      </c>
      <c r="O9015" s="49">
        <v>45127</v>
      </c>
      <c r="P9015" s="50">
        <v>299.50200000000001</v>
      </c>
    </row>
    <row r="9016" spans="4:16" x14ac:dyDescent="0.2">
      <c r="D9016">
        <v>100005388</v>
      </c>
      <c r="E9016" s="49">
        <v>44522</v>
      </c>
      <c r="F9016" t="s">
        <v>6523</v>
      </c>
      <c r="G9016" t="s">
        <v>2069</v>
      </c>
      <c r="H9016">
        <v>6</v>
      </c>
      <c r="I9016">
        <v>64.680000000000007</v>
      </c>
      <c r="J9016" s="50">
        <v>388.08</v>
      </c>
      <c r="K9016" t="s">
        <v>1632</v>
      </c>
      <c r="L9016" t="s">
        <v>6524</v>
      </c>
      <c r="M9016" t="s">
        <v>1629</v>
      </c>
      <c r="N9016">
        <v>34.14</v>
      </c>
      <c r="O9016" s="49">
        <v>44527</v>
      </c>
      <c r="P9016" s="50">
        <v>174.636</v>
      </c>
    </row>
    <row r="9017" spans="4:16" x14ac:dyDescent="0.2">
      <c r="D9017">
        <v>100005388</v>
      </c>
      <c r="E9017" s="49">
        <v>45328</v>
      </c>
      <c r="F9017" t="s">
        <v>6523</v>
      </c>
      <c r="G9017" t="s">
        <v>2174</v>
      </c>
      <c r="H9017">
        <v>7</v>
      </c>
      <c r="I9017">
        <v>94.87</v>
      </c>
      <c r="J9017" s="50">
        <v>664.09</v>
      </c>
      <c r="K9017" t="s">
        <v>1632</v>
      </c>
      <c r="L9017" t="s">
        <v>6524</v>
      </c>
      <c r="M9017" t="s">
        <v>1627</v>
      </c>
      <c r="N9017">
        <v>50.07</v>
      </c>
      <c r="O9017" s="49">
        <v>45332</v>
      </c>
      <c r="P9017" s="50">
        <v>298.84050000000002</v>
      </c>
    </row>
    <row r="9018" spans="4:16" x14ac:dyDescent="0.2">
      <c r="D9018">
        <v>100005388</v>
      </c>
      <c r="E9018" s="49">
        <v>44283</v>
      </c>
      <c r="F9018" t="s">
        <v>6523</v>
      </c>
      <c r="G9018" t="s">
        <v>2042</v>
      </c>
      <c r="H9018">
        <v>2</v>
      </c>
      <c r="I9018">
        <v>68.81</v>
      </c>
      <c r="J9018" s="50">
        <v>137.62</v>
      </c>
      <c r="K9018" t="s">
        <v>1632</v>
      </c>
      <c r="L9018" t="s">
        <v>6524</v>
      </c>
      <c r="M9018" t="s">
        <v>1629</v>
      </c>
      <c r="N9018">
        <v>36.32</v>
      </c>
      <c r="O9018" s="49">
        <v>44288</v>
      </c>
      <c r="P9018" s="50">
        <v>61.929000000000002</v>
      </c>
    </row>
    <row r="9019" spans="4:16" x14ac:dyDescent="0.2">
      <c r="D9019">
        <v>100005388</v>
      </c>
      <c r="E9019" s="49">
        <v>44536</v>
      </c>
      <c r="F9019" t="s">
        <v>6523</v>
      </c>
      <c r="G9019" t="s">
        <v>1670</v>
      </c>
      <c r="H9019">
        <v>5</v>
      </c>
      <c r="I9019">
        <v>21.36</v>
      </c>
      <c r="J9019" s="50">
        <v>106.8</v>
      </c>
      <c r="K9019" t="s">
        <v>1632</v>
      </c>
      <c r="L9019" t="s">
        <v>6524</v>
      </c>
      <c r="M9019" t="s">
        <v>1629</v>
      </c>
      <c r="N9019">
        <v>11.27</v>
      </c>
      <c r="O9019" s="49">
        <v>44537</v>
      </c>
      <c r="P9019" s="50">
        <v>48.06</v>
      </c>
    </row>
    <row r="9020" spans="4:16" x14ac:dyDescent="0.2">
      <c r="D9020">
        <v>100005388</v>
      </c>
      <c r="E9020" s="49">
        <v>45353</v>
      </c>
      <c r="F9020" t="s">
        <v>6523</v>
      </c>
      <c r="G9020" t="s">
        <v>1939</v>
      </c>
      <c r="H9020">
        <v>3</v>
      </c>
      <c r="I9020">
        <v>73.38</v>
      </c>
      <c r="J9020" s="50">
        <v>220.14</v>
      </c>
      <c r="K9020" t="s">
        <v>1632</v>
      </c>
      <c r="L9020" t="s">
        <v>6524</v>
      </c>
      <c r="M9020" t="s">
        <v>1624</v>
      </c>
      <c r="N9020">
        <v>38.729999999999997</v>
      </c>
      <c r="O9020" s="49">
        <v>45356</v>
      </c>
      <c r="P9020" s="50">
        <v>99.063000000000002</v>
      </c>
    </row>
    <row r="9021" spans="4:16" x14ac:dyDescent="0.2">
      <c r="D9021">
        <v>100005388</v>
      </c>
      <c r="E9021" s="49">
        <v>44849</v>
      </c>
      <c r="F9021" t="s">
        <v>6523</v>
      </c>
      <c r="G9021" t="s">
        <v>1890</v>
      </c>
      <c r="H9021">
        <v>2</v>
      </c>
      <c r="I9021">
        <v>106.23</v>
      </c>
      <c r="J9021" s="50">
        <v>212.46</v>
      </c>
      <c r="K9021" t="s">
        <v>1632</v>
      </c>
      <c r="L9021" t="s">
        <v>6524</v>
      </c>
      <c r="M9021" t="s">
        <v>1629</v>
      </c>
      <c r="N9021">
        <v>56.07</v>
      </c>
      <c r="O9021" s="49">
        <v>44852</v>
      </c>
      <c r="P9021" s="50">
        <v>95.606999999999999</v>
      </c>
    </row>
    <row r="9022" spans="4:16" x14ac:dyDescent="0.2">
      <c r="D9022">
        <v>100005388</v>
      </c>
      <c r="E9022" s="49">
        <v>44567</v>
      </c>
      <c r="F9022" t="s">
        <v>6523</v>
      </c>
      <c r="G9022" t="s">
        <v>2069</v>
      </c>
      <c r="H9022">
        <v>10</v>
      </c>
      <c r="I9022">
        <v>69.97</v>
      </c>
      <c r="J9022" s="50">
        <v>699.7</v>
      </c>
      <c r="K9022" t="s">
        <v>1632</v>
      </c>
      <c r="L9022" t="s">
        <v>6524</v>
      </c>
      <c r="M9022" t="s">
        <v>1624</v>
      </c>
      <c r="N9022">
        <v>36.93</v>
      </c>
      <c r="O9022" s="49">
        <v>44571</v>
      </c>
      <c r="P9022" s="50">
        <v>314.86500000000001</v>
      </c>
    </row>
    <row r="9023" spans="4:16" x14ac:dyDescent="0.2">
      <c r="D9023">
        <v>100005388</v>
      </c>
      <c r="E9023" s="49">
        <v>45638</v>
      </c>
      <c r="F9023" t="s">
        <v>6523</v>
      </c>
      <c r="G9023" t="s">
        <v>2159</v>
      </c>
      <c r="H9023">
        <v>1</v>
      </c>
      <c r="I9023">
        <v>64.489999999999995</v>
      </c>
      <c r="J9023" s="50">
        <v>64.489999999999995</v>
      </c>
      <c r="K9023" t="s">
        <v>1632</v>
      </c>
      <c r="L9023" t="s">
        <v>6524</v>
      </c>
      <c r="M9023" t="s">
        <v>1624</v>
      </c>
      <c r="N9023">
        <v>34.04</v>
      </c>
      <c r="O9023" s="49">
        <v>45643</v>
      </c>
      <c r="P9023" s="50">
        <v>29.020499999999998</v>
      </c>
    </row>
    <row r="9024" spans="4:16" x14ac:dyDescent="0.2">
      <c r="D9024">
        <v>100005388</v>
      </c>
      <c r="E9024" s="49">
        <v>44907</v>
      </c>
      <c r="F9024" t="s">
        <v>6523</v>
      </c>
      <c r="G9024" t="s">
        <v>2412</v>
      </c>
      <c r="H9024">
        <v>6</v>
      </c>
      <c r="I9024">
        <v>30.78</v>
      </c>
      <c r="J9024" s="50">
        <v>184.68</v>
      </c>
      <c r="K9024" t="s">
        <v>1632</v>
      </c>
      <c r="L9024" t="s">
        <v>6524</v>
      </c>
      <c r="M9024" t="s">
        <v>1627</v>
      </c>
      <c r="N9024">
        <v>16.239999999999998</v>
      </c>
      <c r="O9024" s="49">
        <v>44911</v>
      </c>
      <c r="P9024" s="50">
        <v>83.106000000000009</v>
      </c>
    </row>
    <row r="9025" spans="4:16" x14ac:dyDescent="0.2">
      <c r="D9025">
        <v>100005388</v>
      </c>
      <c r="E9025" s="49">
        <v>45348</v>
      </c>
      <c r="F9025" t="s">
        <v>6523</v>
      </c>
      <c r="G9025" t="s">
        <v>2192</v>
      </c>
      <c r="H9025">
        <v>2</v>
      </c>
      <c r="I9025">
        <v>27</v>
      </c>
      <c r="J9025" s="50">
        <v>54</v>
      </c>
      <c r="K9025" t="s">
        <v>1632</v>
      </c>
      <c r="L9025" t="s">
        <v>6524</v>
      </c>
      <c r="M9025" t="s">
        <v>1621</v>
      </c>
      <c r="N9025">
        <v>14.25</v>
      </c>
      <c r="O9025" s="49">
        <v>45350</v>
      </c>
      <c r="P9025" s="50">
        <v>24.3</v>
      </c>
    </row>
    <row r="9026" spans="4:16" x14ac:dyDescent="0.2">
      <c r="D9026">
        <v>100005389</v>
      </c>
      <c r="E9026" s="49">
        <v>45213</v>
      </c>
      <c r="F9026" t="s">
        <v>6525</v>
      </c>
      <c r="G9026" t="s">
        <v>2242</v>
      </c>
      <c r="H9026">
        <v>9</v>
      </c>
      <c r="I9026">
        <v>98.19</v>
      </c>
      <c r="J9026" s="50">
        <v>883.71</v>
      </c>
      <c r="K9026" t="s">
        <v>1632</v>
      </c>
      <c r="L9026" t="s">
        <v>6526</v>
      </c>
      <c r="M9026" t="s">
        <v>1629</v>
      </c>
      <c r="N9026">
        <v>51.82</v>
      </c>
      <c r="O9026" s="49">
        <v>45214</v>
      </c>
      <c r="P9026" s="50">
        <v>397.66950000000003</v>
      </c>
    </row>
    <row r="9027" spans="4:16" x14ac:dyDescent="0.2">
      <c r="D9027">
        <v>100005390</v>
      </c>
      <c r="E9027" s="49">
        <v>45493</v>
      </c>
      <c r="F9027" t="s">
        <v>6527</v>
      </c>
      <c r="G9027" t="s">
        <v>1626</v>
      </c>
      <c r="H9027">
        <v>5</v>
      </c>
      <c r="I9027">
        <v>62.57</v>
      </c>
      <c r="J9027" s="50">
        <v>312.85000000000002</v>
      </c>
      <c r="K9027" t="s">
        <v>1632</v>
      </c>
      <c r="L9027" t="s">
        <v>6528</v>
      </c>
      <c r="M9027" t="s">
        <v>1621</v>
      </c>
      <c r="N9027">
        <v>33.020000000000003</v>
      </c>
      <c r="O9027" s="49">
        <v>45497</v>
      </c>
      <c r="P9027" s="50">
        <v>140.78250000000003</v>
      </c>
    </row>
    <row r="9028" spans="4:16" x14ac:dyDescent="0.2">
      <c r="D9028">
        <v>100005390</v>
      </c>
      <c r="E9028" s="49">
        <v>44855</v>
      </c>
      <c r="F9028" t="s">
        <v>6527</v>
      </c>
      <c r="G9028" t="s">
        <v>1805</v>
      </c>
      <c r="H9028">
        <v>10</v>
      </c>
      <c r="I9028">
        <v>18.510000000000002</v>
      </c>
      <c r="J9028" s="50">
        <v>185.1</v>
      </c>
      <c r="K9028" t="s">
        <v>1632</v>
      </c>
      <c r="L9028" t="s">
        <v>6528</v>
      </c>
      <c r="M9028" t="s">
        <v>1624</v>
      </c>
      <c r="N9028">
        <v>9.77</v>
      </c>
      <c r="O9028" s="49">
        <v>44858</v>
      </c>
      <c r="P9028" s="50">
        <v>83.295000000000002</v>
      </c>
    </row>
    <row r="9029" spans="4:16" x14ac:dyDescent="0.2">
      <c r="D9029">
        <v>100005391</v>
      </c>
      <c r="E9029" s="49">
        <v>45189</v>
      </c>
      <c r="F9029" t="s">
        <v>6529</v>
      </c>
      <c r="G9029" t="s">
        <v>2692</v>
      </c>
      <c r="H9029">
        <v>2</v>
      </c>
      <c r="I9029">
        <v>75.849999999999994</v>
      </c>
      <c r="J9029" s="50">
        <v>151.69999999999999</v>
      </c>
      <c r="K9029" t="s">
        <v>1618</v>
      </c>
      <c r="M9029" t="s">
        <v>1619</v>
      </c>
      <c r="N9029">
        <v>40.03</v>
      </c>
      <c r="O9029" s="49">
        <v>45193</v>
      </c>
      <c r="P9029" s="50">
        <v>68.265000000000001</v>
      </c>
    </row>
    <row r="9030" spans="4:16" x14ac:dyDescent="0.2">
      <c r="D9030">
        <v>100005391</v>
      </c>
      <c r="E9030" s="49">
        <v>44744</v>
      </c>
      <c r="F9030" t="s">
        <v>6529</v>
      </c>
      <c r="G9030" t="s">
        <v>2427</v>
      </c>
      <c r="H9030">
        <v>4</v>
      </c>
      <c r="I9030">
        <v>103.48</v>
      </c>
      <c r="J9030" s="50">
        <v>413.92</v>
      </c>
      <c r="K9030" t="s">
        <v>1618</v>
      </c>
      <c r="M9030" t="s">
        <v>1629</v>
      </c>
      <c r="N9030">
        <v>54.61</v>
      </c>
      <c r="O9030" s="49">
        <v>44746</v>
      </c>
      <c r="P9030" s="50">
        <v>186.26400000000001</v>
      </c>
    </row>
    <row r="9031" spans="4:16" x14ac:dyDescent="0.2">
      <c r="D9031">
        <v>100005391</v>
      </c>
      <c r="E9031" s="49">
        <v>44260</v>
      </c>
      <c r="F9031" t="s">
        <v>6529</v>
      </c>
      <c r="G9031" t="s">
        <v>1799</v>
      </c>
      <c r="H9031">
        <v>9</v>
      </c>
      <c r="I9031">
        <v>10.51</v>
      </c>
      <c r="J9031" s="50">
        <v>94.59</v>
      </c>
      <c r="K9031" t="s">
        <v>1618</v>
      </c>
      <c r="M9031" t="s">
        <v>1629</v>
      </c>
      <c r="N9031">
        <v>5.55</v>
      </c>
      <c r="O9031" s="49">
        <v>44262</v>
      </c>
      <c r="P9031" s="50">
        <v>42.5655</v>
      </c>
    </row>
    <row r="9032" spans="4:16" x14ac:dyDescent="0.2">
      <c r="D9032">
        <v>100005391</v>
      </c>
      <c r="E9032" s="49">
        <v>44518</v>
      </c>
      <c r="F9032" t="s">
        <v>6529</v>
      </c>
      <c r="G9032" t="s">
        <v>1620</v>
      </c>
      <c r="H9032">
        <v>10</v>
      </c>
      <c r="I9032">
        <v>37.08</v>
      </c>
      <c r="J9032" s="50">
        <v>370.8</v>
      </c>
      <c r="K9032" t="s">
        <v>1618</v>
      </c>
      <c r="M9032" t="s">
        <v>1619</v>
      </c>
      <c r="N9032">
        <v>19.57</v>
      </c>
      <c r="O9032" s="49">
        <v>44519</v>
      </c>
      <c r="P9032" s="50">
        <v>166.86</v>
      </c>
    </row>
    <row r="9033" spans="4:16" x14ac:dyDescent="0.2">
      <c r="D9033">
        <v>100005391</v>
      </c>
      <c r="E9033" s="49">
        <v>44615</v>
      </c>
      <c r="F9033" t="s">
        <v>6529</v>
      </c>
      <c r="G9033" t="s">
        <v>1944</v>
      </c>
      <c r="H9033">
        <v>9</v>
      </c>
      <c r="I9033">
        <v>30.02</v>
      </c>
      <c r="J9033" s="50">
        <v>270.18</v>
      </c>
      <c r="K9033" t="s">
        <v>1618</v>
      </c>
      <c r="M9033" t="s">
        <v>1627</v>
      </c>
      <c r="N9033">
        <v>15.84</v>
      </c>
      <c r="O9033" s="49">
        <v>44616</v>
      </c>
      <c r="P9033" s="50">
        <v>121.581</v>
      </c>
    </row>
    <row r="9034" spans="4:16" x14ac:dyDescent="0.2">
      <c r="D9034">
        <v>100005391</v>
      </c>
      <c r="E9034" s="49">
        <v>45009</v>
      </c>
      <c r="F9034" t="s">
        <v>6529</v>
      </c>
      <c r="G9034" t="s">
        <v>1987</v>
      </c>
      <c r="H9034">
        <v>6</v>
      </c>
      <c r="I9034">
        <v>13.87</v>
      </c>
      <c r="J9034" s="50">
        <v>83.22</v>
      </c>
      <c r="K9034" t="s">
        <v>1618</v>
      </c>
      <c r="M9034" t="s">
        <v>1624</v>
      </c>
      <c r="N9034">
        <v>7.32</v>
      </c>
      <c r="O9034" s="49">
        <v>45014</v>
      </c>
      <c r="P9034" s="50">
        <v>37.448999999999998</v>
      </c>
    </row>
    <row r="9035" spans="4:16" x14ac:dyDescent="0.2">
      <c r="D9035">
        <v>100005391</v>
      </c>
      <c r="E9035" s="49">
        <v>45141</v>
      </c>
      <c r="F9035" t="s">
        <v>6529</v>
      </c>
      <c r="G9035" t="s">
        <v>2084</v>
      </c>
      <c r="H9035">
        <v>2</v>
      </c>
      <c r="I9035">
        <v>42.65</v>
      </c>
      <c r="J9035" s="50">
        <v>85.3</v>
      </c>
      <c r="K9035" t="s">
        <v>1618</v>
      </c>
      <c r="M9035" t="s">
        <v>1627</v>
      </c>
      <c r="N9035">
        <v>22.51</v>
      </c>
      <c r="O9035" s="49">
        <v>45144</v>
      </c>
      <c r="P9035" s="50">
        <v>38.384999999999998</v>
      </c>
    </row>
    <row r="9036" spans="4:16" x14ac:dyDescent="0.2">
      <c r="D9036">
        <v>100005391</v>
      </c>
      <c r="E9036" s="49">
        <v>45247</v>
      </c>
      <c r="F9036" t="s">
        <v>6529</v>
      </c>
      <c r="G9036" t="s">
        <v>1944</v>
      </c>
      <c r="H9036">
        <v>1</v>
      </c>
      <c r="I9036">
        <v>34.29</v>
      </c>
      <c r="J9036" s="50">
        <v>34.29</v>
      </c>
      <c r="K9036" t="s">
        <v>1618</v>
      </c>
      <c r="M9036" t="s">
        <v>1621</v>
      </c>
      <c r="N9036">
        <v>18.100000000000001</v>
      </c>
      <c r="O9036" s="49">
        <v>45250</v>
      </c>
      <c r="P9036" s="50">
        <v>15.4305</v>
      </c>
    </row>
    <row r="9037" spans="4:16" x14ac:dyDescent="0.2">
      <c r="D9037">
        <v>100005392</v>
      </c>
      <c r="E9037" s="49">
        <v>44748</v>
      </c>
      <c r="F9037" t="s">
        <v>6530</v>
      </c>
      <c r="G9037" t="s">
        <v>1783</v>
      </c>
      <c r="H9037">
        <v>5</v>
      </c>
      <c r="I9037">
        <v>81.31</v>
      </c>
      <c r="J9037" s="50">
        <v>406.55</v>
      </c>
      <c r="K9037" t="s">
        <v>1632</v>
      </c>
      <c r="M9037" t="s">
        <v>1621</v>
      </c>
      <c r="N9037">
        <v>42.91</v>
      </c>
      <c r="O9037" s="49">
        <v>44749</v>
      </c>
      <c r="P9037" s="50">
        <v>182.94750000000002</v>
      </c>
    </row>
    <row r="9038" spans="4:16" x14ac:dyDescent="0.2">
      <c r="D9038">
        <v>100005393</v>
      </c>
      <c r="E9038" s="49">
        <v>44375</v>
      </c>
      <c r="F9038" t="s">
        <v>6070</v>
      </c>
      <c r="G9038" t="s">
        <v>1762</v>
      </c>
      <c r="H9038">
        <v>3</v>
      </c>
      <c r="I9038">
        <v>35.4</v>
      </c>
      <c r="J9038" s="50">
        <v>106.2</v>
      </c>
      <c r="K9038" t="s">
        <v>1618</v>
      </c>
      <c r="L9038" t="s">
        <v>2365</v>
      </c>
      <c r="M9038" t="s">
        <v>1619</v>
      </c>
      <c r="N9038">
        <v>18.68</v>
      </c>
      <c r="O9038" s="49">
        <v>44376</v>
      </c>
      <c r="P9038" s="50">
        <v>47.79</v>
      </c>
    </row>
    <row r="9039" spans="4:16" x14ac:dyDescent="0.2">
      <c r="D9039">
        <v>100005394</v>
      </c>
      <c r="E9039" s="49">
        <v>44759</v>
      </c>
      <c r="F9039" t="s">
        <v>6531</v>
      </c>
      <c r="G9039" t="s">
        <v>1874</v>
      </c>
      <c r="H9039">
        <v>9</v>
      </c>
      <c r="I9039">
        <v>98.33</v>
      </c>
      <c r="J9039" s="50">
        <v>884.97</v>
      </c>
      <c r="K9039" t="s">
        <v>1618</v>
      </c>
      <c r="L9039" t="s">
        <v>5553</v>
      </c>
      <c r="M9039" t="s">
        <v>1629</v>
      </c>
      <c r="N9039">
        <v>51.9</v>
      </c>
      <c r="O9039" s="49">
        <v>44761</v>
      </c>
      <c r="P9039" s="50">
        <v>398.23650000000004</v>
      </c>
    </row>
    <row r="9040" spans="4:16" x14ac:dyDescent="0.2">
      <c r="D9040">
        <v>100005396</v>
      </c>
      <c r="E9040" s="49">
        <v>44760</v>
      </c>
      <c r="F9040" t="s">
        <v>5255</v>
      </c>
      <c r="G9040" t="s">
        <v>2427</v>
      </c>
      <c r="H9040">
        <v>5</v>
      </c>
      <c r="I9040">
        <v>105.38</v>
      </c>
      <c r="J9040" s="50">
        <v>526.9</v>
      </c>
      <c r="K9040" t="s">
        <v>1632</v>
      </c>
      <c r="M9040" t="s">
        <v>1624</v>
      </c>
      <c r="N9040">
        <v>55.62</v>
      </c>
      <c r="O9040" s="49">
        <v>44764</v>
      </c>
      <c r="P9040" s="50">
        <v>237.10499999999999</v>
      </c>
    </row>
    <row r="9041" spans="4:16" x14ac:dyDescent="0.2">
      <c r="D9041">
        <v>100005396</v>
      </c>
      <c r="E9041" s="49">
        <v>45404</v>
      </c>
      <c r="F9041" t="s">
        <v>5255</v>
      </c>
      <c r="G9041" t="s">
        <v>2057</v>
      </c>
      <c r="H9041">
        <v>10</v>
      </c>
      <c r="I9041">
        <v>46.56</v>
      </c>
      <c r="J9041" s="50">
        <v>465.6</v>
      </c>
      <c r="K9041" t="s">
        <v>1632</v>
      </c>
      <c r="M9041" t="s">
        <v>1629</v>
      </c>
      <c r="N9041">
        <v>24.57</v>
      </c>
      <c r="O9041" s="49">
        <v>45408</v>
      </c>
      <c r="P9041" s="50">
        <v>209.52</v>
      </c>
    </row>
    <row r="9042" spans="4:16" x14ac:dyDescent="0.2">
      <c r="D9042">
        <v>100005396</v>
      </c>
      <c r="E9042" s="49">
        <v>44715</v>
      </c>
      <c r="F9042" t="s">
        <v>5255</v>
      </c>
      <c r="G9042" t="s">
        <v>2465</v>
      </c>
      <c r="H9042">
        <v>1</v>
      </c>
      <c r="I9042">
        <v>20.13</v>
      </c>
      <c r="J9042" s="50">
        <v>20.13</v>
      </c>
      <c r="K9042" t="s">
        <v>1632</v>
      </c>
      <c r="M9042" t="s">
        <v>1619</v>
      </c>
      <c r="N9042">
        <v>10.62</v>
      </c>
      <c r="O9042" s="49">
        <v>44717</v>
      </c>
      <c r="P9042" s="50">
        <v>9.0585000000000004</v>
      </c>
    </row>
    <row r="9043" spans="4:16" x14ac:dyDescent="0.2">
      <c r="D9043">
        <v>100005397</v>
      </c>
      <c r="E9043" s="49">
        <v>45440</v>
      </c>
      <c r="F9043" t="s">
        <v>6532</v>
      </c>
      <c r="G9043" t="s">
        <v>1704</v>
      </c>
      <c r="H9043">
        <v>7</v>
      </c>
      <c r="I9043">
        <v>109.78</v>
      </c>
      <c r="J9043" s="50">
        <v>768.46</v>
      </c>
      <c r="K9043" t="s">
        <v>1632</v>
      </c>
      <c r="M9043" t="s">
        <v>1627</v>
      </c>
      <c r="N9043">
        <v>57.94</v>
      </c>
      <c r="O9043" s="49">
        <v>45445</v>
      </c>
      <c r="P9043" s="50">
        <v>345.80700000000002</v>
      </c>
    </row>
    <row r="9044" spans="4:16" x14ac:dyDescent="0.2">
      <c r="D9044">
        <v>100005397</v>
      </c>
      <c r="E9044" s="49">
        <v>45013</v>
      </c>
      <c r="F9044" t="s">
        <v>6532</v>
      </c>
      <c r="G9044" t="s">
        <v>1978</v>
      </c>
      <c r="H9044">
        <v>2</v>
      </c>
      <c r="I9044">
        <v>51.89</v>
      </c>
      <c r="J9044" s="50">
        <v>103.78</v>
      </c>
      <c r="K9044" t="s">
        <v>1632</v>
      </c>
      <c r="M9044" t="s">
        <v>1627</v>
      </c>
      <c r="N9044">
        <v>27.39</v>
      </c>
      <c r="O9044" s="49">
        <v>45014</v>
      </c>
      <c r="P9044" s="50">
        <v>46.701000000000001</v>
      </c>
    </row>
    <row r="9045" spans="4:16" x14ac:dyDescent="0.2">
      <c r="D9045">
        <v>100005398</v>
      </c>
      <c r="E9045" s="49">
        <v>44271</v>
      </c>
      <c r="F9045" t="s">
        <v>6533</v>
      </c>
      <c r="G9045" t="s">
        <v>2063</v>
      </c>
      <c r="H9045">
        <v>7</v>
      </c>
      <c r="I9045">
        <v>20.14</v>
      </c>
      <c r="J9045" s="50">
        <v>140.97999999999999</v>
      </c>
      <c r="K9045" t="s">
        <v>1618</v>
      </c>
      <c r="M9045" t="s">
        <v>1621</v>
      </c>
      <c r="N9045">
        <v>10.63</v>
      </c>
      <c r="O9045" s="49">
        <v>44274</v>
      </c>
      <c r="P9045" s="50">
        <v>63.440999999999995</v>
      </c>
    </row>
    <row r="9046" spans="4:16" x14ac:dyDescent="0.2">
      <c r="D9046">
        <v>100005399</v>
      </c>
      <c r="E9046" s="49">
        <v>45104</v>
      </c>
      <c r="F9046" t="s">
        <v>6534</v>
      </c>
      <c r="G9046" t="s">
        <v>1740</v>
      </c>
      <c r="H9046">
        <v>2</v>
      </c>
      <c r="I9046">
        <v>36.76</v>
      </c>
      <c r="J9046" s="50">
        <v>73.52</v>
      </c>
      <c r="K9046" t="s">
        <v>1618</v>
      </c>
      <c r="M9046" t="s">
        <v>1627</v>
      </c>
      <c r="N9046">
        <v>19.399999999999999</v>
      </c>
      <c r="O9046" s="49">
        <v>45108</v>
      </c>
      <c r="P9046" s="50">
        <v>33.083999999999996</v>
      </c>
    </row>
    <row r="9047" spans="4:16" x14ac:dyDescent="0.2">
      <c r="D9047">
        <v>100005399</v>
      </c>
      <c r="E9047" s="49">
        <v>45071</v>
      </c>
      <c r="F9047" t="s">
        <v>6534</v>
      </c>
      <c r="G9047" t="s">
        <v>2733</v>
      </c>
      <c r="H9047">
        <v>10</v>
      </c>
      <c r="I9047">
        <v>20.23</v>
      </c>
      <c r="J9047" s="50">
        <v>202.3</v>
      </c>
      <c r="K9047" t="s">
        <v>1618</v>
      </c>
      <c r="M9047" t="s">
        <v>1627</v>
      </c>
      <c r="N9047">
        <v>10.68</v>
      </c>
      <c r="O9047" s="49">
        <v>45073</v>
      </c>
      <c r="P9047" s="50">
        <v>91.035000000000011</v>
      </c>
    </row>
    <row r="9048" spans="4:16" x14ac:dyDescent="0.2">
      <c r="D9048">
        <v>100005399</v>
      </c>
      <c r="E9048" s="49">
        <v>45076</v>
      </c>
      <c r="F9048" t="s">
        <v>6534</v>
      </c>
      <c r="G9048" t="s">
        <v>2706</v>
      </c>
      <c r="H9048">
        <v>4</v>
      </c>
      <c r="I9048">
        <v>119.03</v>
      </c>
      <c r="J9048" s="50">
        <v>476.12</v>
      </c>
      <c r="K9048" t="s">
        <v>1618</v>
      </c>
      <c r="M9048" t="s">
        <v>1627</v>
      </c>
      <c r="N9048">
        <v>62.82</v>
      </c>
      <c r="O9048" s="49">
        <v>45077</v>
      </c>
      <c r="P9048" s="50">
        <v>214.25400000000002</v>
      </c>
    </row>
    <row r="9049" spans="4:16" x14ac:dyDescent="0.2">
      <c r="D9049">
        <v>100005400</v>
      </c>
      <c r="E9049" s="49">
        <v>44501</v>
      </c>
      <c r="F9049" t="s">
        <v>6535</v>
      </c>
      <c r="G9049" t="s">
        <v>2698</v>
      </c>
      <c r="H9049">
        <v>8</v>
      </c>
      <c r="I9049">
        <v>118.24</v>
      </c>
      <c r="J9049" s="50">
        <v>945.92</v>
      </c>
      <c r="K9049" t="s">
        <v>1632</v>
      </c>
      <c r="M9049" t="s">
        <v>1624</v>
      </c>
      <c r="N9049">
        <v>62.4</v>
      </c>
      <c r="O9049" s="49">
        <v>44505</v>
      </c>
      <c r="P9049" s="50">
        <v>425.66399999999999</v>
      </c>
    </row>
    <row r="9050" spans="4:16" x14ac:dyDescent="0.2">
      <c r="D9050">
        <v>100005401</v>
      </c>
      <c r="E9050" s="49">
        <v>45569</v>
      </c>
      <c r="F9050" t="s">
        <v>6536</v>
      </c>
      <c r="G9050" t="s">
        <v>2357</v>
      </c>
      <c r="H9050">
        <v>4</v>
      </c>
      <c r="I9050">
        <v>107.7</v>
      </c>
      <c r="J9050" s="50">
        <v>430.8</v>
      </c>
      <c r="K9050" t="s">
        <v>1618</v>
      </c>
      <c r="M9050" t="s">
        <v>1624</v>
      </c>
      <c r="N9050">
        <v>56.84</v>
      </c>
      <c r="O9050" s="49">
        <v>45571</v>
      </c>
      <c r="P9050" s="50">
        <v>193.86</v>
      </c>
    </row>
    <row r="9051" spans="4:16" x14ac:dyDescent="0.2">
      <c r="D9051">
        <v>100005401</v>
      </c>
      <c r="E9051" s="49">
        <v>44884</v>
      </c>
      <c r="F9051" t="s">
        <v>6536</v>
      </c>
      <c r="G9051" t="s">
        <v>1924</v>
      </c>
      <c r="H9051">
        <v>6</v>
      </c>
      <c r="I9051">
        <v>54.35</v>
      </c>
      <c r="J9051" s="50">
        <v>326.10000000000002</v>
      </c>
      <c r="K9051" t="s">
        <v>1618</v>
      </c>
      <c r="M9051" t="s">
        <v>1624</v>
      </c>
      <c r="N9051">
        <v>28.68</v>
      </c>
      <c r="O9051" s="49">
        <v>44887</v>
      </c>
      <c r="P9051" s="50">
        <v>146.745</v>
      </c>
    </row>
    <row r="9052" spans="4:16" x14ac:dyDescent="0.2">
      <c r="D9052">
        <v>100005402</v>
      </c>
      <c r="E9052" s="49">
        <v>45104</v>
      </c>
      <c r="F9052" t="s">
        <v>6537</v>
      </c>
      <c r="G9052" t="s">
        <v>1730</v>
      </c>
      <c r="H9052">
        <v>7</v>
      </c>
      <c r="I9052">
        <v>44.69</v>
      </c>
      <c r="J9052" s="50">
        <v>312.83</v>
      </c>
      <c r="K9052" t="s">
        <v>1618</v>
      </c>
      <c r="M9052" t="s">
        <v>1627</v>
      </c>
      <c r="N9052">
        <v>23.59</v>
      </c>
      <c r="O9052" s="49">
        <v>45107</v>
      </c>
      <c r="P9052" s="50">
        <v>140.77349999999998</v>
      </c>
    </row>
    <row r="9053" spans="4:16" x14ac:dyDescent="0.2">
      <c r="D9053">
        <v>100005403</v>
      </c>
      <c r="E9053" s="49">
        <v>44968</v>
      </c>
      <c r="F9053" t="s">
        <v>6538</v>
      </c>
      <c r="G9053" t="s">
        <v>1857</v>
      </c>
      <c r="H9053">
        <v>1</v>
      </c>
      <c r="I9053">
        <v>114.44</v>
      </c>
      <c r="J9053" s="50">
        <v>114.44</v>
      </c>
      <c r="K9053" t="s">
        <v>1632</v>
      </c>
      <c r="M9053" t="s">
        <v>1619</v>
      </c>
      <c r="N9053">
        <v>60.4</v>
      </c>
      <c r="O9053" s="49">
        <v>44972</v>
      </c>
      <c r="P9053" s="50">
        <v>51.497999999999998</v>
      </c>
    </row>
    <row r="9054" spans="4:16" x14ac:dyDescent="0.2">
      <c r="D9054">
        <v>100005403</v>
      </c>
      <c r="E9054" s="49">
        <v>44323</v>
      </c>
      <c r="F9054" t="s">
        <v>6538</v>
      </c>
      <c r="G9054" t="s">
        <v>2390</v>
      </c>
      <c r="H9054">
        <v>10</v>
      </c>
      <c r="I9054">
        <v>43.8</v>
      </c>
      <c r="J9054" s="50">
        <v>438</v>
      </c>
      <c r="K9054" t="s">
        <v>1632</v>
      </c>
      <c r="M9054" t="s">
        <v>1624</v>
      </c>
      <c r="N9054">
        <v>23.12</v>
      </c>
      <c r="O9054" s="49">
        <v>44324</v>
      </c>
      <c r="P9054" s="50">
        <v>197.1</v>
      </c>
    </row>
    <row r="9055" spans="4:16" x14ac:dyDescent="0.2">
      <c r="D9055">
        <v>100005403</v>
      </c>
      <c r="E9055" s="49">
        <v>44640</v>
      </c>
      <c r="F9055" t="s">
        <v>6538</v>
      </c>
      <c r="G9055" t="s">
        <v>1728</v>
      </c>
      <c r="H9055">
        <v>10</v>
      </c>
      <c r="I9055">
        <v>81.58</v>
      </c>
      <c r="J9055" s="50">
        <v>815.8</v>
      </c>
      <c r="K9055" t="s">
        <v>1632</v>
      </c>
      <c r="M9055" t="s">
        <v>1627</v>
      </c>
      <c r="N9055">
        <v>43.06</v>
      </c>
      <c r="O9055" s="49">
        <v>44643</v>
      </c>
      <c r="P9055" s="50">
        <v>367.11</v>
      </c>
    </row>
    <row r="9056" spans="4:16" x14ac:dyDescent="0.2">
      <c r="D9056">
        <v>100005404</v>
      </c>
      <c r="E9056" s="49">
        <v>44612</v>
      </c>
      <c r="F9056" t="s">
        <v>6539</v>
      </c>
      <c r="G9056" t="s">
        <v>2375</v>
      </c>
      <c r="H9056">
        <v>4</v>
      </c>
      <c r="I9056">
        <v>68.16</v>
      </c>
      <c r="J9056" s="50">
        <v>272.64</v>
      </c>
      <c r="K9056" t="s">
        <v>1618</v>
      </c>
      <c r="M9056" t="s">
        <v>1624</v>
      </c>
      <c r="N9056">
        <v>35.97</v>
      </c>
      <c r="O9056" s="49">
        <v>44614</v>
      </c>
      <c r="P9056" s="50">
        <v>122.688</v>
      </c>
    </row>
    <row r="9057" spans="4:16" x14ac:dyDescent="0.2">
      <c r="D9057">
        <v>100005405</v>
      </c>
      <c r="E9057" s="49">
        <v>44639</v>
      </c>
      <c r="F9057" t="s">
        <v>6540</v>
      </c>
      <c r="G9057" t="s">
        <v>1634</v>
      </c>
      <c r="H9057">
        <v>8</v>
      </c>
      <c r="I9057">
        <v>98.82</v>
      </c>
      <c r="J9057" s="50">
        <v>790.56</v>
      </c>
      <c r="K9057" t="s">
        <v>1618</v>
      </c>
      <c r="M9057" t="s">
        <v>1621</v>
      </c>
      <c r="N9057">
        <v>52.15</v>
      </c>
      <c r="O9057" s="49">
        <v>44642</v>
      </c>
      <c r="P9057" s="50">
        <v>355.75200000000001</v>
      </c>
    </row>
    <row r="9058" spans="4:16" x14ac:dyDescent="0.2">
      <c r="D9058">
        <v>100005405</v>
      </c>
      <c r="E9058" s="49">
        <v>45395</v>
      </c>
      <c r="F9058" t="s">
        <v>6540</v>
      </c>
      <c r="G9058" t="s">
        <v>1730</v>
      </c>
      <c r="H9058">
        <v>5</v>
      </c>
      <c r="I9058">
        <v>108.79</v>
      </c>
      <c r="J9058" s="50">
        <v>543.95000000000005</v>
      </c>
      <c r="K9058" t="s">
        <v>1618</v>
      </c>
      <c r="M9058" t="s">
        <v>1621</v>
      </c>
      <c r="N9058">
        <v>57.42</v>
      </c>
      <c r="O9058" s="49">
        <v>45397</v>
      </c>
      <c r="P9058" s="50">
        <v>244.77750000000003</v>
      </c>
    </row>
    <row r="9059" spans="4:16" x14ac:dyDescent="0.2">
      <c r="D9059">
        <v>100005405</v>
      </c>
      <c r="E9059" s="49">
        <v>45166</v>
      </c>
      <c r="F9059" t="s">
        <v>6540</v>
      </c>
      <c r="G9059" t="s">
        <v>1982</v>
      </c>
      <c r="H9059">
        <v>1</v>
      </c>
      <c r="I9059">
        <v>78.36</v>
      </c>
      <c r="J9059" s="50">
        <v>78.36</v>
      </c>
      <c r="K9059" t="s">
        <v>1618</v>
      </c>
      <c r="M9059" t="s">
        <v>1629</v>
      </c>
      <c r="N9059">
        <v>41.36</v>
      </c>
      <c r="O9059" s="49">
        <v>45169</v>
      </c>
      <c r="P9059" s="50">
        <v>35.262</v>
      </c>
    </row>
    <row r="9060" spans="4:16" x14ac:dyDescent="0.2">
      <c r="D9060">
        <v>100005407</v>
      </c>
      <c r="E9060" s="49">
        <v>44659</v>
      </c>
      <c r="F9060" t="s">
        <v>6541</v>
      </c>
      <c r="G9060" t="s">
        <v>1948</v>
      </c>
      <c r="H9060">
        <v>8</v>
      </c>
      <c r="I9060">
        <v>22.64</v>
      </c>
      <c r="J9060" s="50">
        <v>181.12</v>
      </c>
      <c r="K9060" t="s">
        <v>1618</v>
      </c>
      <c r="M9060" t="s">
        <v>1629</v>
      </c>
      <c r="N9060">
        <v>11.95</v>
      </c>
      <c r="O9060" s="49">
        <v>44660</v>
      </c>
      <c r="P9060" s="50">
        <v>81.504000000000005</v>
      </c>
    </row>
    <row r="9061" spans="4:16" x14ac:dyDescent="0.2">
      <c r="D9061">
        <v>100005407</v>
      </c>
      <c r="E9061" s="49">
        <v>45621</v>
      </c>
      <c r="F9061" t="s">
        <v>6541</v>
      </c>
      <c r="G9061" t="s">
        <v>1717</v>
      </c>
      <c r="H9061">
        <v>10</v>
      </c>
      <c r="I9061">
        <v>87.2</v>
      </c>
      <c r="J9061" s="50">
        <v>872</v>
      </c>
      <c r="K9061" t="s">
        <v>1618</v>
      </c>
      <c r="M9061" t="s">
        <v>1621</v>
      </c>
      <c r="N9061">
        <v>46.02</v>
      </c>
      <c r="O9061" s="49">
        <v>45626</v>
      </c>
      <c r="P9061" s="50">
        <v>392.40000000000003</v>
      </c>
    </row>
    <row r="9062" spans="4:16" x14ac:dyDescent="0.2">
      <c r="D9062">
        <v>100005409</v>
      </c>
      <c r="E9062" s="49">
        <v>44845</v>
      </c>
      <c r="F9062" t="s">
        <v>6542</v>
      </c>
      <c r="G9062" t="s">
        <v>1669</v>
      </c>
      <c r="H9062">
        <v>4</v>
      </c>
      <c r="I9062">
        <v>52.91</v>
      </c>
      <c r="J9062" s="50">
        <v>211.64</v>
      </c>
      <c r="K9062" t="s">
        <v>1632</v>
      </c>
      <c r="L9062" t="s">
        <v>4221</v>
      </c>
      <c r="M9062" t="s">
        <v>1621</v>
      </c>
      <c r="N9062">
        <v>27.92</v>
      </c>
      <c r="O9062" s="49">
        <v>44850</v>
      </c>
      <c r="P9062" s="50">
        <v>95.238</v>
      </c>
    </row>
    <row r="9063" spans="4:16" x14ac:dyDescent="0.2">
      <c r="D9063">
        <v>100005413</v>
      </c>
      <c r="E9063" s="49">
        <v>44316</v>
      </c>
      <c r="F9063" t="s">
        <v>6543</v>
      </c>
      <c r="G9063" t="s">
        <v>1695</v>
      </c>
      <c r="H9063">
        <v>4</v>
      </c>
      <c r="I9063">
        <v>37.32</v>
      </c>
      <c r="J9063" s="50">
        <v>149.28</v>
      </c>
      <c r="K9063" t="s">
        <v>1618</v>
      </c>
      <c r="M9063" t="s">
        <v>1619</v>
      </c>
      <c r="N9063">
        <v>19.7</v>
      </c>
      <c r="O9063" s="49">
        <v>44319</v>
      </c>
      <c r="P9063" s="50">
        <v>67.176000000000002</v>
      </c>
    </row>
    <row r="9064" spans="4:16" x14ac:dyDescent="0.2">
      <c r="D9064">
        <v>100005413</v>
      </c>
      <c r="E9064" s="49">
        <v>44726</v>
      </c>
      <c r="F9064" t="s">
        <v>6543</v>
      </c>
      <c r="G9064" t="s">
        <v>1901</v>
      </c>
      <c r="H9064">
        <v>8</v>
      </c>
      <c r="I9064">
        <v>38.15</v>
      </c>
      <c r="J9064" s="50">
        <v>305.2</v>
      </c>
      <c r="K9064" t="s">
        <v>1618</v>
      </c>
      <c r="M9064" t="s">
        <v>1619</v>
      </c>
      <c r="N9064">
        <v>20.13</v>
      </c>
      <c r="O9064" s="49">
        <v>44727</v>
      </c>
      <c r="P9064" s="50">
        <v>137.34</v>
      </c>
    </row>
    <row r="9065" spans="4:16" x14ac:dyDescent="0.2">
      <c r="D9065">
        <v>100005413</v>
      </c>
      <c r="E9065" s="49">
        <v>45120</v>
      </c>
      <c r="F9065" t="s">
        <v>6543</v>
      </c>
      <c r="G9065" t="s">
        <v>1631</v>
      </c>
      <c r="H9065">
        <v>8</v>
      </c>
      <c r="I9065">
        <v>18.87</v>
      </c>
      <c r="J9065" s="50">
        <v>150.96</v>
      </c>
      <c r="K9065" t="s">
        <v>1618</v>
      </c>
      <c r="M9065" t="s">
        <v>1629</v>
      </c>
      <c r="N9065">
        <v>9.9600000000000009</v>
      </c>
      <c r="O9065" s="49">
        <v>45123</v>
      </c>
      <c r="P9065" s="50">
        <v>67.932000000000002</v>
      </c>
    </row>
    <row r="9066" spans="4:16" x14ac:dyDescent="0.2">
      <c r="D9066">
        <v>100005413</v>
      </c>
      <c r="E9066" s="49">
        <v>44640</v>
      </c>
      <c r="F9066" t="s">
        <v>6543</v>
      </c>
      <c r="G9066" t="s">
        <v>1667</v>
      </c>
      <c r="H9066">
        <v>1</v>
      </c>
      <c r="I9066">
        <v>11.36</v>
      </c>
      <c r="J9066" s="50">
        <v>11.36</v>
      </c>
      <c r="K9066" t="s">
        <v>1618</v>
      </c>
      <c r="M9066" t="s">
        <v>1629</v>
      </c>
      <c r="N9066">
        <v>6</v>
      </c>
      <c r="O9066" s="49">
        <v>44642</v>
      </c>
      <c r="P9066" s="50">
        <v>5.1120000000000001</v>
      </c>
    </row>
    <row r="9067" spans="4:16" x14ac:dyDescent="0.2">
      <c r="D9067">
        <v>100005414</v>
      </c>
      <c r="E9067" s="49">
        <v>45215</v>
      </c>
      <c r="F9067" t="s">
        <v>6544</v>
      </c>
      <c r="G9067" t="s">
        <v>1655</v>
      </c>
      <c r="H9067">
        <v>6</v>
      </c>
      <c r="I9067">
        <v>27.57</v>
      </c>
      <c r="J9067" s="50">
        <v>165.42</v>
      </c>
      <c r="K9067" t="s">
        <v>1618</v>
      </c>
      <c r="M9067" t="s">
        <v>1624</v>
      </c>
      <c r="N9067">
        <v>14.55</v>
      </c>
      <c r="O9067" s="49">
        <v>45217</v>
      </c>
      <c r="P9067" s="50">
        <v>74.438999999999993</v>
      </c>
    </row>
    <row r="9068" spans="4:16" x14ac:dyDescent="0.2">
      <c r="D9068">
        <v>100005415</v>
      </c>
      <c r="E9068" s="49">
        <v>45158</v>
      </c>
      <c r="F9068" t="s">
        <v>6545</v>
      </c>
      <c r="G9068" t="s">
        <v>2393</v>
      </c>
      <c r="H9068">
        <v>4</v>
      </c>
      <c r="I9068">
        <v>19.61</v>
      </c>
      <c r="J9068" s="50">
        <v>78.44</v>
      </c>
      <c r="K9068" t="s">
        <v>1618</v>
      </c>
      <c r="M9068" t="s">
        <v>1627</v>
      </c>
      <c r="N9068">
        <v>10.35</v>
      </c>
      <c r="O9068" s="49">
        <v>45161</v>
      </c>
      <c r="P9068" s="50">
        <v>35.298000000000002</v>
      </c>
    </row>
    <row r="9069" spans="4:16" x14ac:dyDescent="0.2">
      <c r="D9069">
        <v>100005415</v>
      </c>
      <c r="E9069" s="49">
        <v>45127</v>
      </c>
      <c r="F9069" t="s">
        <v>6545</v>
      </c>
      <c r="G9069" t="s">
        <v>2242</v>
      </c>
      <c r="H9069">
        <v>7</v>
      </c>
      <c r="I9069">
        <v>32.380000000000003</v>
      </c>
      <c r="J9069" s="50">
        <v>226.66</v>
      </c>
      <c r="K9069" t="s">
        <v>1618</v>
      </c>
      <c r="M9069" t="s">
        <v>1629</v>
      </c>
      <c r="N9069">
        <v>17.09</v>
      </c>
      <c r="O9069" s="49">
        <v>45129</v>
      </c>
      <c r="P9069" s="50">
        <v>101.997</v>
      </c>
    </row>
    <row r="9070" spans="4:16" x14ac:dyDescent="0.2">
      <c r="D9070">
        <v>100005416</v>
      </c>
      <c r="E9070" s="49">
        <v>44497</v>
      </c>
      <c r="F9070" t="s">
        <v>6546</v>
      </c>
      <c r="G9070" t="s">
        <v>1770</v>
      </c>
      <c r="H9070">
        <v>5</v>
      </c>
      <c r="I9070">
        <v>116.45</v>
      </c>
      <c r="J9070" s="50">
        <v>582.25</v>
      </c>
      <c r="K9070" t="s">
        <v>1632</v>
      </c>
      <c r="M9070" t="s">
        <v>1629</v>
      </c>
      <c r="N9070">
        <v>61.46</v>
      </c>
      <c r="O9070" s="49">
        <v>44502</v>
      </c>
      <c r="P9070" s="50">
        <v>262.01249999999999</v>
      </c>
    </row>
    <row r="9071" spans="4:16" x14ac:dyDescent="0.2">
      <c r="D9071">
        <v>100005418</v>
      </c>
      <c r="E9071" s="49">
        <v>44272</v>
      </c>
      <c r="F9071" t="s">
        <v>5826</v>
      </c>
      <c r="G9071" t="s">
        <v>1799</v>
      </c>
      <c r="H9071">
        <v>9</v>
      </c>
      <c r="I9071">
        <v>33.49</v>
      </c>
      <c r="J9071" s="50">
        <v>301.41000000000003</v>
      </c>
      <c r="K9071" t="s">
        <v>1618</v>
      </c>
      <c r="M9071" t="s">
        <v>1624</v>
      </c>
      <c r="N9071">
        <v>17.68</v>
      </c>
      <c r="O9071" s="49">
        <v>44277</v>
      </c>
      <c r="P9071" s="50">
        <v>135.6345</v>
      </c>
    </row>
    <row r="9072" spans="4:16" x14ac:dyDescent="0.2">
      <c r="D9072">
        <v>100005419</v>
      </c>
      <c r="E9072" s="49">
        <v>45046</v>
      </c>
      <c r="F9072" t="s">
        <v>6547</v>
      </c>
      <c r="G9072" t="s">
        <v>1941</v>
      </c>
      <c r="H9072">
        <v>7</v>
      </c>
      <c r="I9072">
        <v>71.239999999999995</v>
      </c>
      <c r="J9072" s="50">
        <v>498.67999999999989</v>
      </c>
      <c r="K9072" t="s">
        <v>1632</v>
      </c>
      <c r="L9072" t="s">
        <v>3424</v>
      </c>
      <c r="M9072" t="s">
        <v>1627</v>
      </c>
      <c r="N9072">
        <v>37.6</v>
      </c>
      <c r="O9072" s="49">
        <v>45050</v>
      </c>
      <c r="P9072" s="50">
        <v>224.40599999999995</v>
      </c>
    </row>
    <row r="9073" spans="4:16" x14ac:dyDescent="0.2">
      <c r="D9073">
        <v>100005419</v>
      </c>
      <c r="E9073" s="49">
        <v>44940</v>
      </c>
      <c r="F9073" t="s">
        <v>6547</v>
      </c>
      <c r="G9073" t="s">
        <v>1805</v>
      </c>
      <c r="H9073">
        <v>8</v>
      </c>
      <c r="I9073">
        <v>112.07</v>
      </c>
      <c r="J9073" s="50">
        <v>896.56</v>
      </c>
      <c r="K9073" t="s">
        <v>1632</v>
      </c>
      <c r="L9073" t="s">
        <v>3424</v>
      </c>
      <c r="M9073" t="s">
        <v>1627</v>
      </c>
      <c r="N9073">
        <v>59.15</v>
      </c>
      <c r="O9073" s="49">
        <v>44944</v>
      </c>
      <c r="P9073" s="50">
        <v>403.452</v>
      </c>
    </row>
    <row r="9074" spans="4:16" x14ac:dyDescent="0.2">
      <c r="D9074">
        <v>100005420</v>
      </c>
      <c r="E9074" s="49">
        <v>45459</v>
      </c>
      <c r="F9074" t="s">
        <v>6548</v>
      </c>
      <c r="G9074" t="s">
        <v>1916</v>
      </c>
      <c r="H9074">
        <v>4</v>
      </c>
      <c r="I9074">
        <v>86.63</v>
      </c>
      <c r="J9074" s="50">
        <v>346.52</v>
      </c>
      <c r="K9074" t="s">
        <v>1618</v>
      </c>
      <c r="M9074" t="s">
        <v>1629</v>
      </c>
      <c r="N9074">
        <v>45.72</v>
      </c>
      <c r="O9074" s="49">
        <v>45460</v>
      </c>
      <c r="P9074" s="50">
        <v>155.934</v>
      </c>
    </row>
    <row r="9075" spans="4:16" x14ac:dyDescent="0.2">
      <c r="D9075">
        <v>100005420</v>
      </c>
      <c r="E9075" s="49">
        <v>44650</v>
      </c>
      <c r="F9075" t="s">
        <v>6548</v>
      </c>
      <c r="G9075" t="s">
        <v>2048</v>
      </c>
      <c r="H9075">
        <v>4</v>
      </c>
      <c r="I9075">
        <v>90.88</v>
      </c>
      <c r="J9075" s="50">
        <v>363.52</v>
      </c>
      <c r="K9075" t="s">
        <v>1618</v>
      </c>
      <c r="M9075" t="s">
        <v>1624</v>
      </c>
      <c r="N9075">
        <v>47.96</v>
      </c>
      <c r="O9075" s="49">
        <v>44655</v>
      </c>
      <c r="P9075" s="50">
        <v>163.584</v>
      </c>
    </row>
    <row r="9076" spans="4:16" x14ac:dyDescent="0.2">
      <c r="D9076">
        <v>100005420</v>
      </c>
      <c r="E9076" s="49">
        <v>45187</v>
      </c>
      <c r="F9076" t="s">
        <v>6548</v>
      </c>
      <c r="G9076" t="s">
        <v>1877</v>
      </c>
      <c r="H9076">
        <v>6</v>
      </c>
      <c r="I9076">
        <v>69.03</v>
      </c>
      <c r="J9076" s="50">
        <v>414.18</v>
      </c>
      <c r="K9076" t="s">
        <v>1618</v>
      </c>
      <c r="M9076" t="s">
        <v>1627</v>
      </c>
      <c r="N9076">
        <v>36.43</v>
      </c>
      <c r="O9076" s="49">
        <v>45189</v>
      </c>
      <c r="P9076" s="50">
        <v>186.381</v>
      </c>
    </row>
    <row r="9077" spans="4:16" x14ac:dyDescent="0.2">
      <c r="D9077">
        <v>100005421</v>
      </c>
      <c r="E9077" s="49">
        <v>44279</v>
      </c>
      <c r="F9077" t="s">
        <v>6549</v>
      </c>
      <c r="G9077" t="s">
        <v>1717</v>
      </c>
      <c r="H9077">
        <v>5</v>
      </c>
      <c r="I9077">
        <v>71.06</v>
      </c>
      <c r="J9077" s="50">
        <v>355.3</v>
      </c>
      <c r="K9077" t="s">
        <v>1632</v>
      </c>
      <c r="L9077" t="s">
        <v>6550</v>
      </c>
      <c r="M9077" t="s">
        <v>1619</v>
      </c>
      <c r="N9077">
        <v>37.5</v>
      </c>
      <c r="O9077" s="49">
        <v>44280</v>
      </c>
      <c r="P9077" s="50">
        <v>159.88500000000002</v>
      </c>
    </row>
    <row r="9078" spans="4:16" x14ac:dyDescent="0.2">
      <c r="D9078">
        <v>100005421</v>
      </c>
      <c r="E9078" s="49">
        <v>44409</v>
      </c>
      <c r="F9078" t="s">
        <v>6549</v>
      </c>
      <c r="G9078" t="s">
        <v>2305</v>
      </c>
      <c r="H9078">
        <v>7</v>
      </c>
      <c r="I9078">
        <v>66.03</v>
      </c>
      <c r="J9078" s="50">
        <v>462.21</v>
      </c>
      <c r="K9078" t="s">
        <v>1632</v>
      </c>
      <c r="L9078" t="s">
        <v>6550</v>
      </c>
      <c r="M9078" t="s">
        <v>1624</v>
      </c>
      <c r="N9078">
        <v>34.85</v>
      </c>
      <c r="O9078" s="49">
        <v>44410</v>
      </c>
      <c r="P9078" s="50">
        <v>207.99449999999999</v>
      </c>
    </row>
    <row r="9079" spans="4:16" x14ac:dyDescent="0.2">
      <c r="D9079">
        <v>100005421</v>
      </c>
      <c r="E9079" s="49">
        <v>45049</v>
      </c>
      <c r="F9079" t="s">
        <v>6549</v>
      </c>
      <c r="G9079" t="s">
        <v>1857</v>
      </c>
      <c r="H9079">
        <v>4</v>
      </c>
      <c r="I9079">
        <v>98.93</v>
      </c>
      <c r="J9079" s="50">
        <v>395.72</v>
      </c>
      <c r="K9079" t="s">
        <v>1632</v>
      </c>
      <c r="L9079" t="s">
        <v>6550</v>
      </c>
      <c r="M9079" t="s">
        <v>1621</v>
      </c>
      <c r="N9079">
        <v>52.21</v>
      </c>
      <c r="O9079" s="49">
        <v>45052</v>
      </c>
      <c r="P9079" s="50">
        <v>178.07400000000001</v>
      </c>
    </row>
    <row r="9080" spans="4:16" x14ac:dyDescent="0.2">
      <c r="D9080">
        <v>100005422</v>
      </c>
      <c r="E9080" s="49">
        <v>44789</v>
      </c>
      <c r="F9080" t="s">
        <v>6551</v>
      </c>
      <c r="G9080" t="s">
        <v>2202</v>
      </c>
      <c r="H9080">
        <v>4</v>
      </c>
      <c r="I9080">
        <v>28.86</v>
      </c>
      <c r="J9080" s="50">
        <v>115.44</v>
      </c>
      <c r="K9080" t="s">
        <v>1618</v>
      </c>
      <c r="M9080" t="s">
        <v>1624</v>
      </c>
      <c r="N9080">
        <v>15.23</v>
      </c>
      <c r="O9080" s="49">
        <v>44794</v>
      </c>
      <c r="P9080" s="50">
        <v>51.948</v>
      </c>
    </row>
    <row r="9081" spans="4:16" x14ac:dyDescent="0.2">
      <c r="D9081">
        <v>100005423</v>
      </c>
      <c r="E9081" s="49">
        <v>44448</v>
      </c>
      <c r="F9081" t="s">
        <v>6552</v>
      </c>
      <c r="G9081" t="s">
        <v>1645</v>
      </c>
      <c r="H9081">
        <v>4</v>
      </c>
      <c r="I9081">
        <v>117.17</v>
      </c>
      <c r="J9081" s="50">
        <v>468.68</v>
      </c>
      <c r="K9081" t="s">
        <v>1618</v>
      </c>
      <c r="M9081" t="s">
        <v>1624</v>
      </c>
      <c r="N9081">
        <v>61.84</v>
      </c>
      <c r="O9081" s="49">
        <v>44452</v>
      </c>
      <c r="P9081" s="50">
        <v>210.90600000000001</v>
      </c>
    </row>
    <row r="9082" spans="4:16" x14ac:dyDescent="0.2">
      <c r="D9082">
        <v>100005424</v>
      </c>
      <c r="E9082" s="49">
        <v>45559</v>
      </c>
      <c r="F9082" t="s">
        <v>6553</v>
      </c>
      <c r="G9082" t="s">
        <v>2346</v>
      </c>
      <c r="H9082">
        <v>5</v>
      </c>
      <c r="I9082">
        <v>115.84</v>
      </c>
      <c r="J9082" s="50">
        <v>579.20000000000005</v>
      </c>
      <c r="K9082" t="s">
        <v>1618</v>
      </c>
      <c r="M9082" t="s">
        <v>1624</v>
      </c>
      <c r="N9082">
        <v>61.14</v>
      </c>
      <c r="O9082" s="49">
        <v>45561</v>
      </c>
      <c r="P9082" s="50">
        <v>260.64000000000004</v>
      </c>
    </row>
    <row r="9083" spans="4:16" x14ac:dyDescent="0.2">
      <c r="D9083">
        <v>100005424</v>
      </c>
      <c r="E9083" s="49">
        <v>45308</v>
      </c>
      <c r="F9083" t="s">
        <v>6553</v>
      </c>
      <c r="G9083" t="s">
        <v>1762</v>
      </c>
      <c r="H9083">
        <v>3</v>
      </c>
      <c r="I9083">
        <v>117.31</v>
      </c>
      <c r="J9083" s="50">
        <v>351.93</v>
      </c>
      <c r="K9083" t="s">
        <v>1618</v>
      </c>
      <c r="M9083" t="s">
        <v>1621</v>
      </c>
      <c r="N9083">
        <v>61.91</v>
      </c>
      <c r="O9083" s="49">
        <v>45312</v>
      </c>
      <c r="P9083" s="50">
        <v>158.36850000000001</v>
      </c>
    </row>
    <row r="9084" spans="4:16" x14ac:dyDescent="0.2">
      <c r="D9084">
        <v>100005424</v>
      </c>
      <c r="E9084" s="49">
        <v>45522</v>
      </c>
      <c r="F9084" t="s">
        <v>6553</v>
      </c>
      <c r="G9084" t="s">
        <v>2064</v>
      </c>
      <c r="H9084">
        <v>1</v>
      </c>
      <c r="I9084">
        <v>91.13</v>
      </c>
      <c r="J9084" s="50">
        <v>91.13</v>
      </c>
      <c r="K9084" t="s">
        <v>1618</v>
      </c>
      <c r="M9084" t="s">
        <v>1627</v>
      </c>
      <c r="N9084">
        <v>48.1</v>
      </c>
      <c r="O9084" s="49">
        <v>45524</v>
      </c>
      <c r="P9084" s="50">
        <v>41.008499999999998</v>
      </c>
    </row>
    <row r="9085" spans="4:16" x14ac:dyDescent="0.2">
      <c r="D9085">
        <v>100005424</v>
      </c>
      <c r="E9085" s="49">
        <v>45270</v>
      </c>
      <c r="F9085" t="s">
        <v>6553</v>
      </c>
      <c r="G9085" t="s">
        <v>1866</v>
      </c>
      <c r="H9085">
        <v>1</v>
      </c>
      <c r="I9085">
        <v>112.55</v>
      </c>
      <c r="J9085" s="50">
        <v>112.55</v>
      </c>
      <c r="K9085" t="s">
        <v>1618</v>
      </c>
      <c r="M9085" t="s">
        <v>1629</v>
      </c>
      <c r="N9085">
        <v>59.4</v>
      </c>
      <c r="O9085" s="49">
        <v>45274</v>
      </c>
      <c r="P9085" s="50">
        <v>50.647500000000001</v>
      </c>
    </row>
    <row r="9086" spans="4:16" x14ac:dyDescent="0.2">
      <c r="D9086">
        <v>100005424</v>
      </c>
      <c r="E9086" s="49">
        <v>44272</v>
      </c>
      <c r="F9086" t="s">
        <v>6553</v>
      </c>
      <c r="G9086" t="s">
        <v>2269</v>
      </c>
      <c r="H9086">
        <v>4</v>
      </c>
      <c r="I9086">
        <v>29.7</v>
      </c>
      <c r="J9086" s="50">
        <v>118.8</v>
      </c>
      <c r="K9086" t="s">
        <v>1618</v>
      </c>
      <c r="M9086" t="s">
        <v>1629</v>
      </c>
      <c r="N9086">
        <v>15.67</v>
      </c>
      <c r="O9086" s="49">
        <v>44273</v>
      </c>
      <c r="P9086" s="50">
        <v>53.46</v>
      </c>
    </row>
    <row r="9087" spans="4:16" x14ac:dyDescent="0.2">
      <c r="D9087">
        <v>100005425</v>
      </c>
      <c r="E9087" s="49">
        <v>45308</v>
      </c>
      <c r="F9087" t="s">
        <v>6554</v>
      </c>
      <c r="G9087" t="s">
        <v>1736</v>
      </c>
      <c r="H9087">
        <v>6</v>
      </c>
      <c r="I9087">
        <v>46.22</v>
      </c>
      <c r="J9087" s="50">
        <v>277.32</v>
      </c>
      <c r="K9087" t="s">
        <v>1618</v>
      </c>
      <c r="M9087" t="s">
        <v>1621</v>
      </c>
      <c r="N9087">
        <v>24.39</v>
      </c>
      <c r="O9087" s="49">
        <v>45310</v>
      </c>
      <c r="P9087" s="50">
        <v>124.794</v>
      </c>
    </row>
    <row r="9088" spans="4:16" x14ac:dyDescent="0.2">
      <c r="D9088">
        <v>100005425</v>
      </c>
      <c r="E9088" s="49">
        <v>44721</v>
      </c>
      <c r="F9088" t="s">
        <v>6554</v>
      </c>
      <c r="G9088" t="s">
        <v>2068</v>
      </c>
      <c r="H9088">
        <v>4</v>
      </c>
      <c r="I9088">
        <v>18.87</v>
      </c>
      <c r="J9088" s="50">
        <v>75.48</v>
      </c>
      <c r="K9088" t="s">
        <v>1618</v>
      </c>
      <c r="M9088" t="s">
        <v>1619</v>
      </c>
      <c r="N9088">
        <v>9.9600000000000009</v>
      </c>
      <c r="O9088" s="49">
        <v>44722</v>
      </c>
      <c r="P9088" s="50">
        <v>33.966000000000001</v>
      </c>
    </row>
    <row r="9089" spans="4:16" x14ac:dyDescent="0.2">
      <c r="D9089">
        <v>100005427</v>
      </c>
      <c r="E9089" s="49">
        <v>44867</v>
      </c>
      <c r="F9089" t="s">
        <v>4095</v>
      </c>
      <c r="G9089" t="s">
        <v>1866</v>
      </c>
      <c r="H9089">
        <v>5</v>
      </c>
      <c r="I9089">
        <v>61.5</v>
      </c>
      <c r="J9089" s="50">
        <v>307.5</v>
      </c>
      <c r="K9089" t="s">
        <v>1618</v>
      </c>
      <c r="M9089" t="s">
        <v>1619</v>
      </c>
      <c r="N9089">
        <v>32.46</v>
      </c>
      <c r="O9089" s="49">
        <v>44871</v>
      </c>
      <c r="P9089" s="50">
        <v>138.375</v>
      </c>
    </row>
    <row r="9090" spans="4:16" x14ac:dyDescent="0.2">
      <c r="D9090">
        <v>100005427</v>
      </c>
      <c r="E9090" s="49">
        <v>44682</v>
      </c>
      <c r="F9090" t="s">
        <v>4095</v>
      </c>
      <c r="G9090" t="s">
        <v>2033</v>
      </c>
      <c r="H9090">
        <v>3</v>
      </c>
      <c r="I9090">
        <v>109.35</v>
      </c>
      <c r="J9090" s="50">
        <v>328.05</v>
      </c>
      <c r="K9090" t="s">
        <v>1618</v>
      </c>
      <c r="M9090" t="s">
        <v>1627</v>
      </c>
      <c r="N9090">
        <v>57.71</v>
      </c>
      <c r="O9090" s="49">
        <v>44684</v>
      </c>
      <c r="P9090" s="50">
        <v>147.6225</v>
      </c>
    </row>
    <row r="9091" spans="4:16" x14ac:dyDescent="0.2">
      <c r="D9091">
        <v>100005428</v>
      </c>
      <c r="E9091" s="49">
        <v>44256</v>
      </c>
      <c r="F9091" t="s">
        <v>6555</v>
      </c>
      <c r="G9091" t="s">
        <v>2158</v>
      </c>
      <c r="H9091">
        <v>3</v>
      </c>
      <c r="I9091">
        <v>20.22</v>
      </c>
      <c r="J9091" s="50">
        <v>60.66</v>
      </c>
      <c r="K9091" t="s">
        <v>1632</v>
      </c>
      <c r="M9091" t="s">
        <v>1619</v>
      </c>
      <c r="N9091">
        <v>10.67</v>
      </c>
      <c r="O9091" s="49">
        <v>44260</v>
      </c>
      <c r="P9091" s="50">
        <v>27.297000000000001</v>
      </c>
    </row>
    <row r="9092" spans="4:16" x14ac:dyDescent="0.2">
      <c r="D9092">
        <v>100005429</v>
      </c>
      <c r="E9092" s="49">
        <v>44589</v>
      </c>
      <c r="F9092" t="s">
        <v>6556</v>
      </c>
      <c r="G9092" t="s">
        <v>1724</v>
      </c>
      <c r="H9092">
        <v>6</v>
      </c>
      <c r="I9092">
        <v>43.91</v>
      </c>
      <c r="J9092" s="50">
        <v>263.45999999999998</v>
      </c>
      <c r="K9092" t="s">
        <v>1632</v>
      </c>
      <c r="M9092" t="s">
        <v>1629</v>
      </c>
      <c r="N9092">
        <v>23.17</v>
      </c>
      <c r="O9092" s="49">
        <v>44592</v>
      </c>
      <c r="P9092" s="50">
        <v>118.55699999999999</v>
      </c>
    </row>
    <row r="9093" spans="4:16" x14ac:dyDescent="0.2">
      <c r="D9093">
        <v>100005430</v>
      </c>
      <c r="E9093" s="49">
        <v>45448</v>
      </c>
      <c r="F9093" t="s">
        <v>6557</v>
      </c>
      <c r="G9093" t="s">
        <v>2076</v>
      </c>
      <c r="H9093">
        <v>10</v>
      </c>
      <c r="I9093">
        <v>34.67</v>
      </c>
      <c r="J9093" s="50">
        <v>346.7</v>
      </c>
      <c r="K9093" t="s">
        <v>1618</v>
      </c>
      <c r="M9093" t="s">
        <v>1627</v>
      </c>
      <c r="N9093">
        <v>18.3</v>
      </c>
      <c r="O9093" s="49">
        <v>45453</v>
      </c>
      <c r="P9093" s="50">
        <v>156.01499999999999</v>
      </c>
    </row>
    <row r="9094" spans="4:16" x14ac:dyDescent="0.2">
      <c r="D9094">
        <v>100005430</v>
      </c>
      <c r="E9094" s="49">
        <v>45583</v>
      </c>
      <c r="F9094" t="s">
        <v>6557</v>
      </c>
      <c r="G9094" t="s">
        <v>1733</v>
      </c>
      <c r="H9094">
        <v>9</v>
      </c>
      <c r="I9094">
        <v>68.97</v>
      </c>
      <c r="J9094" s="50">
        <v>620.73</v>
      </c>
      <c r="K9094" t="s">
        <v>1618</v>
      </c>
      <c r="M9094" t="s">
        <v>1621</v>
      </c>
      <c r="N9094">
        <v>36.4</v>
      </c>
      <c r="O9094" s="49">
        <v>45587</v>
      </c>
      <c r="P9094" s="50">
        <v>279.32850000000002</v>
      </c>
    </row>
    <row r="9095" spans="4:16" x14ac:dyDescent="0.2">
      <c r="D9095">
        <v>100005430</v>
      </c>
      <c r="E9095" s="49">
        <v>44207</v>
      </c>
      <c r="F9095" t="s">
        <v>6557</v>
      </c>
      <c r="G9095" t="s">
        <v>2096</v>
      </c>
      <c r="H9095">
        <v>9</v>
      </c>
      <c r="I9095">
        <v>55.63</v>
      </c>
      <c r="J9095" s="50">
        <v>500.67</v>
      </c>
      <c r="K9095" t="s">
        <v>1618</v>
      </c>
      <c r="M9095" t="s">
        <v>1629</v>
      </c>
      <c r="N9095">
        <v>29.36</v>
      </c>
      <c r="O9095" s="49">
        <v>44212</v>
      </c>
      <c r="P9095" s="50">
        <v>225.3015</v>
      </c>
    </row>
    <row r="9096" spans="4:16" x14ac:dyDescent="0.2">
      <c r="D9096">
        <v>100005431</v>
      </c>
      <c r="E9096" s="49">
        <v>44600</v>
      </c>
      <c r="F9096" t="s">
        <v>6558</v>
      </c>
      <c r="G9096" t="s">
        <v>2420</v>
      </c>
      <c r="H9096">
        <v>10</v>
      </c>
      <c r="I9096">
        <v>50.18</v>
      </c>
      <c r="J9096" s="50">
        <v>501.8</v>
      </c>
      <c r="K9096" t="s">
        <v>1618</v>
      </c>
      <c r="M9096" t="s">
        <v>1629</v>
      </c>
      <c r="N9096">
        <v>26.48</v>
      </c>
      <c r="O9096" s="49">
        <v>44604</v>
      </c>
      <c r="P9096" s="50">
        <v>225.81</v>
      </c>
    </row>
    <row r="9097" spans="4:16" x14ac:dyDescent="0.2">
      <c r="D9097">
        <v>100005432</v>
      </c>
      <c r="E9097" s="49">
        <v>45162</v>
      </c>
      <c r="F9097" t="s">
        <v>6559</v>
      </c>
      <c r="G9097" t="s">
        <v>2745</v>
      </c>
      <c r="H9097">
        <v>9</v>
      </c>
      <c r="I9097">
        <v>37.08</v>
      </c>
      <c r="J9097" s="50">
        <v>333.72</v>
      </c>
      <c r="K9097" t="s">
        <v>1618</v>
      </c>
      <c r="M9097" t="s">
        <v>1627</v>
      </c>
      <c r="N9097">
        <v>19.57</v>
      </c>
      <c r="O9097" s="49">
        <v>45167</v>
      </c>
      <c r="P9097" s="50">
        <v>150.17400000000001</v>
      </c>
    </row>
    <row r="9098" spans="4:16" x14ac:dyDescent="0.2">
      <c r="D9098">
        <v>100005433</v>
      </c>
      <c r="E9098" s="49">
        <v>45549</v>
      </c>
      <c r="F9098" t="s">
        <v>6560</v>
      </c>
      <c r="G9098" t="s">
        <v>1637</v>
      </c>
      <c r="H9098">
        <v>3</v>
      </c>
      <c r="I9098">
        <v>115.13</v>
      </c>
      <c r="J9098" s="50">
        <v>345.39</v>
      </c>
      <c r="K9098" t="s">
        <v>1618</v>
      </c>
      <c r="M9098" t="s">
        <v>1629</v>
      </c>
      <c r="N9098">
        <v>60.76</v>
      </c>
      <c r="O9098" s="49">
        <v>45551</v>
      </c>
      <c r="P9098" s="50">
        <v>155.4255</v>
      </c>
    </row>
    <row r="9099" spans="4:16" x14ac:dyDescent="0.2">
      <c r="D9099">
        <v>100005435</v>
      </c>
      <c r="E9099" s="49">
        <v>45610</v>
      </c>
      <c r="F9099" t="s">
        <v>6561</v>
      </c>
      <c r="G9099" t="s">
        <v>1653</v>
      </c>
      <c r="H9099">
        <v>3</v>
      </c>
      <c r="I9099">
        <v>81.36</v>
      </c>
      <c r="J9099" s="50">
        <v>244.08</v>
      </c>
      <c r="K9099" t="s">
        <v>1632</v>
      </c>
      <c r="M9099" t="s">
        <v>1624</v>
      </c>
      <c r="N9099">
        <v>42.94</v>
      </c>
      <c r="O9099" s="49">
        <v>45614</v>
      </c>
      <c r="P9099" s="50">
        <v>109.83600000000001</v>
      </c>
    </row>
    <row r="9100" spans="4:16" x14ac:dyDescent="0.2">
      <c r="D9100">
        <v>100005436</v>
      </c>
      <c r="E9100" s="49">
        <v>44717</v>
      </c>
      <c r="F9100" t="s">
        <v>6562</v>
      </c>
      <c r="G9100" t="s">
        <v>2041</v>
      </c>
      <c r="H9100">
        <v>3</v>
      </c>
      <c r="I9100">
        <v>71.64</v>
      </c>
      <c r="J9100" s="50">
        <v>214.92</v>
      </c>
      <c r="K9100" t="s">
        <v>1632</v>
      </c>
      <c r="M9100" t="s">
        <v>1624</v>
      </c>
      <c r="N9100">
        <v>37.81</v>
      </c>
      <c r="O9100" s="49">
        <v>44719</v>
      </c>
      <c r="P9100" s="50">
        <v>96.713999999999999</v>
      </c>
    </row>
    <row r="9101" spans="4:16" x14ac:dyDescent="0.2">
      <c r="D9101">
        <v>100005437</v>
      </c>
      <c r="E9101" s="49">
        <v>45115</v>
      </c>
      <c r="F9101" t="s">
        <v>6563</v>
      </c>
      <c r="G9101" t="s">
        <v>2194</v>
      </c>
      <c r="H9101">
        <v>7</v>
      </c>
      <c r="I9101">
        <v>35.5</v>
      </c>
      <c r="J9101" s="50">
        <v>248.5</v>
      </c>
      <c r="K9101" t="s">
        <v>1618</v>
      </c>
      <c r="M9101" t="s">
        <v>1627</v>
      </c>
      <c r="N9101">
        <v>18.739999999999998</v>
      </c>
      <c r="O9101" s="49">
        <v>45117</v>
      </c>
      <c r="P9101" s="50">
        <v>111.825</v>
      </c>
    </row>
    <row r="9102" spans="4:16" x14ac:dyDescent="0.2">
      <c r="D9102">
        <v>100005437</v>
      </c>
      <c r="E9102" s="49">
        <v>44898</v>
      </c>
      <c r="F9102" t="s">
        <v>6563</v>
      </c>
      <c r="G9102" t="s">
        <v>2692</v>
      </c>
      <c r="H9102">
        <v>9</v>
      </c>
      <c r="I9102">
        <v>72.19</v>
      </c>
      <c r="J9102" s="50">
        <v>649.71</v>
      </c>
      <c r="K9102" t="s">
        <v>1618</v>
      </c>
      <c r="M9102" t="s">
        <v>1629</v>
      </c>
      <c r="N9102">
        <v>38.1</v>
      </c>
      <c r="O9102" s="49">
        <v>44903</v>
      </c>
      <c r="P9102" s="50">
        <v>292.36950000000002</v>
      </c>
    </row>
    <row r="9103" spans="4:16" x14ac:dyDescent="0.2">
      <c r="D9103">
        <v>100005437</v>
      </c>
      <c r="E9103" s="49">
        <v>44509</v>
      </c>
      <c r="F9103" t="s">
        <v>6563</v>
      </c>
      <c r="G9103" t="s">
        <v>2065</v>
      </c>
      <c r="H9103">
        <v>2</v>
      </c>
      <c r="I9103">
        <v>84.34</v>
      </c>
      <c r="J9103" s="50">
        <v>168.68</v>
      </c>
      <c r="K9103" t="s">
        <v>1618</v>
      </c>
      <c r="M9103" t="s">
        <v>1627</v>
      </c>
      <c r="N9103">
        <v>44.51</v>
      </c>
      <c r="O9103" s="49">
        <v>44512</v>
      </c>
      <c r="P9103" s="50">
        <v>75.906000000000006</v>
      </c>
    </row>
    <row r="9104" spans="4:16" x14ac:dyDescent="0.2">
      <c r="D9104">
        <v>100005437</v>
      </c>
      <c r="E9104" s="49">
        <v>44311</v>
      </c>
      <c r="F9104" t="s">
        <v>6563</v>
      </c>
      <c r="G9104" t="s">
        <v>1808</v>
      </c>
      <c r="H9104">
        <v>2</v>
      </c>
      <c r="I9104">
        <v>29.24</v>
      </c>
      <c r="J9104" s="50">
        <v>58.48</v>
      </c>
      <c r="K9104" t="s">
        <v>1618</v>
      </c>
      <c r="M9104" t="s">
        <v>1627</v>
      </c>
      <c r="N9104">
        <v>15.43</v>
      </c>
      <c r="O9104" s="49">
        <v>44315</v>
      </c>
      <c r="P9104" s="50">
        <v>26.315999999999999</v>
      </c>
    </row>
    <row r="9105" spans="4:16" x14ac:dyDescent="0.2">
      <c r="D9105">
        <v>100005438</v>
      </c>
      <c r="E9105" s="49">
        <v>45627</v>
      </c>
      <c r="F9105" t="s">
        <v>6564</v>
      </c>
      <c r="G9105" t="s">
        <v>1661</v>
      </c>
      <c r="H9105">
        <v>9</v>
      </c>
      <c r="I9105">
        <v>31.7</v>
      </c>
      <c r="J9105" s="50">
        <v>285.3</v>
      </c>
      <c r="K9105" t="s">
        <v>1618</v>
      </c>
      <c r="M9105" t="s">
        <v>1624</v>
      </c>
      <c r="N9105">
        <v>16.73</v>
      </c>
      <c r="O9105" s="49">
        <v>45631</v>
      </c>
      <c r="P9105" s="50">
        <v>128.38500000000002</v>
      </c>
    </row>
    <row r="9106" spans="4:16" x14ac:dyDescent="0.2">
      <c r="D9106">
        <v>100005439</v>
      </c>
      <c r="E9106" s="49">
        <v>44567</v>
      </c>
      <c r="F9106" t="s">
        <v>6565</v>
      </c>
      <c r="G9106" t="s">
        <v>1947</v>
      </c>
      <c r="H9106">
        <v>3</v>
      </c>
      <c r="I9106">
        <v>29.71</v>
      </c>
      <c r="J9106" s="50">
        <v>89.13</v>
      </c>
      <c r="K9106" t="s">
        <v>1618</v>
      </c>
      <c r="M9106" t="s">
        <v>1619</v>
      </c>
      <c r="N9106">
        <v>15.68</v>
      </c>
      <c r="O9106" s="49">
        <v>44568</v>
      </c>
      <c r="P9106" s="50">
        <v>40.108499999999999</v>
      </c>
    </row>
    <row r="9107" spans="4:16" x14ac:dyDescent="0.2">
      <c r="D9107">
        <v>100005440</v>
      </c>
      <c r="E9107" s="49">
        <v>45422</v>
      </c>
      <c r="F9107" t="s">
        <v>6566</v>
      </c>
      <c r="G9107" t="s">
        <v>2062</v>
      </c>
      <c r="H9107">
        <v>2</v>
      </c>
      <c r="I9107">
        <v>105.88</v>
      </c>
      <c r="J9107" s="50">
        <v>211.76</v>
      </c>
      <c r="K9107" t="s">
        <v>1632</v>
      </c>
      <c r="M9107" t="s">
        <v>1619</v>
      </c>
      <c r="N9107">
        <v>55.88</v>
      </c>
      <c r="O9107" s="49">
        <v>45424</v>
      </c>
      <c r="P9107" s="50">
        <v>95.292000000000002</v>
      </c>
    </row>
    <row r="9108" spans="4:16" x14ac:dyDescent="0.2">
      <c r="D9108">
        <v>100005441</v>
      </c>
      <c r="E9108" s="49">
        <v>44469</v>
      </c>
      <c r="F9108" t="s">
        <v>6567</v>
      </c>
      <c r="G9108" t="s">
        <v>2745</v>
      </c>
      <c r="H9108">
        <v>2</v>
      </c>
      <c r="I9108">
        <v>11.86</v>
      </c>
      <c r="J9108" s="50">
        <v>23.72</v>
      </c>
      <c r="K9108" t="s">
        <v>1618</v>
      </c>
      <c r="M9108" t="s">
        <v>1621</v>
      </c>
      <c r="N9108">
        <v>6.26</v>
      </c>
      <c r="O9108" s="49">
        <v>44474</v>
      </c>
      <c r="P9108" s="50">
        <v>10.673999999999999</v>
      </c>
    </row>
    <row r="9109" spans="4:16" x14ac:dyDescent="0.2">
      <c r="D9109">
        <v>100005442</v>
      </c>
      <c r="E9109" s="49">
        <v>44393</v>
      </c>
      <c r="F9109" t="s">
        <v>2498</v>
      </c>
      <c r="G9109" t="s">
        <v>2373</v>
      </c>
      <c r="H9109">
        <v>4</v>
      </c>
      <c r="I9109">
        <v>70.239999999999995</v>
      </c>
      <c r="J9109" s="50">
        <v>280.95999999999998</v>
      </c>
      <c r="K9109" t="s">
        <v>1632</v>
      </c>
      <c r="M9109" t="s">
        <v>1621</v>
      </c>
      <c r="N9109">
        <v>37.07</v>
      </c>
      <c r="O9109" s="49">
        <v>44396</v>
      </c>
      <c r="P9109" s="50">
        <v>126.43199999999999</v>
      </c>
    </row>
    <row r="9110" spans="4:16" x14ac:dyDescent="0.2">
      <c r="D9110">
        <v>100005442</v>
      </c>
      <c r="E9110" s="49">
        <v>44260</v>
      </c>
      <c r="F9110" t="s">
        <v>2498</v>
      </c>
      <c r="G9110" t="s">
        <v>1634</v>
      </c>
      <c r="H9110">
        <v>5</v>
      </c>
      <c r="I9110">
        <v>62.73</v>
      </c>
      <c r="J9110" s="50">
        <v>313.64999999999998</v>
      </c>
      <c r="K9110" t="s">
        <v>1632</v>
      </c>
      <c r="M9110" t="s">
        <v>1624</v>
      </c>
      <c r="N9110">
        <v>33.11</v>
      </c>
      <c r="O9110" s="49">
        <v>44265</v>
      </c>
      <c r="P9110" s="50">
        <v>141.14249999999998</v>
      </c>
    </row>
    <row r="9111" spans="4:16" x14ac:dyDescent="0.2">
      <c r="D9111">
        <v>100005442</v>
      </c>
      <c r="E9111" s="49">
        <v>45374</v>
      </c>
      <c r="F9111" t="s">
        <v>2498</v>
      </c>
      <c r="G9111" t="s">
        <v>2343</v>
      </c>
      <c r="H9111">
        <v>7</v>
      </c>
      <c r="I9111">
        <v>69.14</v>
      </c>
      <c r="J9111" s="50">
        <v>483.98</v>
      </c>
      <c r="K9111" t="s">
        <v>1632</v>
      </c>
      <c r="M9111" t="s">
        <v>1619</v>
      </c>
      <c r="N9111">
        <v>36.49</v>
      </c>
      <c r="O9111" s="49">
        <v>45379</v>
      </c>
      <c r="P9111" s="50">
        <v>217.79100000000003</v>
      </c>
    </row>
    <row r="9112" spans="4:16" x14ac:dyDescent="0.2">
      <c r="D9112">
        <v>100005442</v>
      </c>
      <c r="E9112" s="49">
        <v>44946</v>
      </c>
      <c r="F9112" t="s">
        <v>2498</v>
      </c>
      <c r="G9112" t="s">
        <v>3135</v>
      </c>
      <c r="H9112">
        <v>6</v>
      </c>
      <c r="I9112">
        <v>16.03</v>
      </c>
      <c r="J9112" s="50">
        <v>96.18</v>
      </c>
      <c r="K9112" t="s">
        <v>1632</v>
      </c>
      <c r="M9112" t="s">
        <v>1624</v>
      </c>
      <c r="N9112">
        <v>8.4600000000000009</v>
      </c>
      <c r="O9112" s="49">
        <v>44951</v>
      </c>
      <c r="P9112" s="50">
        <v>43.281000000000006</v>
      </c>
    </row>
    <row r="9113" spans="4:16" x14ac:dyDescent="0.2">
      <c r="D9113">
        <v>100005443</v>
      </c>
      <c r="E9113" s="49">
        <v>45650</v>
      </c>
      <c r="F9113" t="s">
        <v>6568</v>
      </c>
      <c r="G9113" t="s">
        <v>1670</v>
      </c>
      <c r="H9113">
        <v>9</v>
      </c>
      <c r="I9113">
        <v>56.78</v>
      </c>
      <c r="J9113" s="50">
        <v>511.02</v>
      </c>
      <c r="K9113" t="s">
        <v>1618</v>
      </c>
      <c r="M9113" t="s">
        <v>1629</v>
      </c>
      <c r="N9113">
        <v>29.97</v>
      </c>
      <c r="O9113" s="49">
        <v>45654</v>
      </c>
      <c r="P9113" s="50">
        <v>229.959</v>
      </c>
    </row>
    <row r="9114" spans="4:16" x14ac:dyDescent="0.2">
      <c r="D9114">
        <v>100005443</v>
      </c>
      <c r="E9114" s="49">
        <v>44225</v>
      </c>
      <c r="F9114" t="s">
        <v>6568</v>
      </c>
      <c r="G9114" t="s">
        <v>1947</v>
      </c>
      <c r="H9114">
        <v>5</v>
      </c>
      <c r="I9114">
        <v>45.28</v>
      </c>
      <c r="J9114" s="50">
        <v>226.4</v>
      </c>
      <c r="K9114" t="s">
        <v>1618</v>
      </c>
      <c r="M9114" t="s">
        <v>1619</v>
      </c>
      <c r="N9114">
        <v>23.9</v>
      </c>
      <c r="O9114" s="49">
        <v>44228</v>
      </c>
      <c r="P9114" s="50">
        <v>101.88000000000001</v>
      </c>
    </row>
    <row r="9115" spans="4:16" x14ac:dyDescent="0.2">
      <c r="D9115">
        <v>100005444</v>
      </c>
      <c r="E9115" s="49">
        <v>44453</v>
      </c>
      <c r="F9115" t="s">
        <v>6569</v>
      </c>
      <c r="G9115" t="s">
        <v>1714</v>
      </c>
      <c r="H9115">
        <v>5</v>
      </c>
      <c r="I9115">
        <v>22.3</v>
      </c>
      <c r="J9115" s="50">
        <v>111.5</v>
      </c>
      <c r="K9115" t="s">
        <v>1632</v>
      </c>
      <c r="M9115" t="s">
        <v>1629</v>
      </c>
      <c r="N9115">
        <v>11.77</v>
      </c>
      <c r="O9115" s="49">
        <v>44454</v>
      </c>
      <c r="P9115" s="50">
        <v>50.175000000000004</v>
      </c>
    </row>
    <row r="9116" spans="4:16" x14ac:dyDescent="0.2">
      <c r="D9116">
        <v>100005445</v>
      </c>
      <c r="E9116" s="49">
        <v>45127</v>
      </c>
      <c r="F9116" t="s">
        <v>6144</v>
      </c>
      <c r="G9116" t="s">
        <v>2514</v>
      </c>
      <c r="H9116">
        <v>1</v>
      </c>
      <c r="I9116">
        <v>107.74</v>
      </c>
      <c r="J9116" s="50">
        <v>107.74</v>
      </c>
      <c r="K9116" t="s">
        <v>1618</v>
      </c>
      <c r="M9116" t="s">
        <v>1627</v>
      </c>
      <c r="N9116">
        <v>56.86</v>
      </c>
      <c r="O9116" s="49">
        <v>45131</v>
      </c>
      <c r="P9116" s="50">
        <v>48.482999999999997</v>
      </c>
    </row>
    <row r="9117" spans="4:16" x14ac:dyDescent="0.2">
      <c r="D9117">
        <v>100005445</v>
      </c>
      <c r="E9117" s="49">
        <v>45448</v>
      </c>
      <c r="F9117" t="s">
        <v>6144</v>
      </c>
      <c r="G9117" t="s">
        <v>2380</v>
      </c>
      <c r="H9117">
        <v>7</v>
      </c>
      <c r="I9117">
        <v>56.55</v>
      </c>
      <c r="J9117" s="50">
        <v>395.85</v>
      </c>
      <c r="K9117" t="s">
        <v>1618</v>
      </c>
      <c r="M9117" t="s">
        <v>1624</v>
      </c>
      <c r="N9117">
        <v>29.85</v>
      </c>
      <c r="O9117" s="49">
        <v>45450</v>
      </c>
      <c r="P9117" s="50">
        <v>178.13250000000002</v>
      </c>
    </row>
    <row r="9118" spans="4:16" x14ac:dyDescent="0.2">
      <c r="D9118">
        <v>100005445</v>
      </c>
      <c r="E9118" s="49">
        <v>44500</v>
      </c>
      <c r="F9118" t="s">
        <v>6144</v>
      </c>
      <c r="G9118" t="s">
        <v>1626</v>
      </c>
      <c r="H9118">
        <v>1</v>
      </c>
      <c r="I9118">
        <v>108.9</v>
      </c>
      <c r="J9118" s="50">
        <v>108.9</v>
      </c>
      <c r="K9118" t="s">
        <v>1618</v>
      </c>
      <c r="M9118" t="s">
        <v>1624</v>
      </c>
      <c r="N9118">
        <v>57.47</v>
      </c>
      <c r="O9118" s="49">
        <v>44503</v>
      </c>
      <c r="P9118" s="50">
        <v>49.005000000000003</v>
      </c>
    </row>
    <row r="9119" spans="4:16" x14ac:dyDescent="0.2">
      <c r="D9119">
        <v>100005446</v>
      </c>
      <c r="E9119" s="49">
        <v>45469</v>
      </c>
      <c r="F9119" t="s">
        <v>6570</v>
      </c>
      <c r="G9119" t="s">
        <v>1885</v>
      </c>
      <c r="H9119">
        <v>4</v>
      </c>
      <c r="I9119">
        <v>62.36</v>
      </c>
      <c r="J9119" s="50">
        <v>249.44</v>
      </c>
      <c r="K9119" t="s">
        <v>1632</v>
      </c>
      <c r="M9119" t="s">
        <v>1624</v>
      </c>
      <c r="N9119">
        <v>32.909999999999997</v>
      </c>
      <c r="O9119" s="49">
        <v>45471</v>
      </c>
      <c r="P9119" s="50">
        <v>112.248</v>
      </c>
    </row>
    <row r="9120" spans="4:16" x14ac:dyDescent="0.2">
      <c r="D9120">
        <v>100005447</v>
      </c>
      <c r="E9120" s="49">
        <v>44821</v>
      </c>
      <c r="F9120" t="s">
        <v>6571</v>
      </c>
      <c r="G9120" t="s">
        <v>1717</v>
      </c>
      <c r="H9120">
        <v>9</v>
      </c>
      <c r="I9120">
        <v>108.92</v>
      </c>
      <c r="J9120" s="50">
        <v>980.28</v>
      </c>
      <c r="K9120" t="s">
        <v>1618</v>
      </c>
      <c r="M9120" t="s">
        <v>1619</v>
      </c>
      <c r="N9120">
        <v>57.49</v>
      </c>
      <c r="O9120" s="49">
        <v>44826</v>
      </c>
      <c r="P9120" s="50">
        <v>441.12599999999998</v>
      </c>
    </row>
    <row r="9121" spans="4:16" x14ac:dyDescent="0.2">
      <c r="D9121">
        <v>100005447</v>
      </c>
      <c r="E9121" s="49">
        <v>45213</v>
      </c>
      <c r="F9121" t="s">
        <v>6571</v>
      </c>
      <c r="G9121" t="s">
        <v>2025</v>
      </c>
      <c r="H9121">
        <v>2</v>
      </c>
      <c r="I9121">
        <v>10.24</v>
      </c>
      <c r="J9121" s="50">
        <v>20.48</v>
      </c>
      <c r="K9121" t="s">
        <v>1618</v>
      </c>
      <c r="M9121" t="s">
        <v>1629</v>
      </c>
      <c r="N9121">
        <v>5.4</v>
      </c>
      <c r="O9121" s="49">
        <v>45214</v>
      </c>
      <c r="P9121" s="50">
        <v>9.2160000000000011</v>
      </c>
    </row>
    <row r="9122" spans="4:16" x14ac:dyDescent="0.2">
      <c r="D9122">
        <v>100005449</v>
      </c>
      <c r="E9122" s="49">
        <v>44520</v>
      </c>
      <c r="F9122" t="s">
        <v>6572</v>
      </c>
      <c r="G9122" t="s">
        <v>1799</v>
      </c>
      <c r="H9122">
        <v>5</v>
      </c>
      <c r="I9122">
        <v>111.84</v>
      </c>
      <c r="J9122" s="50">
        <v>559.20000000000005</v>
      </c>
      <c r="K9122" t="s">
        <v>1618</v>
      </c>
      <c r="M9122" t="s">
        <v>1627</v>
      </c>
      <c r="N9122">
        <v>59.03</v>
      </c>
      <c r="O9122" s="49">
        <v>44524</v>
      </c>
      <c r="P9122" s="50">
        <v>251.64000000000001</v>
      </c>
    </row>
    <row r="9123" spans="4:16" x14ac:dyDescent="0.2">
      <c r="D9123">
        <v>100005450</v>
      </c>
      <c r="E9123" s="49">
        <v>44210</v>
      </c>
      <c r="F9123" t="s">
        <v>6573</v>
      </c>
      <c r="G9123" t="s">
        <v>1731</v>
      </c>
      <c r="H9123">
        <v>8</v>
      </c>
      <c r="I9123">
        <v>81.83</v>
      </c>
      <c r="J9123" s="50">
        <v>654.64</v>
      </c>
      <c r="K9123" t="s">
        <v>1618</v>
      </c>
      <c r="M9123" t="s">
        <v>1621</v>
      </c>
      <c r="N9123">
        <v>43.19</v>
      </c>
      <c r="O9123" s="49">
        <v>44212</v>
      </c>
      <c r="P9123" s="50">
        <v>294.58800000000002</v>
      </c>
    </row>
    <row r="9124" spans="4:16" x14ac:dyDescent="0.2">
      <c r="D9124">
        <v>100005450</v>
      </c>
      <c r="E9124" s="49">
        <v>44636</v>
      </c>
      <c r="F9124" t="s">
        <v>6573</v>
      </c>
      <c r="G9124" t="s">
        <v>2514</v>
      </c>
      <c r="H9124">
        <v>6</v>
      </c>
      <c r="I9124">
        <v>101.24</v>
      </c>
      <c r="J9124" s="50">
        <v>607.43999999999994</v>
      </c>
      <c r="K9124" t="s">
        <v>1618</v>
      </c>
      <c r="M9124" t="s">
        <v>1621</v>
      </c>
      <c r="N9124">
        <v>53.43</v>
      </c>
      <c r="O9124" s="49">
        <v>44639</v>
      </c>
      <c r="P9124" s="50">
        <v>273.34799999999996</v>
      </c>
    </row>
    <row r="9125" spans="4:16" x14ac:dyDescent="0.2">
      <c r="D9125">
        <v>100005452</v>
      </c>
      <c r="E9125" s="49">
        <v>44910</v>
      </c>
      <c r="F9125" t="s">
        <v>6574</v>
      </c>
      <c r="G9125" t="s">
        <v>1947</v>
      </c>
      <c r="H9125">
        <v>7</v>
      </c>
      <c r="I9125">
        <v>59.22</v>
      </c>
      <c r="J9125" s="50">
        <v>414.54</v>
      </c>
      <c r="K9125" t="s">
        <v>1618</v>
      </c>
      <c r="M9125" t="s">
        <v>1629</v>
      </c>
      <c r="N9125">
        <v>31.25</v>
      </c>
      <c r="O9125" s="49">
        <v>44915</v>
      </c>
      <c r="P9125" s="50">
        <v>186.54300000000001</v>
      </c>
    </row>
    <row r="9126" spans="4:16" x14ac:dyDescent="0.2">
      <c r="D9126">
        <v>100005452</v>
      </c>
      <c r="E9126" s="49">
        <v>45356</v>
      </c>
      <c r="F9126" t="s">
        <v>6574</v>
      </c>
      <c r="G9126" t="s">
        <v>2416</v>
      </c>
      <c r="H9126">
        <v>2</v>
      </c>
      <c r="I9126">
        <v>61.96</v>
      </c>
      <c r="J9126" s="50">
        <v>123.92</v>
      </c>
      <c r="K9126" t="s">
        <v>1618</v>
      </c>
      <c r="M9126" t="s">
        <v>1619</v>
      </c>
      <c r="N9126">
        <v>32.700000000000003</v>
      </c>
      <c r="O9126" s="49">
        <v>45357</v>
      </c>
      <c r="P9126" s="50">
        <v>55.764000000000003</v>
      </c>
    </row>
    <row r="9127" spans="4:16" x14ac:dyDescent="0.2">
      <c r="D9127">
        <v>100005452</v>
      </c>
      <c r="E9127" s="49">
        <v>45282</v>
      </c>
      <c r="F9127" t="s">
        <v>6574</v>
      </c>
      <c r="G9127" t="s">
        <v>2460</v>
      </c>
      <c r="H9127">
        <v>1</v>
      </c>
      <c r="I9127">
        <v>107.66</v>
      </c>
      <c r="J9127" s="50">
        <v>107.66</v>
      </c>
      <c r="K9127" t="s">
        <v>1618</v>
      </c>
      <c r="M9127" t="s">
        <v>1621</v>
      </c>
      <c r="N9127">
        <v>56.82</v>
      </c>
      <c r="O9127" s="49">
        <v>45284</v>
      </c>
      <c r="P9127" s="50">
        <v>48.447000000000003</v>
      </c>
    </row>
    <row r="9128" spans="4:16" x14ac:dyDescent="0.2">
      <c r="D9128">
        <v>100005452</v>
      </c>
      <c r="E9128" s="49">
        <v>45316</v>
      </c>
      <c r="F9128" t="s">
        <v>6574</v>
      </c>
      <c r="G9128" t="s">
        <v>1748</v>
      </c>
      <c r="H9128">
        <v>3</v>
      </c>
      <c r="I9128">
        <v>34.799999999999997</v>
      </c>
      <c r="J9128" s="50">
        <v>104.4</v>
      </c>
      <c r="K9128" t="s">
        <v>1618</v>
      </c>
      <c r="M9128" t="s">
        <v>1624</v>
      </c>
      <c r="N9128">
        <v>18.37</v>
      </c>
      <c r="O9128" s="49">
        <v>45319</v>
      </c>
      <c r="P9128" s="50">
        <v>46.980000000000004</v>
      </c>
    </row>
    <row r="9129" spans="4:16" x14ac:dyDescent="0.2">
      <c r="D9129">
        <v>100005452</v>
      </c>
      <c r="E9129" s="49">
        <v>44442</v>
      </c>
      <c r="F9129" t="s">
        <v>6574</v>
      </c>
      <c r="G9129" t="s">
        <v>1978</v>
      </c>
      <c r="H9129">
        <v>10</v>
      </c>
      <c r="I9129">
        <v>89.03</v>
      </c>
      <c r="J9129" s="50">
        <v>890.3</v>
      </c>
      <c r="K9129" t="s">
        <v>1618</v>
      </c>
      <c r="M9129" t="s">
        <v>1627</v>
      </c>
      <c r="N9129">
        <v>46.99</v>
      </c>
      <c r="O9129" s="49">
        <v>44446</v>
      </c>
      <c r="P9129" s="50">
        <v>400.63499999999999</v>
      </c>
    </row>
    <row r="9130" spans="4:16" x14ac:dyDescent="0.2">
      <c r="D9130">
        <v>100005453</v>
      </c>
      <c r="E9130" s="49">
        <v>44681</v>
      </c>
      <c r="F9130" t="s">
        <v>6575</v>
      </c>
      <c r="G9130" t="s">
        <v>1709</v>
      </c>
      <c r="H9130">
        <v>5</v>
      </c>
      <c r="I9130">
        <v>13.43</v>
      </c>
      <c r="J9130" s="50">
        <v>67.150000000000006</v>
      </c>
      <c r="K9130" t="s">
        <v>1618</v>
      </c>
      <c r="M9130" t="s">
        <v>1619</v>
      </c>
      <c r="N9130">
        <v>7.09</v>
      </c>
      <c r="O9130" s="49">
        <v>44684</v>
      </c>
      <c r="P9130" s="50">
        <v>30.217500000000005</v>
      </c>
    </row>
    <row r="9131" spans="4:16" x14ac:dyDescent="0.2">
      <c r="D9131">
        <v>100005453</v>
      </c>
      <c r="E9131" s="49">
        <v>45068</v>
      </c>
      <c r="F9131" t="s">
        <v>6575</v>
      </c>
      <c r="G9131" t="s">
        <v>1797</v>
      </c>
      <c r="H9131">
        <v>1</v>
      </c>
      <c r="I9131">
        <v>22.64</v>
      </c>
      <c r="J9131" s="50">
        <v>22.64</v>
      </c>
      <c r="K9131" t="s">
        <v>1618</v>
      </c>
      <c r="M9131" t="s">
        <v>1627</v>
      </c>
      <c r="N9131">
        <v>11.95</v>
      </c>
      <c r="O9131" s="49">
        <v>45073</v>
      </c>
      <c r="P9131" s="50">
        <v>10.188000000000001</v>
      </c>
    </row>
    <row r="9132" spans="4:16" x14ac:dyDescent="0.2">
      <c r="D9132">
        <v>100005453</v>
      </c>
      <c r="E9132" s="49">
        <v>44997</v>
      </c>
      <c r="F9132" t="s">
        <v>6575</v>
      </c>
      <c r="G9132" t="s">
        <v>1700</v>
      </c>
      <c r="H9132">
        <v>8</v>
      </c>
      <c r="I9132">
        <v>82.94</v>
      </c>
      <c r="J9132" s="50">
        <v>663.52</v>
      </c>
      <c r="K9132" t="s">
        <v>1618</v>
      </c>
      <c r="M9132" t="s">
        <v>1627</v>
      </c>
      <c r="N9132">
        <v>43.77</v>
      </c>
      <c r="O9132" s="49">
        <v>45002</v>
      </c>
      <c r="P9132" s="50">
        <v>298.584</v>
      </c>
    </row>
    <row r="9133" spans="4:16" x14ac:dyDescent="0.2">
      <c r="D9133">
        <v>100005455</v>
      </c>
      <c r="E9133" s="49">
        <v>44470</v>
      </c>
      <c r="F9133" t="s">
        <v>6576</v>
      </c>
      <c r="G9133" t="s">
        <v>1895</v>
      </c>
      <c r="H9133">
        <v>7</v>
      </c>
      <c r="I9133">
        <v>64.27</v>
      </c>
      <c r="J9133" s="50">
        <v>449.89</v>
      </c>
      <c r="K9133" t="s">
        <v>1618</v>
      </c>
      <c r="M9133" t="s">
        <v>1619</v>
      </c>
      <c r="N9133">
        <v>33.92</v>
      </c>
      <c r="O9133" s="49">
        <v>44473</v>
      </c>
      <c r="P9133" s="50">
        <v>202.45050000000001</v>
      </c>
    </row>
    <row r="9134" spans="4:16" x14ac:dyDescent="0.2">
      <c r="D9134">
        <v>100005455</v>
      </c>
      <c r="E9134" s="49">
        <v>45209</v>
      </c>
      <c r="F9134" t="s">
        <v>6576</v>
      </c>
      <c r="G9134" t="s">
        <v>1794</v>
      </c>
      <c r="H9134">
        <v>6</v>
      </c>
      <c r="I9134">
        <v>68.959999999999994</v>
      </c>
      <c r="J9134" s="50">
        <v>413.76</v>
      </c>
      <c r="K9134" t="s">
        <v>1618</v>
      </c>
      <c r="M9134" t="s">
        <v>1627</v>
      </c>
      <c r="N9134">
        <v>36.4</v>
      </c>
      <c r="O9134" s="49">
        <v>45210</v>
      </c>
      <c r="P9134" s="50">
        <v>186.19200000000001</v>
      </c>
    </row>
    <row r="9135" spans="4:16" x14ac:dyDescent="0.2">
      <c r="D9135">
        <v>100005456</v>
      </c>
      <c r="E9135" s="49">
        <v>44231</v>
      </c>
      <c r="F9135" t="s">
        <v>6577</v>
      </c>
      <c r="G9135" t="s">
        <v>1775</v>
      </c>
      <c r="H9135">
        <v>7</v>
      </c>
      <c r="I9135">
        <v>11.61</v>
      </c>
      <c r="J9135" s="50">
        <v>81.27</v>
      </c>
      <c r="K9135" t="s">
        <v>1632</v>
      </c>
      <c r="M9135" t="s">
        <v>1621</v>
      </c>
      <c r="N9135">
        <v>6.13</v>
      </c>
      <c r="O9135" s="49">
        <v>44236</v>
      </c>
      <c r="P9135" s="50">
        <v>36.5715</v>
      </c>
    </row>
    <row r="9136" spans="4:16" x14ac:dyDescent="0.2">
      <c r="D9136">
        <v>100005457</v>
      </c>
      <c r="E9136" s="49">
        <v>45194</v>
      </c>
      <c r="F9136" t="s">
        <v>6578</v>
      </c>
      <c r="G9136" t="s">
        <v>2255</v>
      </c>
      <c r="H9136">
        <v>10</v>
      </c>
      <c r="I9136">
        <v>107.5</v>
      </c>
      <c r="J9136" s="50">
        <v>1075</v>
      </c>
      <c r="K9136" t="s">
        <v>1632</v>
      </c>
      <c r="M9136" t="s">
        <v>1624</v>
      </c>
      <c r="N9136">
        <v>56.74</v>
      </c>
      <c r="O9136" s="49">
        <v>45196</v>
      </c>
      <c r="P9136" s="50">
        <v>483.75</v>
      </c>
    </row>
    <row r="9137" spans="4:16" x14ac:dyDescent="0.2">
      <c r="D9137">
        <v>100005457</v>
      </c>
      <c r="E9137" s="49">
        <v>44476</v>
      </c>
      <c r="F9137" t="s">
        <v>6578</v>
      </c>
      <c r="G9137" t="s">
        <v>2023</v>
      </c>
      <c r="H9137">
        <v>2</v>
      </c>
      <c r="I9137">
        <v>105.6</v>
      </c>
      <c r="J9137" s="50">
        <v>211.2</v>
      </c>
      <c r="K9137" t="s">
        <v>1632</v>
      </c>
      <c r="M9137" t="s">
        <v>1629</v>
      </c>
      <c r="N9137">
        <v>55.73</v>
      </c>
      <c r="O9137" s="49">
        <v>44478</v>
      </c>
      <c r="P9137" s="50">
        <v>95.039999999999992</v>
      </c>
    </row>
    <row r="9138" spans="4:16" x14ac:dyDescent="0.2">
      <c r="D9138">
        <v>100005457</v>
      </c>
      <c r="E9138" s="49">
        <v>45077</v>
      </c>
      <c r="F9138" t="s">
        <v>6578</v>
      </c>
      <c r="G9138" t="s">
        <v>2581</v>
      </c>
      <c r="H9138">
        <v>8</v>
      </c>
      <c r="I9138">
        <v>97.9</v>
      </c>
      <c r="J9138" s="50">
        <v>783.2</v>
      </c>
      <c r="K9138" t="s">
        <v>1632</v>
      </c>
      <c r="M9138" t="s">
        <v>1619</v>
      </c>
      <c r="N9138">
        <v>51.67</v>
      </c>
      <c r="O9138" s="49">
        <v>45082</v>
      </c>
      <c r="P9138" s="50">
        <v>352.44000000000005</v>
      </c>
    </row>
    <row r="9139" spans="4:16" x14ac:dyDescent="0.2">
      <c r="D9139">
        <v>100005457</v>
      </c>
      <c r="E9139" s="49">
        <v>44981</v>
      </c>
      <c r="F9139" t="s">
        <v>6578</v>
      </c>
      <c r="G9139" t="s">
        <v>1634</v>
      </c>
      <c r="H9139">
        <v>9</v>
      </c>
      <c r="I9139">
        <v>45.22</v>
      </c>
      <c r="J9139" s="50">
        <v>406.98</v>
      </c>
      <c r="K9139" t="s">
        <v>1632</v>
      </c>
      <c r="M9139" t="s">
        <v>1629</v>
      </c>
      <c r="N9139">
        <v>23.87</v>
      </c>
      <c r="O9139" s="49">
        <v>44983</v>
      </c>
      <c r="P9139" s="50">
        <v>183.14100000000002</v>
      </c>
    </row>
    <row r="9140" spans="4:16" x14ac:dyDescent="0.2">
      <c r="D9140">
        <v>100005457</v>
      </c>
      <c r="E9140" s="49">
        <v>44398</v>
      </c>
      <c r="F9140" t="s">
        <v>6578</v>
      </c>
      <c r="G9140" t="s">
        <v>1766</v>
      </c>
      <c r="H9140">
        <v>3</v>
      </c>
      <c r="I9140">
        <v>36.97</v>
      </c>
      <c r="J9140" s="50">
        <v>110.91</v>
      </c>
      <c r="K9140" t="s">
        <v>1632</v>
      </c>
      <c r="M9140" t="s">
        <v>1624</v>
      </c>
      <c r="N9140">
        <v>19.510000000000002</v>
      </c>
      <c r="O9140" s="49">
        <v>44401</v>
      </c>
      <c r="P9140" s="50">
        <v>49.909500000000001</v>
      </c>
    </row>
    <row r="9141" spans="4:16" x14ac:dyDescent="0.2">
      <c r="D9141">
        <v>100005458</v>
      </c>
      <c r="E9141" s="49">
        <v>45339</v>
      </c>
      <c r="F9141" t="s">
        <v>6579</v>
      </c>
      <c r="G9141" t="s">
        <v>1901</v>
      </c>
      <c r="H9141">
        <v>2</v>
      </c>
      <c r="I9141">
        <v>105.14</v>
      </c>
      <c r="J9141" s="50">
        <v>210.28</v>
      </c>
      <c r="K9141" t="s">
        <v>1618</v>
      </c>
      <c r="L9141" t="s">
        <v>6580</v>
      </c>
      <c r="M9141" t="s">
        <v>1624</v>
      </c>
      <c r="N9141">
        <v>55.49</v>
      </c>
      <c r="O9141" s="49">
        <v>45343</v>
      </c>
      <c r="P9141" s="50">
        <v>94.626000000000005</v>
      </c>
    </row>
    <row r="9142" spans="4:16" x14ac:dyDescent="0.2">
      <c r="D9142">
        <v>100005458</v>
      </c>
      <c r="E9142" s="49">
        <v>44198</v>
      </c>
      <c r="F9142" t="s">
        <v>6579</v>
      </c>
      <c r="G9142" t="s">
        <v>1665</v>
      </c>
      <c r="H9142">
        <v>8</v>
      </c>
      <c r="I9142">
        <v>67.63</v>
      </c>
      <c r="J9142" s="50">
        <v>541.04</v>
      </c>
      <c r="K9142" t="s">
        <v>1618</v>
      </c>
      <c r="L9142" t="s">
        <v>6580</v>
      </c>
      <c r="M9142" t="s">
        <v>1621</v>
      </c>
      <c r="N9142">
        <v>35.69</v>
      </c>
      <c r="O9142" s="49">
        <v>44199</v>
      </c>
      <c r="P9142" s="50">
        <v>243.46799999999999</v>
      </c>
    </row>
    <row r="9143" spans="4:16" x14ac:dyDescent="0.2">
      <c r="D9143">
        <v>100005458</v>
      </c>
      <c r="E9143" s="49">
        <v>44452</v>
      </c>
      <c r="F9143" t="s">
        <v>6579</v>
      </c>
      <c r="G9143" t="s">
        <v>2460</v>
      </c>
      <c r="H9143">
        <v>5</v>
      </c>
      <c r="I9143">
        <v>103.26</v>
      </c>
      <c r="J9143" s="50">
        <v>516.30000000000007</v>
      </c>
      <c r="K9143" t="s">
        <v>1618</v>
      </c>
      <c r="L9143" t="s">
        <v>6580</v>
      </c>
      <c r="M9143" t="s">
        <v>1621</v>
      </c>
      <c r="N9143">
        <v>54.5</v>
      </c>
      <c r="O9143" s="49">
        <v>44454</v>
      </c>
      <c r="P9143" s="50">
        <v>232.33500000000004</v>
      </c>
    </row>
    <row r="9144" spans="4:16" x14ac:dyDescent="0.2">
      <c r="D9144">
        <v>100005459</v>
      </c>
      <c r="E9144" s="49">
        <v>45532</v>
      </c>
      <c r="F9144" t="s">
        <v>6581</v>
      </c>
      <c r="G9144" t="s">
        <v>1648</v>
      </c>
      <c r="H9144">
        <v>7</v>
      </c>
      <c r="I9144">
        <v>68.89</v>
      </c>
      <c r="J9144" s="50">
        <v>482.23</v>
      </c>
      <c r="K9144" t="s">
        <v>1618</v>
      </c>
      <c r="M9144" t="s">
        <v>1627</v>
      </c>
      <c r="N9144">
        <v>36.36</v>
      </c>
      <c r="O9144" s="49">
        <v>45535</v>
      </c>
      <c r="P9144" s="50">
        <v>217.0035</v>
      </c>
    </row>
    <row r="9145" spans="4:16" x14ac:dyDescent="0.2">
      <c r="D9145">
        <v>100005460</v>
      </c>
      <c r="E9145" s="49">
        <v>45213</v>
      </c>
      <c r="F9145" t="s">
        <v>6582</v>
      </c>
      <c r="G9145" t="s">
        <v>2093</v>
      </c>
      <c r="H9145">
        <v>3</v>
      </c>
      <c r="I9145">
        <v>74.97</v>
      </c>
      <c r="J9145" s="50">
        <v>224.91</v>
      </c>
      <c r="K9145" t="s">
        <v>1618</v>
      </c>
      <c r="M9145" t="s">
        <v>1624</v>
      </c>
      <c r="N9145">
        <v>39.57</v>
      </c>
      <c r="O9145" s="49">
        <v>45216</v>
      </c>
      <c r="P9145" s="50">
        <v>101.20950000000001</v>
      </c>
    </row>
    <row r="9146" spans="4:16" x14ac:dyDescent="0.2">
      <c r="D9146">
        <v>100005461</v>
      </c>
      <c r="E9146" s="49">
        <v>45629</v>
      </c>
      <c r="F9146" t="s">
        <v>6583</v>
      </c>
      <c r="G9146" t="s">
        <v>2762</v>
      </c>
      <c r="H9146">
        <v>7</v>
      </c>
      <c r="I9146">
        <v>107.4</v>
      </c>
      <c r="J9146" s="50">
        <v>751.80000000000007</v>
      </c>
      <c r="K9146" t="s">
        <v>1632</v>
      </c>
      <c r="M9146" t="s">
        <v>1627</v>
      </c>
      <c r="N9146">
        <v>56.68</v>
      </c>
      <c r="O9146" s="49">
        <v>45630</v>
      </c>
      <c r="P9146" s="50">
        <v>338.31000000000006</v>
      </c>
    </row>
    <row r="9147" spans="4:16" x14ac:dyDescent="0.2">
      <c r="D9147">
        <v>100005461</v>
      </c>
      <c r="E9147" s="49">
        <v>44543</v>
      </c>
      <c r="F9147" t="s">
        <v>6583</v>
      </c>
      <c r="G9147" t="s">
        <v>1749</v>
      </c>
      <c r="H9147">
        <v>7</v>
      </c>
      <c r="I9147">
        <v>103.83</v>
      </c>
      <c r="J9147" s="50">
        <v>726.81</v>
      </c>
      <c r="K9147" t="s">
        <v>1632</v>
      </c>
      <c r="M9147" t="s">
        <v>1629</v>
      </c>
      <c r="N9147">
        <v>54.8</v>
      </c>
      <c r="O9147" s="49">
        <v>44545</v>
      </c>
      <c r="P9147" s="50">
        <v>327.06450000000001</v>
      </c>
    </row>
    <row r="9148" spans="4:16" x14ac:dyDescent="0.2">
      <c r="D9148">
        <v>100005461</v>
      </c>
      <c r="E9148" s="49">
        <v>44851</v>
      </c>
      <c r="F9148" t="s">
        <v>6583</v>
      </c>
      <c r="G9148" t="s">
        <v>2145</v>
      </c>
      <c r="H9148">
        <v>2</v>
      </c>
      <c r="I9148">
        <v>45.32</v>
      </c>
      <c r="J9148" s="50">
        <v>90.64</v>
      </c>
      <c r="K9148" t="s">
        <v>1632</v>
      </c>
      <c r="M9148" t="s">
        <v>1627</v>
      </c>
      <c r="N9148">
        <v>23.92</v>
      </c>
      <c r="O9148" s="49">
        <v>44852</v>
      </c>
      <c r="P9148" s="50">
        <v>40.788000000000004</v>
      </c>
    </row>
    <row r="9149" spans="4:16" x14ac:dyDescent="0.2">
      <c r="D9149">
        <v>100005461</v>
      </c>
      <c r="E9149" s="49">
        <v>44584</v>
      </c>
      <c r="F9149" t="s">
        <v>6583</v>
      </c>
      <c r="G9149" t="s">
        <v>1765</v>
      </c>
      <c r="H9149">
        <v>2</v>
      </c>
      <c r="I9149">
        <v>69.260000000000005</v>
      </c>
      <c r="J9149" s="50">
        <v>138.52000000000001</v>
      </c>
      <c r="K9149" t="s">
        <v>1632</v>
      </c>
      <c r="M9149" t="s">
        <v>1627</v>
      </c>
      <c r="N9149">
        <v>36.549999999999997</v>
      </c>
      <c r="O9149" s="49">
        <v>44585</v>
      </c>
      <c r="P9149" s="50">
        <v>62.334000000000003</v>
      </c>
    </row>
    <row r="9150" spans="4:16" x14ac:dyDescent="0.2">
      <c r="D9150">
        <v>100005465</v>
      </c>
      <c r="E9150" s="49">
        <v>45592</v>
      </c>
      <c r="F9150" t="s">
        <v>6584</v>
      </c>
      <c r="G9150" t="s">
        <v>1830</v>
      </c>
      <c r="H9150">
        <v>6</v>
      </c>
      <c r="I9150">
        <v>67.34</v>
      </c>
      <c r="J9150" s="50">
        <v>404.04</v>
      </c>
      <c r="K9150" t="s">
        <v>1632</v>
      </c>
      <c r="M9150" t="s">
        <v>1629</v>
      </c>
      <c r="N9150">
        <v>35.54</v>
      </c>
      <c r="O9150" s="49">
        <v>45597</v>
      </c>
      <c r="P9150" s="50">
        <v>181.81800000000001</v>
      </c>
    </row>
    <row r="9151" spans="4:16" x14ac:dyDescent="0.2">
      <c r="D9151">
        <v>100005466</v>
      </c>
      <c r="E9151" s="49">
        <v>44267</v>
      </c>
      <c r="F9151" t="s">
        <v>6585</v>
      </c>
      <c r="G9151" t="s">
        <v>1644</v>
      </c>
      <c r="H9151">
        <v>10</v>
      </c>
      <c r="I9151">
        <v>55.57</v>
      </c>
      <c r="J9151" s="50">
        <v>555.70000000000005</v>
      </c>
      <c r="K9151" t="s">
        <v>1618</v>
      </c>
      <c r="M9151" t="s">
        <v>1624</v>
      </c>
      <c r="N9151">
        <v>29.33</v>
      </c>
      <c r="O9151" s="49">
        <v>44270</v>
      </c>
      <c r="P9151" s="50">
        <v>250.06500000000003</v>
      </c>
    </row>
    <row r="9152" spans="4:16" x14ac:dyDescent="0.2">
      <c r="D9152">
        <v>100005467</v>
      </c>
      <c r="E9152" s="49">
        <v>45609</v>
      </c>
      <c r="F9152" t="s">
        <v>6586</v>
      </c>
      <c r="G9152" t="s">
        <v>1718</v>
      </c>
      <c r="H9152">
        <v>1</v>
      </c>
      <c r="I9152">
        <v>52.32</v>
      </c>
      <c r="J9152" s="50">
        <v>52.32</v>
      </c>
      <c r="K9152" t="s">
        <v>1632</v>
      </c>
      <c r="M9152" t="s">
        <v>1624</v>
      </c>
      <c r="N9152">
        <v>27.61</v>
      </c>
      <c r="O9152" s="49">
        <v>45610</v>
      </c>
      <c r="P9152" s="50">
        <v>23.544</v>
      </c>
    </row>
    <row r="9153" spans="4:16" x14ac:dyDescent="0.2">
      <c r="D9153">
        <v>100005468</v>
      </c>
      <c r="E9153" s="49">
        <v>45471</v>
      </c>
      <c r="F9153" t="s">
        <v>6587</v>
      </c>
      <c r="G9153" t="s">
        <v>2101</v>
      </c>
      <c r="H9153">
        <v>6</v>
      </c>
      <c r="I9153">
        <v>99.59</v>
      </c>
      <c r="J9153" s="50">
        <v>597.54</v>
      </c>
      <c r="K9153" t="s">
        <v>1618</v>
      </c>
      <c r="M9153" t="s">
        <v>1619</v>
      </c>
      <c r="N9153">
        <v>52.56</v>
      </c>
      <c r="O9153" s="49">
        <v>45476</v>
      </c>
      <c r="P9153" s="50">
        <v>268.89299999999997</v>
      </c>
    </row>
    <row r="9154" spans="4:16" x14ac:dyDescent="0.2">
      <c r="D9154">
        <v>100005468</v>
      </c>
      <c r="E9154" s="49">
        <v>45131</v>
      </c>
      <c r="F9154" t="s">
        <v>6587</v>
      </c>
      <c r="G9154" t="s">
        <v>2161</v>
      </c>
      <c r="H9154">
        <v>5</v>
      </c>
      <c r="I9154">
        <v>101.94</v>
      </c>
      <c r="J9154" s="50">
        <v>509.7</v>
      </c>
      <c r="K9154" t="s">
        <v>1618</v>
      </c>
      <c r="M9154" t="s">
        <v>1629</v>
      </c>
      <c r="N9154">
        <v>53.8</v>
      </c>
      <c r="O9154" s="49">
        <v>45134</v>
      </c>
      <c r="P9154" s="50">
        <v>229.36500000000001</v>
      </c>
    </row>
    <row r="9155" spans="4:16" x14ac:dyDescent="0.2">
      <c r="D9155">
        <v>100005469</v>
      </c>
      <c r="E9155" s="49">
        <v>45493</v>
      </c>
      <c r="F9155" t="s">
        <v>6588</v>
      </c>
      <c r="G9155" t="s">
        <v>1717</v>
      </c>
      <c r="H9155">
        <v>5</v>
      </c>
      <c r="I9155">
        <v>15.88</v>
      </c>
      <c r="J9155" s="50">
        <v>79.400000000000006</v>
      </c>
      <c r="K9155" t="s">
        <v>1618</v>
      </c>
      <c r="L9155" t="s">
        <v>2695</v>
      </c>
      <c r="M9155" t="s">
        <v>1629</v>
      </c>
      <c r="N9155">
        <v>8.3800000000000008</v>
      </c>
      <c r="O9155" s="49">
        <v>45497</v>
      </c>
      <c r="P9155" s="50">
        <v>35.730000000000004</v>
      </c>
    </row>
    <row r="9156" spans="4:16" x14ac:dyDescent="0.2">
      <c r="D9156">
        <v>100005469</v>
      </c>
      <c r="E9156" s="49">
        <v>44895</v>
      </c>
      <c r="F9156" t="s">
        <v>6588</v>
      </c>
      <c r="G9156" t="s">
        <v>1669</v>
      </c>
      <c r="H9156">
        <v>10</v>
      </c>
      <c r="I9156">
        <v>104.89</v>
      </c>
      <c r="J9156" s="50">
        <v>1048.9000000000001</v>
      </c>
      <c r="K9156" t="s">
        <v>1618</v>
      </c>
      <c r="L9156" t="s">
        <v>2695</v>
      </c>
      <c r="M9156" t="s">
        <v>1629</v>
      </c>
      <c r="N9156">
        <v>55.36</v>
      </c>
      <c r="O9156" s="49">
        <v>44896</v>
      </c>
      <c r="P9156" s="50">
        <v>472.00500000000005</v>
      </c>
    </row>
    <row r="9157" spans="4:16" x14ac:dyDescent="0.2">
      <c r="D9157">
        <v>100005469</v>
      </c>
      <c r="E9157" s="49">
        <v>44606</v>
      </c>
      <c r="F9157" t="s">
        <v>6588</v>
      </c>
      <c r="G9157" t="s">
        <v>2571</v>
      </c>
      <c r="H9157">
        <v>1</v>
      </c>
      <c r="I9157">
        <v>94.76</v>
      </c>
      <c r="J9157" s="50">
        <v>94.76</v>
      </c>
      <c r="K9157" t="s">
        <v>1618</v>
      </c>
      <c r="L9157" t="s">
        <v>2695</v>
      </c>
      <c r="M9157" t="s">
        <v>1627</v>
      </c>
      <c r="N9157">
        <v>50.01</v>
      </c>
      <c r="O9157" s="49">
        <v>44610</v>
      </c>
      <c r="P9157" s="50">
        <v>42.642000000000003</v>
      </c>
    </row>
    <row r="9158" spans="4:16" x14ac:dyDescent="0.2">
      <c r="D9158">
        <v>100005469</v>
      </c>
      <c r="E9158" s="49">
        <v>45542</v>
      </c>
      <c r="F9158" t="s">
        <v>6588</v>
      </c>
      <c r="G9158" t="s">
        <v>2255</v>
      </c>
      <c r="H9158">
        <v>10</v>
      </c>
      <c r="I9158">
        <v>78.89</v>
      </c>
      <c r="J9158" s="50">
        <v>788.9</v>
      </c>
      <c r="K9158" t="s">
        <v>1618</v>
      </c>
      <c r="L9158" t="s">
        <v>2695</v>
      </c>
      <c r="M9158" t="s">
        <v>1621</v>
      </c>
      <c r="N9158">
        <v>41.64</v>
      </c>
      <c r="O9158" s="49">
        <v>45546</v>
      </c>
      <c r="P9158" s="50">
        <v>355.005</v>
      </c>
    </row>
    <row r="9159" spans="4:16" x14ac:dyDescent="0.2">
      <c r="D9159">
        <v>100005469</v>
      </c>
      <c r="E9159" s="49">
        <v>45079</v>
      </c>
      <c r="F9159" t="s">
        <v>6588</v>
      </c>
      <c r="G9159" t="s">
        <v>1924</v>
      </c>
      <c r="H9159">
        <v>9</v>
      </c>
      <c r="I9159">
        <v>93.9</v>
      </c>
      <c r="J9159" s="50">
        <v>845.1</v>
      </c>
      <c r="K9159" t="s">
        <v>1618</v>
      </c>
      <c r="L9159" t="s">
        <v>2695</v>
      </c>
      <c r="M9159" t="s">
        <v>1627</v>
      </c>
      <c r="N9159">
        <v>49.56</v>
      </c>
      <c r="O9159" s="49">
        <v>45083</v>
      </c>
      <c r="P9159" s="50">
        <v>380.29500000000002</v>
      </c>
    </row>
    <row r="9160" spans="4:16" x14ac:dyDescent="0.2">
      <c r="D9160">
        <v>100005470</v>
      </c>
      <c r="E9160" s="49">
        <v>44948</v>
      </c>
      <c r="F9160" t="s">
        <v>6589</v>
      </c>
      <c r="G9160" t="s">
        <v>2076</v>
      </c>
      <c r="H9160">
        <v>5</v>
      </c>
      <c r="I9160">
        <v>57.89</v>
      </c>
      <c r="J9160" s="50">
        <v>289.45</v>
      </c>
      <c r="K9160" t="s">
        <v>1618</v>
      </c>
      <c r="M9160" t="s">
        <v>1624</v>
      </c>
      <c r="N9160">
        <v>30.55</v>
      </c>
      <c r="O9160" s="49">
        <v>44949</v>
      </c>
      <c r="P9160" s="50">
        <v>130.2525</v>
      </c>
    </row>
    <row r="9161" spans="4:16" x14ac:dyDescent="0.2">
      <c r="D9161">
        <v>100005470</v>
      </c>
      <c r="E9161" s="49">
        <v>44526</v>
      </c>
      <c r="F9161" t="s">
        <v>6589</v>
      </c>
      <c r="G9161" t="s">
        <v>2068</v>
      </c>
      <c r="H9161">
        <v>1</v>
      </c>
      <c r="I9161">
        <v>55.24</v>
      </c>
      <c r="J9161" s="50">
        <v>55.24</v>
      </c>
      <c r="K9161" t="s">
        <v>1618</v>
      </c>
      <c r="M9161" t="s">
        <v>1629</v>
      </c>
      <c r="N9161">
        <v>29.15</v>
      </c>
      <c r="O9161" s="49">
        <v>44530</v>
      </c>
      <c r="P9161" s="50">
        <v>24.858000000000001</v>
      </c>
    </row>
    <row r="9162" spans="4:16" x14ac:dyDescent="0.2">
      <c r="D9162">
        <v>100005470</v>
      </c>
      <c r="E9162" s="49">
        <v>44301</v>
      </c>
      <c r="F9162" t="s">
        <v>6589</v>
      </c>
      <c r="G9162" t="s">
        <v>1969</v>
      </c>
      <c r="H9162">
        <v>1</v>
      </c>
      <c r="I9162">
        <v>55.06</v>
      </c>
      <c r="J9162" s="50">
        <v>55.06</v>
      </c>
      <c r="K9162" t="s">
        <v>1618</v>
      </c>
      <c r="M9162" t="s">
        <v>1621</v>
      </c>
      <c r="N9162">
        <v>29.06</v>
      </c>
      <c r="O9162" s="49">
        <v>44306</v>
      </c>
      <c r="P9162" s="50">
        <v>24.777000000000001</v>
      </c>
    </row>
    <row r="9163" spans="4:16" x14ac:dyDescent="0.2">
      <c r="D9163">
        <v>100005470</v>
      </c>
      <c r="E9163" s="49">
        <v>44785</v>
      </c>
      <c r="F9163" t="s">
        <v>6589</v>
      </c>
      <c r="G9163" t="s">
        <v>1690</v>
      </c>
      <c r="H9163">
        <v>3</v>
      </c>
      <c r="I9163">
        <v>54.72</v>
      </c>
      <c r="J9163" s="50">
        <v>164.16</v>
      </c>
      <c r="K9163" t="s">
        <v>1618</v>
      </c>
      <c r="M9163" t="s">
        <v>1624</v>
      </c>
      <c r="N9163">
        <v>28.88</v>
      </c>
      <c r="O9163" s="49">
        <v>44786</v>
      </c>
      <c r="P9163" s="50">
        <v>73.872</v>
      </c>
    </row>
    <row r="9164" spans="4:16" x14ac:dyDescent="0.2">
      <c r="D9164">
        <v>100005471</v>
      </c>
      <c r="E9164" s="49">
        <v>45281</v>
      </c>
      <c r="F9164" t="s">
        <v>6590</v>
      </c>
      <c r="G9164" t="s">
        <v>2145</v>
      </c>
      <c r="H9164">
        <v>7</v>
      </c>
      <c r="I9164">
        <v>117.7</v>
      </c>
      <c r="J9164" s="50">
        <v>823.9</v>
      </c>
      <c r="K9164" t="s">
        <v>1618</v>
      </c>
      <c r="M9164" t="s">
        <v>1621</v>
      </c>
      <c r="N9164">
        <v>62.12</v>
      </c>
      <c r="O9164" s="49">
        <v>45285</v>
      </c>
      <c r="P9164" s="50">
        <v>370.755</v>
      </c>
    </row>
    <row r="9165" spans="4:16" x14ac:dyDescent="0.2">
      <c r="D9165">
        <v>100005471</v>
      </c>
      <c r="E9165" s="49">
        <v>44238</v>
      </c>
      <c r="F9165" t="s">
        <v>6590</v>
      </c>
      <c r="G9165" t="s">
        <v>1693</v>
      </c>
      <c r="H9165">
        <v>2</v>
      </c>
      <c r="I9165">
        <v>37.590000000000003</v>
      </c>
      <c r="J9165" s="50">
        <v>75.180000000000007</v>
      </c>
      <c r="K9165" t="s">
        <v>1618</v>
      </c>
      <c r="M9165" t="s">
        <v>1621</v>
      </c>
      <c r="N9165">
        <v>19.84</v>
      </c>
      <c r="O9165" s="49">
        <v>44243</v>
      </c>
      <c r="P9165" s="50">
        <v>33.831000000000003</v>
      </c>
    </row>
    <row r="9166" spans="4:16" x14ac:dyDescent="0.2">
      <c r="D9166">
        <v>100005471</v>
      </c>
      <c r="E9166" s="49">
        <v>44361</v>
      </c>
      <c r="F9166" t="s">
        <v>6590</v>
      </c>
      <c r="G9166" t="s">
        <v>2116</v>
      </c>
      <c r="H9166">
        <v>4</v>
      </c>
      <c r="I9166">
        <v>114.52</v>
      </c>
      <c r="J9166" s="50">
        <v>458.08</v>
      </c>
      <c r="K9166" t="s">
        <v>1618</v>
      </c>
      <c r="M9166" t="s">
        <v>1627</v>
      </c>
      <c r="N9166">
        <v>60.44</v>
      </c>
      <c r="O9166" s="49">
        <v>44362</v>
      </c>
      <c r="P9166" s="50">
        <v>206.136</v>
      </c>
    </row>
    <row r="9167" spans="4:16" x14ac:dyDescent="0.2">
      <c r="D9167">
        <v>100005472</v>
      </c>
      <c r="E9167" s="49">
        <v>45224</v>
      </c>
      <c r="F9167" t="s">
        <v>6591</v>
      </c>
      <c r="G9167" t="s">
        <v>2412</v>
      </c>
      <c r="H9167">
        <v>2</v>
      </c>
      <c r="I9167">
        <v>18.559999999999999</v>
      </c>
      <c r="J9167" s="50">
        <v>37.119999999999997</v>
      </c>
      <c r="K9167" t="s">
        <v>1618</v>
      </c>
      <c r="M9167" t="s">
        <v>1624</v>
      </c>
      <c r="N9167">
        <v>9.8000000000000007</v>
      </c>
      <c r="O9167" s="49">
        <v>45226</v>
      </c>
      <c r="P9167" s="50">
        <v>16.704000000000001</v>
      </c>
    </row>
    <row r="9168" spans="4:16" x14ac:dyDescent="0.2">
      <c r="D9168">
        <v>100005472</v>
      </c>
      <c r="E9168" s="49">
        <v>44216</v>
      </c>
      <c r="F9168" t="s">
        <v>6591</v>
      </c>
      <c r="G9168" t="s">
        <v>1758</v>
      </c>
      <c r="H9168">
        <v>2</v>
      </c>
      <c r="I9168">
        <v>75.03</v>
      </c>
      <c r="J9168" s="50">
        <v>150.06</v>
      </c>
      <c r="K9168" t="s">
        <v>1618</v>
      </c>
      <c r="M9168" t="s">
        <v>1619</v>
      </c>
      <c r="N9168">
        <v>39.6</v>
      </c>
      <c r="O9168" s="49">
        <v>44220</v>
      </c>
      <c r="P9168" s="50">
        <v>67.527000000000001</v>
      </c>
    </row>
    <row r="9169" spans="4:16" x14ac:dyDescent="0.2">
      <c r="D9169">
        <v>100005474</v>
      </c>
      <c r="E9169" s="49">
        <v>45301</v>
      </c>
      <c r="F9169" t="s">
        <v>6592</v>
      </c>
      <c r="G9169" t="s">
        <v>1834</v>
      </c>
      <c r="H9169">
        <v>6</v>
      </c>
      <c r="I9169">
        <v>13.07</v>
      </c>
      <c r="J9169" s="50">
        <v>78.42</v>
      </c>
      <c r="K9169" t="s">
        <v>1632</v>
      </c>
      <c r="M9169" t="s">
        <v>1621</v>
      </c>
      <c r="N9169">
        <v>6.9</v>
      </c>
      <c r="O9169" s="49">
        <v>45302</v>
      </c>
      <c r="P9169" s="50">
        <v>35.289000000000001</v>
      </c>
    </row>
    <row r="9170" spans="4:16" x14ac:dyDescent="0.2">
      <c r="D9170">
        <v>100005475</v>
      </c>
      <c r="E9170" s="49">
        <v>45003</v>
      </c>
      <c r="F9170" t="s">
        <v>6593</v>
      </c>
      <c r="G9170" t="s">
        <v>1794</v>
      </c>
      <c r="H9170">
        <v>5</v>
      </c>
      <c r="I9170">
        <v>55.4</v>
      </c>
      <c r="J9170" s="50">
        <v>277</v>
      </c>
      <c r="K9170" t="s">
        <v>1618</v>
      </c>
      <c r="M9170" t="s">
        <v>1619</v>
      </c>
      <c r="N9170">
        <v>29.24</v>
      </c>
      <c r="O9170" s="49">
        <v>45005</v>
      </c>
      <c r="P9170" s="50">
        <v>124.65</v>
      </c>
    </row>
    <row r="9171" spans="4:16" x14ac:dyDescent="0.2">
      <c r="D9171">
        <v>100005475</v>
      </c>
      <c r="E9171" s="49">
        <v>44490</v>
      </c>
      <c r="F9171" t="s">
        <v>6593</v>
      </c>
      <c r="G9171" t="s">
        <v>2581</v>
      </c>
      <c r="H9171">
        <v>8</v>
      </c>
      <c r="I9171">
        <v>60.54</v>
      </c>
      <c r="J9171" s="50">
        <v>484.32</v>
      </c>
      <c r="K9171" t="s">
        <v>1618</v>
      </c>
      <c r="M9171" t="s">
        <v>1619</v>
      </c>
      <c r="N9171">
        <v>31.95</v>
      </c>
      <c r="O9171" s="49">
        <v>44494</v>
      </c>
      <c r="P9171" s="50">
        <v>217.94399999999999</v>
      </c>
    </row>
    <row r="9172" spans="4:16" x14ac:dyDescent="0.2">
      <c r="D9172">
        <v>100005475</v>
      </c>
      <c r="E9172" s="49">
        <v>44541</v>
      </c>
      <c r="F9172" t="s">
        <v>6593</v>
      </c>
      <c r="G9172" t="s">
        <v>2484</v>
      </c>
      <c r="H9172">
        <v>5</v>
      </c>
      <c r="I9172">
        <v>87.95</v>
      </c>
      <c r="J9172" s="50">
        <v>439.75</v>
      </c>
      <c r="K9172" t="s">
        <v>1618</v>
      </c>
      <c r="M9172" t="s">
        <v>1629</v>
      </c>
      <c r="N9172">
        <v>46.42</v>
      </c>
      <c r="O9172" s="49">
        <v>44542</v>
      </c>
      <c r="P9172" s="50">
        <v>197.88750000000002</v>
      </c>
    </row>
    <row r="9173" spans="4:16" x14ac:dyDescent="0.2">
      <c r="D9173">
        <v>100005475</v>
      </c>
      <c r="E9173" s="49">
        <v>44874</v>
      </c>
      <c r="F9173" t="s">
        <v>6593</v>
      </c>
      <c r="G9173" t="s">
        <v>2581</v>
      </c>
      <c r="H9173">
        <v>6</v>
      </c>
      <c r="I9173">
        <v>107.13</v>
      </c>
      <c r="J9173" s="50">
        <v>642.78</v>
      </c>
      <c r="K9173" t="s">
        <v>1618</v>
      </c>
      <c r="M9173" t="s">
        <v>1627</v>
      </c>
      <c r="N9173">
        <v>56.54</v>
      </c>
      <c r="O9173" s="49">
        <v>44879</v>
      </c>
      <c r="P9173" s="50">
        <v>289.25099999999998</v>
      </c>
    </row>
    <row r="9174" spans="4:16" x14ac:dyDescent="0.2">
      <c r="D9174">
        <v>100005475</v>
      </c>
      <c r="E9174" s="49">
        <v>44535</v>
      </c>
      <c r="F9174" t="s">
        <v>6593</v>
      </c>
      <c r="G9174" t="s">
        <v>2207</v>
      </c>
      <c r="H9174">
        <v>4</v>
      </c>
      <c r="I9174">
        <v>56.77</v>
      </c>
      <c r="J9174" s="50">
        <v>227.08</v>
      </c>
      <c r="K9174" t="s">
        <v>1618</v>
      </c>
      <c r="M9174" t="s">
        <v>1627</v>
      </c>
      <c r="N9174">
        <v>29.96</v>
      </c>
      <c r="O9174" s="49">
        <v>44540</v>
      </c>
      <c r="P9174" s="50">
        <v>102.18600000000001</v>
      </c>
    </row>
    <row r="9175" spans="4:16" x14ac:dyDescent="0.2">
      <c r="D9175">
        <v>100005477</v>
      </c>
      <c r="E9175" s="49">
        <v>45306</v>
      </c>
      <c r="F9175" t="s">
        <v>6594</v>
      </c>
      <c r="G9175" t="s">
        <v>1842</v>
      </c>
      <c r="H9175">
        <v>7</v>
      </c>
      <c r="I9175">
        <v>29.03</v>
      </c>
      <c r="J9175" s="50">
        <v>203.21</v>
      </c>
      <c r="K9175" t="s">
        <v>1632</v>
      </c>
      <c r="M9175" t="s">
        <v>1624</v>
      </c>
      <c r="N9175">
        <v>15.32</v>
      </c>
      <c r="O9175" s="49">
        <v>45308</v>
      </c>
      <c r="P9175" s="50">
        <v>91.444500000000005</v>
      </c>
    </row>
    <row r="9176" spans="4:16" x14ac:dyDescent="0.2">
      <c r="D9176">
        <v>100005477</v>
      </c>
      <c r="E9176" s="49">
        <v>45533</v>
      </c>
      <c r="F9176" t="s">
        <v>6594</v>
      </c>
      <c r="G9176" t="s">
        <v>1929</v>
      </c>
      <c r="H9176">
        <v>5</v>
      </c>
      <c r="I9176">
        <v>73.59</v>
      </c>
      <c r="J9176" s="50">
        <v>367.95</v>
      </c>
      <c r="K9176" t="s">
        <v>1632</v>
      </c>
      <c r="M9176" t="s">
        <v>1627</v>
      </c>
      <c r="N9176">
        <v>38.840000000000003</v>
      </c>
      <c r="O9176" s="49">
        <v>45538</v>
      </c>
      <c r="P9176" s="50">
        <v>165.57749999999999</v>
      </c>
    </row>
    <row r="9177" spans="4:16" x14ac:dyDescent="0.2">
      <c r="D9177">
        <v>100005477</v>
      </c>
      <c r="E9177" s="49">
        <v>45164</v>
      </c>
      <c r="F9177" t="s">
        <v>6594</v>
      </c>
      <c r="G9177" t="s">
        <v>2023</v>
      </c>
      <c r="H9177">
        <v>7</v>
      </c>
      <c r="I9177">
        <v>46.59</v>
      </c>
      <c r="J9177" s="50">
        <v>326.13</v>
      </c>
      <c r="K9177" t="s">
        <v>1632</v>
      </c>
      <c r="M9177" t="s">
        <v>1629</v>
      </c>
      <c r="N9177">
        <v>24.59</v>
      </c>
      <c r="O9177" s="49">
        <v>45166</v>
      </c>
      <c r="P9177" s="50">
        <v>146.7585</v>
      </c>
    </row>
    <row r="9178" spans="4:16" x14ac:dyDescent="0.2">
      <c r="D9178">
        <v>100005478</v>
      </c>
      <c r="E9178" s="49">
        <v>44906</v>
      </c>
      <c r="F9178" t="s">
        <v>3484</v>
      </c>
      <c r="G9178" t="s">
        <v>1738</v>
      </c>
      <c r="H9178">
        <v>8</v>
      </c>
      <c r="I9178">
        <v>111.95</v>
      </c>
      <c r="J9178" s="50">
        <v>895.6</v>
      </c>
      <c r="K9178" t="s">
        <v>1632</v>
      </c>
      <c r="M9178" t="s">
        <v>1619</v>
      </c>
      <c r="N9178">
        <v>59.08</v>
      </c>
      <c r="O9178" s="49">
        <v>44907</v>
      </c>
      <c r="P9178" s="50">
        <v>403.02000000000004</v>
      </c>
    </row>
    <row r="9179" spans="4:16" x14ac:dyDescent="0.2">
      <c r="D9179">
        <v>100005479</v>
      </c>
      <c r="E9179" s="49">
        <v>45630</v>
      </c>
      <c r="F9179" t="s">
        <v>6595</v>
      </c>
      <c r="G9179" t="s">
        <v>2074</v>
      </c>
      <c r="H9179">
        <v>1</v>
      </c>
      <c r="I9179">
        <v>92.6</v>
      </c>
      <c r="J9179" s="50">
        <v>92.6</v>
      </c>
      <c r="K9179" t="s">
        <v>1618</v>
      </c>
      <c r="M9179" t="s">
        <v>1627</v>
      </c>
      <c r="N9179">
        <v>48.87</v>
      </c>
      <c r="O9179" s="49">
        <v>45631</v>
      </c>
      <c r="P9179" s="50">
        <v>41.67</v>
      </c>
    </row>
    <row r="9180" spans="4:16" x14ac:dyDescent="0.2">
      <c r="D9180">
        <v>100005480</v>
      </c>
      <c r="E9180" s="49">
        <v>44549</v>
      </c>
      <c r="F9180" t="s">
        <v>6596</v>
      </c>
      <c r="G9180" t="s">
        <v>2028</v>
      </c>
      <c r="H9180">
        <v>4</v>
      </c>
      <c r="I9180">
        <v>50.59</v>
      </c>
      <c r="J9180" s="50">
        <v>202.36</v>
      </c>
      <c r="K9180" t="s">
        <v>1632</v>
      </c>
      <c r="M9180" t="s">
        <v>1621</v>
      </c>
      <c r="N9180">
        <v>26.7</v>
      </c>
      <c r="O9180" s="49">
        <v>44554</v>
      </c>
      <c r="P9180" s="50">
        <v>91.062000000000012</v>
      </c>
    </row>
    <row r="9181" spans="4:16" x14ac:dyDescent="0.2">
      <c r="D9181">
        <v>100005480</v>
      </c>
      <c r="E9181" s="49">
        <v>44984</v>
      </c>
      <c r="F9181" t="s">
        <v>6596</v>
      </c>
      <c r="G9181" t="s">
        <v>1823</v>
      </c>
      <c r="H9181">
        <v>2</v>
      </c>
      <c r="I9181">
        <v>112.73</v>
      </c>
      <c r="J9181" s="50">
        <v>225.46</v>
      </c>
      <c r="K9181" t="s">
        <v>1632</v>
      </c>
      <c r="M9181" t="s">
        <v>1627</v>
      </c>
      <c r="N9181">
        <v>59.5</v>
      </c>
      <c r="O9181" s="49">
        <v>44986</v>
      </c>
      <c r="P9181" s="50">
        <v>101.45700000000001</v>
      </c>
    </row>
    <row r="9182" spans="4:16" x14ac:dyDescent="0.2">
      <c r="D9182">
        <v>100005485</v>
      </c>
      <c r="E9182" s="49">
        <v>45413</v>
      </c>
      <c r="F9182" t="s">
        <v>6597</v>
      </c>
      <c r="G9182" t="s">
        <v>1815</v>
      </c>
      <c r="H9182">
        <v>6</v>
      </c>
      <c r="I9182">
        <v>74.650000000000006</v>
      </c>
      <c r="J9182" s="50">
        <v>447.9</v>
      </c>
      <c r="K9182" t="s">
        <v>1618</v>
      </c>
      <c r="L9182" t="s">
        <v>6598</v>
      </c>
      <c r="M9182" t="s">
        <v>1629</v>
      </c>
      <c r="N9182">
        <v>39.4</v>
      </c>
      <c r="O9182" s="49">
        <v>45416</v>
      </c>
      <c r="P9182" s="50">
        <v>201.55500000000001</v>
      </c>
    </row>
    <row r="9183" spans="4:16" x14ac:dyDescent="0.2">
      <c r="D9183">
        <v>100005485</v>
      </c>
      <c r="E9183" s="49">
        <v>44450</v>
      </c>
      <c r="F9183" t="s">
        <v>6597</v>
      </c>
      <c r="G9183" t="s">
        <v>2155</v>
      </c>
      <c r="H9183">
        <v>1</v>
      </c>
      <c r="I9183">
        <v>16.89</v>
      </c>
      <c r="J9183" s="50">
        <v>16.89</v>
      </c>
      <c r="K9183" t="s">
        <v>1618</v>
      </c>
      <c r="L9183" t="s">
        <v>6598</v>
      </c>
      <c r="M9183" t="s">
        <v>1629</v>
      </c>
      <c r="N9183">
        <v>8.91</v>
      </c>
      <c r="O9183" s="49">
        <v>44452</v>
      </c>
      <c r="P9183" s="50">
        <v>7.6005000000000003</v>
      </c>
    </row>
    <row r="9184" spans="4:16" x14ac:dyDescent="0.2">
      <c r="D9184">
        <v>100005485</v>
      </c>
      <c r="E9184" s="49">
        <v>45534</v>
      </c>
      <c r="F9184" t="s">
        <v>6597</v>
      </c>
      <c r="G9184" t="s">
        <v>2550</v>
      </c>
      <c r="H9184">
        <v>9</v>
      </c>
      <c r="I9184">
        <v>99.47</v>
      </c>
      <c r="J9184" s="50">
        <v>895.23</v>
      </c>
      <c r="K9184" t="s">
        <v>1618</v>
      </c>
      <c r="L9184" t="s">
        <v>6598</v>
      </c>
      <c r="M9184" t="s">
        <v>1627</v>
      </c>
      <c r="N9184">
        <v>52.5</v>
      </c>
      <c r="O9184" s="49">
        <v>45535</v>
      </c>
      <c r="P9184" s="50">
        <v>402.8535</v>
      </c>
    </row>
    <row r="9185" spans="4:16" x14ac:dyDescent="0.2">
      <c r="D9185">
        <v>100005485</v>
      </c>
      <c r="E9185" s="49">
        <v>44527</v>
      </c>
      <c r="F9185" t="s">
        <v>6597</v>
      </c>
      <c r="G9185" t="s">
        <v>1699</v>
      </c>
      <c r="H9185">
        <v>5</v>
      </c>
      <c r="I9185">
        <v>82.32</v>
      </c>
      <c r="J9185" s="50">
        <v>411.6</v>
      </c>
      <c r="K9185" t="s">
        <v>1618</v>
      </c>
      <c r="L9185" t="s">
        <v>6598</v>
      </c>
      <c r="M9185" t="s">
        <v>1619</v>
      </c>
      <c r="N9185">
        <v>43.45</v>
      </c>
      <c r="O9185" s="49">
        <v>44528</v>
      </c>
      <c r="P9185" s="50">
        <v>185.22000000000003</v>
      </c>
    </row>
    <row r="9186" spans="4:16" x14ac:dyDescent="0.2">
      <c r="D9186">
        <v>100005488</v>
      </c>
      <c r="E9186" s="49">
        <v>45140</v>
      </c>
      <c r="F9186" t="s">
        <v>6599</v>
      </c>
      <c r="G9186" t="s">
        <v>1677</v>
      </c>
      <c r="H9186">
        <v>8</v>
      </c>
      <c r="I9186">
        <v>41.15</v>
      </c>
      <c r="J9186" s="50">
        <v>329.2</v>
      </c>
      <c r="K9186" t="s">
        <v>1618</v>
      </c>
      <c r="L9186" t="s">
        <v>5902</v>
      </c>
      <c r="M9186" t="s">
        <v>1619</v>
      </c>
      <c r="N9186">
        <v>21.72</v>
      </c>
      <c r="O9186" s="49">
        <v>45145</v>
      </c>
      <c r="P9186" s="50">
        <v>148.13999999999999</v>
      </c>
    </row>
    <row r="9187" spans="4:16" x14ac:dyDescent="0.2">
      <c r="D9187">
        <v>100005488</v>
      </c>
      <c r="E9187" s="49">
        <v>44722</v>
      </c>
      <c r="F9187" t="s">
        <v>6599</v>
      </c>
      <c r="G9187" t="s">
        <v>2163</v>
      </c>
      <c r="H9187">
        <v>1</v>
      </c>
      <c r="I9187">
        <v>37.130000000000003</v>
      </c>
      <c r="J9187" s="50">
        <v>37.130000000000003</v>
      </c>
      <c r="K9187" t="s">
        <v>1618</v>
      </c>
      <c r="L9187" t="s">
        <v>5902</v>
      </c>
      <c r="M9187" t="s">
        <v>1619</v>
      </c>
      <c r="N9187">
        <v>19.600000000000001</v>
      </c>
      <c r="O9187" s="49">
        <v>44727</v>
      </c>
      <c r="P9187" s="50">
        <v>16.708500000000001</v>
      </c>
    </row>
    <row r="9188" spans="4:16" x14ac:dyDescent="0.2">
      <c r="D9188">
        <v>100005488</v>
      </c>
      <c r="E9188" s="49">
        <v>45056</v>
      </c>
      <c r="F9188" t="s">
        <v>6599</v>
      </c>
      <c r="G9188" t="s">
        <v>1859</v>
      </c>
      <c r="H9188">
        <v>6</v>
      </c>
      <c r="I9188">
        <v>41.19</v>
      </c>
      <c r="J9188" s="50">
        <v>247.14</v>
      </c>
      <c r="K9188" t="s">
        <v>1618</v>
      </c>
      <c r="L9188" t="s">
        <v>5902</v>
      </c>
      <c r="M9188" t="s">
        <v>1621</v>
      </c>
      <c r="N9188">
        <v>21.74</v>
      </c>
      <c r="O9188" s="49">
        <v>45057</v>
      </c>
      <c r="P9188" s="50">
        <v>111.21299999999999</v>
      </c>
    </row>
    <row r="9189" spans="4:16" x14ac:dyDescent="0.2">
      <c r="D9189">
        <v>100005490</v>
      </c>
      <c r="E9189" s="49">
        <v>45082</v>
      </c>
      <c r="F9189" t="s">
        <v>6600</v>
      </c>
      <c r="G9189" t="s">
        <v>2343</v>
      </c>
      <c r="H9189">
        <v>7</v>
      </c>
      <c r="I9189">
        <v>19.45</v>
      </c>
      <c r="J9189" s="50">
        <v>136.15</v>
      </c>
      <c r="K9189" t="s">
        <v>1632</v>
      </c>
      <c r="M9189" t="s">
        <v>1627</v>
      </c>
      <c r="N9189">
        <v>10.27</v>
      </c>
      <c r="O9189" s="49">
        <v>45087</v>
      </c>
      <c r="P9189" s="50">
        <v>61.267500000000005</v>
      </c>
    </row>
    <row r="9190" spans="4:16" x14ac:dyDescent="0.2">
      <c r="D9190">
        <v>100005490</v>
      </c>
      <c r="E9190" s="49">
        <v>44978</v>
      </c>
      <c r="F9190" t="s">
        <v>6600</v>
      </c>
      <c r="G9190" t="s">
        <v>2103</v>
      </c>
      <c r="H9190">
        <v>7</v>
      </c>
      <c r="I9190">
        <v>67.05</v>
      </c>
      <c r="J9190" s="50">
        <v>469.35</v>
      </c>
      <c r="K9190" t="s">
        <v>1632</v>
      </c>
      <c r="M9190" t="s">
        <v>1621</v>
      </c>
      <c r="N9190">
        <v>35.39</v>
      </c>
      <c r="O9190" s="49">
        <v>44982</v>
      </c>
      <c r="P9190" s="50">
        <v>211.20750000000001</v>
      </c>
    </row>
    <row r="9191" spans="4:16" x14ac:dyDescent="0.2">
      <c r="D9191">
        <v>100005490</v>
      </c>
      <c r="E9191" s="49">
        <v>44765</v>
      </c>
      <c r="F9191" t="s">
        <v>6600</v>
      </c>
      <c r="G9191" t="s">
        <v>2344</v>
      </c>
      <c r="H9191">
        <v>8</v>
      </c>
      <c r="I9191">
        <v>80.44</v>
      </c>
      <c r="J9191" s="50">
        <v>643.52</v>
      </c>
      <c r="K9191" t="s">
        <v>1632</v>
      </c>
      <c r="M9191" t="s">
        <v>1627</v>
      </c>
      <c r="N9191">
        <v>42.45</v>
      </c>
      <c r="O9191" s="49">
        <v>44770</v>
      </c>
      <c r="P9191" s="50">
        <v>289.584</v>
      </c>
    </row>
    <row r="9192" spans="4:16" x14ac:dyDescent="0.2">
      <c r="D9192">
        <v>100005490</v>
      </c>
      <c r="E9192" s="49">
        <v>44927</v>
      </c>
      <c r="F9192" t="s">
        <v>6600</v>
      </c>
      <c r="G9192" t="s">
        <v>2138</v>
      </c>
      <c r="H9192">
        <v>3</v>
      </c>
      <c r="I9192">
        <v>30.07</v>
      </c>
      <c r="J9192" s="50">
        <v>90.210000000000008</v>
      </c>
      <c r="K9192" t="s">
        <v>1632</v>
      </c>
      <c r="M9192" t="s">
        <v>1624</v>
      </c>
      <c r="N9192">
        <v>15.87</v>
      </c>
      <c r="O9192" s="49">
        <v>44931</v>
      </c>
      <c r="P9192" s="50">
        <v>40.594500000000004</v>
      </c>
    </row>
    <row r="9193" spans="4:16" x14ac:dyDescent="0.2">
      <c r="D9193">
        <v>100005490</v>
      </c>
      <c r="E9193" s="49">
        <v>45046</v>
      </c>
      <c r="F9193" t="s">
        <v>6600</v>
      </c>
      <c r="G9193" t="s">
        <v>2151</v>
      </c>
      <c r="H9193">
        <v>10</v>
      </c>
      <c r="I9193">
        <v>56.76</v>
      </c>
      <c r="J9193" s="50">
        <v>567.6</v>
      </c>
      <c r="K9193" t="s">
        <v>1632</v>
      </c>
      <c r="M9193" t="s">
        <v>1621</v>
      </c>
      <c r="N9193">
        <v>29.96</v>
      </c>
      <c r="O9193" s="49">
        <v>45050</v>
      </c>
      <c r="P9193" s="50">
        <v>255.42000000000002</v>
      </c>
    </row>
    <row r="9194" spans="4:16" x14ac:dyDescent="0.2">
      <c r="D9194">
        <v>100005490</v>
      </c>
      <c r="E9194" s="49">
        <v>45458</v>
      </c>
      <c r="F9194" t="s">
        <v>6600</v>
      </c>
      <c r="G9194" t="s">
        <v>1736</v>
      </c>
      <c r="H9194">
        <v>3</v>
      </c>
      <c r="I9194">
        <v>49.66</v>
      </c>
      <c r="J9194" s="50">
        <v>148.97999999999999</v>
      </c>
      <c r="K9194" t="s">
        <v>1632</v>
      </c>
      <c r="M9194" t="s">
        <v>1629</v>
      </c>
      <c r="N9194">
        <v>26.21</v>
      </c>
      <c r="O9194" s="49">
        <v>45461</v>
      </c>
      <c r="P9194" s="50">
        <v>67.040999999999997</v>
      </c>
    </row>
    <row r="9195" spans="4:16" x14ac:dyDescent="0.2">
      <c r="D9195">
        <v>100005490</v>
      </c>
      <c r="E9195" s="49">
        <v>45071</v>
      </c>
      <c r="F9195" t="s">
        <v>6600</v>
      </c>
      <c r="G9195" t="s">
        <v>2116</v>
      </c>
      <c r="H9195">
        <v>7</v>
      </c>
      <c r="I9195">
        <v>101.17</v>
      </c>
      <c r="J9195" s="50">
        <v>708.19</v>
      </c>
      <c r="K9195" t="s">
        <v>1632</v>
      </c>
      <c r="M9195" t="s">
        <v>1629</v>
      </c>
      <c r="N9195">
        <v>53.39</v>
      </c>
      <c r="O9195" s="49">
        <v>45074</v>
      </c>
      <c r="P9195" s="50">
        <v>318.68550000000005</v>
      </c>
    </row>
    <row r="9196" spans="4:16" x14ac:dyDescent="0.2">
      <c r="D9196">
        <v>100005491</v>
      </c>
      <c r="E9196" s="49">
        <v>44325</v>
      </c>
      <c r="F9196" t="s">
        <v>6601</v>
      </c>
      <c r="G9196" t="s">
        <v>1631</v>
      </c>
      <c r="H9196">
        <v>8</v>
      </c>
      <c r="I9196">
        <v>111.07</v>
      </c>
      <c r="J9196" s="50">
        <v>888.56</v>
      </c>
      <c r="K9196" t="s">
        <v>1632</v>
      </c>
      <c r="L9196" t="s">
        <v>4522</v>
      </c>
      <c r="M9196" t="s">
        <v>1621</v>
      </c>
      <c r="N9196">
        <v>58.62</v>
      </c>
      <c r="O9196" s="49">
        <v>44326</v>
      </c>
      <c r="P9196" s="50">
        <v>399.85199999999998</v>
      </c>
    </row>
    <row r="9197" spans="4:16" x14ac:dyDescent="0.2">
      <c r="D9197">
        <v>100005492</v>
      </c>
      <c r="E9197" s="49">
        <v>45093</v>
      </c>
      <c r="F9197" t="s">
        <v>6602</v>
      </c>
      <c r="G9197" t="s">
        <v>2484</v>
      </c>
      <c r="H9197">
        <v>9</v>
      </c>
      <c r="I9197">
        <v>90.98</v>
      </c>
      <c r="J9197" s="50">
        <v>818.82</v>
      </c>
      <c r="K9197" t="s">
        <v>1618</v>
      </c>
      <c r="M9197" t="s">
        <v>1627</v>
      </c>
      <c r="N9197">
        <v>48.02</v>
      </c>
      <c r="O9197" s="49">
        <v>45095</v>
      </c>
      <c r="P9197" s="50">
        <v>368.46900000000005</v>
      </c>
    </row>
    <row r="9198" spans="4:16" x14ac:dyDescent="0.2">
      <c r="D9198">
        <v>100005492</v>
      </c>
      <c r="E9198" s="49">
        <v>44849</v>
      </c>
      <c r="F9198" t="s">
        <v>6602</v>
      </c>
      <c r="G9198" t="s">
        <v>2194</v>
      </c>
      <c r="H9198">
        <v>9</v>
      </c>
      <c r="I9198">
        <v>83.69</v>
      </c>
      <c r="J9198" s="50">
        <v>753.21</v>
      </c>
      <c r="K9198" t="s">
        <v>1618</v>
      </c>
      <c r="M9198" t="s">
        <v>1629</v>
      </c>
      <c r="N9198">
        <v>44.17</v>
      </c>
      <c r="O9198" s="49">
        <v>44850</v>
      </c>
      <c r="P9198" s="50">
        <v>338.94450000000001</v>
      </c>
    </row>
    <row r="9199" spans="4:16" x14ac:dyDescent="0.2">
      <c r="D9199">
        <v>100005492</v>
      </c>
      <c r="E9199" s="49">
        <v>45140</v>
      </c>
      <c r="F9199" t="s">
        <v>6602</v>
      </c>
      <c r="G9199" t="s">
        <v>1932</v>
      </c>
      <c r="H9199">
        <v>2</v>
      </c>
      <c r="I9199">
        <v>105.3</v>
      </c>
      <c r="J9199" s="50">
        <v>210.6</v>
      </c>
      <c r="K9199" t="s">
        <v>1618</v>
      </c>
      <c r="M9199" t="s">
        <v>1627</v>
      </c>
      <c r="N9199">
        <v>55.57</v>
      </c>
      <c r="O9199" s="49">
        <v>45142</v>
      </c>
      <c r="P9199" s="50">
        <v>94.77</v>
      </c>
    </row>
    <row r="9200" spans="4:16" x14ac:dyDescent="0.2">
      <c r="D9200">
        <v>100005493</v>
      </c>
      <c r="E9200" s="49">
        <v>45318</v>
      </c>
      <c r="F9200" t="s">
        <v>6603</v>
      </c>
      <c r="G9200" t="s">
        <v>2192</v>
      </c>
      <c r="H9200">
        <v>7</v>
      </c>
      <c r="I9200">
        <v>116.3</v>
      </c>
      <c r="J9200" s="50">
        <v>814.1</v>
      </c>
      <c r="K9200" t="s">
        <v>1618</v>
      </c>
      <c r="L9200" t="s">
        <v>4446</v>
      </c>
      <c r="M9200" t="s">
        <v>1619</v>
      </c>
      <c r="N9200">
        <v>61.38</v>
      </c>
      <c r="O9200" s="49">
        <v>45322</v>
      </c>
      <c r="P9200" s="50">
        <v>366.34500000000003</v>
      </c>
    </row>
    <row r="9201" spans="4:16" x14ac:dyDescent="0.2">
      <c r="D9201">
        <v>100005493</v>
      </c>
      <c r="E9201" s="49">
        <v>45646</v>
      </c>
      <c r="F9201" t="s">
        <v>6603</v>
      </c>
      <c r="G9201" t="s">
        <v>2016</v>
      </c>
      <c r="H9201">
        <v>1</v>
      </c>
      <c r="I9201">
        <v>100.48</v>
      </c>
      <c r="J9201" s="50">
        <v>100.48</v>
      </c>
      <c r="K9201" t="s">
        <v>1618</v>
      </c>
      <c r="L9201" t="s">
        <v>4446</v>
      </c>
      <c r="M9201" t="s">
        <v>1627</v>
      </c>
      <c r="N9201">
        <v>53.03</v>
      </c>
      <c r="O9201" s="49">
        <v>45648</v>
      </c>
      <c r="P9201" s="50">
        <v>45.216000000000001</v>
      </c>
    </row>
    <row r="9202" spans="4:16" x14ac:dyDescent="0.2">
      <c r="D9202">
        <v>100005493</v>
      </c>
      <c r="E9202" s="49">
        <v>45109</v>
      </c>
      <c r="F9202" t="s">
        <v>6603</v>
      </c>
      <c r="G9202" t="s">
        <v>1677</v>
      </c>
      <c r="H9202">
        <v>8</v>
      </c>
      <c r="I9202">
        <v>77.75</v>
      </c>
      <c r="J9202" s="50">
        <v>622</v>
      </c>
      <c r="K9202" t="s">
        <v>1618</v>
      </c>
      <c r="L9202" t="s">
        <v>4446</v>
      </c>
      <c r="M9202" t="s">
        <v>1621</v>
      </c>
      <c r="N9202">
        <v>41.03</v>
      </c>
      <c r="O9202" s="49">
        <v>45111</v>
      </c>
      <c r="P9202" s="50">
        <v>279.90000000000003</v>
      </c>
    </row>
    <row r="9203" spans="4:16" x14ac:dyDescent="0.2">
      <c r="D9203">
        <v>100005493</v>
      </c>
      <c r="E9203" s="49">
        <v>45292</v>
      </c>
      <c r="F9203" t="s">
        <v>6603</v>
      </c>
      <c r="G9203" t="s">
        <v>1807</v>
      </c>
      <c r="H9203">
        <v>7</v>
      </c>
      <c r="I9203">
        <v>42.22</v>
      </c>
      <c r="J9203" s="50">
        <v>295.54000000000002</v>
      </c>
      <c r="K9203" t="s">
        <v>1618</v>
      </c>
      <c r="L9203" t="s">
        <v>4446</v>
      </c>
      <c r="M9203" t="s">
        <v>1619</v>
      </c>
      <c r="N9203">
        <v>22.28</v>
      </c>
      <c r="O9203" s="49">
        <v>45294</v>
      </c>
      <c r="P9203" s="50">
        <v>132.99300000000002</v>
      </c>
    </row>
    <row r="9204" spans="4:16" x14ac:dyDescent="0.2">
      <c r="D9204">
        <v>100005494</v>
      </c>
      <c r="E9204" s="49">
        <v>45323</v>
      </c>
      <c r="F9204" t="s">
        <v>6604</v>
      </c>
      <c r="G9204" t="s">
        <v>2553</v>
      </c>
      <c r="H9204">
        <v>8</v>
      </c>
      <c r="I9204">
        <v>33.03</v>
      </c>
      <c r="J9204" s="50">
        <v>264.24</v>
      </c>
      <c r="K9204" t="s">
        <v>1618</v>
      </c>
      <c r="M9204" t="s">
        <v>1627</v>
      </c>
      <c r="N9204">
        <v>17.43</v>
      </c>
      <c r="O9204" s="49">
        <v>45325</v>
      </c>
      <c r="P9204" s="50">
        <v>118.908</v>
      </c>
    </row>
    <row r="9205" spans="4:16" x14ac:dyDescent="0.2">
      <c r="D9205">
        <v>100005495</v>
      </c>
      <c r="E9205" s="49">
        <v>44371</v>
      </c>
      <c r="F9205" t="s">
        <v>6605</v>
      </c>
      <c r="G9205" t="s">
        <v>1916</v>
      </c>
      <c r="H9205">
        <v>4</v>
      </c>
      <c r="I9205">
        <v>28.2</v>
      </c>
      <c r="J9205" s="50">
        <v>112.8</v>
      </c>
      <c r="K9205" t="s">
        <v>1618</v>
      </c>
      <c r="L9205" t="s">
        <v>4170</v>
      </c>
      <c r="M9205" t="s">
        <v>1629</v>
      </c>
      <c r="N9205">
        <v>14.88</v>
      </c>
      <c r="O9205" s="49">
        <v>44375</v>
      </c>
      <c r="P9205" s="50">
        <v>50.76</v>
      </c>
    </row>
    <row r="9206" spans="4:16" x14ac:dyDescent="0.2">
      <c r="D9206">
        <v>100005496</v>
      </c>
      <c r="E9206" s="49">
        <v>45508</v>
      </c>
      <c r="F9206" t="s">
        <v>6606</v>
      </c>
      <c r="G9206" t="s">
        <v>2305</v>
      </c>
      <c r="H9206">
        <v>1</v>
      </c>
      <c r="I9206">
        <v>36.97</v>
      </c>
      <c r="J9206" s="50">
        <v>36.97</v>
      </c>
      <c r="K9206" t="s">
        <v>1618</v>
      </c>
      <c r="M9206" t="s">
        <v>1621</v>
      </c>
      <c r="N9206">
        <v>19.510000000000002</v>
      </c>
      <c r="O9206" s="49">
        <v>45509</v>
      </c>
      <c r="P9206" s="50">
        <v>16.636500000000002</v>
      </c>
    </row>
    <row r="9207" spans="4:16" x14ac:dyDescent="0.2">
      <c r="D9207">
        <v>100005496</v>
      </c>
      <c r="E9207" s="49">
        <v>45215</v>
      </c>
      <c r="F9207" t="s">
        <v>6606</v>
      </c>
      <c r="G9207" t="s">
        <v>2163</v>
      </c>
      <c r="H9207">
        <v>5</v>
      </c>
      <c r="I9207">
        <v>52.03</v>
      </c>
      <c r="J9207" s="50">
        <v>260.14999999999998</v>
      </c>
      <c r="K9207" t="s">
        <v>1618</v>
      </c>
      <c r="M9207" t="s">
        <v>1621</v>
      </c>
      <c r="N9207">
        <v>27.46</v>
      </c>
      <c r="O9207" s="49">
        <v>45216</v>
      </c>
      <c r="P9207" s="50">
        <v>117.0675</v>
      </c>
    </row>
    <row r="9208" spans="4:16" x14ac:dyDescent="0.2">
      <c r="D9208">
        <v>100005496</v>
      </c>
      <c r="E9208" s="49">
        <v>44961</v>
      </c>
      <c r="F9208" t="s">
        <v>6606</v>
      </c>
      <c r="G9208" t="s">
        <v>1768</v>
      </c>
      <c r="H9208">
        <v>1</v>
      </c>
      <c r="I9208">
        <v>84.8</v>
      </c>
      <c r="J9208" s="50">
        <v>84.8</v>
      </c>
      <c r="K9208" t="s">
        <v>1618</v>
      </c>
      <c r="M9208" t="s">
        <v>1629</v>
      </c>
      <c r="N9208">
        <v>44.76</v>
      </c>
      <c r="O9208" s="49">
        <v>44964</v>
      </c>
      <c r="P9208" s="50">
        <v>38.159999999999997</v>
      </c>
    </row>
    <row r="9209" spans="4:16" x14ac:dyDescent="0.2">
      <c r="D9209">
        <v>100005496</v>
      </c>
      <c r="E9209" s="49">
        <v>44509</v>
      </c>
      <c r="F9209" t="s">
        <v>6606</v>
      </c>
      <c r="G9209" t="s">
        <v>1865</v>
      </c>
      <c r="H9209">
        <v>9</v>
      </c>
      <c r="I9209">
        <v>10.7</v>
      </c>
      <c r="J9209" s="50">
        <v>96.3</v>
      </c>
      <c r="K9209" t="s">
        <v>1618</v>
      </c>
      <c r="M9209" t="s">
        <v>1629</v>
      </c>
      <c r="N9209">
        <v>5.65</v>
      </c>
      <c r="O9209" s="49">
        <v>44513</v>
      </c>
      <c r="P9209" s="50">
        <v>43.335000000000001</v>
      </c>
    </row>
    <row r="9210" spans="4:16" x14ac:dyDescent="0.2">
      <c r="D9210">
        <v>100005496</v>
      </c>
      <c r="E9210" s="49">
        <v>45020</v>
      </c>
      <c r="F9210" t="s">
        <v>6606</v>
      </c>
      <c r="G9210" t="s">
        <v>2373</v>
      </c>
      <c r="H9210">
        <v>10</v>
      </c>
      <c r="I9210">
        <v>58.37</v>
      </c>
      <c r="J9210" s="50">
        <v>583.69999999999993</v>
      </c>
      <c r="K9210" t="s">
        <v>1618</v>
      </c>
      <c r="M9210" t="s">
        <v>1629</v>
      </c>
      <c r="N9210">
        <v>30.81</v>
      </c>
      <c r="O9210" s="49">
        <v>45021</v>
      </c>
      <c r="P9210" s="50">
        <v>262.66499999999996</v>
      </c>
    </row>
    <row r="9211" spans="4:16" x14ac:dyDescent="0.2">
      <c r="D9211">
        <v>100005497</v>
      </c>
      <c r="E9211" s="49">
        <v>45639</v>
      </c>
      <c r="F9211" t="s">
        <v>6607</v>
      </c>
      <c r="G9211" t="s">
        <v>1890</v>
      </c>
      <c r="H9211">
        <v>1</v>
      </c>
      <c r="I9211">
        <v>55.17</v>
      </c>
      <c r="J9211" s="50">
        <v>55.17</v>
      </c>
      <c r="K9211" t="s">
        <v>1618</v>
      </c>
      <c r="M9211" t="s">
        <v>1619</v>
      </c>
      <c r="N9211">
        <v>29.12</v>
      </c>
      <c r="O9211" s="49">
        <v>45643</v>
      </c>
      <c r="P9211" s="50">
        <v>24.826500000000003</v>
      </c>
    </row>
    <row r="9212" spans="4:16" x14ac:dyDescent="0.2">
      <c r="D9212">
        <v>100005497</v>
      </c>
      <c r="E9212" s="49">
        <v>45135</v>
      </c>
      <c r="F9212" t="s">
        <v>6607</v>
      </c>
      <c r="G9212" t="s">
        <v>2255</v>
      </c>
      <c r="H9212">
        <v>6</v>
      </c>
      <c r="I9212">
        <v>58.54</v>
      </c>
      <c r="J9212" s="50">
        <v>351.24</v>
      </c>
      <c r="K9212" t="s">
        <v>1618</v>
      </c>
      <c r="M9212" t="s">
        <v>1629</v>
      </c>
      <c r="N9212">
        <v>30.9</v>
      </c>
      <c r="O9212" s="49">
        <v>45140</v>
      </c>
      <c r="P9212" s="50">
        <v>158.05800000000002</v>
      </c>
    </row>
    <row r="9213" spans="4:16" x14ac:dyDescent="0.2">
      <c r="D9213">
        <v>100005498</v>
      </c>
      <c r="E9213" s="49">
        <v>44351</v>
      </c>
      <c r="F9213" t="s">
        <v>6608</v>
      </c>
      <c r="G9213" t="s">
        <v>1647</v>
      </c>
      <c r="H9213">
        <v>4</v>
      </c>
      <c r="I9213">
        <v>105.17</v>
      </c>
      <c r="J9213" s="50">
        <v>420.68</v>
      </c>
      <c r="K9213" t="s">
        <v>1618</v>
      </c>
      <c r="L9213" t="s">
        <v>2272</v>
      </c>
      <c r="M9213" t="s">
        <v>1627</v>
      </c>
      <c r="N9213">
        <v>55.51</v>
      </c>
      <c r="O9213" s="49">
        <v>44354</v>
      </c>
      <c r="P9213" s="50">
        <v>189.30600000000001</v>
      </c>
    </row>
    <row r="9214" spans="4:16" x14ac:dyDescent="0.2">
      <c r="D9214">
        <v>100005498</v>
      </c>
      <c r="E9214" s="49">
        <v>44688</v>
      </c>
      <c r="F9214" t="s">
        <v>6608</v>
      </c>
      <c r="G9214" t="s">
        <v>1756</v>
      </c>
      <c r="H9214">
        <v>7</v>
      </c>
      <c r="I9214">
        <v>112.02</v>
      </c>
      <c r="J9214" s="50">
        <v>784.14</v>
      </c>
      <c r="K9214" t="s">
        <v>1618</v>
      </c>
      <c r="L9214" t="s">
        <v>2272</v>
      </c>
      <c r="M9214" t="s">
        <v>1624</v>
      </c>
      <c r="N9214">
        <v>59.12</v>
      </c>
      <c r="O9214" s="49">
        <v>44693</v>
      </c>
      <c r="P9214" s="50">
        <v>352.863</v>
      </c>
    </row>
    <row r="9215" spans="4:16" x14ac:dyDescent="0.2">
      <c r="D9215">
        <v>100005499</v>
      </c>
      <c r="E9215" s="49">
        <v>44426</v>
      </c>
      <c r="F9215" t="s">
        <v>6609</v>
      </c>
      <c r="G9215" t="s">
        <v>2060</v>
      </c>
      <c r="H9215">
        <v>5</v>
      </c>
      <c r="I9215">
        <v>17.27</v>
      </c>
      <c r="J9215" s="50">
        <v>86.35</v>
      </c>
      <c r="K9215" t="s">
        <v>1618</v>
      </c>
      <c r="M9215" t="s">
        <v>1627</v>
      </c>
      <c r="N9215">
        <v>9.11</v>
      </c>
      <c r="O9215" s="49">
        <v>44428</v>
      </c>
      <c r="P9215" s="50">
        <v>38.857500000000002</v>
      </c>
    </row>
    <row r="9216" spans="4:16" x14ac:dyDescent="0.2">
      <c r="D9216">
        <v>100005500</v>
      </c>
      <c r="E9216" s="49">
        <v>45126</v>
      </c>
      <c r="F9216" t="s">
        <v>5111</v>
      </c>
      <c r="G9216" t="s">
        <v>2182</v>
      </c>
      <c r="H9216">
        <v>9</v>
      </c>
      <c r="I9216">
        <v>81.05</v>
      </c>
      <c r="J9216" s="50">
        <v>729.44999999999993</v>
      </c>
      <c r="K9216" t="s">
        <v>1632</v>
      </c>
      <c r="M9216" t="s">
        <v>1624</v>
      </c>
      <c r="N9216">
        <v>42.78</v>
      </c>
      <c r="O9216" s="49">
        <v>45131</v>
      </c>
      <c r="P9216" s="50">
        <v>328.2525</v>
      </c>
    </row>
    <row r="9217" spans="4:16" x14ac:dyDescent="0.2">
      <c r="D9217">
        <v>100005500</v>
      </c>
      <c r="E9217" s="49">
        <v>45270</v>
      </c>
      <c r="F9217" t="s">
        <v>5111</v>
      </c>
      <c r="G9217" t="s">
        <v>2204</v>
      </c>
      <c r="H9217">
        <v>8</v>
      </c>
      <c r="I9217">
        <v>47.77</v>
      </c>
      <c r="J9217" s="50">
        <v>382.16</v>
      </c>
      <c r="K9217" t="s">
        <v>1632</v>
      </c>
      <c r="M9217" t="s">
        <v>1621</v>
      </c>
      <c r="N9217">
        <v>25.21</v>
      </c>
      <c r="O9217" s="49">
        <v>45273</v>
      </c>
      <c r="P9217" s="50">
        <v>171.97200000000001</v>
      </c>
    </row>
    <row r="9218" spans="4:16" x14ac:dyDescent="0.2">
      <c r="D9218">
        <v>100005500</v>
      </c>
      <c r="E9218" s="49">
        <v>45185</v>
      </c>
      <c r="F9218" t="s">
        <v>5111</v>
      </c>
      <c r="G9218" t="s">
        <v>1648</v>
      </c>
      <c r="H9218">
        <v>7</v>
      </c>
      <c r="I9218">
        <v>47.86</v>
      </c>
      <c r="J9218" s="50">
        <v>335.02</v>
      </c>
      <c r="K9218" t="s">
        <v>1632</v>
      </c>
      <c r="M9218" t="s">
        <v>1619</v>
      </c>
      <c r="N9218">
        <v>25.26</v>
      </c>
      <c r="O9218" s="49">
        <v>45188</v>
      </c>
      <c r="P9218" s="50">
        <v>150.75899999999999</v>
      </c>
    </row>
    <row r="9219" spans="4:16" x14ac:dyDescent="0.2">
      <c r="D9219">
        <v>100005500</v>
      </c>
      <c r="E9219" s="49">
        <v>45126</v>
      </c>
      <c r="F9219" t="s">
        <v>5111</v>
      </c>
      <c r="G9219" t="s">
        <v>1758</v>
      </c>
      <c r="H9219">
        <v>9</v>
      </c>
      <c r="I9219">
        <v>60.09</v>
      </c>
      <c r="J9219" s="50">
        <v>540.81000000000006</v>
      </c>
      <c r="K9219" t="s">
        <v>1632</v>
      </c>
      <c r="M9219" t="s">
        <v>1619</v>
      </c>
      <c r="N9219">
        <v>31.71</v>
      </c>
      <c r="O9219" s="49">
        <v>45131</v>
      </c>
      <c r="P9219" s="50">
        <v>243.36450000000002</v>
      </c>
    </row>
    <row r="9220" spans="4:16" x14ac:dyDescent="0.2">
      <c r="D9220">
        <v>100005500</v>
      </c>
      <c r="E9220" s="49">
        <v>45457</v>
      </c>
      <c r="F9220" t="s">
        <v>5111</v>
      </c>
      <c r="G9220" t="s">
        <v>2323</v>
      </c>
      <c r="H9220">
        <v>7</v>
      </c>
      <c r="I9220">
        <v>39.94</v>
      </c>
      <c r="J9220" s="50">
        <v>279.58</v>
      </c>
      <c r="K9220" t="s">
        <v>1632</v>
      </c>
      <c r="M9220" t="s">
        <v>1624</v>
      </c>
      <c r="N9220">
        <v>21.08</v>
      </c>
      <c r="O9220" s="49">
        <v>45459</v>
      </c>
      <c r="P9220" s="50">
        <v>125.81099999999999</v>
      </c>
    </row>
    <row r="9221" spans="4:16" x14ac:dyDescent="0.2">
      <c r="D9221">
        <v>100005501</v>
      </c>
      <c r="E9221" s="49">
        <v>44236</v>
      </c>
      <c r="F9221" t="s">
        <v>6610</v>
      </c>
      <c r="G9221" t="s">
        <v>2151</v>
      </c>
      <c r="H9221">
        <v>2</v>
      </c>
      <c r="I9221">
        <v>54.31</v>
      </c>
      <c r="J9221" s="50">
        <v>108.62</v>
      </c>
      <c r="K9221" t="s">
        <v>1618</v>
      </c>
      <c r="M9221" t="s">
        <v>1624</v>
      </c>
      <c r="N9221">
        <v>28.66</v>
      </c>
      <c r="O9221" s="49">
        <v>44241</v>
      </c>
      <c r="P9221" s="50">
        <v>48.879000000000005</v>
      </c>
    </row>
    <row r="9222" spans="4:16" x14ac:dyDescent="0.2">
      <c r="D9222">
        <v>100005501</v>
      </c>
      <c r="E9222" s="49">
        <v>44604</v>
      </c>
      <c r="F9222" t="s">
        <v>6610</v>
      </c>
      <c r="G9222" t="s">
        <v>2581</v>
      </c>
      <c r="H9222">
        <v>1</v>
      </c>
      <c r="I9222">
        <v>82.96</v>
      </c>
      <c r="J9222" s="50">
        <v>82.96</v>
      </c>
      <c r="K9222" t="s">
        <v>1618</v>
      </c>
      <c r="M9222" t="s">
        <v>1624</v>
      </c>
      <c r="N9222">
        <v>43.78</v>
      </c>
      <c r="O9222" s="49">
        <v>44607</v>
      </c>
      <c r="P9222" s="50">
        <v>37.332000000000001</v>
      </c>
    </row>
    <row r="9223" spans="4:16" x14ac:dyDescent="0.2">
      <c r="D9223">
        <v>100005501</v>
      </c>
      <c r="E9223" s="49">
        <v>45080</v>
      </c>
      <c r="F9223" t="s">
        <v>6610</v>
      </c>
      <c r="G9223" t="s">
        <v>1948</v>
      </c>
      <c r="H9223">
        <v>6</v>
      </c>
      <c r="I9223">
        <v>103.33</v>
      </c>
      <c r="J9223" s="50">
        <v>619.98</v>
      </c>
      <c r="K9223" t="s">
        <v>1618</v>
      </c>
      <c r="M9223" t="s">
        <v>1629</v>
      </c>
      <c r="N9223">
        <v>54.53</v>
      </c>
      <c r="O9223" s="49">
        <v>45081</v>
      </c>
      <c r="P9223" s="50">
        <v>278.99100000000004</v>
      </c>
    </row>
    <row r="9224" spans="4:16" x14ac:dyDescent="0.2">
      <c r="D9224">
        <v>100005502</v>
      </c>
      <c r="E9224" s="49">
        <v>45000</v>
      </c>
      <c r="F9224" t="s">
        <v>3945</v>
      </c>
      <c r="G9224" t="s">
        <v>2159</v>
      </c>
      <c r="H9224">
        <v>8</v>
      </c>
      <c r="I9224">
        <v>69.16</v>
      </c>
      <c r="J9224" s="50">
        <v>553.28</v>
      </c>
      <c r="K9224" t="s">
        <v>1618</v>
      </c>
      <c r="M9224" t="s">
        <v>1621</v>
      </c>
      <c r="N9224">
        <v>36.5</v>
      </c>
      <c r="O9224" s="49">
        <v>45003</v>
      </c>
      <c r="P9224" s="50">
        <v>248.976</v>
      </c>
    </row>
    <row r="9225" spans="4:16" x14ac:dyDescent="0.2">
      <c r="D9225">
        <v>100005502</v>
      </c>
      <c r="E9225" s="49">
        <v>45385</v>
      </c>
      <c r="F9225" t="s">
        <v>3945</v>
      </c>
      <c r="G9225" t="s">
        <v>1696</v>
      </c>
      <c r="H9225">
        <v>8</v>
      </c>
      <c r="I9225">
        <v>52.5</v>
      </c>
      <c r="J9225" s="50">
        <v>420</v>
      </c>
      <c r="K9225" t="s">
        <v>1618</v>
      </c>
      <c r="M9225" t="s">
        <v>1624</v>
      </c>
      <c r="N9225">
        <v>27.71</v>
      </c>
      <c r="O9225" s="49">
        <v>45389</v>
      </c>
      <c r="P9225" s="50">
        <v>189</v>
      </c>
    </row>
    <row r="9226" spans="4:16" x14ac:dyDescent="0.2">
      <c r="D9226">
        <v>100005502</v>
      </c>
      <c r="E9226" s="49">
        <v>45346</v>
      </c>
      <c r="F9226" t="s">
        <v>3945</v>
      </c>
      <c r="G9226" t="s">
        <v>1756</v>
      </c>
      <c r="H9226">
        <v>9</v>
      </c>
      <c r="I9226">
        <v>30.16</v>
      </c>
      <c r="J9226" s="50">
        <v>271.44</v>
      </c>
      <c r="K9226" t="s">
        <v>1618</v>
      </c>
      <c r="M9226" t="s">
        <v>1624</v>
      </c>
      <c r="N9226">
        <v>15.92</v>
      </c>
      <c r="O9226" s="49">
        <v>45348</v>
      </c>
      <c r="P9226" s="50">
        <v>122.148</v>
      </c>
    </row>
    <row r="9227" spans="4:16" x14ac:dyDescent="0.2">
      <c r="D9227">
        <v>100005503</v>
      </c>
      <c r="E9227" s="49">
        <v>44886</v>
      </c>
      <c r="F9227" t="s">
        <v>6611</v>
      </c>
      <c r="G9227" t="s">
        <v>2180</v>
      </c>
      <c r="H9227">
        <v>7</v>
      </c>
      <c r="I9227">
        <v>42.32</v>
      </c>
      <c r="J9227" s="50">
        <v>296.24</v>
      </c>
      <c r="K9227" t="s">
        <v>1618</v>
      </c>
      <c r="M9227" t="s">
        <v>1624</v>
      </c>
      <c r="N9227">
        <v>22.34</v>
      </c>
      <c r="O9227" s="49">
        <v>44890</v>
      </c>
      <c r="P9227" s="50">
        <v>133.30800000000002</v>
      </c>
    </row>
    <row r="9228" spans="4:16" x14ac:dyDescent="0.2">
      <c r="D9228">
        <v>100005506</v>
      </c>
      <c r="E9228" s="49">
        <v>44831</v>
      </c>
      <c r="F9228" t="s">
        <v>6612</v>
      </c>
      <c r="G9228" t="s">
        <v>1667</v>
      </c>
      <c r="H9228">
        <v>1</v>
      </c>
      <c r="I9228">
        <v>70.06</v>
      </c>
      <c r="J9228" s="50">
        <v>70.06</v>
      </c>
      <c r="K9228" t="s">
        <v>1632</v>
      </c>
      <c r="M9228" t="s">
        <v>1629</v>
      </c>
      <c r="N9228">
        <v>36.979999999999997</v>
      </c>
      <c r="O9228" s="49">
        <v>44835</v>
      </c>
      <c r="P9228" s="50">
        <v>31.527000000000001</v>
      </c>
    </row>
    <row r="9229" spans="4:16" x14ac:dyDescent="0.2">
      <c r="D9229">
        <v>100005508</v>
      </c>
      <c r="E9229" s="49">
        <v>45343</v>
      </c>
      <c r="F9229" t="s">
        <v>6613</v>
      </c>
      <c r="G9229" t="s">
        <v>1628</v>
      </c>
      <c r="H9229">
        <v>6</v>
      </c>
      <c r="I9229">
        <v>52.31</v>
      </c>
      <c r="J9229" s="50">
        <v>313.86</v>
      </c>
      <c r="K9229" t="s">
        <v>1618</v>
      </c>
      <c r="M9229" t="s">
        <v>1619</v>
      </c>
      <c r="N9229">
        <v>27.61</v>
      </c>
      <c r="O9229" s="49">
        <v>45347</v>
      </c>
      <c r="P9229" s="50">
        <v>141.23700000000002</v>
      </c>
    </row>
    <row r="9230" spans="4:16" x14ac:dyDescent="0.2">
      <c r="D9230">
        <v>100005508</v>
      </c>
      <c r="E9230" s="49">
        <v>45294</v>
      </c>
      <c r="F9230" t="s">
        <v>6613</v>
      </c>
      <c r="G9230" t="s">
        <v>1744</v>
      </c>
      <c r="H9230">
        <v>9</v>
      </c>
      <c r="I9230">
        <v>10.119999999999999</v>
      </c>
      <c r="J9230" s="50">
        <v>91.08</v>
      </c>
      <c r="K9230" t="s">
        <v>1618</v>
      </c>
      <c r="M9230" t="s">
        <v>1619</v>
      </c>
      <c r="N9230">
        <v>5.34</v>
      </c>
      <c r="O9230" s="49">
        <v>45299</v>
      </c>
      <c r="P9230" s="50">
        <v>40.985999999999997</v>
      </c>
    </row>
    <row r="9231" spans="4:16" x14ac:dyDescent="0.2">
      <c r="D9231">
        <v>100005509</v>
      </c>
      <c r="E9231" s="49">
        <v>44877</v>
      </c>
      <c r="F9231" t="s">
        <v>5840</v>
      </c>
      <c r="G9231" t="s">
        <v>1782</v>
      </c>
      <c r="H9231">
        <v>3</v>
      </c>
      <c r="I9231">
        <v>44.3</v>
      </c>
      <c r="J9231" s="50">
        <v>132.9</v>
      </c>
      <c r="K9231" t="s">
        <v>1632</v>
      </c>
      <c r="M9231" t="s">
        <v>1621</v>
      </c>
      <c r="N9231">
        <v>23.38</v>
      </c>
      <c r="O9231" s="49">
        <v>44878</v>
      </c>
      <c r="P9231" s="50">
        <v>59.805000000000007</v>
      </c>
    </row>
    <row r="9232" spans="4:16" x14ac:dyDescent="0.2">
      <c r="D9232">
        <v>100005510</v>
      </c>
      <c r="E9232" s="49">
        <v>44414</v>
      </c>
      <c r="F9232" t="s">
        <v>1863</v>
      </c>
      <c r="G9232" t="s">
        <v>1748</v>
      </c>
      <c r="H9232">
        <v>2</v>
      </c>
      <c r="I9232">
        <v>45.96</v>
      </c>
      <c r="J9232" s="50">
        <v>91.92</v>
      </c>
      <c r="K9232" t="s">
        <v>1618</v>
      </c>
      <c r="L9232" t="s">
        <v>6614</v>
      </c>
      <c r="M9232" t="s">
        <v>1619</v>
      </c>
      <c r="N9232">
        <v>24.26</v>
      </c>
      <c r="O9232" s="49">
        <v>44417</v>
      </c>
      <c r="P9232" s="50">
        <v>41.364000000000004</v>
      </c>
    </row>
    <row r="9233" spans="4:16" x14ac:dyDescent="0.2">
      <c r="D9233">
        <v>100005511</v>
      </c>
      <c r="E9233" s="49">
        <v>44769</v>
      </c>
      <c r="F9233" t="s">
        <v>6615</v>
      </c>
      <c r="G9233" t="s">
        <v>1880</v>
      </c>
      <c r="H9233">
        <v>2</v>
      </c>
      <c r="I9233">
        <v>49.69</v>
      </c>
      <c r="J9233" s="50">
        <v>99.38</v>
      </c>
      <c r="K9233" t="s">
        <v>1632</v>
      </c>
      <c r="M9233" t="s">
        <v>1621</v>
      </c>
      <c r="N9233">
        <v>26.23</v>
      </c>
      <c r="O9233" s="49">
        <v>44774</v>
      </c>
      <c r="P9233" s="50">
        <v>44.720999999999997</v>
      </c>
    </row>
    <row r="9234" spans="4:16" x14ac:dyDescent="0.2">
      <c r="D9234">
        <v>100005511</v>
      </c>
      <c r="E9234" s="49">
        <v>44206</v>
      </c>
      <c r="F9234" t="s">
        <v>6615</v>
      </c>
      <c r="G9234" t="s">
        <v>1817</v>
      </c>
      <c r="H9234">
        <v>8</v>
      </c>
      <c r="I9234">
        <v>117.32</v>
      </c>
      <c r="J9234" s="50">
        <v>938.56</v>
      </c>
      <c r="K9234" t="s">
        <v>1632</v>
      </c>
      <c r="M9234" t="s">
        <v>1619</v>
      </c>
      <c r="N9234">
        <v>61.92</v>
      </c>
      <c r="O9234" s="49">
        <v>44209</v>
      </c>
      <c r="P9234" s="50">
        <v>422.35199999999998</v>
      </c>
    </row>
    <row r="9235" spans="4:16" x14ac:dyDescent="0.2">
      <c r="D9235">
        <v>100005511</v>
      </c>
      <c r="E9235" s="49">
        <v>44208</v>
      </c>
      <c r="F9235" t="s">
        <v>6615</v>
      </c>
      <c r="G9235" t="s">
        <v>1781</v>
      </c>
      <c r="H9235">
        <v>6</v>
      </c>
      <c r="I9235">
        <v>25.55</v>
      </c>
      <c r="J9235" s="50">
        <v>153.30000000000001</v>
      </c>
      <c r="K9235" t="s">
        <v>1632</v>
      </c>
      <c r="M9235" t="s">
        <v>1621</v>
      </c>
      <c r="N9235">
        <v>13.48</v>
      </c>
      <c r="O9235" s="49">
        <v>44209</v>
      </c>
      <c r="P9235" s="50">
        <v>68.985000000000014</v>
      </c>
    </row>
    <row r="9236" spans="4:16" x14ac:dyDescent="0.2">
      <c r="D9236">
        <v>100005512</v>
      </c>
      <c r="E9236" s="49">
        <v>44771</v>
      </c>
      <c r="F9236" t="s">
        <v>5188</v>
      </c>
      <c r="G9236" t="s">
        <v>2465</v>
      </c>
      <c r="H9236">
        <v>5</v>
      </c>
      <c r="I9236">
        <v>53.24</v>
      </c>
      <c r="J9236" s="50">
        <v>266.2</v>
      </c>
      <c r="K9236" t="s">
        <v>1618</v>
      </c>
      <c r="L9236" t="s">
        <v>6616</v>
      </c>
      <c r="M9236" t="s">
        <v>1624</v>
      </c>
      <c r="N9236">
        <v>28.1</v>
      </c>
      <c r="O9236" s="49">
        <v>44776</v>
      </c>
      <c r="P9236" s="50">
        <v>119.78999999999999</v>
      </c>
    </row>
    <row r="9237" spans="4:16" x14ac:dyDescent="0.2">
      <c r="D9237">
        <v>100005512</v>
      </c>
      <c r="E9237" s="49">
        <v>44614</v>
      </c>
      <c r="F9237" t="s">
        <v>5188</v>
      </c>
      <c r="G9237" t="s">
        <v>1717</v>
      </c>
      <c r="H9237">
        <v>10</v>
      </c>
      <c r="I9237">
        <v>74.45</v>
      </c>
      <c r="J9237" s="50">
        <v>744.5</v>
      </c>
      <c r="K9237" t="s">
        <v>1618</v>
      </c>
      <c r="L9237" t="s">
        <v>6616</v>
      </c>
      <c r="M9237" t="s">
        <v>1621</v>
      </c>
      <c r="N9237">
        <v>39.29</v>
      </c>
      <c r="O9237" s="49">
        <v>44615</v>
      </c>
      <c r="P9237" s="50">
        <v>335.02500000000003</v>
      </c>
    </row>
    <row r="9238" spans="4:16" x14ac:dyDescent="0.2">
      <c r="D9238">
        <v>100005513</v>
      </c>
      <c r="E9238" s="49">
        <v>45052</v>
      </c>
      <c r="F9238" t="s">
        <v>6617</v>
      </c>
      <c r="G9238" t="s">
        <v>1833</v>
      </c>
      <c r="H9238">
        <v>2</v>
      </c>
      <c r="I9238">
        <v>104.57</v>
      </c>
      <c r="J9238" s="50">
        <v>209.14</v>
      </c>
      <c r="K9238" t="s">
        <v>1618</v>
      </c>
      <c r="M9238" t="s">
        <v>1621</v>
      </c>
      <c r="N9238">
        <v>55.19</v>
      </c>
      <c r="O9238" s="49">
        <v>45056</v>
      </c>
      <c r="P9238" s="50">
        <v>94.113</v>
      </c>
    </row>
    <row r="9239" spans="4:16" x14ac:dyDescent="0.2">
      <c r="D9239">
        <v>100005513</v>
      </c>
      <c r="E9239" s="49">
        <v>45335</v>
      </c>
      <c r="F9239" t="s">
        <v>6617</v>
      </c>
      <c r="G9239" t="s">
        <v>1651</v>
      </c>
      <c r="H9239">
        <v>6</v>
      </c>
      <c r="I9239">
        <v>109.77</v>
      </c>
      <c r="J9239" s="50">
        <v>658.62</v>
      </c>
      <c r="K9239" t="s">
        <v>1618</v>
      </c>
      <c r="M9239" t="s">
        <v>1624</v>
      </c>
      <c r="N9239">
        <v>57.93</v>
      </c>
      <c r="O9239" s="49">
        <v>45336</v>
      </c>
      <c r="P9239" s="50">
        <v>296.37900000000002</v>
      </c>
    </row>
    <row r="9240" spans="4:16" x14ac:dyDescent="0.2">
      <c r="D9240">
        <v>100005515</v>
      </c>
      <c r="E9240" s="49">
        <v>44780</v>
      </c>
      <c r="F9240" t="s">
        <v>6618</v>
      </c>
      <c r="G9240" t="s">
        <v>2088</v>
      </c>
      <c r="H9240">
        <v>2</v>
      </c>
      <c r="I9240">
        <v>44.32</v>
      </c>
      <c r="J9240" s="50">
        <v>88.64</v>
      </c>
      <c r="K9240" t="s">
        <v>1618</v>
      </c>
      <c r="M9240" t="s">
        <v>1629</v>
      </c>
      <c r="N9240">
        <v>23.39</v>
      </c>
      <c r="O9240" s="49">
        <v>44784</v>
      </c>
      <c r="P9240" s="50">
        <v>39.887999999999998</v>
      </c>
    </row>
    <row r="9241" spans="4:16" x14ac:dyDescent="0.2">
      <c r="D9241">
        <v>100005518</v>
      </c>
      <c r="E9241" s="49">
        <v>44838</v>
      </c>
      <c r="F9241" t="s">
        <v>6619</v>
      </c>
      <c r="G9241" t="s">
        <v>2004</v>
      </c>
      <c r="H9241">
        <v>3</v>
      </c>
      <c r="I9241">
        <v>116.15</v>
      </c>
      <c r="J9241" s="50">
        <v>348.45</v>
      </c>
      <c r="K9241" t="s">
        <v>1618</v>
      </c>
      <c r="M9241" t="s">
        <v>1619</v>
      </c>
      <c r="N9241">
        <v>61.3</v>
      </c>
      <c r="O9241" s="49">
        <v>44839</v>
      </c>
      <c r="P9241" s="50">
        <v>156.80250000000001</v>
      </c>
    </row>
    <row r="9242" spans="4:16" x14ac:dyDescent="0.2">
      <c r="D9242">
        <v>100005518</v>
      </c>
      <c r="E9242" s="49">
        <v>44241</v>
      </c>
      <c r="F9242" t="s">
        <v>6619</v>
      </c>
      <c r="G9242" t="s">
        <v>1644</v>
      </c>
      <c r="H9242">
        <v>1</v>
      </c>
      <c r="I9242">
        <v>65.44</v>
      </c>
      <c r="J9242" s="50">
        <v>65.44</v>
      </c>
      <c r="K9242" t="s">
        <v>1618</v>
      </c>
      <c r="M9242" t="s">
        <v>1621</v>
      </c>
      <c r="N9242">
        <v>34.54</v>
      </c>
      <c r="O9242" s="49">
        <v>44243</v>
      </c>
      <c r="P9242" s="50">
        <v>29.448</v>
      </c>
    </row>
    <row r="9243" spans="4:16" x14ac:dyDescent="0.2">
      <c r="D9243">
        <v>100005518</v>
      </c>
      <c r="E9243" s="49">
        <v>45228</v>
      </c>
      <c r="F9243" t="s">
        <v>6619</v>
      </c>
      <c r="G9243" t="s">
        <v>2431</v>
      </c>
      <c r="H9243">
        <v>9</v>
      </c>
      <c r="I9243">
        <v>113.96</v>
      </c>
      <c r="J9243" s="50">
        <v>1025.6400000000001</v>
      </c>
      <c r="K9243" t="s">
        <v>1618</v>
      </c>
      <c r="M9243" t="s">
        <v>1624</v>
      </c>
      <c r="N9243">
        <v>60.15</v>
      </c>
      <c r="O9243" s="49">
        <v>45233</v>
      </c>
      <c r="P9243" s="50">
        <v>461.53800000000007</v>
      </c>
    </row>
    <row r="9244" spans="4:16" x14ac:dyDescent="0.2">
      <c r="D9244">
        <v>100005518</v>
      </c>
      <c r="E9244" s="49">
        <v>44791</v>
      </c>
      <c r="F9244" t="s">
        <v>6619</v>
      </c>
      <c r="G9244" t="s">
        <v>2330</v>
      </c>
      <c r="H9244">
        <v>2</v>
      </c>
      <c r="I9244">
        <v>24.7</v>
      </c>
      <c r="J9244" s="50">
        <v>49.4</v>
      </c>
      <c r="K9244" t="s">
        <v>1618</v>
      </c>
      <c r="M9244" t="s">
        <v>1619</v>
      </c>
      <c r="N9244">
        <v>13.04</v>
      </c>
      <c r="O9244" s="49">
        <v>44795</v>
      </c>
      <c r="P9244" s="50">
        <v>22.23</v>
      </c>
    </row>
    <row r="9245" spans="4:16" x14ac:dyDescent="0.2">
      <c r="D9245">
        <v>100005519</v>
      </c>
      <c r="E9245" s="49">
        <v>44569</v>
      </c>
      <c r="F9245" t="s">
        <v>6620</v>
      </c>
      <c r="G9245" t="s">
        <v>2291</v>
      </c>
      <c r="H9245">
        <v>9</v>
      </c>
      <c r="I9245">
        <v>57.76</v>
      </c>
      <c r="J9245" s="50">
        <v>519.84</v>
      </c>
      <c r="K9245" t="s">
        <v>1632</v>
      </c>
      <c r="M9245" t="s">
        <v>1619</v>
      </c>
      <c r="N9245">
        <v>30.48</v>
      </c>
      <c r="O9245" s="49">
        <v>44573</v>
      </c>
      <c r="P9245" s="50">
        <v>233.92800000000003</v>
      </c>
    </row>
    <row r="9246" spans="4:16" x14ac:dyDescent="0.2">
      <c r="D9246">
        <v>100005519</v>
      </c>
      <c r="E9246" s="49">
        <v>44618</v>
      </c>
      <c r="F9246" t="s">
        <v>6620</v>
      </c>
      <c r="G9246" t="s">
        <v>2079</v>
      </c>
      <c r="H9246">
        <v>8</v>
      </c>
      <c r="I9246">
        <v>39.21</v>
      </c>
      <c r="J9246" s="50">
        <v>313.68</v>
      </c>
      <c r="K9246" t="s">
        <v>1632</v>
      </c>
      <c r="M9246" t="s">
        <v>1629</v>
      </c>
      <c r="N9246">
        <v>20.69</v>
      </c>
      <c r="O9246" s="49">
        <v>44619</v>
      </c>
      <c r="P9246" s="50">
        <v>141.15600000000001</v>
      </c>
    </row>
    <row r="9247" spans="4:16" x14ac:dyDescent="0.2">
      <c r="D9247">
        <v>100005519</v>
      </c>
      <c r="E9247" s="49">
        <v>44434</v>
      </c>
      <c r="F9247" t="s">
        <v>6620</v>
      </c>
      <c r="G9247" t="s">
        <v>2116</v>
      </c>
      <c r="H9247">
        <v>3</v>
      </c>
      <c r="I9247">
        <v>21.46</v>
      </c>
      <c r="J9247" s="50">
        <v>64.38</v>
      </c>
      <c r="K9247" t="s">
        <v>1632</v>
      </c>
      <c r="M9247" t="s">
        <v>1629</v>
      </c>
      <c r="N9247">
        <v>11.33</v>
      </c>
      <c r="O9247" s="49">
        <v>44439</v>
      </c>
      <c r="P9247" s="50">
        <v>28.971</v>
      </c>
    </row>
    <row r="9248" spans="4:16" x14ac:dyDescent="0.2">
      <c r="D9248">
        <v>100005520</v>
      </c>
      <c r="E9248" s="49">
        <v>45403</v>
      </c>
      <c r="F9248" t="s">
        <v>6621</v>
      </c>
      <c r="G9248" t="s">
        <v>1691</v>
      </c>
      <c r="H9248">
        <v>10</v>
      </c>
      <c r="I9248">
        <v>79.13</v>
      </c>
      <c r="J9248" s="50">
        <v>791.3</v>
      </c>
      <c r="K9248" t="s">
        <v>1632</v>
      </c>
      <c r="L9248" t="s">
        <v>4099</v>
      </c>
      <c r="M9248" t="s">
        <v>1627</v>
      </c>
      <c r="N9248">
        <v>41.76</v>
      </c>
      <c r="O9248" s="49">
        <v>45407</v>
      </c>
      <c r="P9248" s="50">
        <v>356.08499999999998</v>
      </c>
    </row>
    <row r="9249" spans="4:16" x14ac:dyDescent="0.2">
      <c r="D9249">
        <v>100005520</v>
      </c>
      <c r="E9249" s="49">
        <v>45330</v>
      </c>
      <c r="F9249" t="s">
        <v>6621</v>
      </c>
      <c r="G9249" t="s">
        <v>2151</v>
      </c>
      <c r="H9249">
        <v>7</v>
      </c>
      <c r="I9249">
        <v>76.319999999999993</v>
      </c>
      <c r="J9249" s="50">
        <v>534.24</v>
      </c>
      <c r="K9249" t="s">
        <v>1632</v>
      </c>
      <c r="L9249" t="s">
        <v>4099</v>
      </c>
      <c r="M9249" t="s">
        <v>1629</v>
      </c>
      <c r="N9249">
        <v>40.28</v>
      </c>
      <c r="O9249" s="49">
        <v>45332</v>
      </c>
      <c r="P9249" s="50">
        <v>240.40800000000002</v>
      </c>
    </row>
    <row r="9250" spans="4:16" x14ac:dyDescent="0.2">
      <c r="D9250">
        <v>100005520</v>
      </c>
      <c r="E9250" s="49">
        <v>44879</v>
      </c>
      <c r="F9250" t="s">
        <v>6621</v>
      </c>
      <c r="G9250" t="s">
        <v>2090</v>
      </c>
      <c r="H9250">
        <v>3</v>
      </c>
      <c r="I9250">
        <v>15.34</v>
      </c>
      <c r="J9250" s="50">
        <v>46.02</v>
      </c>
      <c r="K9250" t="s">
        <v>1632</v>
      </c>
      <c r="L9250" t="s">
        <v>4099</v>
      </c>
      <c r="M9250" t="s">
        <v>1624</v>
      </c>
      <c r="N9250">
        <v>8.1</v>
      </c>
      <c r="O9250" s="49">
        <v>44881</v>
      </c>
      <c r="P9250" s="50">
        <v>20.709000000000003</v>
      </c>
    </row>
    <row r="9251" spans="4:16" x14ac:dyDescent="0.2">
      <c r="D9251">
        <v>100005520</v>
      </c>
      <c r="E9251" s="49">
        <v>45070</v>
      </c>
      <c r="F9251" t="s">
        <v>6621</v>
      </c>
      <c r="G9251" t="s">
        <v>2039</v>
      </c>
      <c r="H9251">
        <v>8</v>
      </c>
      <c r="I9251">
        <v>20.62</v>
      </c>
      <c r="J9251" s="50">
        <v>164.96</v>
      </c>
      <c r="K9251" t="s">
        <v>1632</v>
      </c>
      <c r="L9251" t="s">
        <v>4099</v>
      </c>
      <c r="M9251" t="s">
        <v>1621</v>
      </c>
      <c r="N9251">
        <v>10.88</v>
      </c>
      <c r="O9251" s="49">
        <v>45073</v>
      </c>
      <c r="P9251" s="50">
        <v>74.231999999999999</v>
      </c>
    </row>
    <row r="9252" spans="4:16" x14ac:dyDescent="0.2">
      <c r="D9252">
        <v>100005520</v>
      </c>
      <c r="E9252" s="49">
        <v>45465</v>
      </c>
      <c r="F9252" t="s">
        <v>6621</v>
      </c>
      <c r="G9252" t="s">
        <v>2574</v>
      </c>
      <c r="H9252">
        <v>7</v>
      </c>
      <c r="I9252">
        <v>62.15</v>
      </c>
      <c r="J9252" s="50">
        <v>435.05</v>
      </c>
      <c r="K9252" t="s">
        <v>1632</v>
      </c>
      <c r="L9252" t="s">
        <v>4099</v>
      </c>
      <c r="M9252" t="s">
        <v>1621</v>
      </c>
      <c r="N9252">
        <v>32.799999999999997</v>
      </c>
      <c r="O9252" s="49">
        <v>45466</v>
      </c>
      <c r="P9252" s="50">
        <v>195.77250000000001</v>
      </c>
    </row>
    <row r="9253" spans="4:16" x14ac:dyDescent="0.2">
      <c r="D9253">
        <v>100005521</v>
      </c>
      <c r="E9253" s="49">
        <v>44541</v>
      </c>
      <c r="F9253" t="s">
        <v>6622</v>
      </c>
      <c r="G9253" t="s">
        <v>1794</v>
      </c>
      <c r="H9253">
        <v>10</v>
      </c>
      <c r="I9253">
        <v>17.16</v>
      </c>
      <c r="J9253" s="50">
        <v>171.6</v>
      </c>
      <c r="K9253" t="s">
        <v>1618</v>
      </c>
      <c r="M9253" t="s">
        <v>1627</v>
      </c>
      <c r="N9253">
        <v>9.06</v>
      </c>
      <c r="O9253" s="49">
        <v>44543</v>
      </c>
      <c r="P9253" s="50">
        <v>77.22</v>
      </c>
    </row>
    <row r="9254" spans="4:16" x14ac:dyDescent="0.2">
      <c r="D9254">
        <v>100005522</v>
      </c>
      <c r="E9254" s="49">
        <v>45142</v>
      </c>
      <c r="F9254" t="s">
        <v>4194</v>
      </c>
      <c r="G9254" t="s">
        <v>2198</v>
      </c>
      <c r="H9254">
        <v>1</v>
      </c>
      <c r="I9254">
        <v>64.08</v>
      </c>
      <c r="J9254" s="50">
        <v>64.08</v>
      </c>
      <c r="K9254" t="s">
        <v>1618</v>
      </c>
      <c r="M9254" t="s">
        <v>1619</v>
      </c>
      <c r="N9254">
        <v>33.82</v>
      </c>
      <c r="O9254" s="49">
        <v>45145</v>
      </c>
      <c r="P9254" s="50">
        <v>28.835999999999999</v>
      </c>
    </row>
    <row r="9255" spans="4:16" x14ac:dyDescent="0.2">
      <c r="D9255">
        <v>100005522</v>
      </c>
      <c r="E9255" s="49">
        <v>45436</v>
      </c>
      <c r="F9255" t="s">
        <v>4194</v>
      </c>
      <c r="G9255" t="s">
        <v>2480</v>
      </c>
      <c r="H9255">
        <v>6</v>
      </c>
      <c r="I9255">
        <v>17.22</v>
      </c>
      <c r="J9255" s="50">
        <v>103.32</v>
      </c>
      <c r="K9255" t="s">
        <v>1618</v>
      </c>
      <c r="M9255" t="s">
        <v>1619</v>
      </c>
      <c r="N9255">
        <v>9.09</v>
      </c>
      <c r="O9255" s="49">
        <v>45438</v>
      </c>
      <c r="P9255" s="50">
        <v>46.494</v>
      </c>
    </row>
    <row r="9256" spans="4:16" x14ac:dyDescent="0.2">
      <c r="D9256">
        <v>100005522</v>
      </c>
      <c r="E9256" s="49">
        <v>45513</v>
      </c>
      <c r="F9256" t="s">
        <v>4194</v>
      </c>
      <c r="G9256" t="s">
        <v>2390</v>
      </c>
      <c r="H9256">
        <v>8</v>
      </c>
      <c r="I9256">
        <v>16.53</v>
      </c>
      <c r="J9256" s="50">
        <v>132.24</v>
      </c>
      <c r="K9256" t="s">
        <v>1618</v>
      </c>
      <c r="M9256" t="s">
        <v>1624</v>
      </c>
      <c r="N9256">
        <v>8.7200000000000006</v>
      </c>
      <c r="O9256" s="49">
        <v>45514</v>
      </c>
      <c r="P9256" s="50">
        <v>59.508000000000003</v>
      </c>
    </row>
    <row r="9257" spans="4:16" x14ac:dyDescent="0.2">
      <c r="D9257">
        <v>100005522</v>
      </c>
      <c r="E9257" s="49">
        <v>44884</v>
      </c>
      <c r="F9257" t="s">
        <v>4194</v>
      </c>
      <c r="G9257" t="s">
        <v>1856</v>
      </c>
      <c r="H9257">
        <v>7</v>
      </c>
      <c r="I9257">
        <v>57.53</v>
      </c>
      <c r="J9257" s="50">
        <v>402.71</v>
      </c>
      <c r="K9257" t="s">
        <v>1618</v>
      </c>
      <c r="M9257" t="s">
        <v>1624</v>
      </c>
      <c r="N9257">
        <v>30.36</v>
      </c>
      <c r="O9257" s="49">
        <v>44887</v>
      </c>
      <c r="P9257" s="50">
        <v>181.21949999999998</v>
      </c>
    </row>
    <row r="9258" spans="4:16" x14ac:dyDescent="0.2">
      <c r="D9258">
        <v>100005523</v>
      </c>
      <c r="E9258" s="49">
        <v>45478</v>
      </c>
      <c r="F9258" t="s">
        <v>6623</v>
      </c>
      <c r="G9258" t="s">
        <v>1733</v>
      </c>
      <c r="H9258">
        <v>2</v>
      </c>
      <c r="I9258">
        <v>115.43</v>
      </c>
      <c r="J9258" s="50">
        <v>230.86</v>
      </c>
      <c r="K9258" t="s">
        <v>1632</v>
      </c>
      <c r="M9258" t="s">
        <v>1624</v>
      </c>
      <c r="N9258">
        <v>60.92</v>
      </c>
      <c r="O9258" s="49">
        <v>45480</v>
      </c>
      <c r="P9258" s="50">
        <v>103.88700000000001</v>
      </c>
    </row>
    <row r="9259" spans="4:16" x14ac:dyDescent="0.2">
      <c r="D9259">
        <v>100005523</v>
      </c>
      <c r="E9259" s="49">
        <v>44545</v>
      </c>
      <c r="F9259" t="s">
        <v>6623</v>
      </c>
      <c r="G9259" t="s">
        <v>2447</v>
      </c>
      <c r="H9259">
        <v>1</v>
      </c>
      <c r="I9259">
        <v>92.53</v>
      </c>
      <c r="J9259" s="50">
        <v>92.53</v>
      </c>
      <c r="K9259" t="s">
        <v>1632</v>
      </c>
      <c r="M9259" t="s">
        <v>1629</v>
      </c>
      <c r="N9259">
        <v>48.83</v>
      </c>
      <c r="O9259" s="49">
        <v>44548</v>
      </c>
      <c r="P9259" s="50">
        <v>41.638500000000001</v>
      </c>
    </row>
    <row r="9260" spans="4:16" x14ac:dyDescent="0.2">
      <c r="D9260">
        <v>100005523</v>
      </c>
      <c r="E9260" s="49">
        <v>44767</v>
      </c>
      <c r="F9260" t="s">
        <v>6623</v>
      </c>
      <c r="G9260" t="s">
        <v>2387</v>
      </c>
      <c r="H9260">
        <v>7</v>
      </c>
      <c r="I9260">
        <v>49.5</v>
      </c>
      <c r="J9260" s="50">
        <v>346.5</v>
      </c>
      <c r="K9260" t="s">
        <v>1632</v>
      </c>
      <c r="M9260" t="s">
        <v>1619</v>
      </c>
      <c r="N9260">
        <v>26.12</v>
      </c>
      <c r="O9260" s="49">
        <v>44771</v>
      </c>
      <c r="P9260" s="50">
        <v>155.92500000000001</v>
      </c>
    </row>
    <row r="9261" spans="4:16" x14ac:dyDescent="0.2">
      <c r="D9261">
        <v>100005523</v>
      </c>
      <c r="E9261" s="49">
        <v>44706</v>
      </c>
      <c r="F9261" t="s">
        <v>6623</v>
      </c>
      <c r="G9261" t="s">
        <v>1722</v>
      </c>
      <c r="H9261">
        <v>2</v>
      </c>
      <c r="I9261">
        <v>77.510000000000005</v>
      </c>
      <c r="J9261" s="50">
        <v>155.02000000000001</v>
      </c>
      <c r="K9261" t="s">
        <v>1632</v>
      </c>
      <c r="M9261" t="s">
        <v>1629</v>
      </c>
      <c r="N9261">
        <v>40.909999999999997</v>
      </c>
      <c r="O9261" s="49">
        <v>44709</v>
      </c>
      <c r="P9261" s="50">
        <v>69.759</v>
      </c>
    </row>
    <row r="9262" spans="4:16" x14ac:dyDescent="0.2">
      <c r="D9262">
        <v>100005524</v>
      </c>
      <c r="E9262" s="49">
        <v>45167</v>
      </c>
      <c r="F9262" t="s">
        <v>6624</v>
      </c>
      <c r="G9262" t="s">
        <v>1762</v>
      </c>
      <c r="H9262">
        <v>3</v>
      </c>
      <c r="I9262">
        <v>83.27</v>
      </c>
      <c r="J9262" s="50">
        <v>249.81</v>
      </c>
      <c r="K9262" t="s">
        <v>1632</v>
      </c>
      <c r="M9262" t="s">
        <v>1629</v>
      </c>
      <c r="N9262">
        <v>43.95</v>
      </c>
      <c r="O9262" s="49">
        <v>45170</v>
      </c>
      <c r="P9262" s="50">
        <v>112.4145</v>
      </c>
    </row>
    <row r="9263" spans="4:16" x14ac:dyDescent="0.2">
      <c r="D9263">
        <v>100005524</v>
      </c>
      <c r="E9263" s="49">
        <v>45427</v>
      </c>
      <c r="F9263" t="s">
        <v>6624</v>
      </c>
      <c r="G9263" t="s">
        <v>1900</v>
      </c>
      <c r="H9263">
        <v>5</v>
      </c>
      <c r="I9263">
        <v>97.43</v>
      </c>
      <c r="J9263" s="50">
        <v>487.15</v>
      </c>
      <c r="K9263" t="s">
        <v>1632</v>
      </c>
      <c r="M9263" t="s">
        <v>1629</v>
      </c>
      <c r="N9263">
        <v>51.42</v>
      </c>
      <c r="O9263" s="49">
        <v>45432</v>
      </c>
      <c r="P9263" s="50">
        <v>219.2175</v>
      </c>
    </row>
    <row r="9264" spans="4:16" x14ac:dyDescent="0.2">
      <c r="D9264">
        <v>100005524</v>
      </c>
      <c r="E9264" s="49">
        <v>44409</v>
      </c>
      <c r="F9264" t="s">
        <v>6624</v>
      </c>
      <c r="G9264" t="s">
        <v>2204</v>
      </c>
      <c r="H9264">
        <v>4</v>
      </c>
      <c r="I9264">
        <v>81.84</v>
      </c>
      <c r="J9264" s="50">
        <v>327.36</v>
      </c>
      <c r="K9264" t="s">
        <v>1632</v>
      </c>
      <c r="M9264" t="s">
        <v>1627</v>
      </c>
      <c r="N9264">
        <v>43.19</v>
      </c>
      <c r="O9264" s="49">
        <v>44412</v>
      </c>
      <c r="P9264" s="50">
        <v>147.31200000000001</v>
      </c>
    </row>
    <row r="9265" spans="4:16" x14ac:dyDescent="0.2">
      <c r="D9265">
        <v>100005525</v>
      </c>
      <c r="E9265" s="49">
        <v>44324</v>
      </c>
      <c r="F9265" t="s">
        <v>6625</v>
      </c>
      <c r="G9265" t="s">
        <v>2112</v>
      </c>
      <c r="H9265">
        <v>9</v>
      </c>
      <c r="I9265">
        <v>34.29</v>
      </c>
      <c r="J9265" s="50">
        <v>308.61</v>
      </c>
      <c r="K9265" t="s">
        <v>1618</v>
      </c>
      <c r="M9265" t="s">
        <v>1627</v>
      </c>
      <c r="N9265">
        <v>18.100000000000001</v>
      </c>
      <c r="O9265" s="49">
        <v>44326</v>
      </c>
      <c r="P9265" s="50">
        <v>138.87450000000001</v>
      </c>
    </row>
    <row r="9266" spans="4:16" x14ac:dyDescent="0.2">
      <c r="D9266">
        <v>100005525</v>
      </c>
      <c r="E9266" s="49">
        <v>44258</v>
      </c>
      <c r="F9266" t="s">
        <v>6625</v>
      </c>
      <c r="G9266" t="s">
        <v>2071</v>
      </c>
      <c r="H9266">
        <v>7</v>
      </c>
      <c r="I9266">
        <v>116.74</v>
      </c>
      <c r="J9266" s="50">
        <v>817.18</v>
      </c>
      <c r="K9266" t="s">
        <v>1618</v>
      </c>
      <c r="M9266" t="s">
        <v>1621</v>
      </c>
      <c r="N9266">
        <v>61.61</v>
      </c>
      <c r="O9266" s="49">
        <v>44263</v>
      </c>
      <c r="P9266" s="50">
        <v>367.73099999999999</v>
      </c>
    </row>
    <row r="9267" spans="4:16" x14ac:dyDescent="0.2">
      <c r="D9267">
        <v>100005526</v>
      </c>
      <c r="E9267" s="49">
        <v>44587</v>
      </c>
      <c r="F9267" t="s">
        <v>6626</v>
      </c>
      <c r="G9267" t="s">
        <v>2585</v>
      </c>
      <c r="H9267">
        <v>10</v>
      </c>
      <c r="I9267">
        <v>82.65</v>
      </c>
      <c r="J9267" s="50">
        <v>826.5</v>
      </c>
      <c r="K9267" t="s">
        <v>1618</v>
      </c>
      <c r="M9267" t="s">
        <v>1621</v>
      </c>
      <c r="N9267">
        <v>43.62</v>
      </c>
      <c r="O9267" s="49">
        <v>44592</v>
      </c>
      <c r="P9267" s="50">
        <v>371.92500000000001</v>
      </c>
    </row>
    <row r="9268" spans="4:16" x14ac:dyDescent="0.2">
      <c r="D9268">
        <v>100005529</v>
      </c>
      <c r="E9268" s="49">
        <v>45410</v>
      </c>
      <c r="F9268" t="s">
        <v>6627</v>
      </c>
      <c r="G9268" t="s">
        <v>1853</v>
      </c>
      <c r="H9268">
        <v>5</v>
      </c>
      <c r="I9268">
        <v>74.040000000000006</v>
      </c>
      <c r="J9268" s="50">
        <v>370.2</v>
      </c>
      <c r="K9268" t="s">
        <v>1618</v>
      </c>
      <c r="M9268" t="s">
        <v>1619</v>
      </c>
      <c r="N9268">
        <v>39.08</v>
      </c>
      <c r="O9268" s="49">
        <v>45412</v>
      </c>
      <c r="P9268" s="50">
        <v>166.59</v>
      </c>
    </row>
    <row r="9269" spans="4:16" x14ac:dyDescent="0.2">
      <c r="D9269">
        <v>100005529</v>
      </c>
      <c r="E9269" s="49">
        <v>45649</v>
      </c>
      <c r="F9269" t="s">
        <v>6627</v>
      </c>
      <c r="G9269" t="s">
        <v>1744</v>
      </c>
      <c r="H9269">
        <v>4</v>
      </c>
      <c r="I9269">
        <v>25.6</v>
      </c>
      <c r="J9269" s="50">
        <v>102.4</v>
      </c>
      <c r="K9269" t="s">
        <v>1618</v>
      </c>
      <c r="M9269" t="s">
        <v>1629</v>
      </c>
      <c r="N9269">
        <v>13.51</v>
      </c>
      <c r="O9269" s="49">
        <v>45654</v>
      </c>
      <c r="P9269" s="50">
        <v>46.080000000000005</v>
      </c>
    </row>
    <row r="9270" spans="4:16" x14ac:dyDescent="0.2">
      <c r="D9270">
        <v>100005530</v>
      </c>
      <c r="E9270" s="49">
        <v>45625</v>
      </c>
      <c r="F9270" t="s">
        <v>6628</v>
      </c>
      <c r="G9270" t="s">
        <v>2174</v>
      </c>
      <c r="H9270">
        <v>7</v>
      </c>
      <c r="I9270">
        <v>20.2</v>
      </c>
      <c r="J9270" s="50">
        <v>141.4</v>
      </c>
      <c r="K9270" t="s">
        <v>1618</v>
      </c>
      <c r="M9270" t="s">
        <v>1619</v>
      </c>
      <c r="N9270">
        <v>10.66</v>
      </c>
      <c r="O9270" s="49">
        <v>45626</v>
      </c>
      <c r="P9270" s="50">
        <v>63.63</v>
      </c>
    </row>
    <row r="9271" spans="4:16" x14ac:dyDescent="0.2">
      <c r="D9271">
        <v>100005532</v>
      </c>
      <c r="E9271" s="49">
        <v>44306</v>
      </c>
      <c r="F9271" t="s">
        <v>6629</v>
      </c>
      <c r="G9271" t="s">
        <v>2372</v>
      </c>
      <c r="H9271">
        <v>7</v>
      </c>
      <c r="I9271">
        <v>112.59</v>
      </c>
      <c r="J9271" s="50">
        <v>788.13</v>
      </c>
      <c r="K9271" t="s">
        <v>1632</v>
      </c>
      <c r="M9271" t="s">
        <v>1627</v>
      </c>
      <c r="N9271">
        <v>59.42</v>
      </c>
      <c r="O9271" s="49">
        <v>44310</v>
      </c>
      <c r="P9271" s="50">
        <v>354.6585</v>
      </c>
    </row>
    <row r="9272" spans="4:16" x14ac:dyDescent="0.2">
      <c r="D9272">
        <v>100005532</v>
      </c>
      <c r="E9272" s="49">
        <v>45437</v>
      </c>
      <c r="F9272" t="s">
        <v>6629</v>
      </c>
      <c r="G9272" t="s">
        <v>1744</v>
      </c>
      <c r="H9272">
        <v>7</v>
      </c>
      <c r="I9272">
        <v>83.94</v>
      </c>
      <c r="J9272" s="50">
        <v>587.57999999999993</v>
      </c>
      <c r="K9272" t="s">
        <v>1632</v>
      </c>
      <c r="M9272" t="s">
        <v>1619</v>
      </c>
      <c r="N9272">
        <v>44.3</v>
      </c>
      <c r="O9272" s="49">
        <v>45442</v>
      </c>
      <c r="P9272" s="50">
        <v>264.411</v>
      </c>
    </row>
    <row r="9273" spans="4:16" x14ac:dyDescent="0.2">
      <c r="D9273">
        <v>100005532</v>
      </c>
      <c r="E9273" s="49">
        <v>44214</v>
      </c>
      <c r="F9273" t="s">
        <v>6629</v>
      </c>
      <c r="G9273" t="s">
        <v>1910</v>
      </c>
      <c r="H9273">
        <v>7</v>
      </c>
      <c r="I9273">
        <v>60.82</v>
      </c>
      <c r="J9273" s="50">
        <v>425.74</v>
      </c>
      <c r="K9273" t="s">
        <v>1632</v>
      </c>
      <c r="M9273" t="s">
        <v>1629</v>
      </c>
      <c r="N9273">
        <v>32.1</v>
      </c>
      <c r="O9273" s="49">
        <v>44216</v>
      </c>
      <c r="P9273" s="50">
        <v>191.583</v>
      </c>
    </row>
    <row r="9274" spans="4:16" x14ac:dyDescent="0.2">
      <c r="D9274">
        <v>100005532</v>
      </c>
      <c r="E9274" s="49">
        <v>44420</v>
      </c>
      <c r="F9274" t="s">
        <v>6629</v>
      </c>
      <c r="G9274" t="s">
        <v>1929</v>
      </c>
      <c r="H9274">
        <v>5</v>
      </c>
      <c r="I9274">
        <v>15.08</v>
      </c>
      <c r="J9274" s="50">
        <v>75.400000000000006</v>
      </c>
      <c r="K9274" t="s">
        <v>1632</v>
      </c>
      <c r="M9274" t="s">
        <v>1627</v>
      </c>
      <c r="N9274">
        <v>7.96</v>
      </c>
      <c r="O9274" s="49">
        <v>44421</v>
      </c>
      <c r="P9274" s="50">
        <v>33.930000000000007</v>
      </c>
    </row>
    <row r="9275" spans="4:16" x14ac:dyDescent="0.2">
      <c r="D9275">
        <v>100005533</v>
      </c>
      <c r="E9275" s="49">
        <v>45171</v>
      </c>
      <c r="F9275" t="s">
        <v>6630</v>
      </c>
      <c r="G9275" t="s">
        <v>2182</v>
      </c>
      <c r="H9275">
        <v>2</v>
      </c>
      <c r="I9275">
        <v>17.440000000000001</v>
      </c>
      <c r="J9275" s="50">
        <v>34.880000000000003</v>
      </c>
      <c r="K9275" t="s">
        <v>1618</v>
      </c>
      <c r="L9275" t="s">
        <v>3087</v>
      </c>
      <c r="M9275" t="s">
        <v>1619</v>
      </c>
      <c r="N9275">
        <v>9.1999999999999993</v>
      </c>
      <c r="O9275" s="49">
        <v>45172</v>
      </c>
      <c r="P9275" s="50">
        <v>15.696000000000002</v>
      </c>
    </row>
    <row r="9276" spans="4:16" x14ac:dyDescent="0.2">
      <c r="D9276">
        <v>100005534</v>
      </c>
      <c r="E9276" s="49">
        <v>45631</v>
      </c>
      <c r="F9276" t="s">
        <v>6631</v>
      </c>
      <c r="G9276" t="s">
        <v>1628</v>
      </c>
      <c r="H9276">
        <v>1</v>
      </c>
      <c r="I9276">
        <v>98.73</v>
      </c>
      <c r="J9276" s="50">
        <v>98.73</v>
      </c>
      <c r="K9276" t="s">
        <v>1632</v>
      </c>
      <c r="L9276" t="s">
        <v>2244</v>
      </c>
      <c r="M9276" t="s">
        <v>1629</v>
      </c>
      <c r="N9276">
        <v>52.11</v>
      </c>
      <c r="O9276" s="49">
        <v>45633</v>
      </c>
      <c r="P9276" s="50">
        <v>44.4285</v>
      </c>
    </row>
    <row r="9277" spans="4:16" x14ac:dyDescent="0.2">
      <c r="D9277">
        <v>100005535</v>
      </c>
      <c r="E9277" s="49">
        <v>44826</v>
      </c>
      <c r="F9277" t="s">
        <v>6632</v>
      </c>
      <c r="G9277" t="s">
        <v>2553</v>
      </c>
      <c r="H9277">
        <v>3</v>
      </c>
      <c r="I9277">
        <v>11.72</v>
      </c>
      <c r="J9277" s="50">
        <v>35.159999999999997</v>
      </c>
      <c r="K9277" t="s">
        <v>1618</v>
      </c>
      <c r="M9277" t="s">
        <v>1619</v>
      </c>
      <c r="N9277">
        <v>6.19</v>
      </c>
      <c r="O9277" s="49">
        <v>44828</v>
      </c>
      <c r="P9277" s="50">
        <v>15.821999999999999</v>
      </c>
    </row>
    <row r="9278" spans="4:16" x14ac:dyDescent="0.2">
      <c r="D9278">
        <v>100005535</v>
      </c>
      <c r="E9278" s="49">
        <v>44199</v>
      </c>
      <c r="F9278" t="s">
        <v>6632</v>
      </c>
      <c r="G9278" t="s">
        <v>2480</v>
      </c>
      <c r="H9278">
        <v>1</v>
      </c>
      <c r="I9278">
        <v>62.97</v>
      </c>
      <c r="J9278" s="50">
        <v>62.97</v>
      </c>
      <c r="K9278" t="s">
        <v>1618</v>
      </c>
      <c r="M9278" t="s">
        <v>1624</v>
      </c>
      <c r="N9278">
        <v>33.229999999999997</v>
      </c>
      <c r="O9278" s="49">
        <v>44202</v>
      </c>
      <c r="P9278" s="50">
        <v>28.336500000000001</v>
      </c>
    </row>
    <row r="9279" spans="4:16" x14ac:dyDescent="0.2">
      <c r="D9279">
        <v>100005535</v>
      </c>
      <c r="E9279" s="49">
        <v>45651</v>
      </c>
      <c r="F9279" t="s">
        <v>6632</v>
      </c>
      <c r="G9279" t="s">
        <v>1731</v>
      </c>
      <c r="H9279">
        <v>9</v>
      </c>
      <c r="I9279">
        <v>41.53</v>
      </c>
      <c r="J9279" s="50">
        <v>373.77</v>
      </c>
      <c r="K9279" t="s">
        <v>1618</v>
      </c>
      <c r="M9279" t="s">
        <v>1627</v>
      </c>
      <c r="N9279">
        <v>21.92</v>
      </c>
      <c r="O9279" s="49">
        <v>45655</v>
      </c>
      <c r="P9279" s="50">
        <v>168.19649999999999</v>
      </c>
    </row>
    <row r="9280" spans="4:16" x14ac:dyDescent="0.2">
      <c r="D9280">
        <v>100005535</v>
      </c>
      <c r="E9280" s="49">
        <v>44217</v>
      </c>
      <c r="F9280" t="s">
        <v>6632</v>
      </c>
      <c r="G9280" t="s">
        <v>1980</v>
      </c>
      <c r="H9280">
        <v>9</v>
      </c>
      <c r="I9280">
        <v>104.85</v>
      </c>
      <c r="J9280" s="50">
        <v>943.65</v>
      </c>
      <c r="K9280" t="s">
        <v>1618</v>
      </c>
      <c r="M9280" t="s">
        <v>1621</v>
      </c>
      <c r="N9280">
        <v>55.34</v>
      </c>
      <c r="O9280" s="49">
        <v>44219</v>
      </c>
      <c r="P9280" s="50">
        <v>424.64249999999998</v>
      </c>
    </row>
    <row r="9281" spans="4:16" x14ac:dyDescent="0.2">
      <c r="D9281">
        <v>100005536</v>
      </c>
      <c r="E9281" s="49">
        <v>44566</v>
      </c>
      <c r="F9281" t="s">
        <v>6633</v>
      </c>
      <c r="G9281" t="s">
        <v>1855</v>
      </c>
      <c r="H9281">
        <v>9</v>
      </c>
      <c r="I9281">
        <v>65.13</v>
      </c>
      <c r="J9281" s="50">
        <v>586.16999999999996</v>
      </c>
      <c r="K9281" t="s">
        <v>1632</v>
      </c>
      <c r="M9281" t="s">
        <v>1621</v>
      </c>
      <c r="N9281">
        <v>34.369999999999997</v>
      </c>
      <c r="O9281" s="49">
        <v>44568</v>
      </c>
      <c r="P9281" s="50">
        <v>263.7765</v>
      </c>
    </row>
    <row r="9282" spans="4:16" x14ac:dyDescent="0.2">
      <c r="D9282">
        <v>100005537</v>
      </c>
      <c r="E9282" s="49">
        <v>44688</v>
      </c>
      <c r="F9282" t="s">
        <v>6634</v>
      </c>
      <c r="G9282" t="s">
        <v>2111</v>
      </c>
      <c r="H9282">
        <v>10</v>
      </c>
      <c r="I9282">
        <v>67.459999999999994</v>
      </c>
      <c r="J9282" s="50">
        <v>674.59999999999991</v>
      </c>
      <c r="K9282" t="s">
        <v>1618</v>
      </c>
      <c r="M9282" t="s">
        <v>1621</v>
      </c>
      <c r="N9282">
        <v>35.6</v>
      </c>
      <c r="O9282" s="49">
        <v>44692</v>
      </c>
      <c r="P9282" s="50">
        <v>303.57</v>
      </c>
    </row>
    <row r="9283" spans="4:16" x14ac:dyDescent="0.2">
      <c r="D9283">
        <v>100005537</v>
      </c>
      <c r="E9283" s="49">
        <v>45281</v>
      </c>
      <c r="F9283" t="s">
        <v>6634</v>
      </c>
      <c r="G9283" t="s">
        <v>1812</v>
      </c>
      <c r="H9283">
        <v>5</v>
      </c>
      <c r="I9283">
        <v>61.53</v>
      </c>
      <c r="J9283" s="50">
        <v>307.64999999999998</v>
      </c>
      <c r="K9283" t="s">
        <v>1618</v>
      </c>
      <c r="M9283" t="s">
        <v>1621</v>
      </c>
      <c r="N9283">
        <v>32.47</v>
      </c>
      <c r="O9283" s="49">
        <v>45283</v>
      </c>
      <c r="P9283" s="50">
        <v>138.4425</v>
      </c>
    </row>
    <row r="9284" spans="4:16" x14ac:dyDescent="0.2">
      <c r="D9284">
        <v>100005537</v>
      </c>
      <c r="E9284" s="49">
        <v>45650</v>
      </c>
      <c r="F9284" t="s">
        <v>6634</v>
      </c>
      <c r="G9284" t="s">
        <v>1851</v>
      </c>
      <c r="H9284">
        <v>8</v>
      </c>
      <c r="I9284">
        <v>115.89</v>
      </c>
      <c r="J9284" s="50">
        <v>927.12</v>
      </c>
      <c r="K9284" t="s">
        <v>1618</v>
      </c>
      <c r="M9284" t="s">
        <v>1627</v>
      </c>
      <c r="N9284">
        <v>61.16</v>
      </c>
      <c r="O9284" s="49">
        <v>45651</v>
      </c>
      <c r="P9284" s="50">
        <v>417.20400000000001</v>
      </c>
    </row>
    <row r="9285" spans="4:16" x14ac:dyDescent="0.2">
      <c r="D9285">
        <v>100005537</v>
      </c>
      <c r="E9285" s="49">
        <v>44740</v>
      </c>
      <c r="F9285" t="s">
        <v>6634</v>
      </c>
      <c r="G9285" t="s">
        <v>2150</v>
      </c>
      <c r="H9285">
        <v>4</v>
      </c>
      <c r="I9285">
        <v>104.17</v>
      </c>
      <c r="J9285" s="50">
        <v>416.68</v>
      </c>
      <c r="K9285" t="s">
        <v>1618</v>
      </c>
      <c r="M9285" t="s">
        <v>1621</v>
      </c>
      <c r="N9285">
        <v>54.98</v>
      </c>
      <c r="O9285" s="49">
        <v>44744</v>
      </c>
      <c r="P9285" s="50">
        <v>187.506</v>
      </c>
    </row>
    <row r="9286" spans="4:16" x14ac:dyDescent="0.2">
      <c r="D9286">
        <v>100005538</v>
      </c>
      <c r="E9286" s="49">
        <v>45313</v>
      </c>
      <c r="F9286" t="s">
        <v>6635</v>
      </c>
      <c r="G9286" t="s">
        <v>2328</v>
      </c>
      <c r="H9286">
        <v>4</v>
      </c>
      <c r="I9286">
        <v>65.81</v>
      </c>
      <c r="J9286" s="50">
        <v>263.24</v>
      </c>
      <c r="K9286" t="s">
        <v>1618</v>
      </c>
      <c r="M9286" t="s">
        <v>1619</v>
      </c>
      <c r="N9286">
        <v>34.729999999999997</v>
      </c>
      <c r="O9286" s="49">
        <v>45318</v>
      </c>
      <c r="P9286" s="50">
        <v>118.45800000000001</v>
      </c>
    </row>
    <row r="9287" spans="4:16" x14ac:dyDescent="0.2">
      <c r="D9287">
        <v>100005538</v>
      </c>
      <c r="E9287" s="49">
        <v>45380</v>
      </c>
      <c r="F9287" t="s">
        <v>6635</v>
      </c>
      <c r="G9287" t="s">
        <v>1857</v>
      </c>
      <c r="H9287">
        <v>5</v>
      </c>
      <c r="I9287">
        <v>44.88</v>
      </c>
      <c r="J9287" s="50">
        <v>224.4</v>
      </c>
      <c r="K9287" t="s">
        <v>1618</v>
      </c>
      <c r="M9287" t="s">
        <v>1624</v>
      </c>
      <c r="N9287">
        <v>23.69</v>
      </c>
      <c r="O9287" s="49">
        <v>45383</v>
      </c>
      <c r="P9287" s="50">
        <v>100.98</v>
      </c>
    </row>
    <row r="9288" spans="4:16" x14ac:dyDescent="0.2">
      <c r="D9288">
        <v>100005538</v>
      </c>
      <c r="E9288" s="49">
        <v>45242</v>
      </c>
      <c r="F9288" t="s">
        <v>6635</v>
      </c>
      <c r="G9288" t="s">
        <v>2151</v>
      </c>
      <c r="H9288">
        <v>1</v>
      </c>
      <c r="I9288">
        <v>114.3</v>
      </c>
      <c r="J9288" s="50">
        <v>114.3</v>
      </c>
      <c r="K9288" t="s">
        <v>1618</v>
      </c>
      <c r="M9288" t="s">
        <v>1624</v>
      </c>
      <c r="N9288">
        <v>60.32</v>
      </c>
      <c r="O9288" s="49">
        <v>45243</v>
      </c>
      <c r="P9288" s="50">
        <v>51.435000000000002</v>
      </c>
    </row>
    <row r="9289" spans="4:16" x14ac:dyDescent="0.2">
      <c r="D9289">
        <v>100005539</v>
      </c>
      <c r="E9289" s="49">
        <v>44797</v>
      </c>
      <c r="F9289" t="s">
        <v>6636</v>
      </c>
      <c r="G9289" t="s">
        <v>1770</v>
      </c>
      <c r="H9289">
        <v>9</v>
      </c>
      <c r="I9289">
        <v>72.400000000000006</v>
      </c>
      <c r="J9289" s="50">
        <v>651.6</v>
      </c>
      <c r="K9289" t="s">
        <v>1632</v>
      </c>
      <c r="M9289" t="s">
        <v>1627</v>
      </c>
      <c r="N9289">
        <v>38.21</v>
      </c>
      <c r="O9289" s="49">
        <v>44802</v>
      </c>
      <c r="P9289" s="50">
        <v>293.22000000000003</v>
      </c>
    </row>
    <row r="9290" spans="4:16" x14ac:dyDescent="0.2">
      <c r="D9290">
        <v>100005541</v>
      </c>
      <c r="E9290" s="49">
        <v>45468</v>
      </c>
      <c r="F9290" t="s">
        <v>6637</v>
      </c>
      <c r="G9290" t="s">
        <v>2766</v>
      </c>
      <c r="H9290">
        <v>8</v>
      </c>
      <c r="I9290">
        <v>67.22</v>
      </c>
      <c r="J9290" s="50">
        <v>537.76</v>
      </c>
      <c r="K9290" t="s">
        <v>1618</v>
      </c>
      <c r="M9290" t="s">
        <v>1621</v>
      </c>
      <c r="N9290">
        <v>35.479999999999997</v>
      </c>
      <c r="O9290" s="49">
        <v>45471</v>
      </c>
      <c r="P9290" s="50">
        <v>241.99199999999999</v>
      </c>
    </row>
    <row r="9291" spans="4:16" x14ac:dyDescent="0.2">
      <c r="D9291">
        <v>100005542</v>
      </c>
      <c r="E9291" s="49">
        <v>45187</v>
      </c>
      <c r="F9291" t="s">
        <v>6638</v>
      </c>
      <c r="G9291" t="s">
        <v>2033</v>
      </c>
      <c r="H9291">
        <v>10</v>
      </c>
      <c r="I9291">
        <v>64.069999999999993</v>
      </c>
      <c r="J9291" s="50">
        <v>640.69999999999993</v>
      </c>
      <c r="K9291" t="s">
        <v>1632</v>
      </c>
      <c r="M9291" t="s">
        <v>1629</v>
      </c>
      <c r="N9291">
        <v>33.81</v>
      </c>
      <c r="O9291" s="49">
        <v>45190</v>
      </c>
      <c r="P9291" s="50">
        <v>288.315</v>
      </c>
    </row>
    <row r="9292" spans="4:16" x14ac:dyDescent="0.2">
      <c r="D9292">
        <v>100005544</v>
      </c>
      <c r="E9292" s="49">
        <v>44526</v>
      </c>
      <c r="F9292" t="s">
        <v>3149</v>
      </c>
      <c r="G9292" t="s">
        <v>1738</v>
      </c>
      <c r="H9292">
        <v>1</v>
      </c>
      <c r="I9292">
        <v>119.32</v>
      </c>
      <c r="J9292" s="50">
        <v>119.32</v>
      </c>
      <c r="K9292" t="s">
        <v>1632</v>
      </c>
      <c r="M9292" t="s">
        <v>1621</v>
      </c>
      <c r="N9292">
        <v>62.97</v>
      </c>
      <c r="O9292" s="49">
        <v>44527</v>
      </c>
      <c r="P9292" s="50">
        <v>53.693999999999996</v>
      </c>
    </row>
    <row r="9293" spans="4:16" x14ac:dyDescent="0.2">
      <c r="D9293">
        <v>100005544</v>
      </c>
      <c r="E9293" s="49">
        <v>44739</v>
      </c>
      <c r="F9293" t="s">
        <v>3149</v>
      </c>
      <c r="G9293" t="s">
        <v>1823</v>
      </c>
      <c r="H9293">
        <v>2</v>
      </c>
      <c r="I9293">
        <v>17.43</v>
      </c>
      <c r="J9293" s="50">
        <v>34.86</v>
      </c>
      <c r="K9293" t="s">
        <v>1632</v>
      </c>
      <c r="M9293" t="s">
        <v>1621</v>
      </c>
      <c r="N9293">
        <v>9.1999999999999993</v>
      </c>
      <c r="O9293" s="49">
        <v>44741</v>
      </c>
      <c r="P9293" s="50">
        <v>15.686999999999999</v>
      </c>
    </row>
    <row r="9294" spans="4:16" x14ac:dyDescent="0.2">
      <c r="D9294">
        <v>100005544</v>
      </c>
      <c r="E9294" s="49">
        <v>45189</v>
      </c>
      <c r="F9294" t="s">
        <v>3149</v>
      </c>
      <c r="G9294" t="s">
        <v>1789</v>
      </c>
      <c r="H9294">
        <v>4</v>
      </c>
      <c r="I9294">
        <v>83.46</v>
      </c>
      <c r="J9294" s="50">
        <v>333.84</v>
      </c>
      <c r="K9294" t="s">
        <v>1632</v>
      </c>
      <c r="M9294" t="s">
        <v>1619</v>
      </c>
      <c r="N9294">
        <v>44.05</v>
      </c>
      <c r="O9294" s="49">
        <v>45194</v>
      </c>
      <c r="P9294" s="50">
        <v>150.22799999999998</v>
      </c>
    </row>
    <row r="9295" spans="4:16" x14ac:dyDescent="0.2">
      <c r="D9295">
        <v>100005546</v>
      </c>
      <c r="E9295" s="49">
        <v>45251</v>
      </c>
      <c r="F9295" t="s">
        <v>6639</v>
      </c>
      <c r="G9295" t="s">
        <v>2460</v>
      </c>
      <c r="H9295">
        <v>4</v>
      </c>
      <c r="I9295">
        <v>38.21</v>
      </c>
      <c r="J9295" s="50">
        <v>152.84</v>
      </c>
      <c r="K9295" t="s">
        <v>1618</v>
      </c>
      <c r="M9295" t="s">
        <v>1629</v>
      </c>
      <c r="N9295">
        <v>20.170000000000002</v>
      </c>
      <c r="O9295" s="49">
        <v>45256</v>
      </c>
      <c r="P9295" s="50">
        <v>68.778000000000006</v>
      </c>
    </row>
    <row r="9296" spans="4:16" x14ac:dyDescent="0.2">
      <c r="D9296">
        <v>100005546</v>
      </c>
      <c r="E9296" s="49">
        <v>45524</v>
      </c>
      <c r="F9296" t="s">
        <v>6639</v>
      </c>
      <c r="G9296" t="s">
        <v>2393</v>
      </c>
      <c r="H9296">
        <v>5</v>
      </c>
      <c r="I9296">
        <v>11.05</v>
      </c>
      <c r="J9296" s="50">
        <v>55.25</v>
      </c>
      <c r="K9296" t="s">
        <v>1618</v>
      </c>
      <c r="M9296" t="s">
        <v>1619</v>
      </c>
      <c r="N9296">
        <v>5.83</v>
      </c>
      <c r="O9296" s="49">
        <v>45529</v>
      </c>
      <c r="P9296" s="50">
        <v>24.862500000000001</v>
      </c>
    </row>
    <row r="9297" spans="4:16" x14ac:dyDescent="0.2">
      <c r="D9297">
        <v>100005546</v>
      </c>
      <c r="E9297" s="49">
        <v>44839</v>
      </c>
      <c r="F9297" t="s">
        <v>6639</v>
      </c>
      <c r="G9297" t="s">
        <v>2348</v>
      </c>
      <c r="H9297">
        <v>4</v>
      </c>
      <c r="I9297">
        <v>48.48</v>
      </c>
      <c r="J9297" s="50">
        <v>193.92</v>
      </c>
      <c r="K9297" t="s">
        <v>1618</v>
      </c>
      <c r="M9297" t="s">
        <v>1624</v>
      </c>
      <c r="N9297">
        <v>25.59</v>
      </c>
      <c r="O9297" s="49">
        <v>44840</v>
      </c>
      <c r="P9297" s="50">
        <v>87.263999999999996</v>
      </c>
    </row>
    <row r="9298" spans="4:16" x14ac:dyDescent="0.2">
      <c r="D9298">
        <v>100005547</v>
      </c>
      <c r="E9298" s="49">
        <v>45309</v>
      </c>
      <c r="F9298" t="s">
        <v>6640</v>
      </c>
      <c r="G9298" t="s">
        <v>1721</v>
      </c>
      <c r="H9298">
        <v>7</v>
      </c>
      <c r="I9298">
        <v>116.09</v>
      </c>
      <c r="J9298" s="50">
        <v>812.63</v>
      </c>
      <c r="K9298" t="s">
        <v>1618</v>
      </c>
      <c r="M9298" t="s">
        <v>1624</v>
      </c>
      <c r="N9298">
        <v>61.27</v>
      </c>
      <c r="O9298" s="49">
        <v>45314</v>
      </c>
      <c r="P9298" s="50">
        <v>365.68349999999998</v>
      </c>
    </row>
    <row r="9299" spans="4:16" x14ac:dyDescent="0.2">
      <c r="D9299">
        <v>100005547</v>
      </c>
      <c r="E9299" s="49">
        <v>45541</v>
      </c>
      <c r="F9299" t="s">
        <v>6640</v>
      </c>
      <c r="G9299" t="s">
        <v>2168</v>
      </c>
      <c r="H9299">
        <v>2</v>
      </c>
      <c r="I9299">
        <v>39.869999999999997</v>
      </c>
      <c r="J9299" s="50">
        <v>79.739999999999995</v>
      </c>
      <c r="K9299" t="s">
        <v>1618</v>
      </c>
      <c r="M9299" t="s">
        <v>1624</v>
      </c>
      <c r="N9299">
        <v>21.04</v>
      </c>
      <c r="O9299" s="49">
        <v>45543</v>
      </c>
      <c r="P9299" s="50">
        <v>35.882999999999996</v>
      </c>
    </row>
    <row r="9300" spans="4:16" x14ac:dyDescent="0.2">
      <c r="D9300">
        <v>100005547</v>
      </c>
      <c r="E9300" s="49">
        <v>45052</v>
      </c>
      <c r="F9300" t="s">
        <v>6640</v>
      </c>
      <c r="G9300" t="s">
        <v>1897</v>
      </c>
      <c r="H9300">
        <v>9</v>
      </c>
      <c r="I9300">
        <v>41.17</v>
      </c>
      <c r="J9300" s="50">
        <v>370.53</v>
      </c>
      <c r="K9300" t="s">
        <v>1618</v>
      </c>
      <c r="M9300" t="s">
        <v>1619</v>
      </c>
      <c r="N9300">
        <v>21.73</v>
      </c>
      <c r="O9300" s="49">
        <v>45053</v>
      </c>
      <c r="P9300" s="50">
        <v>166.73849999999999</v>
      </c>
    </row>
    <row r="9301" spans="4:16" x14ac:dyDescent="0.2">
      <c r="D9301">
        <v>100005548</v>
      </c>
      <c r="E9301" s="49">
        <v>44736</v>
      </c>
      <c r="F9301" t="s">
        <v>6641</v>
      </c>
      <c r="G9301" t="s">
        <v>2047</v>
      </c>
      <c r="H9301">
        <v>7</v>
      </c>
      <c r="I9301">
        <v>41.29</v>
      </c>
      <c r="J9301" s="50">
        <v>289.02999999999997</v>
      </c>
      <c r="K9301" t="s">
        <v>1632</v>
      </c>
      <c r="L9301" t="s">
        <v>5708</v>
      </c>
      <c r="M9301" t="s">
        <v>1624</v>
      </c>
      <c r="N9301">
        <v>21.79</v>
      </c>
      <c r="O9301" s="49">
        <v>44741</v>
      </c>
      <c r="P9301" s="50">
        <v>130.0635</v>
      </c>
    </row>
    <row r="9302" spans="4:16" x14ac:dyDescent="0.2">
      <c r="D9302">
        <v>100005548</v>
      </c>
      <c r="E9302" s="49">
        <v>45476</v>
      </c>
      <c r="F9302" t="s">
        <v>6641</v>
      </c>
      <c r="G9302" t="s">
        <v>2585</v>
      </c>
      <c r="H9302">
        <v>7</v>
      </c>
      <c r="I9302">
        <v>60.83</v>
      </c>
      <c r="J9302" s="50">
        <v>425.81</v>
      </c>
      <c r="K9302" t="s">
        <v>1632</v>
      </c>
      <c r="L9302" t="s">
        <v>5708</v>
      </c>
      <c r="M9302" t="s">
        <v>1619</v>
      </c>
      <c r="N9302">
        <v>32.1</v>
      </c>
      <c r="O9302" s="49">
        <v>45481</v>
      </c>
      <c r="P9302" s="50">
        <v>191.61449999999999</v>
      </c>
    </row>
    <row r="9303" spans="4:16" x14ac:dyDescent="0.2">
      <c r="D9303">
        <v>100005548</v>
      </c>
      <c r="E9303" s="49">
        <v>45613</v>
      </c>
      <c r="F9303" t="s">
        <v>6641</v>
      </c>
      <c r="G9303" t="s">
        <v>1762</v>
      </c>
      <c r="H9303">
        <v>5</v>
      </c>
      <c r="I9303">
        <v>104.48</v>
      </c>
      <c r="J9303" s="50">
        <v>522.4</v>
      </c>
      <c r="K9303" t="s">
        <v>1632</v>
      </c>
      <c r="L9303" t="s">
        <v>5708</v>
      </c>
      <c r="M9303" t="s">
        <v>1624</v>
      </c>
      <c r="N9303">
        <v>55.14</v>
      </c>
      <c r="O9303" s="49">
        <v>45615</v>
      </c>
      <c r="P9303" s="50">
        <v>235.07999999999998</v>
      </c>
    </row>
    <row r="9304" spans="4:16" x14ac:dyDescent="0.2">
      <c r="D9304">
        <v>100005549</v>
      </c>
      <c r="E9304" s="49">
        <v>44479</v>
      </c>
      <c r="F9304" t="s">
        <v>6642</v>
      </c>
      <c r="G9304" t="s">
        <v>1963</v>
      </c>
      <c r="H9304">
        <v>8</v>
      </c>
      <c r="I9304">
        <v>39.93</v>
      </c>
      <c r="J9304" s="50">
        <v>319.44</v>
      </c>
      <c r="K9304" t="s">
        <v>1618</v>
      </c>
      <c r="L9304" t="s">
        <v>4015</v>
      </c>
      <c r="M9304" t="s">
        <v>1621</v>
      </c>
      <c r="N9304">
        <v>21.07</v>
      </c>
      <c r="O9304" s="49">
        <v>44481</v>
      </c>
      <c r="P9304" s="50">
        <v>143.74799999999999</v>
      </c>
    </row>
    <row r="9305" spans="4:16" x14ac:dyDescent="0.2">
      <c r="D9305">
        <v>100005550</v>
      </c>
      <c r="E9305" s="49">
        <v>45326</v>
      </c>
      <c r="F9305" t="s">
        <v>6643</v>
      </c>
      <c r="G9305" t="s">
        <v>2039</v>
      </c>
      <c r="H9305">
        <v>3</v>
      </c>
      <c r="I9305">
        <v>31.38</v>
      </c>
      <c r="J9305" s="50">
        <v>94.14</v>
      </c>
      <c r="K9305" t="s">
        <v>1618</v>
      </c>
      <c r="M9305" t="s">
        <v>1629</v>
      </c>
      <c r="N9305">
        <v>16.559999999999999</v>
      </c>
      <c r="O9305" s="49">
        <v>45330</v>
      </c>
      <c r="P9305" s="50">
        <v>42.363</v>
      </c>
    </row>
    <row r="9306" spans="4:16" x14ac:dyDescent="0.2">
      <c r="D9306">
        <v>100005551</v>
      </c>
      <c r="E9306" s="49">
        <v>45178</v>
      </c>
      <c r="F9306" t="s">
        <v>6644</v>
      </c>
      <c r="G9306" t="s">
        <v>1921</v>
      </c>
      <c r="H9306">
        <v>10</v>
      </c>
      <c r="I9306">
        <v>97.74</v>
      </c>
      <c r="J9306" s="50">
        <v>977.4</v>
      </c>
      <c r="K9306" t="s">
        <v>1632</v>
      </c>
      <c r="M9306" t="s">
        <v>1629</v>
      </c>
      <c r="N9306">
        <v>51.58</v>
      </c>
      <c r="O9306" s="49">
        <v>45181</v>
      </c>
      <c r="P9306" s="50">
        <v>439.83</v>
      </c>
    </row>
    <row r="9307" spans="4:16" x14ac:dyDescent="0.2">
      <c r="D9307">
        <v>100005551</v>
      </c>
      <c r="E9307" s="49">
        <v>44639</v>
      </c>
      <c r="F9307" t="s">
        <v>6644</v>
      </c>
      <c r="G9307" t="s">
        <v>1820</v>
      </c>
      <c r="H9307">
        <v>6</v>
      </c>
      <c r="I9307">
        <v>111.83</v>
      </c>
      <c r="J9307" s="50">
        <v>670.98</v>
      </c>
      <c r="K9307" t="s">
        <v>1632</v>
      </c>
      <c r="M9307" t="s">
        <v>1627</v>
      </c>
      <c r="N9307">
        <v>59.02</v>
      </c>
      <c r="O9307" s="49">
        <v>44644</v>
      </c>
      <c r="P9307" s="50">
        <v>301.94100000000003</v>
      </c>
    </row>
    <row r="9308" spans="4:16" x14ac:dyDescent="0.2">
      <c r="D9308">
        <v>100005552</v>
      </c>
      <c r="E9308" s="49">
        <v>45415</v>
      </c>
      <c r="F9308" t="s">
        <v>6645</v>
      </c>
      <c r="G9308" t="s">
        <v>2041</v>
      </c>
      <c r="H9308">
        <v>7</v>
      </c>
      <c r="I9308">
        <v>85.69</v>
      </c>
      <c r="J9308" s="50">
        <v>599.82999999999993</v>
      </c>
      <c r="K9308" t="s">
        <v>1618</v>
      </c>
      <c r="M9308" t="s">
        <v>1627</v>
      </c>
      <c r="N9308">
        <v>45.22</v>
      </c>
      <c r="O9308" s="49">
        <v>45418</v>
      </c>
      <c r="P9308" s="50">
        <v>269.92349999999999</v>
      </c>
    </row>
    <row r="9309" spans="4:16" x14ac:dyDescent="0.2">
      <c r="D9309">
        <v>100005552</v>
      </c>
      <c r="E9309" s="49">
        <v>44847</v>
      </c>
      <c r="F9309" t="s">
        <v>6645</v>
      </c>
      <c r="G9309" t="s">
        <v>1956</v>
      </c>
      <c r="H9309">
        <v>6</v>
      </c>
      <c r="I9309">
        <v>112.93</v>
      </c>
      <c r="J9309" s="50">
        <v>677.58</v>
      </c>
      <c r="K9309" t="s">
        <v>1618</v>
      </c>
      <c r="M9309" t="s">
        <v>1621</v>
      </c>
      <c r="N9309">
        <v>59.6</v>
      </c>
      <c r="O9309" s="49">
        <v>44850</v>
      </c>
      <c r="P9309" s="50">
        <v>304.911</v>
      </c>
    </row>
    <row r="9310" spans="4:16" x14ac:dyDescent="0.2">
      <c r="D9310">
        <v>100005552</v>
      </c>
      <c r="E9310" s="49">
        <v>44887</v>
      </c>
      <c r="F9310" t="s">
        <v>6645</v>
      </c>
      <c r="G9310" t="s">
        <v>2159</v>
      </c>
      <c r="H9310">
        <v>4</v>
      </c>
      <c r="I9310">
        <v>72.47</v>
      </c>
      <c r="J9310" s="50">
        <v>289.88</v>
      </c>
      <c r="K9310" t="s">
        <v>1618</v>
      </c>
      <c r="M9310" t="s">
        <v>1629</v>
      </c>
      <c r="N9310">
        <v>38.25</v>
      </c>
      <c r="O9310" s="49">
        <v>44888</v>
      </c>
      <c r="P9310" s="50">
        <v>130.446</v>
      </c>
    </row>
    <row r="9311" spans="4:16" x14ac:dyDescent="0.2">
      <c r="D9311">
        <v>100005552</v>
      </c>
      <c r="E9311" s="49">
        <v>44204</v>
      </c>
      <c r="F9311" t="s">
        <v>6645</v>
      </c>
      <c r="G9311" t="s">
        <v>1913</v>
      </c>
      <c r="H9311">
        <v>1</v>
      </c>
      <c r="I9311">
        <v>57.82</v>
      </c>
      <c r="J9311" s="50">
        <v>57.82</v>
      </c>
      <c r="K9311" t="s">
        <v>1618</v>
      </c>
      <c r="M9311" t="s">
        <v>1619</v>
      </c>
      <c r="N9311">
        <v>30.52</v>
      </c>
      <c r="O9311" s="49">
        <v>44208</v>
      </c>
      <c r="P9311" s="50">
        <v>26.019000000000002</v>
      </c>
    </row>
    <row r="9312" spans="4:16" x14ac:dyDescent="0.2">
      <c r="D9312">
        <v>100005553</v>
      </c>
      <c r="E9312" s="49">
        <v>44374</v>
      </c>
      <c r="F9312" t="s">
        <v>6646</v>
      </c>
      <c r="G9312" t="s">
        <v>2232</v>
      </c>
      <c r="H9312">
        <v>2</v>
      </c>
      <c r="I9312">
        <v>32.97</v>
      </c>
      <c r="J9312" s="50">
        <v>65.94</v>
      </c>
      <c r="K9312" t="s">
        <v>1632</v>
      </c>
      <c r="M9312" t="s">
        <v>1627</v>
      </c>
      <c r="N9312">
        <v>17.399999999999999</v>
      </c>
      <c r="O9312" s="49">
        <v>44375</v>
      </c>
      <c r="P9312" s="50">
        <v>29.672999999999998</v>
      </c>
    </row>
    <row r="9313" spans="4:16" x14ac:dyDescent="0.2">
      <c r="D9313">
        <v>100005553</v>
      </c>
      <c r="E9313" s="49">
        <v>45285</v>
      </c>
      <c r="F9313" t="s">
        <v>6646</v>
      </c>
      <c r="G9313" t="s">
        <v>2418</v>
      </c>
      <c r="H9313">
        <v>4</v>
      </c>
      <c r="I9313">
        <v>57.62</v>
      </c>
      <c r="J9313" s="50">
        <v>230.48</v>
      </c>
      <c r="K9313" t="s">
        <v>1632</v>
      </c>
      <c r="M9313" t="s">
        <v>1627</v>
      </c>
      <c r="N9313">
        <v>30.41</v>
      </c>
      <c r="O9313" s="49">
        <v>45288</v>
      </c>
      <c r="P9313" s="50">
        <v>103.71599999999999</v>
      </c>
    </row>
    <row r="9314" spans="4:16" x14ac:dyDescent="0.2">
      <c r="D9314">
        <v>100005553</v>
      </c>
      <c r="E9314" s="49">
        <v>44729</v>
      </c>
      <c r="F9314" t="s">
        <v>6646</v>
      </c>
      <c r="G9314" t="s">
        <v>1885</v>
      </c>
      <c r="H9314">
        <v>10</v>
      </c>
      <c r="I9314">
        <v>35.630000000000003</v>
      </c>
      <c r="J9314" s="50">
        <v>356.3</v>
      </c>
      <c r="K9314" t="s">
        <v>1632</v>
      </c>
      <c r="M9314" t="s">
        <v>1627</v>
      </c>
      <c r="N9314">
        <v>18.8</v>
      </c>
      <c r="O9314" s="49">
        <v>44731</v>
      </c>
      <c r="P9314" s="50">
        <v>160.33500000000001</v>
      </c>
    </row>
    <row r="9315" spans="4:16" x14ac:dyDescent="0.2">
      <c r="D9315">
        <v>100005553</v>
      </c>
      <c r="E9315" s="49">
        <v>44914</v>
      </c>
      <c r="F9315" t="s">
        <v>6646</v>
      </c>
      <c r="G9315" t="s">
        <v>2150</v>
      </c>
      <c r="H9315">
        <v>8</v>
      </c>
      <c r="I9315">
        <v>33.840000000000003</v>
      </c>
      <c r="J9315" s="50">
        <v>270.72000000000003</v>
      </c>
      <c r="K9315" t="s">
        <v>1632</v>
      </c>
      <c r="M9315" t="s">
        <v>1629</v>
      </c>
      <c r="N9315">
        <v>17.86</v>
      </c>
      <c r="O9315" s="49">
        <v>44915</v>
      </c>
      <c r="P9315" s="50">
        <v>121.82400000000001</v>
      </c>
    </row>
    <row r="9316" spans="4:16" x14ac:dyDescent="0.2">
      <c r="D9316">
        <v>100005553</v>
      </c>
      <c r="E9316" s="49">
        <v>44910</v>
      </c>
      <c r="F9316" t="s">
        <v>6646</v>
      </c>
      <c r="G9316" t="s">
        <v>1719</v>
      </c>
      <c r="H9316">
        <v>4</v>
      </c>
      <c r="I9316">
        <v>35.28</v>
      </c>
      <c r="J9316" s="50">
        <v>141.12</v>
      </c>
      <c r="K9316" t="s">
        <v>1632</v>
      </c>
      <c r="M9316" t="s">
        <v>1621</v>
      </c>
      <c r="N9316">
        <v>18.62</v>
      </c>
      <c r="O9316" s="49">
        <v>44911</v>
      </c>
      <c r="P9316" s="50">
        <v>63.504000000000005</v>
      </c>
    </row>
    <row r="9317" spans="4:16" x14ac:dyDescent="0.2">
      <c r="D9317">
        <v>100005554</v>
      </c>
      <c r="E9317" s="49">
        <v>45174</v>
      </c>
      <c r="F9317" t="s">
        <v>6647</v>
      </c>
      <c r="G9317" t="s">
        <v>2005</v>
      </c>
      <c r="H9317">
        <v>10</v>
      </c>
      <c r="I9317">
        <v>58.43</v>
      </c>
      <c r="J9317" s="50">
        <v>584.29999999999995</v>
      </c>
      <c r="K9317" t="s">
        <v>1618</v>
      </c>
      <c r="L9317" t="s">
        <v>6648</v>
      </c>
      <c r="M9317" t="s">
        <v>1629</v>
      </c>
      <c r="N9317">
        <v>30.84</v>
      </c>
      <c r="O9317" s="49">
        <v>45179</v>
      </c>
      <c r="P9317" s="50">
        <v>262.935</v>
      </c>
    </row>
    <row r="9318" spans="4:16" x14ac:dyDescent="0.2">
      <c r="D9318">
        <v>100005555</v>
      </c>
      <c r="E9318" s="49">
        <v>44542</v>
      </c>
      <c r="F9318" t="s">
        <v>6649</v>
      </c>
      <c r="G9318" t="s">
        <v>2603</v>
      </c>
      <c r="H9318">
        <v>8</v>
      </c>
      <c r="I9318">
        <v>90.82</v>
      </c>
      <c r="J9318" s="50">
        <v>726.56</v>
      </c>
      <c r="K9318" t="s">
        <v>1618</v>
      </c>
      <c r="M9318" t="s">
        <v>1627</v>
      </c>
      <c r="N9318">
        <v>47.93</v>
      </c>
      <c r="O9318" s="49">
        <v>44545</v>
      </c>
      <c r="P9318" s="50">
        <v>326.952</v>
      </c>
    </row>
    <row r="9319" spans="4:16" x14ac:dyDescent="0.2">
      <c r="D9319">
        <v>100005557</v>
      </c>
      <c r="E9319" s="49">
        <v>44939</v>
      </c>
      <c r="F9319" t="s">
        <v>6650</v>
      </c>
      <c r="G9319" t="s">
        <v>1770</v>
      </c>
      <c r="H9319">
        <v>3</v>
      </c>
      <c r="I9319">
        <v>72.400000000000006</v>
      </c>
      <c r="J9319" s="50">
        <v>217.2</v>
      </c>
      <c r="K9319" t="s">
        <v>1618</v>
      </c>
      <c r="M9319" t="s">
        <v>1627</v>
      </c>
      <c r="N9319">
        <v>38.21</v>
      </c>
      <c r="O9319" s="49">
        <v>44944</v>
      </c>
      <c r="P9319" s="50">
        <v>97.74</v>
      </c>
    </row>
    <row r="9320" spans="4:16" x14ac:dyDescent="0.2">
      <c r="D9320">
        <v>100005558</v>
      </c>
      <c r="E9320" s="49">
        <v>45208</v>
      </c>
      <c r="F9320" t="s">
        <v>6651</v>
      </c>
      <c r="G9320" t="s">
        <v>1785</v>
      </c>
      <c r="H9320">
        <v>7</v>
      </c>
      <c r="I9320">
        <v>100.46</v>
      </c>
      <c r="J9320" s="50">
        <v>703.21999999999991</v>
      </c>
      <c r="K9320" t="s">
        <v>1618</v>
      </c>
      <c r="L9320" t="s">
        <v>2770</v>
      </c>
      <c r="M9320" t="s">
        <v>1627</v>
      </c>
      <c r="N9320">
        <v>53.02</v>
      </c>
      <c r="O9320" s="49">
        <v>45213</v>
      </c>
      <c r="P9320" s="50">
        <v>316.44899999999996</v>
      </c>
    </row>
    <row r="9321" spans="4:16" x14ac:dyDescent="0.2">
      <c r="D9321">
        <v>100005560</v>
      </c>
      <c r="E9321" s="49">
        <v>45345</v>
      </c>
      <c r="F9321" t="s">
        <v>6652</v>
      </c>
      <c r="G9321" t="s">
        <v>2159</v>
      </c>
      <c r="H9321">
        <v>9</v>
      </c>
      <c r="I9321">
        <v>37.299999999999997</v>
      </c>
      <c r="J9321" s="50">
        <v>335.7</v>
      </c>
      <c r="K9321" t="s">
        <v>1618</v>
      </c>
      <c r="M9321" t="s">
        <v>1624</v>
      </c>
      <c r="N9321">
        <v>19.690000000000001</v>
      </c>
      <c r="O9321" s="49">
        <v>45347</v>
      </c>
      <c r="P9321" s="50">
        <v>151.065</v>
      </c>
    </row>
    <row r="9322" spans="4:16" x14ac:dyDescent="0.2">
      <c r="D9322">
        <v>100005560</v>
      </c>
      <c r="E9322" s="49">
        <v>45024</v>
      </c>
      <c r="F9322" t="s">
        <v>6652</v>
      </c>
      <c r="G9322" t="s">
        <v>1978</v>
      </c>
      <c r="H9322">
        <v>10</v>
      </c>
      <c r="I9322">
        <v>57.73</v>
      </c>
      <c r="J9322" s="50">
        <v>577.29999999999995</v>
      </c>
      <c r="K9322" t="s">
        <v>1618</v>
      </c>
      <c r="M9322" t="s">
        <v>1627</v>
      </c>
      <c r="N9322">
        <v>30.47</v>
      </c>
      <c r="O9322" s="49">
        <v>45026</v>
      </c>
      <c r="P9322" s="50">
        <v>259.78499999999997</v>
      </c>
    </row>
    <row r="9323" spans="4:16" x14ac:dyDescent="0.2">
      <c r="D9323">
        <v>100005560</v>
      </c>
      <c r="E9323" s="49">
        <v>44512</v>
      </c>
      <c r="F9323" t="s">
        <v>6652</v>
      </c>
      <c r="G9323" t="s">
        <v>1748</v>
      </c>
      <c r="H9323">
        <v>10</v>
      </c>
      <c r="I9323">
        <v>119.46</v>
      </c>
      <c r="J9323" s="50">
        <v>1194.5999999999999</v>
      </c>
      <c r="K9323" t="s">
        <v>1618</v>
      </c>
      <c r="M9323" t="s">
        <v>1627</v>
      </c>
      <c r="N9323">
        <v>63.05</v>
      </c>
      <c r="O9323" s="49">
        <v>44517</v>
      </c>
      <c r="P9323" s="50">
        <v>537.56999999999994</v>
      </c>
    </row>
    <row r="9324" spans="4:16" x14ac:dyDescent="0.2">
      <c r="D9324">
        <v>100005560</v>
      </c>
      <c r="E9324" s="49">
        <v>44869</v>
      </c>
      <c r="F9324" t="s">
        <v>6652</v>
      </c>
      <c r="G9324" t="s">
        <v>1647</v>
      </c>
      <c r="H9324">
        <v>10</v>
      </c>
      <c r="I9324">
        <v>111.04</v>
      </c>
      <c r="J9324" s="50">
        <v>1110.4000000000001</v>
      </c>
      <c r="K9324" t="s">
        <v>1618</v>
      </c>
      <c r="M9324" t="s">
        <v>1621</v>
      </c>
      <c r="N9324">
        <v>58.6</v>
      </c>
      <c r="O9324" s="49">
        <v>44874</v>
      </c>
      <c r="P9324" s="50">
        <v>499.68000000000006</v>
      </c>
    </row>
    <row r="9325" spans="4:16" x14ac:dyDescent="0.2">
      <c r="D9325">
        <v>100005561</v>
      </c>
      <c r="E9325" s="49">
        <v>44241</v>
      </c>
      <c r="F9325" t="s">
        <v>6653</v>
      </c>
      <c r="G9325" t="s">
        <v>2182</v>
      </c>
      <c r="H9325">
        <v>8</v>
      </c>
      <c r="I9325">
        <v>100.75</v>
      </c>
      <c r="J9325" s="50">
        <v>806</v>
      </c>
      <c r="K9325" t="s">
        <v>1618</v>
      </c>
      <c r="M9325" t="s">
        <v>1629</v>
      </c>
      <c r="N9325">
        <v>53.17</v>
      </c>
      <c r="O9325" s="49">
        <v>44245</v>
      </c>
      <c r="P9325" s="50">
        <v>362.7</v>
      </c>
    </row>
    <row r="9326" spans="4:16" x14ac:dyDescent="0.2">
      <c r="D9326">
        <v>100005562</v>
      </c>
      <c r="E9326" s="49">
        <v>44715</v>
      </c>
      <c r="F9326" t="s">
        <v>6654</v>
      </c>
      <c r="G9326" t="s">
        <v>1704</v>
      </c>
      <c r="H9326">
        <v>2</v>
      </c>
      <c r="I9326">
        <v>38.380000000000003</v>
      </c>
      <c r="J9326" s="50">
        <v>76.760000000000005</v>
      </c>
      <c r="K9326" t="s">
        <v>1618</v>
      </c>
      <c r="M9326" t="s">
        <v>1629</v>
      </c>
      <c r="N9326">
        <v>20.260000000000002</v>
      </c>
      <c r="O9326" s="49">
        <v>44719</v>
      </c>
      <c r="P9326" s="50">
        <v>34.542000000000002</v>
      </c>
    </row>
    <row r="9327" spans="4:16" x14ac:dyDescent="0.2">
      <c r="D9327">
        <v>100005563</v>
      </c>
      <c r="E9327" s="49">
        <v>45576</v>
      </c>
      <c r="F9327" t="s">
        <v>6655</v>
      </c>
      <c r="G9327" t="s">
        <v>1828</v>
      </c>
      <c r="H9327">
        <v>1</v>
      </c>
      <c r="I9327">
        <v>37.520000000000003</v>
      </c>
      <c r="J9327" s="50">
        <v>37.520000000000003</v>
      </c>
      <c r="K9327" t="s">
        <v>1618</v>
      </c>
      <c r="L9327" t="s">
        <v>6656</v>
      </c>
      <c r="M9327" t="s">
        <v>1627</v>
      </c>
      <c r="N9327">
        <v>19.8</v>
      </c>
      <c r="O9327" s="49">
        <v>45579</v>
      </c>
      <c r="P9327" s="50">
        <v>16.884</v>
      </c>
    </row>
    <row r="9328" spans="4:16" x14ac:dyDescent="0.2">
      <c r="D9328">
        <v>100005564</v>
      </c>
      <c r="E9328" s="49">
        <v>44932</v>
      </c>
      <c r="F9328" t="s">
        <v>6657</v>
      </c>
      <c r="G9328" t="s">
        <v>1820</v>
      </c>
      <c r="H9328">
        <v>5</v>
      </c>
      <c r="I9328">
        <v>22.44</v>
      </c>
      <c r="J9328" s="50">
        <v>112.2</v>
      </c>
      <c r="K9328" t="s">
        <v>1632</v>
      </c>
      <c r="L9328" t="s">
        <v>6283</v>
      </c>
      <c r="M9328" t="s">
        <v>1627</v>
      </c>
      <c r="N9328">
        <v>11.84</v>
      </c>
      <c r="O9328" s="49">
        <v>44933</v>
      </c>
      <c r="P9328" s="50">
        <v>50.49</v>
      </c>
    </row>
    <row r="9329" spans="4:16" x14ac:dyDescent="0.2">
      <c r="D9329">
        <v>100005564</v>
      </c>
      <c r="E9329" s="49">
        <v>44388</v>
      </c>
      <c r="F9329" t="s">
        <v>6657</v>
      </c>
      <c r="G9329" t="s">
        <v>1958</v>
      </c>
      <c r="H9329">
        <v>3</v>
      </c>
      <c r="I9329">
        <v>112.9</v>
      </c>
      <c r="J9329" s="50">
        <v>338.7</v>
      </c>
      <c r="K9329" t="s">
        <v>1632</v>
      </c>
      <c r="L9329" t="s">
        <v>6283</v>
      </c>
      <c r="M9329" t="s">
        <v>1619</v>
      </c>
      <c r="N9329">
        <v>59.59</v>
      </c>
      <c r="O9329" s="49">
        <v>44391</v>
      </c>
      <c r="P9329" s="50">
        <v>152.41499999999999</v>
      </c>
    </row>
    <row r="9330" spans="4:16" x14ac:dyDescent="0.2">
      <c r="D9330">
        <v>100005564</v>
      </c>
      <c r="E9330" s="49">
        <v>44424</v>
      </c>
      <c r="F9330" t="s">
        <v>6657</v>
      </c>
      <c r="G9330" t="s">
        <v>2163</v>
      </c>
      <c r="H9330">
        <v>1</v>
      </c>
      <c r="I9330">
        <v>85.55</v>
      </c>
      <c r="J9330" s="50">
        <v>85.55</v>
      </c>
      <c r="K9330" t="s">
        <v>1632</v>
      </c>
      <c r="L9330" t="s">
        <v>6283</v>
      </c>
      <c r="M9330" t="s">
        <v>1629</v>
      </c>
      <c r="N9330">
        <v>45.15</v>
      </c>
      <c r="O9330" s="49">
        <v>44425</v>
      </c>
      <c r="P9330" s="50">
        <v>38.497500000000002</v>
      </c>
    </row>
    <row r="9331" spans="4:16" x14ac:dyDescent="0.2">
      <c r="D9331">
        <v>100005564</v>
      </c>
      <c r="E9331" s="49">
        <v>45122</v>
      </c>
      <c r="F9331" t="s">
        <v>6657</v>
      </c>
      <c r="G9331" t="s">
        <v>2121</v>
      </c>
      <c r="H9331">
        <v>8</v>
      </c>
      <c r="I9331">
        <v>79.14</v>
      </c>
      <c r="J9331" s="50">
        <v>633.12</v>
      </c>
      <c r="K9331" t="s">
        <v>1632</v>
      </c>
      <c r="L9331" t="s">
        <v>6283</v>
      </c>
      <c r="M9331" t="s">
        <v>1621</v>
      </c>
      <c r="N9331">
        <v>41.77</v>
      </c>
      <c r="O9331" s="49">
        <v>45125</v>
      </c>
      <c r="P9331" s="50">
        <v>284.904</v>
      </c>
    </row>
    <row r="9332" spans="4:16" x14ac:dyDescent="0.2">
      <c r="D9332">
        <v>100005564</v>
      </c>
      <c r="E9332" s="49">
        <v>45481</v>
      </c>
      <c r="F9332" t="s">
        <v>6657</v>
      </c>
      <c r="G9332" t="s">
        <v>2023</v>
      </c>
      <c r="H9332">
        <v>2</v>
      </c>
      <c r="I9332">
        <v>10.17</v>
      </c>
      <c r="J9332" s="50">
        <v>20.34</v>
      </c>
      <c r="K9332" t="s">
        <v>1632</v>
      </c>
      <c r="L9332" t="s">
        <v>6283</v>
      </c>
      <c r="M9332" t="s">
        <v>1629</v>
      </c>
      <c r="N9332">
        <v>5.37</v>
      </c>
      <c r="O9332" s="49">
        <v>45486</v>
      </c>
      <c r="P9332" s="50">
        <v>9.1530000000000005</v>
      </c>
    </row>
    <row r="9333" spans="4:16" x14ac:dyDescent="0.2">
      <c r="D9333">
        <v>100005564</v>
      </c>
      <c r="E9333" s="49">
        <v>45042</v>
      </c>
      <c r="F9333" t="s">
        <v>6657</v>
      </c>
      <c r="G9333" t="s">
        <v>1749</v>
      </c>
      <c r="H9333">
        <v>8</v>
      </c>
      <c r="I9333">
        <v>92.1</v>
      </c>
      <c r="J9333" s="50">
        <v>736.8</v>
      </c>
      <c r="K9333" t="s">
        <v>1632</v>
      </c>
      <c r="L9333" t="s">
        <v>6283</v>
      </c>
      <c r="M9333" t="s">
        <v>1619</v>
      </c>
      <c r="N9333">
        <v>48.61</v>
      </c>
      <c r="O9333" s="49">
        <v>45047</v>
      </c>
      <c r="P9333" s="50">
        <v>331.56</v>
      </c>
    </row>
    <row r="9334" spans="4:16" x14ac:dyDescent="0.2">
      <c r="D9334">
        <v>100005564</v>
      </c>
      <c r="E9334" s="49">
        <v>44714</v>
      </c>
      <c r="F9334" t="s">
        <v>6657</v>
      </c>
      <c r="G9334" t="s">
        <v>1686</v>
      </c>
      <c r="H9334">
        <v>8</v>
      </c>
      <c r="I9334">
        <v>19.760000000000002</v>
      </c>
      <c r="J9334" s="50">
        <v>158.08000000000001</v>
      </c>
      <c r="K9334" t="s">
        <v>1632</v>
      </c>
      <c r="L9334" t="s">
        <v>6283</v>
      </c>
      <c r="M9334" t="s">
        <v>1624</v>
      </c>
      <c r="N9334">
        <v>10.43</v>
      </c>
      <c r="O9334" s="49">
        <v>44717</v>
      </c>
      <c r="P9334" s="50">
        <v>71.13600000000001</v>
      </c>
    </row>
    <row r="9335" spans="4:16" x14ac:dyDescent="0.2">
      <c r="D9335">
        <v>100005564</v>
      </c>
      <c r="E9335" s="49">
        <v>45496</v>
      </c>
      <c r="F9335" t="s">
        <v>6657</v>
      </c>
      <c r="G9335" t="s">
        <v>2063</v>
      </c>
      <c r="H9335">
        <v>4</v>
      </c>
      <c r="I9335">
        <v>77.39</v>
      </c>
      <c r="J9335" s="50">
        <v>309.56</v>
      </c>
      <c r="K9335" t="s">
        <v>1632</v>
      </c>
      <c r="L9335" t="s">
        <v>6283</v>
      </c>
      <c r="M9335" t="s">
        <v>1627</v>
      </c>
      <c r="N9335">
        <v>40.840000000000003</v>
      </c>
      <c r="O9335" s="49">
        <v>45501</v>
      </c>
      <c r="P9335" s="50">
        <v>139.30199999999999</v>
      </c>
    </row>
    <row r="9336" spans="4:16" x14ac:dyDescent="0.2">
      <c r="D9336">
        <v>100005565</v>
      </c>
      <c r="E9336" s="49">
        <v>44656</v>
      </c>
      <c r="F9336" t="s">
        <v>6658</v>
      </c>
      <c r="G9336" t="s">
        <v>1846</v>
      </c>
      <c r="H9336">
        <v>6</v>
      </c>
      <c r="I9336">
        <v>106.14</v>
      </c>
      <c r="J9336" s="50">
        <v>636.84</v>
      </c>
      <c r="K9336" t="s">
        <v>1632</v>
      </c>
      <c r="M9336" t="s">
        <v>1629</v>
      </c>
      <c r="N9336">
        <v>56.02</v>
      </c>
      <c r="O9336" s="49">
        <v>44659</v>
      </c>
      <c r="P9336" s="50">
        <v>286.57800000000003</v>
      </c>
    </row>
    <row r="9337" spans="4:16" x14ac:dyDescent="0.2">
      <c r="D9337">
        <v>100005565</v>
      </c>
      <c r="E9337" s="49">
        <v>45267</v>
      </c>
      <c r="F9337" t="s">
        <v>6658</v>
      </c>
      <c r="G9337" t="s">
        <v>2331</v>
      </c>
      <c r="H9337">
        <v>3</v>
      </c>
      <c r="I9337">
        <v>108.72</v>
      </c>
      <c r="J9337" s="50">
        <v>326.16000000000003</v>
      </c>
      <c r="K9337" t="s">
        <v>1632</v>
      </c>
      <c r="M9337" t="s">
        <v>1629</v>
      </c>
      <c r="N9337">
        <v>57.38</v>
      </c>
      <c r="O9337" s="49">
        <v>45268</v>
      </c>
      <c r="P9337" s="50">
        <v>146.77200000000002</v>
      </c>
    </row>
    <row r="9338" spans="4:16" x14ac:dyDescent="0.2">
      <c r="D9338">
        <v>100005565</v>
      </c>
      <c r="E9338" s="49">
        <v>44358</v>
      </c>
      <c r="F9338" t="s">
        <v>6658</v>
      </c>
      <c r="G9338" t="s">
        <v>2138</v>
      </c>
      <c r="H9338">
        <v>7</v>
      </c>
      <c r="I9338">
        <v>12.73</v>
      </c>
      <c r="J9338" s="50">
        <v>89.11</v>
      </c>
      <c r="K9338" t="s">
        <v>1632</v>
      </c>
      <c r="M9338" t="s">
        <v>1619</v>
      </c>
      <c r="N9338">
        <v>6.72</v>
      </c>
      <c r="O9338" s="49">
        <v>44363</v>
      </c>
      <c r="P9338" s="50">
        <v>40.099499999999999</v>
      </c>
    </row>
    <row r="9339" spans="4:16" x14ac:dyDescent="0.2">
      <c r="D9339">
        <v>100005567</v>
      </c>
      <c r="E9339" s="49">
        <v>45216</v>
      </c>
      <c r="F9339" t="s">
        <v>6659</v>
      </c>
      <c r="G9339" t="s">
        <v>2057</v>
      </c>
      <c r="H9339">
        <v>3</v>
      </c>
      <c r="I9339">
        <v>82.74</v>
      </c>
      <c r="J9339" s="50">
        <v>248.22</v>
      </c>
      <c r="K9339" t="s">
        <v>1632</v>
      </c>
      <c r="M9339" t="s">
        <v>1627</v>
      </c>
      <c r="N9339">
        <v>43.67</v>
      </c>
      <c r="O9339" s="49">
        <v>45219</v>
      </c>
      <c r="P9339" s="50">
        <v>111.699</v>
      </c>
    </row>
    <row r="9340" spans="4:16" x14ac:dyDescent="0.2">
      <c r="D9340">
        <v>100005567</v>
      </c>
      <c r="E9340" s="49">
        <v>44979</v>
      </c>
      <c r="F9340" t="s">
        <v>6659</v>
      </c>
      <c r="G9340" t="s">
        <v>1731</v>
      </c>
      <c r="H9340">
        <v>10</v>
      </c>
      <c r="I9340">
        <v>42.77</v>
      </c>
      <c r="J9340" s="50">
        <v>427.7</v>
      </c>
      <c r="K9340" t="s">
        <v>1632</v>
      </c>
      <c r="M9340" t="s">
        <v>1621</v>
      </c>
      <c r="N9340">
        <v>22.57</v>
      </c>
      <c r="O9340" s="49">
        <v>44980</v>
      </c>
      <c r="P9340" s="50">
        <v>192.465</v>
      </c>
    </row>
    <row r="9341" spans="4:16" x14ac:dyDescent="0.2">
      <c r="D9341">
        <v>100005567</v>
      </c>
      <c r="E9341" s="49">
        <v>44226</v>
      </c>
      <c r="F9341" t="s">
        <v>6659</v>
      </c>
      <c r="G9341" t="s">
        <v>1702</v>
      </c>
      <c r="H9341">
        <v>3</v>
      </c>
      <c r="I9341">
        <v>103.92</v>
      </c>
      <c r="J9341" s="50">
        <v>311.76</v>
      </c>
      <c r="K9341" t="s">
        <v>1632</v>
      </c>
      <c r="M9341" t="s">
        <v>1629</v>
      </c>
      <c r="N9341">
        <v>54.85</v>
      </c>
      <c r="O9341" s="49">
        <v>44231</v>
      </c>
      <c r="P9341" s="50">
        <v>140.292</v>
      </c>
    </row>
    <row r="9342" spans="4:16" x14ac:dyDescent="0.2">
      <c r="D9342">
        <v>100005568</v>
      </c>
      <c r="E9342" s="49">
        <v>44479</v>
      </c>
      <c r="F9342" t="s">
        <v>6660</v>
      </c>
      <c r="G9342" t="s">
        <v>2039</v>
      </c>
      <c r="H9342">
        <v>4</v>
      </c>
      <c r="I9342">
        <v>48.14</v>
      </c>
      <c r="J9342" s="50">
        <v>192.56</v>
      </c>
      <c r="K9342" t="s">
        <v>1618</v>
      </c>
      <c r="M9342" t="s">
        <v>1624</v>
      </c>
      <c r="N9342">
        <v>25.41</v>
      </c>
      <c r="O9342" s="49">
        <v>44482</v>
      </c>
      <c r="P9342" s="50">
        <v>86.652000000000001</v>
      </c>
    </row>
    <row r="9343" spans="4:16" x14ac:dyDescent="0.2">
      <c r="D9343">
        <v>100005569</v>
      </c>
      <c r="E9343" s="49">
        <v>45506</v>
      </c>
      <c r="F9343" t="s">
        <v>6661</v>
      </c>
      <c r="G9343" t="s">
        <v>1929</v>
      </c>
      <c r="H9343">
        <v>10</v>
      </c>
      <c r="I9343">
        <v>16.97</v>
      </c>
      <c r="J9343" s="50">
        <v>169.7</v>
      </c>
      <c r="K9343" t="s">
        <v>1618</v>
      </c>
      <c r="M9343" t="s">
        <v>1627</v>
      </c>
      <c r="N9343">
        <v>8.9600000000000009</v>
      </c>
      <c r="O9343" s="49">
        <v>45507</v>
      </c>
      <c r="P9343" s="50">
        <v>76.364999999999995</v>
      </c>
    </row>
    <row r="9344" spans="4:16" x14ac:dyDescent="0.2">
      <c r="D9344">
        <v>100005570</v>
      </c>
      <c r="E9344" s="49">
        <v>44463</v>
      </c>
      <c r="F9344" t="s">
        <v>6662</v>
      </c>
      <c r="G9344" t="s">
        <v>1714</v>
      </c>
      <c r="H9344">
        <v>6</v>
      </c>
      <c r="I9344">
        <v>33.729999999999997</v>
      </c>
      <c r="J9344" s="50">
        <v>202.38</v>
      </c>
      <c r="K9344" t="s">
        <v>1632</v>
      </c>
      <c r="M9344" t="s">
        <v>1619</v>
      </c>
      <c r="N9344">
        <v>17.8</v>
      </c>
      <c r="O9344" s="49">
        <v>44466</v>
      </c>
      <c r="P9344" s="50">
        <v>91.070999999999998</v>
      </c>
    </row>
    <row r="9345" spans="4:16" x14ac:dyDescent="0.2">
      <c r="D9345">
        <v>100005571</v>
      </c>
      <c r="E9345" s="49">
        <v>45142</v>
      </c>
      <c r="F9345" t="s">
        <v>6663</v>
      </c>
      <c r="G9345" t="s">
        <v>2331</v>
      </c>
      <c r="H9345">
        <v>8</v>
      </c>
      <c r="I9345">
        <v>22.45</v>
      </c>
      <c r="J9345" s="50">
        <v>179.6</v>
      </c>
      <c r="K9345" t="s">
        <v>1632</v>
      </c>
      <c r="L9345" t="s">
        <v>4803</v>
      </c>
      <c r="M9345" t="s">
        <v>1627</v>
      </c>
      <c r="N9345">
        <v>11.85</v>
      </c>
      <c r="O9345" s="49">
        <v>45145</v>
      </c>
      <c r="P9345" s="50">
        <v>80.819999999999993</v>
      </c>
    </row>
    <row r="9346" spans="4:16" x14ac:dyDescent="0.2">
      <c r="D9346">
        <v>100005571</v>
      </c>
      <c r="E9346" s="49">
        <v>45579</v>
      </c>
      <c r="F9346" t="s">
        <v>6663</v>
      </c>
      <c r="G9346" t="s">
        <v>2194</v>
      </c>
      <c r="H9346">
        <v>7</v>
      </c>
      <c r="I9346">
        <v>52.86</v>
      </c>
      <c r="J9346" s="50">
        <v>370.02</v>
      </c>
      <c r="K9346" t="s">
        <v>1632</v>
      </c>
      <c r="L9346" t="s">
        <v>4803</v>
      </c>
      <c r="M9346" t="s">
        <v>1621</v>
      </c>
      <c r="N9346">
        <v>27.9</v>
      </c>
      <c r="O9346" s="49">
        <v>45582</v>
      </c>
      <c r="P9346" s="50">
        <v>166.50899999999999</v>
      </c>
    </row>
    <row r="9347" spans="4:16" x14ac:dyDescent="0.2">
      <c r="D9347">
        <v>100005571</v>
      </c>
      <c r="E9347" s="49">
        <v>44294</v>
      </c>
      <c r="F9347" t="s">
        <v>6663</v>
      </c>
      <c r="G9347" t="s">
        <v>1819</v>
      </c>
      <c r="H9347">
        <v>1</v>
      </c>
      <c r="I9347">
        <v>33.79</v>
      </c>
      <c r="J9347" s="50">
        <v>33.79</v>
      </c>
      <c r="K9347" t="s">
        <v>1632</v>
      </c>
      <c r="L9347" t="s">
        <v>4803</v>
      </c>
      <c r="M9347" t="s">
        <v>1621</v>
      </c>
      <c r="N9347">
        <v>17.829999999999998</v>
      </c>
      <c r="O9347" s="49">
        <v>44298</v>
      </c>
      <c r="P9347" s="50">
        <v>15.205500000000001</v>
      </c>
    </row>
    <row r="9348" spans="4:16" x14ac:dyDescent="0.2">
      <c r="D9348">
        <v>100005572</v>
      </c>
      <c r="E9348" s="49">
        <v>44503</v>
      </c>
      <c r="F9348" t="s">
        <v>6664</v>
      </c>
      <c r="G9348" t="s">
        <v>2762</v>
      </c>
      <c r="H9348">
        <v>4</v>
      </c>
      <c r="I9348">
        <v>104.91</v>
      </c>
      <c r="J9348" s="50">
        <v>419.64</v>
      </c>
      <c r="K9348" t="s">
        <v>1618</v>
      </c>
      <c r="M9348" t="s">
        <v>1619</v>
      </c>
      <c r="N9348">
        <v>55.37</v>
      </c>
      <c r="O9348" s="49">
        <v>44508</v>
      </c>
      <c r="P9348" s="50">
        <v>188.83799999999999</v>
      </c>
    </row>
    <row r="9349" spans="4:16" x14ac:dyDescent="0.2">
      <c r="D9349">
        <v>100005572</v>
      </c>
      <c r="E9349" s="49">
        <v>44374</v>
      </c>
      <c r="F9349" t="s">
        <v>6664</v>
      </c>
      <c r="G9349" t="s">
        <v>2150</v>
      </c>
      <c r="H9349">
        <v>7</v>
      </c>
      <c r="I9349">
        <v>84.82</v>
      </c>
      <c r="J9349" s="50">
        <v>593.74</v>
      </c>
      <c r="K9349" t="s">
        <v>1618</v>
      </c>
      <c r="M9349" t="s">
        <v>1627</v>
      </c>
      <c r="N9349">
        <v>44.77</v>
      </c>
      <c r="O9349" s="49">
        <v>44379</v>
      </c>
      <c r="P9349" s="50">
        <v>267.18299999999999</v>
      </c>
    </row>
    <row r="9350" spans="4:16" x14ac:dyDescent="0.2">
      <c r="D9350">
        <v>100005572</v>
      </c>
      <c r="E9350" s="49">
        <v>44722</v>
      </c>
      <c r="F9350" t="s">
        <v>6664</v>
      </c>
      <c r="G9350" t="s">
        <v>2291</v>
      </c>
      <c r="H9350">
        <v>9</v>
      </c>
      <c r="I9350">
        <v>83.26</v>
      </c>
      <c r="J9350" s="50">
        <v>749.34</v>
      </c>
      <c r="K9350" t="s">
        <v>1618</v>
      </c>
      <c r="M9350" t="s">
        <v>1629</v>
      </c>
      <c r="N9350">
        <v>43.94</v>
      </c>
      <c r="O9350" s="49">
        <v>44726</v>
      </c>
      <c r="P9350" s="50">
        <v>337.20300000000003</v>
      </c>
    </row>
    <row r="9351" spans="4:16" x14ac:dyDescent="0.2">
      <c r="D9351">
        <v>100005572</v>
      </c>
      <c r="E9351" s="49">
        <v>44427</v>
      </c>
      <c r="F9351" t="s">
        <v>6664</v>
      </c>
      <c r="G9351" t="s">
        <v>2745</v>
      </c>
      <c r="H9351">
        <v>10</v>
      </c>
      <c r="I9351">
        <v>69.900000000000006</v>
      </c>
      <c r="J9351" s="50">
        <v>699</v>
      </c>
      <c r="K9351" t="s">
        <v>1618</v>
      </c>
      <c r="M9351" t="s">
        <v>1629</v>
      </c>
      <c r="N9351">
        <v>36.89</v>
      </c>
      <c r="O9351" s="49">
        <v>44428</v>
      </c>
      <c r="P9351" s="50">
        <v>314.55</v>
      </c>
    </row>
    <row r="9352" spans="4:16" x14ac:dyDescent="0.2">
      <c r="D9352">
        <v>100005572</v>
      </c>
      <c r="E9352" s="49">
        <v>44589</v>
      </c>
      <c r="F9352" t="s">
        <v>6664</v>
      </c>
      <c r="G9352" t="s">
        <v>2393</v>
      </c>
      <c r="H9352">
        <v>5</v>
      </c>
      <c r="I9352">
        <v>30.92</v>
      </c>
      <c r="J9352" s="50">
        <v>154.6</v>
      </c>
      <c r="K9352" t="s">
        <v>1618</v>
      </c>
      <c r="M9352" t="s">
        <v>1621</v>
      </c>
      <c r="N9352">
        <v>16.32</v>
      </c>
      <c r="O9352" s="49">
        <v>44590</v>
      </c>
      <c r="P9352" s="50">
        <v>69.569999999999993</v>
      </c>
    </row>
    <row r="9353" spans="4:16" x14ac:dyDescent="0.2">
      <c r="D9353">
        <v>100005572</v>
      </c>
      <c r="E9353" s="49">
        <v>44351</v>
      </c>
      <c r="F9353" t="s">
        <v>6664</v>
      </c>
      <c r="G9353" t="s">
        <v>2116</v>
      </c>
      <c r="H9353">
        <v>8</v>
      </c>
      <c r="I9353">
        <v>79.87</v>
      </c>
      <c r="J9353" s="50">
        <v>638.96</v>
      </c>
      <c r="K9353" t="s">
        <v>1618</v>
      </c>
      <c r="M9353" t="s">
        <v>1619</v>
      </c>
      <c r="N9353">
        <v>42.15</v>
      </c>
      <c r="O9353" s="49">
        <v>44352</v>
      </c>
      <c r="P9353" s="50">
        <v>287.53200000000004</v>
      </c>
    </row>
    <row r="9354" spans="4:16" x14ac:dyDescent="0.2">
      <c r="D9354">
        <v>100005572</v>
      </c>
      <c r="E9354" s="49">
        <v>45385</v>
      </c>
      <c r="F9354" t="s">
        <v>6664</v>
      </c>
      <c r="G9354" t="s">
        <v>1846</v>
      </c>
      <c r="H9354">
        <v>8</v>
      </c>
      <c r="I9354">
        <v>72.319999999999993</v>
      </c>
      <c r="J9354" s="50">
        <v>578.55999999999995</v>
      </c>
      <c r="K9354" t="s">
        <v>1618</v>
      </c>
      <c r="M9354" t="s">
        <v>1624</v>
      </c>
      <c r="N9354">
        <v>38.17</v>
      </c>
      <c r="O9354" s="49">
        <v>45386</v>
      </c>
      <c r="P9354" s="50">
        <v>260.35199999999998</v>
      </c>
    </row>
    <row r="9355" spans="4:16" x14ac:dyDescent="0.2">
      <c r="D9355">
        <v>100005573</v>
      </c>
      <c r="E9355" s="49">
        <v>44838</v>
      </c>
      <c r="F9355" t="s">
        <v>6665</v>
      </c>
      <c r="G9355" t="s">
        <v>1830</v>
      </c>
      <c r="H9355">
        <v>8</v>
      </c>
      <c r="I9355">
        <v>71.849999999999994</v>
      </c>
      <c r="J9355" s="50">
        <v>574.79999999999995</v>
      </c>
      <c r="K9355" t="s">
        <v>1618</v>
      </c>
      <c r="M9355" t="s">
        <v>1621</v>
      </c>
      <c r="N9355">
        <v>37.92</v>
      </c>
      <c r="O9355" s="49">
        <v>44842</v>
      </c>
      <c r="P9355" s="50">
        <v>258.65999999999997</v>
      </c>
    </row>
    <row r="9356" spans="4:16" x14ac:dyDescent="0.2">
      <c r="D9356">
        <v>100005574</v>
      </c>
      <c r="E9356" s="49">
        <v>44380</v>
      </c>
      <c r="F9356" t="s">
        <v>6666</v>
      </c>
      <c r="G9356" t="s">
        <v>2098</v>
      </c>
      <c r="H9356">
        <v>5</v>
      </c>
      <c r="I9356">
        <v>103.2</v>
      </c>
      <c r="J9356" s="50">
        <v>516</v>
      </c>
      <c r="K9356" t="s">
        <v>1632</v>
      </c>
      <c r="L9356" t="s">
        <v>3377</v>
      </c>
      <c r="M9356" t="s">
        <v>1629</v>
      </c>
      <c r="N9356">
        <v>54.47</v>
      </c>
      <c r="O9356" s="49">
        <v>44385</v>
      </c>
      <c r="P9356" s="50">
        <v>232.20000000000002</v>
      </c>
    </row>
    <row r="9357" spans="4:16" x14ac:dyDescent="0.2">
      <c r="D9357">
        <v>100005574</v>
      </c>
      <c r="E9357" s="49">
        <v>45080</v>
      </c>
      <c r="F9357" t="s">
        <v>6666</v>
      </c>
      <c r="G9357" t="s">
        <v>2633</v>
      </c>
      <c r="H9357">
        <v>8</v>
      </c>
      <c r="I9357">
        <v>65.42</v>
      </c>
      <c r="J9357" s="50">
        <v>523.36</v>
      </c>
      <c r="K9357" t="s">
        <v>1632</v>
      </c>
      <c r="L9357" t="s">
        <v>3377</v>
      </c>
      <c r="M9357" t="s">
        <v>1629</v>
      </c>
      <c r="N9357">
        <v>34.53</v>
      </c>
      <c r="O9357" s="49">
        <v>45085</v>
      </c>
      <c r="P9357" s="50">
        <v>235.512</v>
      </c>
    </row>
    <row r="9358" spans="4:16" x14ac:dyDescent="0.2">
      <c r="D9358">
        <v>100005575</v>
      </c>
      <c r="E9358" s="49">
        <v>45533</v>
      </c>
      <c r="F9358" t="s">
        <v>6042</v>
      </c>
      <c r="G9358" t="s">
        <v>2514</v>
      </c>
      <c r="H9358">
        <v>10</v>
      </c>
      <c r="I9358">
        <v>114.48</v>
      </c>
      <c r="J9358" s="50">
        <v>1144.8</v>
      </c>
      <c r="K9358" t="s">
        <v>1632</v>
      </c>
      <c r="L9358" t="s">
        <v>6667</v>
      </c>
      <c r="M9358" t="s">
        <v>1619</v>
      </c>
      <c r="N9358">
        <v>60.42</v>
      </c>
      <c r="O9358" s="49">
        <v>45538</v>
      </c>
      <c r="P9358" s="50">
        <v>515.16</v>
      </c>
    </row>
    <row r="9359" spans="4:16" x14ac:dyDescent="0.2">
      <c r="D9359">
        <v>100005575</v>
      </c>
      <c r="E9359" s="49">
        <v>44495</v>
      </c>
      <c r="F9359" t="s">
        <v>6042</v>
      </c>
      <c r="G9359" t="s">
        <v>1754</v>
      </c>
      <c r="H9359">
        <v>4</v>
      </c>
      <c r="I9359">
        <v>112.18</v>
      </c>
      <c r="J9359" s="50">
        <v>448.72</v>
      </c>
      <c r="K9359" t="s">
        <v>1632</v>
      </c>
      <c r="L9359" t="s">
        <v>6667</v>
      </c>
      <c r="M9359" t="s">
        <v>1619</v>
      </c>
      <c r="N9359">
        <v>59.21</v>
      </c>
      <c r="O9359" s="49">
        <v>44498</v>
      </c>
      <c r="P9359" s="50">
        <v>201.92400000000001</v>
      </c>
    </row>
    <row r="9360" spans="4:16" x14ac:dyDescent="0.2">
      <c r="D9360">
        <v>100005575</v>
      </c>
      <c r="E9360" s="49">
        <v>45335</v>
      </c>
      <c r="F9360" t="s">
        <v>6042</v>
      </c>
      <c r="G9360" t="s">
        <v>1807</v>
      </c>
      <c r="H9360">
        <v>6</v>
      </c>
      <c r="I9360">
        <v>61.93</v>
      </c>
      <c r="J9360" s="50">
        <v>371.58</v>
      </c>
      <c r="K9360" t="s">
        <v>1632</v>
      </c>
      <c r="L9360" t="s">
        <v>6667</v>
      </c>
      <c r="M9360" t="s">
        <v>1621</v>
      </c>
      <c r="N9360">
        <v>32.69</v>
      </c>
      <c r="O9360" s="49">
        <v>45339</v>
      </c>
      <c r="P9360" s="50">
        <v>167.21099999999998</v>
      </c>
    </row>
    <row r="9361" spans="4:16" x14ac:dyDescent="0.2">
      <c r="D9361">
        <v>100005575</v>
      </c>
      <c r="E9361" s="49">
        <v>44938</v>
      </c>
      <c r="F9361" t="s">
        <v>6042</v>
      </c>
      <c r="G9361" t="s">
        <v>1646</v>
      </c>
      <c r="H9361">
        <v>2</v>
      </c>
      <c r="I9361">
        <v>100.94</v>
      </c>
      <c r="J9361" s="50">
        <v>201.88</v>
      </c>
      <c r="K9361" t="s">
        <v>1632</v>
      </c>
      <c r="L9361" t="s">
        <v>6667</v>
      </c>
      <c r="M9361" t="s">
        <v>1624</v>
      </c>
      <c r="N9361">
        <v>53.27</v>
      </c>
      <c r="O9361" s="49">
        <v>44940</v>
      </c>
      <c r="P9361" s="50">
        <v>90.846000000000004</v>
      </c>
    </row>
    <row r="9362" spans="4:16" x14ac:dyDescent="0.2">
      <c r="D9362">
        <v>100005576</v>
      </c>
      <c r="E9362" s="49">
        <v>45431</v>
      </c>
      <c r="F9362" t="s">
        <v>6668</v>
      </c>
      <c r="G9362" t="s">
        <v>2028</v>
      </c>
      <c r="H9362">
        <v>4</v>
      </c>
      <c r="I9362">
        <v>94.87</v>
      </c>
      <c r="J9362" s="50">
        <v>379.48</v>
      </c>
      <c r="K9362" t="s">
        <v>1632</v>
      </c>
      <c r="M9362" t="s">
        <v>1621</v>
      </c>
      <c r="N9362">
        <v>50.07</v>
      </c>
      <c r="O9362" s="49">
        <v>45432</v>
      </c>
      <c r="P9362" s="50">
        <v>170.76600000000002</v>
      </c>
    </row>
    <row r="9363" spans="4:16" x14ac:dyDescent="0.2">
      <c r="D9363">
        <v>100005577</v>
      </c>
      <c r="E9363" s="49">
        <v>45104</v>
      </c>
      <c r="F9363" t="s">
        <v>6669</v>
      </c>
      <c r="G9363" t="s">
        <v>1717</v>
      </c>
      <c r="H9363">
        <v>6</v>
      </c>
      <c r="I9363">
        <v>29.72</v>
      </c>
      <c r="J9363" s="50">
        <v>178.32</v>
      </c>
      <c r="K9363" t="s">
        <v>1632</v>
      </c>
      <c r="L9363" t="s">
        <v>6670</v>
      </c>
      <c r="M9363" t="s">
        <v>1627</v>
      </c>
      <c r="N9363">
        <v>15.69</v>
      </c>
      <c r="O9363" s="49">
        <v>45106</v>
      </c>
      <c r="P9363" s="50">
        <v>80.244</v>
      </c>
    </row>
    <row r="9364" spans="4:16" x14ac:dyDescent="0.2">
      <c r="D9364">
        <v>100005577</v>
      </c>
      <c r="E9364" s="49">
        <v>45321</v>
      </c>
      <c r="F9364" t="s">
        <v>6669</v>
      </c>
      <c r="G9364" t="s">
        <v>1739</v>
      </c>
      <c r="H9364">
        <v>2</v>
      </c>
      <c r="I9364">
        <v>30.85</v>
      </c>
      <c r="J9364" s="50">
        <v>61.7</v>
      </c>
      <c r="K9364" t="s">
        <v>1632</v>
      </c>
      <c r="L9364" t="s">
        <v>6670</v>
      </c>
      <c r="M9364" t="s">
        <v>1629</v>
      </c>
      <c r="N9364">
        <v>16.28</v>
      </c>
      <c r="O9364" s="49">
        <v>45324</v>
      </c>
      <c r="P9364" s="50">
        <v>27.765000000000001</v>
      </c>
    </row>
    <row r="9365" spans="4:16" x14ac:dyDescent="0.2">
      <c r="D9365">
        <v>100005577</v>
      </c>
      <c r="E9365" s="49">
        <v>44607</v>
      </c>
      <c r="F9365" t="s">
        <v>6669</v>
      </c>
      <c r="G9365" t="s">
        <v>1723</v>
      </c>
      <c r="H9365">
        <v>9</v>
      </c>
      <c r="I9365">
        <v>113.87</v>
      </c>
      <c r="J9365" s="50">
        <v>1024.83</v>
      </c>
      <c r="K9365" t="s">
        <v>1632</v>
      </c>
      <c r="L9365" t="s">
        <v>6670</v>
      </c>
      <c r="M9365" t="s">
        <v>1627</v>
      </c>
      <c r="N9365">
        <v>60.1</v>
      </c>
      <c r="O9365" s="49">
        <v>44612</v>
      </c>
      <c r="P9365" s="50">
        <v>461.17349999999999</v>
      </c>
    </row>
    <row r="9366" spans="4:16" x14ac:dyDescent="0.2">
      <c r="D9366">
        <v>100005580</v>
      </c>
      <c r="E9366" s="49">
        <v>44523</v>
      </c>
      <c r="F9366" t="s">
        <v>6671</v>
      </c>
      <c r="G9366" t="s">
        <v>1686</v>
      </c>
      <c r="H9366">
        <v>9</v>
      </c>
      <c r="I9366">
        <v>40.409999999999997</v>
      </c>
      <c r="J9366" s="50">
        <v>363.68999999999988</v>
      </c>
      <c r="K9366" t="s">
        <v>1618</v>
      </c>
      <c r="M9366" t="s">
        <v>1629</v>
      </c>
      <c r="N9366">
        <v>21.33</v>
      </c>
      <c r="O9366" s="49">
        <v>44525</v>
      </c>
      <c r="P9366" s="50">
        <v>163.66049999999996</v>
      </c>
    </row>
    <row r="9367" spans="4:16" x14ac:dyDescent="0.2">
      <c r="D9367">
        <v>100005581</v>
      </c>
      <c r="E9367" s="49">
        <v>44941</v>
      </c>
      <c r="F9367" t="s">
        <v>6672</v>
      </c>
      <c r="G9367" t="s">
        <v>2603</v>
      </c>
      <c r="H9367">
        <v>4</v>
      </c>
      <c r="I9367">
        <v>81.63</v>
      </c>
      <c r="J9367" s="50">
        <v>326.52</v>
      </c>
      <c r="K9367" t="s">
        <v>1632</v>
      </c>
      <c r="M9367" t="s">
        <v>1621</v>
      </c>
      <c r="N9367">
        <v>43.08</v>
      </c>
      <c r="O9367" s="49">
        <v>44943</v>
      </c>
      <c r="P9367" s="50">
        <v>146.934</v>
      </c>
    </row>
    <row r="9368" spans="4:16" x14ac:dyDescent="0.2">
      <c r="D9368">
        <v>100005581</v>
      </c>
      <c r="E9368" s="49">
        <v>44585</v>
      </c>
      <c r="F9368" t="s">
        <v>6672</v>
      </c>
      <c r="G9368" t="s">
        <v>1720</v>
      </c>
      <c r="H9368">
        <v>6</v>
      </c>
      <c r="I9368">
        <v>38.97</v>
      </c>
      <c r="J9368" s="50">
        <v>233.82</v>
      </c>
      <c r="K9368" t="s">
        <v>1632</v>
      </c>
      <c r="M9368" t="s">
        <v>1627</v>
      </c>
      <c r="N9368">
        <v>20.57</v>
      </c>
      <c r="O9368" s="49">
        <v>44587</v>
      </c>
      <c r="P9368" s="50">
        <v>105.21899999999999</v>
      </c>
    </row>
    <row r="9369" spans="4:16" x14ac:dyDescent="0.2">
      <c r="D9369">
        <v>100005581</v>
      </c>
      <c r="E9369" s="49">
        <v>45361</v>
      </c>
      <c r="F9369" t="s">
        <v>6672</v>
      </c>
      <c r="G9369" t="s">
        <v>1918</v>
      </c>
      <c r="H9369">
        <v>10</v>
      </c>
      <c r="I9369">
        <v>79.28</v>
      </c>
      <c r="J9369" s="50">
        <v>792.8</v>
      </c>
      <c r="K9369" t="s">
        <v>1632</v>
      </c>
      <c r="M9369" t="s">
        <v>1629</v>
      </c>
      <c r="N9369">
        <v>41.84</v>
      </c>
      <c r="O9369" s="49">
        <v>45365</v>
      </c>
      <c r="P9369" s="50">
        <v>356.76</v>
      </c>
    </row>
    <row r="9370" spans="4:16" x14ac:dyDescent="0.2">
      <c r="D9370">
        <v>100005582</v>
      </c>
      <c r="E9370" s="49">
        <v>45437</v>
      </c>
      <c r="F9370" t="s">
        <v>6673</v>
      </c>
      <c r="G9370" t="s">
        <v>2033</v>
      </c>
      <c r="H9370">
        <v>8</v>
      </c>
      <c r="I9370">
        <v>68.62</v>
      </c>
      <c r="J9370" s="50">
        <v>548.96</v>
      </c>
      <c r="K9370" t="s">
        <v>1632</v>
      </c>
      <c r="M9370" t="s">
        <v>1619</v>
      </c>
      <c r="N9370">
        <v>36.22</v>
      </c>
      <c r="O9370" s="49">
        <v>45438</v>
      </c>
      <c r="P9370" s="50">
        <v>247.03200000000001</v>
      </c>
    </row>
    <row r="9371" spans="4:16" x14ac:dyDescent="0.2">
      <c r="D9371">
        <v>100005583</v>
      </c>
      <c r="E9371" s="49">
        <v>45559</v>
      </c>
      <c r="F9371" t="s">
        <v>6674</v>
      </c>
      <c r="G9371" t="s">
        <v>2331</v>
      </c>
      <c r="H9371">
        <v>1</v>
      </c>
      <c r="I9371">
        <v>58.46</v>
      </c>
      <c r="J9371" s="50">
        <v>58.46</v>
      </c>
      <c r="K9371" t="s">
        <v>1618</v>
      </c>
      <c r="M9371" t="s">
        <v>1621</v>
      </c>
      <c r="N9371">
        <v>30.85</v>
      </c>
      <c r="O9371" s="49">
        <v>45561</v>
      </c>
      <c r="P9371" s="50">
        <v>26.307000000000002</v>
      </c>
    </row>
    <row r="9372" spans="4:16" x14ac:dyDescent="0.2">
      <c r="D9372">
        <v>100005584</v>
      </c>
      <c r="E9372" s="49">
        <v>45212</v>
      </c>
      <c r="F9372" t="s">
        <v>3014</v>
      </c>
      <c r="G9372" t="s">
        <v>2163</v>
      </c>
      <c r="H9372">
        <v>1</v>
      </c>
      <c r="I9372">
        <v>100</v>
      </c>
      <c r="J9372" s="50">
        <v>100</v>
      </c>
      <c r="K9372" t="s">
        <v>1618</v>
      </c>
      <c r="M9372" t="s">
        <v>1621</v>
      </c>
      <c r="N9372">
        <v>52.78</v>
      </c>
      <c r="O9372" s="49">
        <v>45214</v>
      </c>
      <c r="P9372" s="50">
        <v>45</v>
      </c>
    </row>
    <row r="9373" spans="4:16" x14ac:dyDescent="0.2">
      <c r="D9373">
        <v>100005585</v>
      </c>
      <c r="E9373" s="49">
        <v>45549</v>
      </c>
      <c r="F9373" t="s">
        <v>6675</v>
      </c>
      <c r="G9373" t="s">
        <v>1958</v>
      </c>
      <c r="H9373">
        <v>10</v>
      </c>
      <c r="I9373">
        <v>16.899999999999999</v>
      </c>
      <c r="J9373" s="50">
        <v>169</v>
      </c>
      <c r="K9373" t="s">
        <v>1618</v>
      </c>
      <c r="M9373" t="s">
        <v>1629</v>
      </c>
      <c r="N9373">
        <v>8.92</v>
      </c>
      <c r="O9373" s="49">
        <v>45550</v>
      </c>
      <c r="P9373" s="50">
        <v>76.05</v>
      </c>
    </row>
    <row r="9374" spans="4:16" x14ac:dyDescent="0.2">
      <c r="D9374">
        <v>100005587</v>
      </c>
      <c r="E9374" s="49">
        <v>44488</v>
      </c>
      <c r="F9374" t="s">
        <v>6676</v>
      </c>
      <c r="G9374" t="s">
        <v>2033</v>
      </c>
      <c r="H9374">
        <v>5</v>
      </c>
      <c r="I9374">
        <v>13.46</v>
      </c>
      <c r="J9374" s="50">
        <v>67.300000000000011</v>
      </c>
      <c r="K9374" t="s">
        <v>1618</v>
      </c>
      <c r="M9374" t="s">
        <v>1619</v>
      </c>
      <c r="N9374">
        <v>7.1</v>
      </c>
      <c r="O9374" s="49">
        <v>44489</v>
      </c>
      <c r="P9374" s="50">
        <v>30.285000000000007</v>
      </c>
    </row>
    <row r="9375" spans="4:16" x14ac:dyDescent="0.2">
      <c r="D9375">
        <v>100005587</v>
      </c>
      <c r="E9375" s="49">
        <v>44356</v>
      </c>
      <c r="F9375" t="s">
        <v>6676</v>
      </c>
      <c r="G9375" t="s">
        <v>1653</v>
      </c>
      <c r="H9375">
        <v>1</v>
      </c>
      <c r="I9375">
        <v>77.900000000000006</v>
      </c>
      <c r="J9375" s="50">
        <v>77.900000000000006</v>
      </c>
      <c r="K9375" t="s">
        <v>1618</v>
      </c>
      <c r="M9375" t="s">
        <v>1621</v>
      </c>
      <c r="N9375">
        <v>41.11</v>
      </c>
      <c r="O9375" s="49">
        <v>44360</v>
      </c>
      <c r="P9375" s="50">
        <v>35.055000000000007</v>
      </c>
    </row>
    <row r="9376" spans="4:16" x14ac:dyDescent="0.2">
      <c r="D9376">
        <v>100005589</v>
      </c>
      <c r="E9376" s="49">
        <v>45174</v>
      </c>
      <c r="F9376" t="s">
        <v>6677</v>
      </c>
      <c r="G9376" t="s">
        <v>1643</v>
      </c>
      <c r="H9376">
        <v>10</v>
      </c>
      <c r="I9376">
        <v>58.45</v>
      </c>
      <c r="J9376" s="50">
        <v>584.5</v>
      </c>
      <c r="K9376" t="s">
        <v>1632</v>
      </c>
      <c r="L9376" t="s">
        <v>5598</v>
      </c>
      <c r="M9376" t="s">
        <v>1629</v>
      </c>
      <c r="N9376">
        <v>30.85</v>
      </c>
      <c r="O9376" s="49">
        <v>45178</v>
      </c>
      <c r="P9376" s="50">
        <v>263.02500000000003</v>
      </c>
    </row>
    <row r="9377" spans="4:16" x14ac:dyDescent="0.2">
      <c r="D9377">
        <v>100005590</v>
      </c>
      <c r="E9377" s="49">
        <v>45151</v>
      </c>
      <c r="F9377" t="s">
        <v>6678</v>
      </c>
      <c r="G9377" t="s">
        <v>1617</v>
      </c>
      <c r="H9377">
        <v>3</v>
      </c>
      <c r="I9377">
        <v>12.27</v>
      </c>
      <c r="J9377" s="50">
        <v>36.81</v>
      </c>
      <c r="K9377" t="s">
        <v>1618</v>
      </c>
      <c r="L9377" t="s">
        <v>6679</v>
      </c>
      <c r="M9377" t="s">
        <v>1629</v>
      </c>
      <c r="N9377">
        <v>6.48</v>
      </c>
      <c r="O9377" s="49">
        <v>45156</v>
      </c>
      <c r="P9377" s="50">
        <v>16.564500000000002</v>
      </c>
    </row>
    <row r="9378" spans="4:16" x14ac:dyDescent="0.2">
      <c r="D9378">
        <v>100005591</v>
      </c>
      <c r="E9378" s="49">
        <v>44517</v>
      </c>
      <c r="F9378" t="s">
        <v>6680</v>
      </c>
      <c r="G9378" t="s">
        <v>2071</v>
      </c>
      <c r="H9378">
        <v>10</v>
      </c>
      <c r="I9378">
        <v>35.97</v>
      </c>
      <c r="J9378" s="50">
        <v>359.7</v>
      </c>
      <c r="K9378" t="s">
        <v>1618</v>
      </c>
      <c r="L9378" t="s">
        <v>5930</v>
      </c>
      <c r="M9378" t="s">
        <v>1621</v>
      </c>
      <c r="N9378">
        <v>18.98</v>
      </c>
      <c r="O9378" s="49">
        <v>44522</v>
      </c>
      <c r="P9378" s="50">
        <v>161.86500000000001</v>
      </c>
    </row>
    <row r="9379" spans="4:16" x14ac:dyDescent="0.2">
      <c r="D9379">
        <v>100005593</v>
      </c>
      <c r="E9379" s="49">
        <v>44772</v>
      </c>
      <c r="F9379" t="s">
        <v>2657</v>
      </c>
      <c r="G9379" t="s">
        <v>1882</v>
      </c>
      <c r="H9379">
        <v>10</v>
      </c>
      <c r="I9379">
        <v>58.98</v>
      </c>
      <c r="J9379" s="50">
        <v>589.79999999999995</v>
      </c>
      <c r="K9379" t="s">
        <v>1618</v>
      </c>
      <c r="M9379" t="s">
        <v>1619</v>
      </c>
      <c r="N9379">
        <v>31.13</v>
      </c>
      <c r="O9379" s="49">
        <v>44774</v>
      </c>
      <c r="P9379" s="50">
        <v>265.40999999999997</v>
      </c>
    </row>
    <row r="9380" spans="4:16" x14ac:dyDescent="0.2">
      <c r="D9380">
        <v>100005594</v>
      </c>
      <c r="E9380" s="49">
        <v>45591</v>
      </c>
      <c r="F9380" t="s">
        <v>6681</v>
      </c>
      <c r="G9380" t="s">
        <v>2465</v>
      </c>
      <c r="H9380">
        <v>2</v>
      </c>
      <c r="I9380">
        <v>102.17</v>
      </c>
      <c r="J9380" s="50">
        <v>204.34</v>
      </c>
      <c r="K9380" t="s">
        <v>1618</v>
      </c>
      <c r="L9380" t="s">
        <v>4286</v>
      </c>
      <c r="M9380" t="s">
        <v>1624</v>
      </c>
      <c r="N9380">
        <v>53.92</v>
      </c>
      <c r="O9380" s="49">
        <v>45595</v>
      </c>
      <c r="P9380" s="50">
        <v>91.953000000000003</v>
      </c>
    </row>
    <row r="9381" spans="4:16" x14ac:dyDescent="0.2">
      <c r="D9381">
        <v>100005594</v>
      </c>
      <c r="E9381" s="49">
        <v>45574</v>
      </c>
      <c r="F9381" t="s">
        <v>6681</v>
      </c>
      <c r="G9381" t="s">
        <v>1802</v>
      </c>
      <c r="H9381">
        <v>5</v>
      </c>
      <c r="I9381">
        <v>71.37</v>
      </c>
      <c r="J9381" s="50">
        <v>356.85</v>
      </c>
      <c r="K9381" t="s">
        <v>1618</v>
      </c>
      <c r="L9381" t="s">
        <v>4286</v>
      </c>
      <c r="M9381" t="s">
        <v>1624</v>
      </c>
      <c r="N9381">
        <v>37.67</v>
      </c>
      <c r="O9381" s="49">
        <v>45575</v>
      </c>
      <c r="P9381" s="50">
        <v>160.58250000000001</v>
      </c>
    </row>
    <row r="9382" spans="4:16" x14ac:dyDescent="0.2">
      <c r="D9382">
        <v>100005595</v>
      </c>
      <c r="E9382" s="49">
        <v>45524</v>
      </c>
      <c r="F9382" t="s">
        <v>6682</v>
      </c>
      <c r="G9382" t="s">
        <v>1751</v>
      </c>
      <c r="H9382">
        <v>2</v>
      </c>
      <c r="I9382">
        <v>107.21</v>
      </c>
      <c r="J9382" s="50">
        <v>214.42</v>
      </c>
      <c r="K9382" t="s">
        <v>1618</v>
      </c>
      <c r="L9382" t="s">
        <v>6683</v>
      </c>
      <c r="M9382" t="s">
        <v>1627</v>
      </c>
      <c r="N9382">
        <v>56.58</v>
      </c>
      <c r="O9382" s="49">
        <v>45525</v>
      </c>
      <c r="P9382" s="50">
        <v>96.48899999999999</v>
      </c>
    </row>
    <row r="9383" spans="4:16" x14ac:dyDescent="0.2">
      <c r="D9383">
        <v>100005596</v>
      </c>
      <c r="E9383" s="49">
        <v>44686</v>
      </c>
      <c r="F9383" t="s">
        <v>6684</v>
      </c>
      <c r="G9383" t="s">
        <v>2328</v>
      </c>
      <c r="H9383">
        <v>6</v>
      </c>
      <c r="I9383">
        <v>99</v>
      </c>
      <c r="J9383" s="50">
        <v>594</v>
      </c>
      <c r="K9383" t="s">
        <v>1618</v>
      </c>
      <c r="M9383" t="s">
        <v>1621</v>
      </c>
      <c r="N9383">
        <v>52.25</v>
      </c>
      <c r="O9383" s="49">
        <v>44688</v>
      </c>
      <c r="P9383" s="50">
        <v>267.3</v>
      </c>
    </row>
    <row r="9384" spans="4:16" x14ac:dyDescent="0.2">
      <c r="D9384">
        <v>100005596</v>
      </c>
      <c r="E9384" s="49">
        <v>45162</v>
      </c>
      <c r="F9384" t="s">
        <v>6684</v>
      </c>
      <c r="G9384" t="s">
        <v>2380</v>
      </c>
      <c r="H9384">
        <v>8</v>
      </c>
      <c r="I9384">
        <v>23.49</v>
      </c>
      <c r="J9384" s="50">
        <v>187.92</v>
      </c>
      <c r="K9384" t="s">
        <v>1618</v>
      </c>
      <c r="M9384" t="s">
        <v>1627</v>
      </c>
      <c r="N9384">
        <v>12.4</v>
      </c>
      <c r="O9384" s="49">
        <v>45167</v>
      </c>
      <c r="P9384" s="50">
        <v>84.563999999999993</v>
      </c>
    </row>
    <row r="9385" spans="4:16" x14ac:dyDescent="0.2">
      <c r="D9385">
        <v>100005597</v>
      </c>
      <c r="E9385" s="49">
        <v>45114</v>
      </c>
      <c r="F9385" t="s">
        <v>6685</v>
      </c>
      <c r="G9385" t="s">
        <v>1943</v>
      </c>
      <c r="H9385">
        <v>6</v>
      </c>
      <c r="I9385">
        <v>11.59</v>
      </c>
      <c r="J9385" s="50">
        <v>69.539999999999992</v>
      </c>
      <c r="K9385" t="s">
        <v>1618</v>
      </c>
      <c r="L9385" t="s">
        <v>2219</v>
      </c>
      <c r="M9385" t="s">
        <v>1624</v>
      </c>
      <c r="N9385">
        <v>6.12</v>
      </c>
      <c r="O9385" s="49">
        <v>45119</v>
      </c>
      <c r="P9385" s="50">
        <v>31.292999999999996</v>
      </c>
    </row>
    <row r="9386" spans="4:16" x14ac:dyDescent="0.2">
      <c r="D9386">
        <v>100005597</v>
      </c>
      <c r="E9386" s="49">
        <v>44928</v>
      </c>
      <c r="F9386" t="s">
        <v>6685</v>
      </c>
      <c r="G9386" t="s">
        <v>1823</v>
      </c>
      <c r="H9386">
        <v>9</v>
      </c>
      <c r="I9386">
        <v>103.71</v>
      </c>
      <c r="J9386" s="50">
        <v>933.39</v>
      </c>
      <c r="K9386" t="s">
        <v>1618</v>
      </c>
      <c r="L9386" t="s">
        <v>2219</v>
      </c>
      <c r="M9386" t="s">
        <v>1629</v>
      </c>
      <c r="N9386">
        <v>54.74</v>
      </c>
      <c r="O9386" s="49">
        <v>44929</v>
      </c>
      <c r="P9386" s="50">
        <v>420.02550000000002</v>
      </c>
    </row>
    <row r="9387" spans="4:16" x14ac:dyDescent="0.2">
      <c r="D9387">
        <v>100005598</v>
      </c>
      <c r="E9387" s="49">
        <v>45579</v>
      </c>
      <c r="F9387" t="s">
        <v>6686</v>
      </c>
      <c r="G9387" t="s">
        <v>1801</v>
      </c>
      <c r="H9387">
        <v>6</v>
      </c>
      <c r="I9387">
        <v>14.99</v>
      </c>
      <c r="J9387" s="50">
        <v>89.94</v>
      </c>
      <c r="K9387" t="s">
        <v>1632</v>
      </c>
      <c r="M9387" t="s">
        <v>1621</v>
      </c>
      <c r="N9387">
        <v>7.91</v>
      </c>
      <c r="O9387" s="49">
        <v>45583</v>
      </c>
      <c r="P9387" s="50">
        <v>40.472999999999999</v>
      </c>
    </row>
    <row r="9388" spans="4:16" x14ac:dyDescent="0.2">
      <c r="D9388">
        <v>100005598</v>
      </c>
      <c r="E9388" s="49">
        <v>44492</v>
      </c>
      <c r="F9388" t="s">
        <v>6686</v>
      </c>
      <c r="G9388" t="s">
        <v>2328</v>
      </c>
      <c r="H9388">
        <v>10</v>
      </c>
      <c r="I9388">
        <v>108.94</v>
      </c>
      <c r="J9388" s="50">
        <v>1089.4000000000001</v>
      </c>
      <c r="K9388" t="s">
        <v>1632</v>
      </c>
      <c r="M9388" t="s">
        <v>1627</v>
      </c>
      <c r="N9388">
        <v>57.5</v>
      </c>
      <c r="O9388" s="49">
        <v>44497</v>
      </c>
      <c r="P9388" s="50">
        <v>490.23000000000008</v>
      </c>
    </row>
    <row r="9389" spans="4:16" x14ac:dyDescent="0.2">
      <c r="D9389">
        <v>100005601</v>
      </c>
      <c r="E9389" s="49">
        <v>45026</v>
      </c>
      <c r="F9389" t="s">
        <v>6687</v>
      </c>
      <c r="G9389" t="s">
        <v>1724</v>
      </c>
      <c r="H9389">
        <v>5</v>
      </c>
      <c r="I9389">
        <v>55.58</v>
      </c>
      <c r="J9389" s="50">
        <v>277.89999999999998</v>
      </c>
      <c r="K9389" t="s">
        <v>1618</v>
      </c>
      <c r="L9389" t="s">
        <v>6688</v>
      </c>
      <c r="M9389" t="s">
        <v>1627</v>
      </c>
      <c r="N9389">
        <v>29.33</v>
      </c>
      <c r="O9389" s="49">
        <v>45030</v>
      </c>
      <c r="P9389" s="50">
        <v>125.05499999999999</v>
      </c>
    </row>
    <row r="9390" spans="4:16" x14ac:dyDescent="0.2">
      <c r="D9390">
        <v>100005601</v>
      </c>
      <c r="E9390" s="49">
        <v>44507</v>
      </c>
      <c r="F9390" t="s">
        <v>6687</v>
      </c>
      <c r="G9390" t="s">
        <v>2658</v>
      </c>
      <c r="H9390">
        <v>3</v>
      </c>
      <c r="I9390">
        <v>99.21</v>
      </c>
      <c r="J9390" s="50">
        <v>297.63</v>
      </c>
      <c r="K9390" t="s">
        <v>1618</v>
      </c>
      <c r="L9390" t="s">
        <v>6688</v>
      </c>
      <c r="M9390" t="s">
        <v>1624</v>
      </c>
      <c r="N9390">
        <v>52.36</v>
      </c>
      <c r="O9390" s="49">
        <v>44509</v>
      </c>
      <c r="P9390" s="50">
        <v>133.93350000000001</v>
      </c>
    </row>
    <row r="9391" spans="4:16" x14ac:dyDescent="0.2">
      <c r="D9391">
        <v>100005603</v>
      </c>
      <c r="E9391" s="49">
        <v>44222</v>
      </c>
      <c r="F9391" t="s">
        <v>6689</v>
      </c>
      <c r="G9391" t="s">
        <v>1666</v>
      </c>
      <c r="H9391">
        <v>1</v>
      </c>
      <c r="I9391">
        <v>40.64</v>
      </c>
      <c r="J9391" s="50">
        <v>40.64</v>
      </c>
      <c r="K9391" t="s">
        <v>1618</v>
      </c>
      <c r="M9391" t="s">
        <v>1624</v>
      </c>
      <c r="N9391">
        <v>21.45</v>
      </c>
      <c r="O9391" s="49">
        <v>44227</v>
      </c>
      <c r="P9391" s="50">
        <v>18.288</v>
      </c>
    </row>
    <row r="9392" spans="4:16" x14ac:dyDescent="0.2">
      <c r="D9392">
        <v>100005604</v>
      </c>
      <c r="E9392" s="49">
        <v>45251</v>
      </c>
      <c r="F9392" t="s">
        <v>6690</v>
      </c>
      <c r="G9392" t="s">
        <v>1756</v>
      </c>
      <c r="H9392">
        <v>6</v>
      </c>
      <c r="I9392">
        <v>67.849999999999994</v>
      </c>
      <c r="J9392" s="50">
        <v>407.1</v>
      </c>
      <c r="K9392" t="s">
        <v>1632</v>
      </c>
      <c r="M9392" t="s">
        <v>1619</v>
      </c>
      <c r="N9392">
        <v>35.81</v>
      </c>
      <c r="O9392" s="49">
        <v>45255</v>
      </c>
      <c r="P9392" s="50">
        <v>183.19500000000002</v>
      </c>
    </row>
    <row r="9393" spans="4:16" x14ac:dyDescent="0.2">
      <c r="D9393">
        <v>100005604</v>
      </c>
      <c r="E9393" s="49">
        <v>44469</v>
      </c>
      <c r="F9393" t="s">
        <v>6690</v>
      </c>
      <c r="G9393" t="s">
        <v>2155</v>
      </c>
      <c r="H9393">
        <v>2</v>
      </c>
      <c r="I9393">
        <v>58.74</v>
      </c>
      <c r="J9393" s="50">
        <v>117.48</v>
      </c>
      <c r="K9393" t="s">
        <v>1632</v>
      </c>
      <c r="M9393" t="s">
        <v>1619</v>
      </c>
      <c r="N9393">
        <v>31</v>
      </c>
      <c r="O9393" s="49">
        <v>44471</v>
      </c>
      <c r="P9393" s="50">
        <v>52.866</v>
      </c>
    </row>
    <row r="9394" spans="4:16" x14ac:dyDescent="0.2">
      <c r="D9394">
        <v>100005606</v>
      </c>
      <c r="E9394" s="49">
        <v>44526</v>
      </c>
      <c r="F9394" t="s">
        <v>6691</v>
      </c>
      <c r="G9394" t="s">
        <v>1768</v>
      </c>
      <c r="H9394">
        <v>1</v>
      </c>
      <c r="I9394">
        <v>71.39</v>
      </c>
      <c r="J9394" s="50">
        <v>71.39</v>
      </c>
      <c r="K9394" t="s">
        <v>1632</v>
      </c>
      <c r="M9394" t="s">
        <v>1619</v>
      </c>
      <c r="N9394">
        <v>37.68</v>
      </c>
      <c r="O9394" s="49">
        <v>44529</v>
      </c>
      <c r="P9394" s="50">
        <v>32.125500000000002</v>
      </c>
    </row>
    <row r="9395" spans="4:16" x14ac:dyDescent="0.2">
      <c r="D9395">
        <v>100005607</v>
      </c>
      <c r="E9395" s="49">
        <v>45233</v>
      </c>
      <c r="F9395" t="s">
        <v>6692</v>
      </c>
      <c r="G9395" t="s">
        <v>1928</v>
      </c>
      <c r="H9395">
        <v>6</v>
      </c>
      <c r="I9395">
        <v>72.09</v>
      </c>
      <c r="J9395" s="50">
        <v>432.54</v>
      </c>
      <c r="K9395" t="s">
        <v>1618</v>
      </c>
      <c r="L9395" t="s">
        <v>4751</v>
      </c>
      <c r="M9395" t="s">
        <v>1627</v>
      </c>
      <c r="N9395">
        <v>38.049999999999997</v>
      </c>
      <c r="O9395" s="49">
        <v>45234</v>
      </c>
      <c r="P9395" s="50">
        <v>194.643</v>
      </c>
    </row>
    <row r="9396" spans="4:16" x14ac:dyDescent="0.2">
      <c r="D9396">
        <v>100005607</v>
      </c>
      <c r="E9396" s="49">
        <v>45486</v>
      </c>
      <c r="F9396" t="s">
        <v>6692</v>
      </c>
      <c r="G9396" t="s">
        <v>2168</v>
      </c>
      <c r="H9396">
        <v>7</v>
      </c>
      <c r="I9396">
        <v>49.35</v>
      </c>
      <c r="J9396" s="50">
        <v>345.45</v>
      </c>
      <c r="K9396" t="s">
        <v>1618</v>
      </c>
      <c r="L9396" t="s">
        <v>4751</v>
      </c>
      <c r="M9396" t="s">
        <v>1624</v>
      </c>
      <c r="N9396">
        <v>26.05</v>
      </c>
      <c r="O9396" s="49">
        <v>45490</v>
      </c>
      <c r="P9396" s="50">
        <v>155.45249999999999</v>
      </c>
    </row>
    <row r="9397" spans="4:16" x14ac:dyDescent="0.2">
      <c r="D9397">
        <v>100005607</v>
      </c>
      <c r="E9397" s="49">
        <v>44356</v>
      </c>
      <c r="F9397" t="s">
        <v>6692</v>
      </c>
      <c r="G9397" t="s">
        <v>1641</v>
      </c>
      <c r="H9397">
        <v>3</v>
      </c>
      <c r="I9397">
        <v>105.07</v>
      </c>
      <c r="J9397" s="50">
        <v>315.20999999999998</v>
      </c>
      <c r="K9397" t="s">
        <v>1618</v>
      </c>
      <c r="L9397" t="s">
        <v>4751</v>
      </c>
      <c r="M9397" t="s">
        <v>1624</v>
      </c>
      <c r="N9397">
        <v>55.45</v>
      </c>
      <c r="O9397" s="49">
        <v>44361</v>
      </c>
      <c r="P9397" s="50">
        <v>141.84449999999998</v>
      </c>
    </row>
    <row r="9398" spans="4:16" x14ac:dyDescent="0.2">
      <c r="D9398">
        <v>100005608</v>
      </c>
      <c r="E9398" s="49">
        <v>44416</v>
      </c>
      <c r="F9398" t="s">
        <v>6693</v>
      </c>
      <c r="G9398" t="s">
        <v>1687</v>
      </c>
      <c r="H9398">
        <v>10</v>
      </c>
      <c r="I9398">
        <v>60.54</v>
      </c>
      <c r="J9398" s="50">
        <v>605.4</v>
      </c>
      <c r="K9398" t="s">
        <v>1618</v>
      </c>
      <c r="L9398" t="s">
        <v>6694</v>
      </c>
      <c r="M9398" t="s">
        <v>1627</v>
      </c>
      <c r="N9398">
        <v>31.95</v>
      </c>
      <c r="O9398" s="49">
        <v>44419</v>
      </c>
      <c r="P9398" s="50">
        <v>272.43</v>
      </c>
    </row>
    <row r="9399" spans="4:16" x14ac:dyDescent="0.2">
      <c r="D9399">
        <v>100005609</v>
      </c>
      <c r="E9399" s="49">
        <v>45376</v>
      </c>
      <c r="F9399" t="s">
        <v>6695</v>
      </c>
      <c r="G9399" t="s">
        <v>2145</v>
      </c>
      <c r="H9399">
        <v>5</v>
      </c>
      <c r="I9399">
        <v>106.65</v>
      </c>
      <c r="J9399" s="50">
        <v>533.25</v>
      </c>
      <c r="K9399" t="s">
        <v>1632</v>
      </c>
      <c r="M9399" t="s">
        <v>1627</v>
      </c>
      <c r="N9399">
        <v>56.29</v>
      </c>
      <c r="O9399" s="49">
        <v>45378</v>
      </c>
      <c r="P9399" s="50">
        <v>239.96250000000001</v>
      </c>
    </row>
    <row r="9400" spans="4:16" x14ac:dyDescent="0.2">
      <c r="D9400">
        <v>100005609</v>
      </c>
      <c r="E9400" s="49">
        <v>44300</v>
      </c>
      <c r="F9400" t="s">
        <v>6695</v>
      </c>
      <c r="G9400" t="s">
        <v>1647</v>
      </c>
      <c r="H9400">
        <v>5</v>
      </c>
      <c r="I9400">
        <v>51.99</v>
      </c>
      <c r="J9400" s="50">
        <v>259.95</v>
      </c>
      <c r="K9400" t="s">
        <v>1632</v>
      </c>
      <c r="M9400" t="s">
        <v>1629</v>
      </c>
      <c r="N9400">
        <v>27.44</v>
      </c>
      <c r="O9400" s="49">
        <v>44302</v>
      </c>
      <c r="P9400" s="50">
        <v>116.97749999999999</v>
      </c>
    </row>
    <row r="9401" spans="4:16" x14ac:dyDescent="0.2">
      <c r="D9401">
        <v>100005610</v>
      </c>
      <c r="E9401" s="49">
        <v>45627</v>
      </c>
      <c r="F9401" t="s">
        <v>6696</v>
      </c>
      <c r="G9401" t="s">
        <v>1787</v>
      </c>
      <c r="H9401">
        <v>6</v>
      </c>
      <c r="I9401">
        <v>55.67</v>
      </c>
      <c r="J9401" s="50">
        <v>334.02</v>
      </c>
      <c r="K9401" t="s">
        <v>1618</v>
      </c>
      <c r="L9401" t="s">
        <v>6697</v>
      </c>
      <c r="M9401" t="s">
        <v>1629</v>
      </c>
      <c r="N9401">
        <v>29.38</v>
      </c>
      <c r="O9401" s="49">
        <v>45629</v>
      </c>
      <c r="P9401" s="50">
        <v>150.309</v>
      </c>
    </row>
    <row r="9402" spans="4:16" x14ac:dyDescent="0.2">
      <c r="D9402">
        <v>100005610</v>
      </c>
      <c r="E9402" s="49">
        <v>45650</v>
      </c>
      <c r="F9402" t="s">
        <v>6696</v>
      </c>
      <c r="G9402" t="s">
        <v>2111</v>
      </c>
      <c r="H9402">
        <v>5</v>
      </c>
      <c r="I9402">
        <v>13.15</v>
      </c>
      <c r="J9402" s="50">
        <v>65.75</v>
      </c>
      <c r="K9402" t="s">
        <v>1618</v>
      </c>
      <c r="L9402" t="s">
        <v>6697</v>
      </c>
      <c r="M9402" t="s">
        <v>1627</v>
      </c>
      <c r="N9402">
        <v>6.94</v>
      </c>
      <c r="O9402" s="49">
        <v>45654</v>
      </c>
      <c r="P9402" s="50">
        <v>29.587500000000002</v>
      </c>
    </row>
    <row r="9403" spans="4:16" x14ac:dyDescent="0.2">
      <c r="D9403">
        <v>100005612</v>
      </c>
      <c r="E9403" s="49">
        <v>45652</v>
      </c>
      <c r="F9403" t="s">
        <v>6698</v>
      </c>
      <c r="G9403" t="s">
        <v>1700</v>
      </c>
      <c r="H9403">
        <v>3</v>
      </c>
      <c r="I9403">
        <v>73.59</v>
      </c>
      <c r="J9403" s="50">
        <v>220.77</v>
      </c>
      <c r="K9403" t="s">
        <v>1632</v>
      </c>
      <c r="M9403" t="s">
        <v>1619</v>
      </c>
      <c r="N9403">
        <v>38.840000000000003</v>
      </c>
      <c r="O9403" s="49">
        <v>45654</v>
      </c>
      <c r="P9403" s="50">
        <v>99.346500000000006</v>
      </c>
    </row>
    <row r="9404" spans="4:16" x14ac:dyDescent="0.2">
      <c r="D9404">
        <v>100005613</v>
      </c>
      <c r="E9404" s="49">
        <v>44550</v>
      </c>
      <c r="F9404" t="s">
        <v>6699</v>
      </c>
      <c r="G9404" t="s">
        <v>1921</v>
      </c>
      <c r="H9404">
        <v>4</v>
      </c>
      <c r="I9404">
        <v>61.23</v>
      </c>
      <c r="J9404" s="50">
        <v>244.92</v>
      </c>
      <c r="K9404" t="s">
        <v>1618</v>
      </c>
      <c r="M9404" t="s">
        <v>1619</v>
      </c>
      <c r="N9404">
        <v>32.32</v>
      </c>
      <c r="O9404" s="49">
        <v>44554</v>
      </c>
      <c r="P9404" s="50">
        <v>110.214</v>
      </c>
    </row>
    <row r="9405" spans="4:16" x14ac:dyDescent="0.2">
      <c r="D9405">
        <v>100005613</v>
      </c>
      <c r="E9405" s="49">
        <v>45266</v>
      </c>
      <c r="F9405" t="s">
        <v>6699</v>
      </c>
      <c r="G9405" t="s">
        <v>2331</v>
      </c>
      <c r="H9405">
        <v>5</v>
      </c>
      <c r="I9405">
        <v>44.24</v>
      </c>
      <c r="J9405" s="50">
        <v>221.2</v>
      </c>
      <c r="K9405" t="s">
        <v>1618</v>
      </c>
      <c r="M9405" t="s">
        <v>1619</v>
      </c>
      <c r="N9405">
        <v>23.35</v>
      </c>
      <c r="O9405" s="49">
        <v>45269</v>
      </c>
      <c r="P9405" s="50">
        <v>99.539999999999992</v>
      </c>
    </row>
    <row r="9406" spans="4:16" x14ac:dyDescent="0.2">
      <c r="D9406">
        <v>100005613</v>
      </c>
      <c r="E9406" s="49">
        <v>45039</v>
      </c>
      <c r="F9406" t="s">
        <v>6699</v>
      </c>
      <c r="G9406" t="s">
        <v>1650</v>
      </c>
      <c r="H9406">
        <v>4</v>
      </c>
      <c r="I9406">
        <v>45.01</v>
      </c>
      <c r="J9406" s="50">
        <v>180.04</v>
      </c>
      <c r="K9406" t="s">
        <v>1618</v>
      </c>
      <c r="M9406" t="s">
        <v>1629</v>
      </c>
      <c r="N9406">
        <v>23.76</v>
      </c>
      <c r="O9406" s="49">
        <v>45043</v>
      </c>
      <c r="P9406" s="50">
        <v>81.018000000000001</v>
      </c>
    </row>
    <row r="9407" spans="4:16" x14ac:dyDescent="0.2">
      <c r="D9407">
        <v>100005615</v>
      </c>
      <c r="E9407" s="49">
        <v>44499</v>
      </c>
      <c r="F9407" t="s">
        <v>6700</v>
      </c>
      <c r="G9407" t="s">
        <v>1916</v>
      </c>
      <c r="H9407">
        <v>4</v>
      </c>
      <c r="I9407">
        <v>52.73</v>
      </c>
      <c r="J9407" s="50">
        <v>210.92</v>
      </c>
      <c r="K9407" t="s">
        <v>1618</v>
      </c>
      <c r="M9407" t="s">
        <v>1627</v>
      </c>
      <c r="N9407">
        <v>27.83</v>
      </c>
      <c r="O9407" s="49">
        <v>44500</v>
      </c>
      <c r="P9407" s="50">
        <v>94.914000000000001</v>
      </c>
    </row>
    <row r="9408" spans="4:16" x14ac:dyDescent="0.2">
      <c r="D9408">
        <v>100005615</v>
      </c>
      <c r="E9408" s="49">
        <v>45063</v>
      </c>
      <c r="F9408" t="s">
        <v>6700</v>
      </c>
      <c r="G9408" t="s">
        <v>2420</v>
      </c>
      <c r="H9408">
        <v>2</v>
      </c>
      <c r="I9408">
        <v>25.98</v>
      </c>
      <c r="J9408" s="50">
        <v>51.96</v>
      </c>
      <c r="K9408" t="s">
        <v>1618</v>
      </c>
      <c r="M9408" t="s">
        <v>1621</v>
      </c>
      <c r="N9408">
        <v>13.71</v>
      </c>
      <c r="O9408" s="49">
        <v>45068</v>
      </c>
      <c r="P9408" s="50">
        <v>23.382000000000001</v>
      </c>
    </row>
    <row r="9409" spans="4:16" x14ac:dyDescent="0.2">
      <c r="D9409">
        <v>100005616</v>
      </c>
      <c r="E9409" s="49">
        <v>45437</v>
      </c>
      <c r="F9409" t="s">
        <v>6701</v>
      </c>
      <c r="G9409" t="s">
        <v>2062</v>
      </c>
      <c r="H9409">
        <v>8</v>
      </c>
      <c r="I9409">
        <v>80.540000000000006</v>
      </c>
      <c r="J9409" s="50">
        <v>644.32000000000005</v>
      </c>
      <c r="K9409" t="s">
        <v>1618</v>
      </c>
      <c r="M9409" t="s">
        <v>1621</v>
      </c>
      <c r="N9409">
        <v>42.51</v>
      </c>
      <c r="O9409" s="49">
        <v>45438</v>
      </c>
      <c r="P9409" s="50">
        <v>289.94400000000002</v>
      </c>
    </row>
    <row r="9410" spans="4:16" x14ac:dyDescent="0.2">
      <c r="D9410">
        <v>100005617</v>
      </c>
      <c r="E9410" s="49">
        <v>45596</v>
      </c>
      <c r="F9410" t="s">
        <v>6702</v>
      </c>
      <c r="G9410" t="s">
        <v>2378</v>
      </c>
      <c r="H9410">
        <v>6</v>
      </c>
      <c r="I9410">
        <v>41.99</v>
      </c>
      <c r="J9410" s="50">
        <v>251.94</v>
      </c>
      <c r="K9410" t="s">
        <v>1618</v>
      </c>
      <c r="M9410" t="s">
        <v>1624</v>
      </c>
      <c r="N9410">
        <v>22.16</v>
      </c>
      <c r="O9410" s="49">
        <v>45597</v>
      </c>
      <c r="P9410" s="50">
        <v>113.373</v>
      </c>
    </row>
    <row r="9411" spans="4:16" x14ac:dyDescent="0.2">
      <c r="D9411">
        <v>100005619</v>
      </c>
      <c r="E9411" s="49">
        <v>44243</v>
      </c>
      <c r="F9411" t="s">
        <v>6703</v>
      </c>
      <c r="G9411" t="s">
        <v>2240</v>
      </c>
      <c r="H9411">
        <v>9</v>
      </c>
      <c r="I9411">
        <v>41.51</v>
      </c>
      <c r="J9411" s="50">
        <v>373.59</v>
      </c>
      <c r="K9411" t="s">
        <v>1618</v>
      </c>
      <c r="M9411" t="s">
        <v>1627</v>
      </c>
      <c r="N9411">
        <v>21.91</v>
      </c>
      <c r="O9411" s="49">
        <v>44247</v>
      </c>
      <c r="P9411" s="50">
        <v>168.1155</v>
      </c>
    </row>
    <row r="9412" spans="4:16" x14ac:dyDescent="0.2">
      <c r="D9412">
        <v>100005619</v>
      </c>
      <c r="E9412" s="49">
        <v>45567</v>
      </c>
      <c r="F9412" t="s">
        <v>6703</v>
      </c>
      <c r="G9412" t="s">
        <v>2745</v>
      </c>
      <c r="H9412">
        <v>1</v>
      </c>
      <c r="I9412">
        <v>81.93</v>
      </c>
      <c r="J9412" s="50">
        <v>81.93</v>
      </c>
      <c r="K9412" t="s">
        <v>1618</v>
      </c>
      <c r="M9412" t="s">
        <v>1621</v>
      </c>
      <c r="N9412">
        <v>43.24</v>
      </c>
      <c r="O9412" s="49">
        <v>45570</v>
      </c>
      <c r="P9412" s="50">
        <v>36.868500000000004</v>
      </c>
    </row>
    <row r="9413" spans="4:16" x14ac:dyDescent="0.2">
      <c r="D9413">
        <v>100005620</v>
      </c>
      <c r="E9413" s="49">
        <v>44992</v>
      </c>
      <c r="F9413" t="s">
        <v>6704</v>
      </c>
      <c r="G9413" t="s">
        <v>2387</v>
      </c>
      <c r="H9413">
        <v>10</v>
      </c>
      <c r="I9413">
        <v>81.16</v>
      </c>
      <c r="J9413" s="50">
        <v>811.59999999999991</v>
      </c>
      <c r="K9413" t="s">
        <v>1618</v>
      </c>
      <c r="L9413" t="s">
        <v>6705</v>
      </c>
      <c r="M9413" t="s">
        <v>1619</v>
      </c>
      <c r="N9413">
        <v>42.83</v>
      </c>
      <c r="O9413" s="49">
        <v>44997</v>
      </c>
      <c r="P9413" s="50">
        <v>365.21999999999997</v>
      </c>
    </row>
    <row r="9414" spans="4:16" x14ac:dyDescent="0.2">
      <c r="D9414">
        <v>100005620</v>
      </c>
      <c r="E9414" s="49">
        <v>44778</v>
      </c>
      <c r="F9414" t="s">
        <v>6704</v>
      </c>
      <c r="G9414" t="s">
        <v>2603</v>
      </c>
      <c r="H9414">
        <v>9</v>
      </c>
      <c r="I9414">
        <v>116.53</v>
      </c>
      <c r="J9414" s="50">
        <v>1048.77</v>
      </c>
      <c r="K9414" t="s">
        <v>1618</v>
      </c>
      <c r="L9414" t="s">
        <v>6705</v>
      </c>
      <c r="M9414" t="s">
        <v>1619</v>
      </c>
      <c r="N9414">
        <v>61.5</v>
      </c>
      <c r="O9414" s="49">
        <v>44781</v>
      </c>
      <c r="P9414" s="50">
        <v>471.94650000000001</v>
      </c>
    </row>
    <row r="9415" spans="4:16" x14ac:dyDescent="0.2">
      <c r="D9415">
        <v>100005620</v>
      </c>
      <c r="E9415" s="49">
        <v>45554</v>
      </c>
      <c r="F9415" t="s">
        <v>6704</v>
      </c>
      <c r="G9415" t="s">
        <v>2111</v>
      </c>
      <c r="H9415">
        <v>5</v>
      </c>
      <c r="I9415">
        <v>99.29</v>
      </c>
      <c r="J9415" s="50">
        <v>496.45</v>
      </c>
      <c r="K9415" t="s">
        <v>1618</v>
      </c>
      <c r="L9415" t="s">
        <v>6705</v>
      </c>
      <c r="M9415" t="s">
        <v>1629</v>
      </c>
      <c r="N9415">
        <v>52.4</v>
      </c>
      <c r="O9415" s="49">
        <v>45558</v>
      </c>
      <c r="P9415" s="50">
        <v>223.4025</v>
      </c>
    </row>
    <row r="9416" spans="4:16" x14ac:dyDescent="0.2">
      <c r="D9416">
        <v>100005621</v>
      </c>
      <c r="E9416" s="49">
        <v>44378</v>
      </c>
      <c r="F9416" t="s">
        <v>6706</v>
      </c>
      <c r="G9416" t="s">
        <v>2005</v>
      </c>
      <c r="H9416">
        <v>10</v>
      </c>
      <c r="I9416">
        <v>27.55</v>
      </c>
      <c r="J9416" s="50">
        <v>275.5</v>
      </c>
      <c r="K9416" t="s">
        <v>1632</v>
      </c>
      <c r="M9416" t="s">
        <v>1619</v>
      </c>
      <c r="N9416">
        <v>14.54</v>
      </c>
      <c r="O9416" s="49">
        <v>44381</v>
      </c>
      <c r="P9416" s="50">
        <v>123.97500000000001</v>
      </c>
    </row>
    <row r="9417" spans="4:16" x14ac:dyDescent="0.2">
      <c r="D9417">
        <v>100005622</v>
      </c>
      <c r="E9417" s="49">
        <v>45365</v>
      </c>
      <c r="F9417" t="s">
        <v>6363</v>
      </c>
      <c r="G9417" t="s">
        <v>1864</v>
      </c>
      <c r="H9417">
        <v>7</v>
      </c>
      <c r="I9417">
        <v>49.23</v>
      </c>
      <c r="J9417" s="50">
        <v>344.61</v>
      </c>
      <c r="K9417" t="s">
        <v>1632</v>
      </c>
      <c r="M9417" t="s">
        <v>1619</v>
      </c>
      <c r="N9417">
        <v>25.98</v>
      </c>
      <c r="O9417" s="49">
        <v>45367</v>
      </c>
      <c r="P9417" s="50">
        <v>155.0745</v>
      </c>
    </row>
    <row r="9418" spans="4:16" x14ac:dyDescent="0.2">
      <c r="D9418">
        <v>100005623</v>
      </c>
      <c r="E9418" s="49">
        <v>44892</v>
      </c>
      <c r="F9418" t="s">
        <v>6707</v>
      </c>
      <c r="G9418" t="s">
        <v>1969</v>
      </c>
      <c r="H9418">
        <v>1</v>
      </c>
      <c r="I9418">
        <v>82.35</v>
      </c>
      <c r="J9418" s="50">
        <v>82.35</v>
      </c>
      <c r="K9418" t="s">
        <v>1632</v>
      </c>
      <c r="M9418" t="s">
        <v>1619</v>
      </c>
      <c r="N9418">
        <v>43.46</v>
      </c>
      <c r="O9418" s="49">
        <v>44894</v>
      </c>
      <c r="P9418" s="50">
        <v>37.057499999999997</v>
      </c>
    </row>
    <row r="9419" spans="4:16" x14ac:dyDescent="0.2">
      <c r="D9419">
        <v>100005623</v>
      </c>
      <c r="E9419" s="49">
        <v>44666</v>
      </c>
      <c r="F9419" t="s">
        <v>6707</v>
      </c>
      <c r="G9419" t="s">
        <v>1805</v>
      </c>
      <c r="H9419">
        <v>3</v>
      </c>
      <c r="I9419">
        <v>55.86</v>
      </c>
      <c r="J9419" s="50">
        <v>167.58</v>
      </c>
      <c r="K9419" t="s">
        <v>1632</v>
      </c>
      <c r="M9419" t="s">
        <v>1627</v>
      </c>
      <c r="N9419">
        <v>29.48</v>
      </c>
      <c r="O9419" s="49">
        <v>44671</v>
      </c>
      <c r="P9419" s="50">
        <v>75.411000000000001</v>
      </c>
    </row>
    <row r="9420" spans="4:16" x14ac:dyDescent="0.2">
      <c r="D9420">
        <v>100005623</v>
      </c>
      <c r="E9420" s="49">
        <v>45486</v>
      </c>
      <c r="F9420" t="s">
        <v>6707</v>
      </c>
      <c r="G9420" t="s">
        <v>2263</v>
      </c>
      <c r="H9420">
        <v>5</v>
      </c>
      <c r="I9420">
        <v>56.54</v>
      </c>
      <c r="J9420" s="50">
        <v>282.7</v>
      </c>
      <c r="K9420" t="s">
        <v>1632</v>
      </c>
      <c r="M9420" t="s">
        <v>1619</v>
      </c>
      <c r="N9420">
        <v>29.84</v>
      </c>
      <c r="O9420" s="49">
        <v>45488</v>
      </c>
      <c r="P9420" s="50">
        <v>127.215</v>
      </c>
    </row>
    <row r="9421" spans="4:16" x14ac:dyDescent="0.2">
      <c r="D9421">
        <v>100005624</v>
      </c>
      <c r="E9421" s="49">
        <v>44333</v>
      </c>
      <c r="F9421" t="s">
        <v>6708</v>
      </c>
      <c r="G9421" t="s">
        <v>1752</v>
      </c>
      <c r="H9421">
        <v>2</v>
      </c>
      <c r="I9421">
        <v>102.09</v>
      </c>
      <c r="J9421" s="50">
        <v>204.18</v>
      </c>
      <c r="K9421" t="s">
        <v>1618</v>
      </c>
      <c r="M9421" t="s">
        <v>1621</v>
      </c>
      <c r="N9421">
        <v>53.88</v>
      </c>
      <c r="O9421" s="49">
        <v>44338</v>
      </c>
      <c r="P9421" s="50">
        <v>91.881</v>
      </c>
    </row>
    <row r="9422" spans="4:16" x14ac:dyDescent="0.2">
      <c r="D9422">
        <v>100005625</v>
      </c>
      <c r="E9422" s="49">
        <v>45387</v>
      </c>
      <c r="F9422" t="s">
        <v>6709</v>
      </c>
      <c r="G9422" t="s">
        <v>2328</v>
      </c>
      <c r="H9422">
        <v>8</v>
      </c>
      <c r="I9422">
        <v>84.27</v>
      </c>
      <c r="J9422" s="50">
        <v>674.16</v>
      </c>
      <c r="K9422" t="s">
        <v>1618</v>
      </c>
      <c r="M9422" t="s">
        <v>1629</v>
      </c>
      <c r="N9422">
        <v>44.48</v>
      </c>
      <c r="O9422" s="49">
        <v>45389</v>
      </c>
      <c r="P9422" s="50">
        <v>303.37200000000001</v>
      </c>
    </row>
    <row r="9423" spans="4:16" x14ac:dyDescent="0.2">
      <c r="D9423">
        <v>100005625</v>
      </c>
      <c r="E9423" s="49">
        <v>45622</v>
      </c>
      <c r="F9423" t="s">
        <v>6709</v>
      </c>
      <c r="G9423" t="s">
        <v>2050</v>
      </c>
      <c r="H9423">
        <v>6</v>
      </c>
      <c r="I9423">
        <v>93.81</v>
      </c>
      <c r="J9423" s="50">
        <v>562.86</v>
      </c>
      <c r="K9423" t="s">
        <v>1618</v>
      </c>
      <c r="M9423" t="s">
        <v>1629</v>
      </c>
      <c r="N9423">
        <v>49.51</v>
      </c>
      <c r="O9423" s="49">
        <v>45625</v>
      </c>
      <c r="P9423" s="50">
        <v>253.28700000000001</v>
      </c>
    </row>
    <row r="9424" spans="4:16" x14ac:dyDescent="0.2">
      <c r="D9424">
        <v>100005625</v>
      </c>
      <c r="E9424" s="49">
        <v>45558</v>
      </c>
      <c r="F9424" t="s">
        <v>6709</v>
      </c>
      <c r="G9424" t="s">
        <v>1766</v>
      </c>
      <c r="H9424">
        <v>1</v>
      </c>
      <c r="I9424">
        <v>50.7</v>
      </c>
      <c r="J9424" s="50">
        <v>50.7</v>
      </c>
      <c r="K9424" t="s">
        <v>1618</v>
      </c>
      <c r="M9424" t="s">
        <v>1629</v>
      </c>
      <c r="N9424">
        <v>26.76</v>
      </c>
      <c r="O9424" s="49">
        <v>45560</v>
      </c>
      <c r="P9424" s="50">
        <v>22.815000000000001</v>
      </c>
    </row>
    <row r="9425" spans="4:16" x14ac:dyDescent="0.2">
      <c r="D9425">
        <v>100005625</v>
      </c>
      <c r="E9425" s="49">
        <v>45207</v>
      </c>
      <c r="F9425" t="s">
        <v>6709</v>
      </c>
      <c r="G9425" t="s">
        <v>2088</v>
      </c>
      <c r="H9425">
        <v>6</v>
      </c>
      <c r="I9425">
        <v>44.01</v>
      </c>
      <c r="J9425" s="50">
        <v>264.06</v>
      </c>
      <c r="K9425" t="s">
        <v>1618</v>
      </c>
      <c r="M9425" t="s">
        <v>1629</v>
      </c>
      <c r="N9425">
        <v>23.23</v>
      </c>
      <c r="O9425" s="49">
        <v>45208</v>
      </c>
      <c r="P9425" s="50">
        <v>118.827</v>
      </c>
    </row>
    <row r="9426" spans="4:16" x14ac:dyDescent="0.2">
      <c r="D9426">
        <v>100005626</v>
      </c>
      <c r="E9426" s="49">
        <v>44646</v>
      </c>
      <c r="F9426" t="s">
        <v>6710</v>
      </c>
      <c r="G9426" t="s">
        <v>1953</v>
      </c>
      <c r="H9426">
        <v>7</v>
      </c>
      <c r="I9426">
        <v>19.649999999999999</v>
      </c>
      <c r="J9426" s="50">
        <v>137.55000000000001</v>
      </c>
      <c r="K9426" t="s">
        <v>1618</v>
      </c>
      <c r="L9426" t="s">
        <v>2623</v>
      </c>
      <c r="M9426" t="s">
        <v>1619</v>
      </c>
      <c r="N9426">
        <v>10.37</v>
      </c>
      <c r="O9426" s="49">
        <v>44648</v>
      </c>
      <c r="P9426" s="50">
        <v>61.897500000000008</v>
      </c>
    </row>
    <row r="9427" spans="4:16" x14ac:dyDescent="0.2">
      <c r="D9427">
        <v>100005627</v>
      </c>
      <c r="E9427" s="49">
        <v>45357</v>
      </c>
      <c r="F9427" t="s">
        <v>6711</v>
      </c>
      <c r="G9427" t="s">
        <v>1727</v>
      </c>
      <c r="H9427">
        <v>8</v>
      </c>
      <c r="I9427">
        <v>39.01</v>
      </c>
      <c r="J9427" s="50">
        <v>312.08</v>
      </c>
      <c r="K9427" t="s">
        <v>1618</v>
      </c>
      <c r="M9427" t="s">
        <v>1624</v>
      </c>
      <c r="N9427">
        <v>20.59</v>
      </c>
      <c r="O9427" s="49">
        <v>45362</v>
      </c>
      <c r="P9427" s="50">
        <v>140.43600000000001</v>
      </c>
    </row>
    <row r="9428" spans="4:16" x14ac:dyDescent="0.2">
      <c r="D9428">
        <v>100005627</v>
      </c>
      <c r="E9428" s="49">
        <v>44216</v>
      </c>
      <c r="F9428" t="s">
        <v>6711</v>
      </c>
      <c r="G9428" t="s">
        <v>2480</v>
      </c>
      <c r="H9428">
        <v>4</v>
      </c>
      <c r="I9428">
        <v>85.79</v>
      </c>
      <c r="J9428" s="50">
        <v>343.16</v>
      </c>
      <c r="K9428" t="s">
        <v>1618</v>
      </c>
      <c r="M9428" t="s">
        <v>1624</v>
      </c>
      <c r="N9428">
        <v>45.28</v>
      </c>
      <c r="O9428" s="49">
        <v>44221</v>
      </c>
      <c r="P9428" s="50">
        <v>154.42200000000003</v>
      </c>
    </row>
    <row r="9429" spans="4:16" x14ac:dyDescent="0.2">
      <c r="D9429">
        <v>100005628</v>
      </c>
      <c r="E9429" s="49">
        <v>44826</v>
      </c>
      <c r="F9429" t="s">
        <v>6712</v>
      </c>
      <c r="G9429" t="s">
        <v>1855</v>
      </c>
      <c r="H9429">
        <v>10</v>
      </c>
      <c r="I9429">
        <v>49.94</v>
      </c>
      <c r="J9429" s="50">
        <v>499.4</v>
      </c>
      <c r="K9429" t="s">
        <v>1632</v>
      </c>
      <c r="M9429" t="s">
        <v>1621</v>
      </c>
      <c r="N9429">
        <v>26.36</v>
      </c>
      <c r="O9429" s="49">
        <v>44831</v>
      </c>
      <c r="P9429" s="50">
        <v>224.73</v>
      </c>
    </row>
    <row r="9430" spans="4:16" x14ac:dyDescent="0.2">
      <c r="D9430">
        <v>100005628</v>
      </c>
      <c r="E9430" s="49">
        <v>44399</v>
      </c>
      <c r="F9430" t="s">
        <v>6712</v>
      </c>
      <c r="G9430" t="s">
        <v>2465</v>
      </c>
      <c r="H9430">
        <v>8</v>
      </c>
      <c r="I9430">
        <v>68.510000000000005</v>
      </c>
      <c r="J9430" s="50">
        <v>548.08000000000004</v>
      </c>
      <c r="K9430" t="s">
        <v>1632</v>
      </c>
      <c r="M9430" t="s">
        <v>1629</v>
      </c>
      <c r="N9430">
        <v>36.159999999999997</v>
      </c>
      <c r="O9430" s="49">
        <v>44402</v>
      </c>
      <c r="P9430" s="50">
        <v>246.63600000000002</v>
      </c>
    </row>
    <row r="9431" spans="4:16" x14ac:dyDescent="0.2">
      <c r="D9431">
        <v>100005628</v>
      </c>
      <c r="E9431" s="49">
        <v>44314</v>
      </c>
      <c r="F9431" t="s">
        <v>6712</v>
      </c>
      <c r="G9431" t="s">
        <v>1718</v>
      </c>
      <c r="H9431">
        <v>2</v>
      </c>
      <c r="I9431">
        <v>94.08</v>
      </c>
      <c r="J9431" s="50">
        <v>188.16</v>
      </c>
      <c r="K9431" t="s">
        <v>1632</v>
      </c>
      <c r="M9431" t="s">
        <v>1624</v>
      </c>
      <c r="N9431">
        <v>49.65</v>
      </c>
      <c r="O9431" s="49">
        <v>44318</v>
      </c>
      <c r="P9431" s="50">
        <v>84.671999999999997</v>
      </c>
    </row>
    <row r="9432" spans="4:16" x14ac:dyDescent="0.2">
      <c r="D9432">
        <v>100005628</v>
      </c>
      <c r="E9432" s="49">
        <v>44672</v>
      </c>
      <c r="F9432" t="s">
        <v>6712</v>
      </c>
      <c r="G9432" t="s">
        <v>1783</v>
      </c>
      <c r="H9432">
        <v>8</v>
      </c>
      <c r="I9432">
        <v>112.47</v>
      </c>
      <c r="J9432" s="50">
        <v>899.76</v>
      </c>
      <c r="K9432" t="s">
        <v>1632</v>
      </c>
      <c r="M9432" t="s">
        <v>1624</v>
      </c>
      <c r="N9432">
        <v>59.36</v>
      </c>
      <c r="O9432" s="49">
        <v>44676</v>
      </c>
      <c r="P9432" s="50">
        <v>404.892</v>
      </c>
    </row>
    <row r="9433" spans="4:16" x14ac:dyDescent="0.2">
      <c r="D9433">
        <v>100005628</v>
      </c>
      <c r="E9433" s="49">
        <v>45054</v>
      </c>
      <c r="F9433" t="s">
        <v>6712</v>
      </c>
      <c r="G9433" t="s">
        <v>1833</v>
      </c>
      <c r="H9433">
        <v>10</v>
      </c>
      <c r="I9433">
        <v>48.59</v>
      </c>
      <c r="J9433" s="50">
        <v>485.9</v>
      </c>
      <c r="K9433" t="s">
        <v>1632</v>
      </c>
      <c r="M9433" t="s">
        <v>1619</v>
      </c>
      <c r="N9433">
        <v>25.64</v>
      </c>
      <c r="O9433" s="49">
        <v>45055</v>
      </c>
      <c r="P9433" s="50">
        <v>218.655</v>
      </c>
    </row>
    <row r="9434" spans="4:16" x14ac:dyDescent="0.2">
      <c r="D9434">
        <v>100005630</v>
      </c>
      <c r="E9434" s="49">
        <v>44544</v>
      </c>
      <c r="F9434" t="s">
        <v>6713</v>
      </c>
      <c r="G9434" t="s">
        <v>1639</v>
      </c>
      <c r="H9434">
        <v>6</v>
      </c>
      <c r="I9434">
        <v>31.59</v>
      </c>
      <c r="J9434" s="50">
        <v>189.54</v>
      </c>
      <c r="K9434" t="s">
        <v>1632</v>
      </c>
      <c r="M9434" t="s">
        <v>1624</v>
      </c>
      <c r="N9434">
        <v>16.670000000000002</v>
      </c>
      <c r="O9434" s="49">
        <v>44545</v>
      </c>
      <c r="P9434" s="50">
        <v>85.292999999999992</v>
      </c>
    </row>
    <row r="9435" spans="4:16" x14ac:dyDescent="0.2">
      <c r="D9435">
        <v>100005630</v>
      </c>
      <c r="E9435" s="49">
        <v>44762</v>
      </c>
      <c r="F9435" t="s">
        <v>6713</v>
      </c>
      <c r="G9435" t="s">
        <v>2042</v>
      </c>
      <c r="H9435">
        <v>7</v>
      </c>
      <c r="I9435">
        <v>13.19</v>
      </c>
      <c r="J9435" s="50">
        <v>92.33</v>
      </c>
      <c r="K9435" t="s">
        <v>1632</v>
      </c>
      <c r="M9435" t="s">
        <v>1629</v>
      </c>
      <c r="N9435">
        <v>6.96</v>
      </c>
      <c r="O9435" s="49">
        <v>44763</v>
      </c>
      <c r="P9435" s="50">
        <v>41.548499999999997</v>
      </c>
    </row>
    <row r="9436" spans="4:16" x14ac:dyDescent="0.2">
      <c r="D9436">
        <v>100005631</v>
      </c>
      <c r="E9436" s="49">
        <v>45525</v>
      </c>
      <c r="F9436" t="s">
        <v>6714</v>
      </c>
      <c r="G9436" t="s">
        <v>2217</v>
      </c>
      <c r="H9436">
        <v>1</v>
      </c>
      <c r="I9436">
        <v>33.64</v>
      </c>
      <c r="J9436" s="50">
        <v>33.64</v>
      </c>
      <c r="K9436" t="s">
        <v>1632</v>
      </c>
      <c r="M9436" t="s">
        <v>1629</v>
      </c>
      <c r="N9436">
        <v>17.75</v>
      </c>
      <c r="O9436" s="49">
        <v>45530</v>
      </c>
      <c r="P9436" s="50">
        <v>15.138</v>
      </c>
    </row>
    <row r="9437" spans="4:16" x14ac:dyDescent="0.2">
      <c r="D9437">
        <v>100005633</v>
      </c>
      <c r="E9437" s="49">
        <v>45048</v>
      </c>
      <c r="F9437" t="s">
        <v>4425</v>
      </c>
      <c r="G9437" t="s">
        <v>1671</v>
      </c>
      <c r="H9437">
        <v>8</v>
      </c>
      <c r="I9437">
        <v>45.02</v>
      </c>
      <c r="J9437" s="50">
        <v>360.16</v>
      </c>
      <c r="K9437" t="s">
        <v>1618</v>
      </c>
      <c r="M9437" t="s">
        <v>1621</v>
      </c>
      <c r="N9437">
        <v>23.76</v>
      </c>
      <c r="O9437" s="49">
        <v>45050</v>
      </c>
      <c r="P9437" s="50">
        <v>162.072</v>
      </c>
    </row>
    <row r="9438" spans="4:16" x14ac:dyDescent="0.2">
      <c r="D9438">
        <v>100005633</v>
      </c>
      <c r="E9438" s="49">
        <v>45061</v>
      </c>
      <c r="F9438" t="s">
        <v>4425</v>
      </c>
      <c r="G9438" t="s">
        <v>1929</v>
      </c>
      <c r="H9438">
        <v>3</v>
      </c>
      <c r="I9438">
        <v>28.08</v>
      </c>
      <c r="J9438" s="50">
        <v>84.24</v>
      </c>
      <c r="K9438" t="s">
        <v>1618</v>
      </c>
      <c r="M9438" t="s">
        <v>1627</v>
      </c>
      <c r="N9438">
        <v>14.82</v>
      </c>
      <c r="O9438" s="49">
        <v>45062</v>
      </c>
      <c r="P9438" s="50">
        <v>37.908000000000001</v>
      </c>
    </row>
    <row r="9439" spans="4:16" x14ac:dyDescent="0.2">
      <c r="D9439">
        <v>100005636</v>
      </c>
      <c r="E9439" s="49">
        <v>45453</v>
      </c>
      <c r="F9439" t="s">
        <v>6715</v>
      </c>
      <c r="G9439" t="s">
        <v>1893</v>
      </c>
      <c r="H9439">
        <v>1</v>
      </c>
      <c r="I9439">
        <v>63.49</v>
      </c>
      <c r="J9439" s="50">
        <v>63.49</v>
      </c>
      <c r="K9439" t="s">
        <v>1618</v>
      </c>
      <c r="M9439" t="s">
        <v>1629</v>
      </c>
      <c r="N9439">
        <v>33.51</v>
      </c>
      <c r="O9439" s="49">
        <v>45458</v>
      </c>
      <c r="P9439" s="50">
        <v>28.570500000000003</v>
      </c>
    </row>
    <row r="9440" spans="4:16" x14ac:dyDescent="0.2">
      <c r="D9440">
        <v>100005637</v>
      </c>
      <c r="E9440" s="49">
        <v>44272</v>
      </c>
      <c r="F9440" t="s">
        <v>6716</v>
      </c>
      <c r="G9440" t="s">
        <v>2039</v>
      </c>
      <c r="H9440">
        <v>7</v>
      </c>
      <c r="I9440">
        <v>93.69</v>
      </c>
      <c r="J9440" s="50">
        <v>655.82999999999993</v>
      </c>
      <c r="K9440" t="s">
        <v>1618</v>
      </c>
      <c r="M9440" t="s">
        <v>1629</v>
      </c>
      <c r="N9440">
        <v>49.45</v>
      </c>
      <c r="O9440" s="49">
        <v>44276</v>
      </c>
      <c r="P9440" s="50">
        <v>295.12349999999998</v>
      </c>
    </row>
    <row r="9441" spans="4:16" x14ac:dyDescent="0.2">
      <c r="D9441">
        <v>100005638</v>
      </c>
      <c r="E9441" s="49">
        <v>44669</v>
      </c>
      <c r="F9441" t="s">
        <v>6124</v>
      </c>
      <c r="G9441" t="s">
        <v>2240</v>
      </c>
      <c r="H9441">
        <v>8</v>
      </c>
      <c r="I9441">
        <v>103.26</v>
      </c>
      <c r="J9441" s="50">
        <v>826.08</v>
      </c>
      <c r="K9441" t="s">
        <v>1632</v>
      </c>
      <c r="L9441" t="s">
        <v>6033</v>
      </c>
      <c r="M9441" t="s">
        <v>1627</v>
      </c>
      <c r="N9441">
        <v>54.5</v>
      </c>
      <c r="O9441" s="49">
        <v>44674</v>
      </c>
      <c r="P9441" s="50">
        <v>371.73600000000005</v>
      </c>
    </row>
    <row r="9442" spans="4:16" x14ac:dyDescent="0.2">
      <c r="D9442">
        <v>100005638</v>
      </c>
      <c r="E9442" s="49">
        <v>45339</v>
      </c>
      <c r="F9442" t="s">
        <v>6124</v>
      </c>
      <c r="G9442" t="s">
        <v>1710</v>
      </c>
      <c r="H9442">
        <v>10</v>
      </c>
      <c r="I9442">
        <v>25.87</v>
      </c>
      <c r="J9442" s="50">
        <v>258.7</v>
      </c>
      <c r="K9442" t="s">
        <v>1632</v>
      </c>
      <c r="L9442" t="s">
        <v>6033</v>
      </c>
      <c r="M9442" t="s">
        <v>1619</v>
      </c>
      <c r="N9442">
        <v>13.65</v>
      </c>
      <c r="O9442" s="49">
        <v>45344</v>
      </c>
      <c r="P9442" s="50">
        <v>116.41499999999999</v>
      </c>
    </row>
    <row r="9443" spans="4:16" x14ac:dyDescent="0.2">
      <c r="D9443">
        <v>100005638</v>
      </c>
      <c r="E9443" s="49">
        <v>44905</v>
      </c>
      <c r="F9443" t="s">
        <v>6124</v>
      </c>
      <c r="G9443" t="s">
        <v>2130</v>
      </c>
      <c r="H9443">
        <v>6</v>
      </c>
      <c r="I9443">
        <v>36.200000000000003</v>
      </c>
      <c r="J9443" s="50">
        <v>217.2</v>
      </c>
      <c r="K9443" t="s">
        <v>1632</v>
      </c>
      <c r="L9443" t="s">
        <v>6033</v>
      </c>
      <c r="M9443" t="s">
        <v>1624</v>
      </c>
      <c r="N9443">
        <v>19.11</v>
      </c>
      <c r="O9443" s="49">
        <v>44907</v>
      </c>
      <c r="P9443" s="50">
        <v>97.74</v>
      </c>
    </row>
    <row r="9444" spans="4:16" x14ac:dyDescent="0.2">
      <c r="D9444">
        <v>100005638</v>
      </c>
      <c r="E9444" s="49">
        <v>44695</v>
      </c>
      <c r="F9444" t="s">
        <v>6124</v>
      </c>
      <c r="G9444" t="s">
        <v>2733</v>
      </c>
      <c r="H9444">
        <v>6</v>
      </c>
      <c r="I9444">
        <v>71.09</v>
      </c>
      <c r="J9444" s="50">
        <v>426.54</v>
      </c>
      <c r="K9444" t="s">
        <v>1632</v>
      </c>
      <c r="L9444" t="s">
        <v>6033</v>
      </c>
      <c r="M9444" t="s">
        <v>1629</v>
      </c>
      <c r="N9444">
        <v>37.520000000000003</v>
      </c>
      <c r="O9444" s="49">
        <v>44700</v>
      </c>
      <c r="P9444" s="50">
        <v>191.94300000000001</v>
      </c>
    </row>
    <row r="9445" spans="4:16" x14ac:dyDescent="0.2">
      <c r="D9445">
        <v>100005638</v>
      </c>
      <c r="E9445" s="49">
        <v>44310</v>
      </c>
      <c r="F9445" t="s">
        <v>6124</v>
      </c>
      <c r="G9445" t="s">
        <v>1794</v>
      </c>
      <c r="H9445">
        <v>6</v>
      </c>
      <c r="I9445">
        <v>81.06</v>
      </c>
      <c r="J9445" s="50">
        <v>486.36</v>
      </c>
      <c r="K9445" t="s">
        <v>1632</v>
      </c>
      <c r="L9445" t="s">
        <v>6033</v>
      </c>
      <c r="M9445" t="s">
        <v>1627</v>
      </c>
      <c r="N9445">
        <v>42.78</v>
      </c>
      <c r="O9445" s="49">
        <v>44312</v>
      </c>
      <c r="P9445" s="50">
        <v>218.86200000000002</v>
      </c>
    </row>
    <row r="9446" spans="4:16" x14ac:dyDescent="0.2">
      <c r="D9446">
        <v>100005638</v>
      </c>
      <c r="E9446" s="49">
        <v>45485</v>
      </c>
      <c r="F9446" t="s">
        <v>6124</v>
      </c>
      <c r="G9446" t="s">
        <v>1851</v>
      </c>
      <c r="H9446">
        <v>9</v>
      </c>
      <c r="I9446">
        <v>34.479999999999997</v>
      </c>
      <c r="J9446" s="50">
        <v>310.32</v>
      </c>
      <c r="K9446" t="s">
        <v>1632</v>
      </c>
      <c r="L9446" t="s">
        <v>6033</v>
      </c>
      <c r="M9446" t="s">
        <v>1621</v>
      </c>
      <c r="N9446">
        <v>18.2</v>
      </c>
      <c r="O9446" s="49">
        <v>45489</v>
      </c>
      <c r="P9446" s="50">
        <v>139.64400000000001</v>
      </c>
    </row>
    <row r="9447" spans="4:16" x14ac:dyDescent="0.2">
      <c r="D9447">
        <v>100005639</v>
      </c>
      <c r="E9447" s="49">
        <v>45324</v>
      </c>
      <c r="F9447" t="s">
        <v>6717</v>
      </c>
      <c r="G9447" t="s">
        <v>1924</v>
      </c>
      <c r="H9447">
        <v>3</v>
      </c>
      <c r="I9447">
        <v>92.84</v>
      </c>
      <c r="J9447" s="50">
        <v>278.52</v>
      </c>
      <c r="K9447" t="s">
        <v>1632</v>
      </c>
      <c r="L9447" t="s">
        <v>6718</v>
      </c>
      <c r="M9447" t="s">
        <v>1619</v>
      </c>
      <c r="N9447">
        <v>49</v>
      </c>
      <c r="O9447" s="49">
        <v>45327</v>
      </c>
      <c r="P9447" s="50">
        <v>125.33399999999999</v>
      </c>
    </row>
    <row r="9448" spans="4:16" x14ac:dyDescent="0.2">
      <c r="D9448">
        <v>100005639</v>
      </c>
      <c r="E9448" s="49">
        <v>44418</v>
      </c>
      <c r="F9448" t="s">
        <v>6717</v>
      </c>
      <c r="G9448" t="s">
        <v>1752</v>
      </c>
      <c r="H9448">
        <v>7</v>
      </c>
      <c r="I9448">
        <v>35.04</v>
      </c>
      <c r="J9448" s="50">
        <v>245.28</v>
      </c>
      <c r="K9448" t="s">
        <v>1632</v>
      </c>
      <c r="L9448" t="s">
        <v>6718</v>
      </c>
      <c r="M9448" t="s">
        <v>1621</v>
      </c>
      <c r="N9448">
        <v>18.489999999999998</v>
      </c>
      <c r="O9448" s="49">
        <v>44419</v>
      </c>
      <c r="P9448" s="50">
        <v>110.376</v>
      </c>
    </row>
    <row r="9449" spans="4:16" x14ac:dyDescent="0.2">
      <c r="D9449">
        <v>100005639</v>
      </c>
      <c r="E9449" s="49">
        <v>45107</v>
      </c>
      <c r="F9449" t="s">
        <v>6717</v>
      </c>
      <c r="G9449" t="s">
        <v>1728</v>
      </c>
      <c r="H9449">
        <v>1</v>
      </c>
      <c r="I9449">
        <v>69.430000000000007</v>
      </c>
      <c r="J9449" s="50">
        <v>69.430000000000007</v>
      </c>
      <c r="K9449" t="s">
        <v>1632</v>
      </c>
      <c r="L9449" t="s">
        <v>6718</v>
      </c>
      <c r="M9449" t="s">
        <v>1624</v>
      </c>
      <c r="N9449">
        <v>36.64</v>
      </c>
      <c r="O9449" s="49">
        <v>45108</v>
      </c>
      <c r="P9449" s="50">
        <v>31.243500000000004</v>
      </c>
    </row>
    <row r="9450" spans="4:16" x14ac:dyDescent="0.2">
      <c r="D9450">
        <v>100005640</v>
      </c>
      <c r="E9450" s="49">
        <v>44360</v>
      </c>
      <c r="F9450" t="s">
        <v>6719</v>
      </c>
      <c r="G9450" t="s">
        <v>1672</v>
      </c>
      <c r="H9450">
        <v>5</v>
      </c>
      <c r="I9450">
        <v>47.78</v>
      </c>
      <c r="J9450" s="50">
        <v>238.9</v>
      </c>
      <c r="K9450" t="s">
        <v>1618</v>
      </c>
      <c r="M9450" t="s">
        <v>1621</v>
      </c>
      <c r="N9450">
        <v>25.22</v>
      </c>
      <c r="O9450" s="49">
        <v>44364</v>
      </c>
      <c r="P9450" s="50">
        <v>107.50500000000001</v>
      </c>
    </row>
    <row r="9451" spans="4:16" x14ac:dyDescent="0.2">
      <c r="D9451">
        <v>100005640</v>
      </c>
      <c r="E9451" s="49">
        <v>45249</v>
      </c>
      <c r="F9451" t="s">
        <v>6719</v>
      </c>
      <c r="G9451" t="s">
        <v>2706</v>
      </c>
      <c r="H9451">
        <v>7</v>
      </c>
      <c r="I9451">
        <v>10.58</v>
      </c>
      <c r="J9451" s="50">
        <v>74.06</v>
      </c>
      <c r="K9451" t="s">
        <v>1618</v>
      </c>
      <c r="M9451" t="s">
        <v>1621</v>
      </c>
      <c r="N9451">
        <v>5.58</v>
      </c>
      <c r="O9451" s="49">
        <v>45251</v>
      </c>
      <c r="P9451" s="50">
        <v>33.327000000000005</v>
      </c>
    </row>
    <row r="9452" spans="4:16" x14ac:dyDescent="0.2">
      <c r="D9452">
        <v>100005640</v>
      </c>
      <c r="E9452" s="49">
        <v>44221</v>
      </c>
      <c r="F9452" t="s">
        <v>6719</v>
      </c>
      <c r="G9452" t="s">
        <v>2261</v>
      </c>
      <c r="H9452">
        <v>3</v>
      </c>
      <c r="I9452">
        <v>40.18</v>
      </c>
      <c r="J9452" s="50">
        <v>120.54</v>
      </c>
      <c r="K9452" t="s">
        <v>1618</v>
      </c>
      <c r="M9452" t="s">
        <v>1629</v>
      </c>
      <c r="N9452">
        <v>21.21</v>
      </c>
      <c r="O9452" s="49">
        <v>44223</v>
      </c>
      <c r="P9452" s="50">
        <v>54.243000000000002</v>
      </c>
    </row>
    <row r="9453" spans="4:16" x14ac:dyDescent="0.2">
      <c r="D9453">
        <v>100005641</v>
      </c>
      <c r="E9453" s="49">
        <v>45151</v>
      </c>
      <c r="F9453" t="s">
        <v>4149</v>
      </c>
      <c r="G9453" t="s">
        <v>2692</v>
      </c>
      <c r="H9453">
        <v>3</v>
      </c>
      <c r="I9453">
        <v>11.6</v>
      </c>
      <c r="J9453" s="50">
        <v>34.799999999999997</v>
      </c>
      <c r="K9453" t="s">
        <v>1618</v>
      </c>
      <c r="M9453" t="s">
        <v>1624</v>
      </c>
      <c r="N9453">
        <v>6.12</v>
      </c>
      <c r="O9453" s="49">
        <v>45153</v>
      </c>
      <c r="P9453" s="50">
        <v>15.659999999999998</v>
      </c>
    </row>
    <row r="9454" spans="4:16" x14ac:dyDescent="0.2">
      <c r="D9454">
        <v>100005641</v>
      </c>
      <c r="E9454" s="49">
        <v>45638</v>
      </c>
      <c r="F9454" t="s">
        <v>4149</v>
      </c>
      <c r="G9454" t="s">
        <v>1672</v>
      </c>
      <c r="H9454">
        <v>3</v>
      </c>
      <c r="I9454">
        <v>54.83</v>
      </c>
      <c r="J9454" s="50">
        <v>164.49</v>
      </c>
      <c r="K9454" t="s">
        <v>1618</v>
      </c>
      <c r="M9454" t="s">
        <v>1621</v>
      </c>
      <c r="N9454">
        <v>28.94</v>
      </c>
      <c r="O9454" s="49">
        <v>45641</v>
      </c>
      <c r="P9454" s="50">
        <v>74.020500000000013</v>
      </c>
    </row>
    <row r="9455" spans="4:16" x14ac:dyDescent="0.2">
      <c r="D9455">
        <v>100005643</v>
      </c>
      <c r="E9455" s="49">
        <v>44517</v>
      </c>
      <c r="F9455" t="s">
        <v>6720</v>
      </c>
      <c r="G9455" t="s">
        <v>2159</v>
      </c>
      <c r="H9455">
        <v>7</v>
      </c>
      <c r="I9455">
        <v>43.55</v>
      </c>
      <c r="J9455" s="50">
        <v>304.85000000000002</v>
      </c>
      <c r="K9455" t="s">
        <v>1632</v>
      </c>
      <c r="M9455" t="s">
        <v>1629</v>
      </c>
      <c r="N9455">
        <v>22.98</v>
      </c>
      <c r="O9455" s="49">
        <v>44519</v>
      </c>
      <c r="P9455" s="50">
        <v>137.1825</v>
      </c>
    </row>
    <row r="9456" spans="4:16" x14ac:dyDescent="0.2">
      <c r="D9456">
        <v>100005643</v>
      </c>
      <c r="E9456" s="49">
        <v>44474</v>
      </c>
      <c r="F9456" t="s">
        <v>6720</v>
      </c>
      <c r="G9456" t="s">
        <v>2550</v>
      </c>
      <c r="H9456">
        <v>5</v>
      </c>
      <c r="I9456">
        <v>22.99</v>
      </c>
      <c r="J9456" s="50">
        <v>114.95</v>
      </c>
      <c r="K9456" t="s">
        <v>1632</v>
      </c>
      <c r="M9456" t="s">
        <v>1629</v>
      </c>
      <c r="N9456">
        <v>12.13</v>
      </c>
      <c r="O9456" s="49">
        <v>44476</v>
      </c>
      <c r="P9456" s="50">
        <v>51.727499999999999</v>
      </c>
    </row>
    <row r="9457" spans="4:16" x14ac:dyDescent="0.2">
      <c r="D9457">
        <v>100005644</v>
      </c>
      <c r="E9457" s="49">
        <v>44905</v>
      </c>
      <c r="F9457" t="s">
        <v>6721</v>
      </c>
      <c r="G9457" t="s">
        <v>1696</v>
      </c>
      <c r="H9457">
        <v>2</v>
      </c>
      <c r="I9457">
        <v>81.63</v>
      </c>
      <c r="J9457" s="50">
        <v>163.26</v>
      </c>
      <c r="K9457" t="s">
        <v>1618</v>
      </c>
      <c r="M9457" t="s">
        <v>1624</v>
      </c>
      <c r="N9457">
        <v>43.08</v>
      </c>
      <c r="O9457" s="49">
        <v>44908</v>
      </c>
      <c r="P9457" s="50">
        <v>73.466999999999999</v>
      </c>
    </row>
    <row r="9458" spans="4:16" x14ac:dyDescent="0.2">
      <c r="D9458">
        <v>100005644</v>
      </c>
      <c r="E9458" s="49">
        <v>45179</v>
      </c>
      <c r="F9458" t="s">
        <v>6721</v>
      </c>
      <c r="G9458" t="s">
        <v>2204</v>
      </c>
      <c r="H9458">
        <v>9</v>
      </c>
      <c r="I9458">
        <v>103.32</v>
      </c>
      <c r="J9458" s="50">
        <v>929.87999999999988</v>
      </c>
      <c r="K9458" t="s">
        <v>1618</v>
      </c>
      <c r="M9458" t="s">
        <v>1627</v>
      </c>
      <c r="N9458">
        <v>54.53</v>
      </c>
      <c r="O9458" s="49">
        <v>45183</v>
      </c>
      <c r="P9458" s="50">
        <v>418.44599999999997</v>
      </c>
    </row>
    <row r="9459" spans="4:16" x14ac:dyDescent="0.2">
      <c r="D9459">
        <v>100005644</v>
      </c>
      <c r="E9459" s="49">
        <v>44820</v>
      </c>
      <c r="F9459" t="s">
        <v>6721</v>
      </c>
      <c r="G9459" t="s">
        <v>1748</v>
      </c>
      <c r="H9459">
        <v>7</v>
      </c>
      <c r="I9459">
        <v>15.54</v>
      </c>
      <c r="J9459" s="50">
        <v>108.78</v>
      </c>
      <c r="K9459" t="s">
        <v>1618</v>
      </c>
      <c r="M9459" t="s">
        <v>1629</v>
      </c>
      <c r="N9459">
        <v>8.1999999999999993</v>
      </c>
      <c r="O9459" s="49">
        <v>44824</v>
      </c>
      <c r="P9459" s="50">
        <v>48.951000000000001</v>
      </c>
    </row>
    <row r="9460" spans="4:16" x14ac:dyDescent="0.2">
      <c r="D9460">
        <v>100005644</v>
      </c>
      <c r="E9460" s="49">
        <v>45032</v>
      </c>
      <c r="F9460" t="s">
        <v>6721</v>
      </c>
      <c r="G9460" t="s">
        <v>1857</v>
      </c>
      <c r="H9460">
        <v>10</v>
      </c>
      <c r="I9460">
        <v>53.72</v>
      </c>
      <c r="J9460" s="50">
        <v>537.20000000000005</v>
      </c>
      <c r="K9460" t="s">
        <v>1618</v>
      </c>
      <c r="M9460" t="s">
        <v>1624</v>
      </c>
      <c r="N9460">
        <v>28.35</v>
      </c>
      <c r="O9460" s="49">
        <v>45036</v>
      </c>
      <c r="P9460" s="50">
        <v>241.74000000000004</v>
      </c>
    </row>
    <row r="9461" spans="4:16" x14ac:dyDescent="0.2">
      <c r="D9461">
        <v>100005645</v>
      </c>
      <c r="E9461" s="49">
        <v>44775</v>
      </c>
      <c r="F9461" t="s">
        <v>6722</v>
      </c>
      <c r="G9461" t="s">
        <v>1681</v>
      </c>
      <c r="H9461">
        <v>5</v>
      </c>
      <c r="I9461">
        <v>115.88</v>
      </c>
      <c r="J9461" s="50">
        <v>579.4</v>
      </c>
      <c r="K9461" t="s">
        <v>1618</v>
      </c>
      <c r="M9461" t="s">
        <v>1629</v>
      </c>
      <c r="N9461">
        <v>61.16</v>
      </c>
      <c r="O9461" s="49">
        <v>44780</v>
      </c>
      <c r="P9461" s="50">
        <v>260.73</v>
      </c>
    </row>
    <row r="9462" spans="4:16" x14ac:dyDescent="0.2">
      <c r="D9462">
        <v>100005645</v>
      </c>
      <c r="E9462" s="49">
        <v>45223</v>
      </c>
      <c r="F9462" t="s">
        <v>6722</v>
      </c>
      <c r="G9462" t="s">
        <v>1648</v>
      </c>
      <c r="H9462">
        <v>2</v>
      </c>
      <c r="I9462">
        <v>109.3</v>
      </c>
      <c r="J9462" s="50">
        <v>218.6</v>
      </c>
      <c r="K9462" t="s">
        <v>1618</v>
      </c>
      <c r="M9462" t="s">
        <v>1629</v>
      </c>
      <c r="N9462">
        <v>57.69</v>
      </c>
      <c r="O9462" s="49">
        <v>45228</v>
      </c>
      <c r="P9462" s="50">
        <v>98.37</v>
      </c>
    </row>
    <row r="9463" spans="4:16" x14ac:dyDescent="0.2">
      <c r="D9463">
        <v>100005645</v>
      </c>
      <c r="E9463" s="49">
        <v>44796</v>
      </c>
      <c r="F9463" t="s">
        <v>6722</v>
      </c>
      <c r="G9463" t="s">
        <v>2202</v>
      </c>
      <c r="H9463">
        <v>1</v>
      </c>
      <c r="I9463">
        <v>89.15</v>
      </c>
      <c r="J9463" s="50">
        <v>89.15</v>
      </c>
      <c r="K9463" t="s">
        <v>1618</v>
      </c>
      <c r="M9463" t="s">
        <v>1624</v>
      </c>
      <c r="N9463">
        <v>47.05</v>
      </c>
      <c r="O9463" s="49">
        <v>44797</v>
      </c>
      <c r="P9463" s="50">
        <v>40.117500000000007</v>
      </c>
    </row>
    <row r="9464" spans="4:16" x14ac:dyDescent="0.2">
      <c r="D9464">
        <v>100005646</v>
      </c>
      <c r="E9464" s="49">
        <v>45067</v>
      </c>
      <c r="F9464" t="s">
        <v>6723</v>
      </c>
      <c r="G9464" t="s">
        <v>1687</v>
      </c>
      <c r="H9464">
        <v>2</v>
      </c>
      <c r="I9464">
        <v>11.78</v>
      </c>
      <c r="J9464" s="50">
        <v>23.56</v>
      </c>
      <c r="K9464" t="s">
        <v>1632</v>
      </c>
      <c r="M9464" t="s">
        <v>1619</v>
      </c>
      <c r="N9464">
        <v>6.22</v>
      </c>
      <c r="O9464" s="49">
        <v>45068</v>
      </c>
      <c r="P9464" s="50">
        <v>10.602</v>
      </c>
    </row>
    <row r="9465" spans="4:16" x14ac:dyDescent="0.2">
      <c r="D9465">
        <v>100005647</v>
      </c>
      <c r="E9465" s="49">
        <v>44311</v>
      </c>
      <c r="F9465" t="s">
        <v>6724</v>
      </c>
      <c r="G9465" t="s">
        <v>2028</v>
      </c>
      <c r="H9465">
        <v>6</v>
      </c>
      <c r="I9465">
        <v>27.42</v>
      </c>
      <c r="J9465" s="50">
        <v>164.52</v>
      </c>
      <c r="K9465" t="s">
        <v>1632</v>
      </c>
      <c r="M9465" t="s">
        <v>1629</v>
      </c>
      <c r="N9465">
        <v>14.47</v>
      </c>
      <c r="O9465" s="49">
        <v>44315</v>
      </c>
      <c r="P9465" s="50">
        <v>74.034000000000006</v>
      </c>
    </row>
    <row r="9466" spans="4:16" x14ac:dyDescent="0.2">
      <c r="D9466">
        <v>100005647</v>
      </c>
      <c r="E9466" s="49">
        <v>45153</v>
      </c>
      <c r="F9466" t="s">
        <v>6724</v>
      </c>
      <c r="G9466" t="s">
        <v>2198</v>
      </c>
      <c r="H9466">
        <v>8</v>
      </c>
      <c r="I9466">
        <v>110.94</v>
      </c>
      <c r="J9466" s="50">
        <v>887.52</v>
      </c>
      <c r="K9466" t="s">
        <v>1632</v>
      </c>
      <c r="M9466" t="s">
        <v>1624</v>
      </c>
      <c r="N9466">
        <v>58.55</v>
      </c>
      <c r="O9466" s="49">
        <v>45155</v>
      </c>
      <c r="P9466" s="50">
        <v>399.38400000000001</v>
      </c>
    </row>
    <row r="9467" spans="4:16" x14ac:dyDescent="0.2">
      <c r="D9467">
        <v>100005648</v>
      </c>
      <c r="E9467" s="49">
        <v>44803</v>
      </c>
      <c r="F9467" t="s">
        <v>6725</v>
      </c>
      <c r="G9467" t="s">
        <v>2163</v>
      </c>
      <c r="H9467">
        <v>2</v>
      </c>
      <c r="I9467">
        <v>88.1</v>
      </c>
      <c r="J9467" s="50">
        <v>176.2</v>
      </c>
      <c r="K9467" t="s">
        <v>1618</v>
      </c>
      <c r="L9467" t="s">
        <v>4860</v>
      </c>
      <c r="M9467" t="s">
        <v>1619</v>
      </c>
      <c r="N9467">
        <v>46.5</v>
      </c>
      <c r="O9467" s="49">
        <v>44804</v>
      </c>
      <c r="P9467" s="50">
        <v>79.289999999999992</v>
      </c>
    </row>
    <row r="9468" spans="4:16" x14ac:dyDescent="0.2">
      <c r="D9468">
        <v>100005650</v>
      </c>
      <c r="E9468" s="49">
        <v>44795</v>
      </c>
      <c r="F9468" t="s">
        <v>6726</v>
      </c>
      <c r="G9468" t="s">
        <v>1665</v>
      </c>
      <c r="H9468">
        <v>3</v>
      </c>
      <c r="I9468">
        <v>100.83</v>
      </c>
      <c r="J9468" s="50">
        <v>302.49</v>
      </c>
      <c r="K9468" t="s">
        <v>1632</v>
      </c>
      <c r="L9468" t="s">
        <v>2327</v>
      </c>
      <c r="M9468" t="s">
        <v>1629</v>
      </c>
      <c r="N9468">
        <v>53.22</v>
      </c>
      <c r="O9468" s="49">
        <v>44798</v>
      </c>
      <c r="P9468" s="50">
        <v>136.12050000000002</v>
      </c>
    </row>
    <row r="9469" spans="4:16" x14ac:dyDescent="0.2">
      <c r="D9469">
        <v>100005650</v>
      </c>
      <c r="E9469" s="49">
        <v>44409</v>
      </c>
      <c r="F9469" t="s">
        <v>6726</v>
      </c>
      <c r="G9469" t="s">
        <v>2263</v>
      </c>
      <c r="H9469">
        <v>10</v>
      </c>
      <c r="I9469">
        <v>74.3</v>
      </c>
      <c r="J9469" s="50">
        <v>743</v>
      </c>
      <c r="K9469" t="s">
        <v>1632</v>
      </c>
      <c r="L9469" t="s">
        <v>2327</v>
      </c>
      <c r="M9469" t="s">
        <v>1624</v>
      </c>
      <c r="N9469">
        <v>39.21</v>
      </c>
      <c r="O9469" s="49">
        <v>44411</v>
      </c>
      <c r="P9469" s="50">
        <v>334.35</v>
      </c>
    </row>
    <row r="9470" spans="4:16" x14ac:dyDescent="0.2">
      <c r="D9470">
        <v>100005650</v>
      </c>
      <c r="E9470" s="49">
        <v>44727</v>
      </c>
      <c r="F9470" t="s">
        <v>6726</v>
      </c>
      <c r="G9470" t="s">
        <v>2041</v>
      </c>
      <c r="H9470">
        <v>7</v>
      </c>
      <c r="I9470">
        <v>73.61</v>
      </c>
      <c r="J9470" s="50">
        <v>515.27</v>
      </c>
      <c r="K9470" t="s">
        <v>1632</v>
      </c>
      <c r="L9470" t="s">
        <v>2327</v>
      </c>
      <c r="M9470" t="s">
        <v>1621</v>
      </c>
      <c r="N9470">
        <v>38.85</v>
      </c>
      <c r="O9470" s="49">
        <v>44728</v>
      </c>
      <c r="P9470" s="50">
        <v>231.8715</v>
      </c>
    </row>
    <row r="9471" spans="4:16" x14ac:dyDescent="0.2">
      <c r="D9471">
        <v>100005650</v>
      </c>
      <c r="E9471" s="49">
        <v>45019</v>
      </c>
      <c r="F9471" t="s">
        <v>6726</v>
      </c>
      <c r="G9471" t="s">
        <v>1740</v>
      </c>
      <c r="H9471">
        <v>2</v>
      </c>
      <c r="I9471">
        <v>99.98</v>
      </c>
      <c r="J9471" s="50">
        <v>199.96</v>
      </c>
      <c r="K9471" t="s">
        <v>1632</v>
      </c>
      <c r="L9471" t="s">
        <v>2327</v>
      </c>
      <c r="M9471" t="s">
        <v>1621</v>
      </c>
      <c r="N9471">
        <v>52.77</v>
      </c>
      <c r="O9471" s="49">
        <v>45021</v>
      </c>
      <c r="P9471" s="50">
        <v>89.981999999999999</v>
      </c>
    </row>
    <row r="9472" spans="4:16" x14ac:dyDescent="0.2">
      <c r="D9472">
        <v>100005651</v>
      </c>
      <c r="E9472" s="49">
        <v>44601</v>
      </c>
      <c r="F9472" t="s">
        <v>6727</v>
      </c>
      <c r="G9472" t="s">
        <v>1976</v>
      </c>
      <c r="H9472">
        <v>8</v>
      </c>
      <c r="I9472">
        <v>62.15</v>
      </c>
      <c r="J9472" s="50">
        <v>497.2</v>
      </c>
      <c r="K9472" t="s">
        <v>1632</v>
      </c>
      <c r="L9472" t="s">
        <v>6043</v>
      </c>
      <c r="M9472" t="s">
        <v>1629</v>
      </c>
      <c r="N9472">
        <v>32.799999999999997</v>
      </c>
      <c r="O9472" s="49">
        <v>44603</v>
      </c>
      <c r="P9472" s="50">
        <v>223.74</v>
      </c>
    </row>
    <row r="9473" spans="4:16" x14ac:dyDescent="0.2">
      <c r="D9473">
        <v>100005651</v>
      </c>
      <c r="E9473" s="49">
        <v>45483</v>
      </c>
      <c r="F9473" t="s">
        <v>6727</v>
      </c>
      <c r="G9473" t="s">
        <v>2393</v>
      </c>
      <c r="H9473">
        <v>7</v>
      </c>
      <c r="I9473">
        <v>80.42</v>
      </c>
      <c r="J9473" s="50">
        <v>562.94000000000005</v>
      </c>
      <c r="K9473" t="s">
        <v>1632</v>
      </c>
      <c r="L9473" t="s">
        <v>6043</v>
      </c>
      <c r="M9473" t="s">
        <v>1627</v>
      </c>
      <c r="N9473">
        <v>42.44</v>
      </c>
      <c r="O9473" s="49">
        <v>45484</v>
      </c>
      <c r="P9473" s="50">
        <v>253.32300000000004</v>
      </c>
    </row>
    <row r="9474" spans="4:16" x14ac:dyDescent="0.2">
      <c r="D9474">
        <v>100005651</v>
      </c>
      <c r="E9474" s="49">
        <v>45308</v>
      </c>
      <c r="F9474" t="s">
        <v>6727</v>
      </c>
      <c r="G9474" t="s">
        <v>1767</v>
      </c>
      <c r="H9474">
        <v>6</v>
      </c>
      <c r="I9474">
        <v>54.78</v>
      </c>
      <c r="J9474" s="50">
        <v>328.68</v>
      </c>
      <c r="K9474" t="s">
        <v>1632</v>
      </c>
      <c r="L9474" t="s">
        <v>6043</v>
      </c>
      <c r="M9474" t="s">
        <v>1624</v>
      </c>
      <c r="N9474">
        <v>28.91</v>
      </c>
      <c r="O9474" s="49">
        <v>45312</v>
      </c>
      <c r="P9474" s="50">
        <v>147.90600000000001</v>
      </c>
    </row>
    <row r="9475" spans="4:16" x14ac:dyDescent="0.2">
      <c r="D9475">
        <v>100005651</v>
      </c>
      <c r="E9475" s="49">
        <v>44809</v>
      </c>
      <c r="F9475" t="s">
        <v>6727</v>
      </c>
      <c r="G9475" t="s">
        <v>2745</v>
      </c>
      <c r="H9475">
        <v>10</v>
      </c>
      <c r="I9475">
        <v>81</v>
      </c>
      <c r="J9475" s="50">
        <v>810</v>
      </c>
      <c r="K9475" t="s">
        <v>1632</v>
      </c>
      <c r="L9475" t="s">
        <v>6043</v>
      </c>
      <c r="M9475" t="s">
        <v>1624</v>
      </c>
      <c r="N9475">
        <v>42.75</v>
      </c>
      <c r="O9475" s="49">
        <v>44813</v>
      </c>
      <c r="P9475" s="50">
        <v>364.5</v>
      </c>
    </row>
    <row r="9476" spans="4:16" x14ac:dyDescent="0.2">
      <c r="D9476">
        <v>100005651</v>
      </c>
      <c r="E9476" s="49">
        <v>45059</v>
      </c>
      <c r="F9476" t="s">
        <v>6727</v>
      </c>
      <c r="G9476" t="s">
        <v>1902</v>
      </c>
      <c r="H9476">
        <v>4</v>
      </c>
      <c r="I9476">
        <v>108.25</v>
      </c>
      <c r="J9476" s="50">
        <v>433</v>
      </c>
      <c r="K9476" t="s">
        <v>1632</v>
      </c>
      <c r="L9476" t="s">
        <v>6043</v>
      </c>
      <c r="M9476" t="s">
        <v>1624</v>
      </c>
      <c r="N9476">
        <v>57.13</v>
      </c>
      <c r="O9476" s="49">
        <v>45064</v>
      </c>
      <c r="P9476" s="50">
        <v>194.85</v>
      </c>
    </row>
    <row r="9477" spans="4:16" x14ac:dyDescent="0.2">
      <c r="D9477">
        <v>100005652</v>
      </c>
      <c r="E9477" s="49">
        <v>44887</v>
      </c>
      <c r="F9477" t="s">
        <v>6728</v>
      </c>
      <c r="G9477" t="s">
        <v>2007</v>
      </c>
      <c r="H9477">
        <v>3</v>
      </c>
      <c r="I9477">
        <v>23.47</v>
      </c>
      <c r="J9477" s="50">
        <v>70.41</v>
      </c>
      <c r="K9477" t="s">
        <v>1632</v>
      </c>
      <c r="M9477" t="s">
        <v>1621</v>
      </c>
      <c r="N9477">
        <v>12.39</v>
      </c>
      <c r="O9477" s="49">
        <v>44890</v>
      </c>
      <c r="P9477" s="50">
        <v>31.6845</v>
      </c>
    </row>
    <row r="9478" spans="4:16" x14ac:dyDescent="0.2">
      <c r="D9478">
        <v>100005653</v>
      </c>
      <c r="E9478" s="49">
        <v>45037</v>
      </c>
      <c r="F9478" t="s">
        <v>6729</v>
      </c>
      <c r="G9478" t="s">
        <v>2050</v>
      </c>
      <c r="H9478">
        <v>2</v>
      </c>
      <c r="I9478">
        <v>58.94</v>
      </c>
      <c r="J9478" s="50">
        <v>117.88</v>
      </c>
      <c r="K9478" t="s">
        <v>1618</v>
      </c>
      <c r="M9478" t="s">
        <v>1624</v>
      </c>
      <c r="N9478">
        <v>31.11</v>
      </c>
      <c r="O9478" s="49">
        <v>45039</v>
      </c>
      <c r="P9478" s="50">
        <v>53.045999999999999</v>
      </c>
    </row>
    <row r="9479" spans="4:16" x14ac:dyDescent="0.2">
      <c r="D9479">
        <v>100005654</v>
      </c>
      <c r="E9479" s="49">
        <v>45319</v>
      </c>
      <c r="F9479" t="s">
        <v>6730</v>
      </c>
      <c r="G9479" t="s">
        <v>2064</v>
      </c>
      <c r="H9479">
        <v>6</v>
      </c>
      <c r="I9479">
        <v>46</v>
      </c>
      <c r="J9479" s="50">
        <v>276</v>
      </c>
      <c r="K9479" t="s">
        <v>1632</v>
      </c>
      <c r="M9479" t="s">
        <v>1621</v>
      </c>
      <c r="N9479">
        <v>24.28</v>
      </c>
      <c r="O9479" s="49">
        <v>45323</v>
      </c>
      <c r="P9479" s="50">
        <v>124.2</v>
      </c>
    </row>
    <row r="9480" spans="4:16" x14ac:dyDescent="0.2">
      <c r="D9480">
        <v>100005656</v>
      </c>
      <c r="E9480" s="49">
        <v>44448</v>
      </c>
      <c r="F9480" t="s">
        <v>6731</v>
      </c>
      <c r="G9480" t="s">
        <v>1999</v>
      </c>
      <c r="H9480">
        <v>7</v>
      </c>
      <c r="I9480">
        <v>104.26</v>
      </c>
      <c r="J9480" s="50">
        <v>729.82</v>
      </c>
      <c r="K9480" t="s">
        <v>1632</v>
      </c>
      <c r="M9480" t="s">
        <v>1629</v>
      </c>
      <c r="N9480">
        <v>55.03</v>
      </c>
      <c r="O9480" s="49">
        <v>44450</v>
      </c>
      <c r="P9480" s="50">
        <v>328.41900000000004</v>
      </c>
    </row>
    <row r="9481" spans="4:16" x14ac:dyDescent="0.2">
      <c r="D9481">
        <v>100005656</v>
      </c>
      <c r="E9481" s="49">
        <v>45399</v>
      </c>
      <c r="F9481" t="s">
        <v>6731</v>
      </c>
      <c r="G9481" t="s">
        <v>2202</v>
      </c>
      <c r="H9481">
        <v>1</v>
      </c>
      <c r="I9481">
        <v>95.06</v>
      </c>
      <c r="J9481" s="50">
        <v>95.06</v>
      </c>
      <c r="K9481" t="s">
        <v>1632</v>
      </c>
      <c r="M9481" t="s">
        <v>1624</v>
      </c>
      <c r="N9481">
        <v>50.17</v>
      </c>
      <c r="O9481" s="49">
        <v>45401</v>
      </c>
      <c r="P9481" s="50">
        <v>42.777000000000001</v>
      </c>
    </row>
    <row r="9482" spans="4:16" x14ac:dyDescent="0.2">
      <c r="D9482">
        <v>100005657</v>
      </c>
      <c r="E9482" s="49">
        <v>44939</v>
      </c>
      <c r="F9482" t="s">
        <v>6732</v>
      </c>
      <c r="G9482" t="s">
        <v>1792</v>
      </c>
      <c r="H9482">
        <v>4</v>
      </c>
      <c r="I9482">
        <v>112.17</v>
      </c>
      <c r="J9482" s="50">
        <v>448.68</v>
      </c>
      <c r="K9482" t="s">
        <v>1618</v>
      </c>
      <c r="M9482" t="s">
        <v>1629</v>
      </c>
      <c r="N9482">
        <v>59.2</v>
      </c>
      <c r="O9482" s="49">
        <v>44944</v>
      </c>
      <c r="P9482" s="50">
        <v>201.90600000000001</v>
      </c>
    </row>
    <row r="9483" spans="4:16" x14ac:dyDescent="0.2">
      <c r="D9483">
        <v>100005657</v>
      </c>
      <c r="E9483" s="49">
        <v>44905</v>
      </c>
      <c r="F9483" t="s">
        <v>6732</v>
      </c>
      <c r="G9483" t="s">
        <v>2088</v>
      </c>
      <c r="H9483">
        <v>3</v>
      </c>
      <c r="I9483">
        <v>40.299999999999997</v>
      </c>
      <c r="J9483" s="50">
        <v>120.9</v>
      </c>
      <c r="K9483" t="s">
        <v>1618</v>
      </c>
      <c r="M9483" t="s">
        <v>1629</v>
      </c>
      <c r="N9483">
        <v>21.27</v>
      </c>
      <c r="O9483" s="49">
        <v>44908</v>
      </c>
      <c r="P9483" s="50">
        <v>54.405000000000001</v>
      </c>
    </row>
    <row r="9484" spans="4:16" x14ac:dyDescent="0.2">
      <c r="D9484">
        <v>100005657</v>
      </c>
      <c r="E9484" s="49">
        <v>44914</v>
      </c>
      <c r="F9484" t="s">
        <v>6732</v>
      </c>
      <c r="G9484" t="s">
        <v>1749</v>
      </c>
      <c r="H9484">
        <v>5</v>
      </c>
      <c r="I9484">
        <v>81.430000000000007</v>
      </c>
      <c r="J9484" s="50">
        <v>407.15</v>
      </c>
      <c r="K9484" t="s">
        <v>1618</v>
      </c>
      <c r="M9484" t="s">
        <v>1619</v>
      </c>
      <c r="N9484">
        <v>42.98</v>
      </c>
      <c r="O9484" s="49">
        <v>44917</v>
      </c>
      <c r="P9484" s="50">
        <v>183.2175</v>
      </c>
    </row>
    <row r="9485" spans="4:16" x14ac:dyDescent="0.2">
      <c r="D9485">
        <v>100005657</v>
      </c>
      <c r="E9485" s="49">
        <v>44413</v>
      </c>
      <c r="F9485" t="s">
        <v>6732</v>
      </c>
      <c r="G9485" t="s">
        <v>1715</v>
      </c>
      <c r="H9485">
        <v>5</v>
      </c>
      <c r="I9485">
        <v>12.78</v>
      </c>
      <c r="J9485" s="50">
        <v>63.9</v>
      </c>
      <c r="K9485" t="s">
        <v>1618</v>
      </c>
      <c r="M9485" t="s">
        <v>1619</v>
      </c>
      <c r="N9485">
        <v>6.74</v>
      </c>
      <c r="O9485" s="49">
        <v>44414</v>
      </c>
      <c r="P9485" s="50">
        <v>28.754999999999999</v>
      </c>
    </row>
    <row r="9486" spans="4:16" x14ac:dyDescent="0.2">
      <c r="D9486">
        <v>100005657</v>
      </c>
      <c r="E9486" s="49">
        <v>45415</v>
      </c>
      <c r="F9486" t="s">
        <v>6732</v>
      </c>
      <c r="G9486" t="s">
        <v>1723</v>
      </c>
      <c r="H9486">
        <v>4</v>
      </c>
      <c r="I9486">
        <v>101.71</v>
      </c>
      <c r="J9486" s="50">
        <v>406.84</v>
      </c>
      <c r="K9486" t="s">
        <v>1618</v>
      </c>
      <c r="M9486" t="s">
        <v>1619</v>
      </c>
      <c r="N9486">
        <v>53.68</v>
      </c>
      <c r="O9486" s="49">
        <v>45420</v>
      </c>
      <c r="P9486" s="50">
        <v>183.078</v>
      </c>
    </row>
    <row r="9487" spans="4:16" x14ac:dyDescent="0.2">
      <c r="D9487">
        <v>100005657</v>
      </c>
      <c r="E9487" s="49">
        <v>44712</v>
      </c>
      <c r="F9487" t="s">
        <v>6732</v>
      </c>
      <c r="G9487" t="s">
        <v>2217</v>
      </c>
      <c r="H9487">
        <v>8</v>
      </c>
      <c r="I9487">
        <v>17.649999999999999</v>
      </c>
      <c r="J9487" s="50">
        <v>141.19999999999999</v>
      </c>
      <c r="K9487" t="s">
        <v>1618</v>
      </c>
      <c r="M9487" t="s">
        <v>1629</v>
      </c>
      <c r="N9487">
        <v>9.32</v>
      </c>
      <c r="O9487" s="49">
        <v>44714</v>
      </c>
      <c r="P9487" s="50">
        <v>63.54</v>
      </c>
    </row>
    <row r="9488" spans="4:16" x14ac:dyDescent="0.2">
      <c r="D9488">
        <v>100005657</v>
      </c>
      <c r="E9488" s="49">
        <v>44734</v>
      </c>
      <c r="F9488" t="s">
        <v>6732</v>
      </c>
      <c r="G9488" t="s">
        <v>1729</v>
      </c>
      <c r="H9488">
        <v>3</v>
      </c>
      <c r="I9488">
        <v>62.47</v>
      </c>
      <c r="J9488" s="50">
        <v>187.41</v>
      </c>
      <c r="K9488" t="s">
        <v>1618</v>
      </c>
      <c r="M9488" t="s">
        <v>1629</v>
      </c>
      <c r="N9488">
        <v>32.97</v>
      </c>
      <c r="O9488" s="49">
        <v>44737</v>
      </c>
      <c r="P9488" s="50">
        <v>84.334500000000006</v>
      </c>
    </row>
    <row r="9489" spans="4:16" x14ac:dyDescent="0.2">
      <c r="D9489">
        <v>100005657</v>
      </c>
      <c r="E9489" s="49">
        <v>44779</v>
      </c>
      <c r="F9489" t="s">
        <v>6732</v>
      </c>
      <c r="G9489" t="s">
        <v>1748</v>
      </c>
      <c r="H9489">
        <v>9</v>
      </c>
      <c r="I9489">
        <v>83.08</v>
      </c>
      <c r="J9489" s="50">
        <v>747.72</v>
      </c>
      <c r="K9489" t="s">
        <v>1618</v>
      </c>
      <c r="M9489" t="s">
        <v>1621</v>
      </c>
      <c r="N9489">
        <v>43.85</v>
      </c>
      <c r="O9489" s="49">
        <v>44781</v>
      </c>
      <c r="P9489" s="50">
        <v>336.47400000000005</v>
      </c>
    </row>
    <row r="9490" spans="4:16" x14ac:dyDescent="0.2">
      <c r="D9490">
        <v>100005657</v>
      </c>
      <c r="E9490" s="49">
        <v>45072</v>
      </c>
      <c r="F9490" t="s">
        <v>6732</v>
      </c>
      <c r="G9490" t="s">
        <v>1795</v>
      </c>
      <c r="H9490">
        <v>3</v>
      </c>
      <c r="I9490">
        <v>87.04</v>
      </c>
      <c r="J9490" s="50">
        <v>261.12</v>
      </c>
      <c r="K9490" t="s">
        <v>1618</v>
      </c>
      <c r="M9490" t="s">
        <v>1627</v>
      </c>
      <c r="N9490">
        <v>45.94</v>
      </c>
      <c r="O9490" s="49">
        <v>45073</v>
      </c>
      <c r="P9490" s="50">
        <v>117.504</v>
      </c>
    </row>
    <row r="9491" spans="4:16" x14ac:dyDescent="0.2">
      <c r="D9491">
        <v>100005657</v>
      </c>
      <c r="E9491" s="49">
        <v>44869</v>
      </c>
      <c r="F9491" t="s">
        <v>6732</v>
      </c>
      <c r="G9491" t="s">
        <v>1947</v>
      </c>
      <c r="H9491">
        <v>5</v>
      </c>
      <c r="I9491">
        <v>85.97</v>
      </c>
      <c r="J9491" s="50">
        <v>429.85</v>
      </c>
      <c r="K9491" t="s">
        <v>1618</v>
      </c>
      <c r="M9491" t="s">
        <v>1621</v>
      </c>
      <c r="N9491">
        <v>45.37</v>
      </c>
      <c r="O9491" s="49">
        <v>44874</v>
      </c>
      <c r="P9491" s="50">
        <v>193.4325</v>
      </c>
    </row>
    <row r="9492" spans="4:16" x14ac:dyDescent="0.2">
      <c r="D9492">
        <v>100005657</v>
      </c>
      <c r="E9492" s="49">
        <v>45638</v>
      </c>
      <c r="F9492" t="s">
        <v>6732</v>
      </c>
      <c r="G9492" t="s">
        <v>2343</v>
      </c>
      <c r="H9492">
        <v>6</v>
      </c>
      <c r="I9492">
        <v>57.96</v>
      </c>
      <c r="J9492" s="50">
        <v>347.76</v>
      </c>
      <c r="K9492" t="s">
        <v>1618</v>
      </c>
      <c r="M9492" t="s">
        <v>1627</v>
      </c>
      <c r="N9492">
        <v>30.59</v>
      </c>
      <c r="O9492" s="49">
        <v>45639</v>
      </c>
      <c r="P9492" s="50">
        <v>156.49199999999999</v>
      </c>
    </row>
    <row r="9493" spans="4:16" x14ac:dyDescent="0.2">
      <c r="D9493">
        <v>100005658</v>
      </c>
      <c r="E9493" s="49">
        <v>45335</v>
      </c>
      <c r="F9493" t="s">
        <v>6733</v>
      </c>
      <c r="G9493" t="s">
        <v>1710</v>
      </c>
      <c r="H9493">
        <v>9</v>
      </c>
      <c r="I9493">
        <v>105.35</v>
      </c>
      <c r="J9493" s="50">
        <v>948.15</v>
      </c>
      <c r="K9493" t="s">
        <v>1618</v>
      </c>
      <c r="M9493" t="s">
        <v>1621</v>
      </c>
      <c r="N9493">
        <v>55.6</v>
      </c>
      <c r="O9493" s="49">
        <v>45338</v>
      </c>
      <c r="P9493" s="50">
        <v>426.66750000000002</v>
      </c>
    </row>
    <row r="9494" spans="4:16" x14ac:dyDescent="0.2">
      <c r="D9494">
        <v>100005658</v>
      </c>
      <c r="E9494" s="49">
        <v>44917</v>
      </c>
      <c r="F9494" t="s">
        <v>6733</v>
      </c>
      <c r="G9494" t="s">
        <v>2514</v>
      </c>
      <c r="H9494">
        <v>3</v>
      </c>
      <c r="I9494">
        <v>43.1</v>
      </c>
      <c r="J9494" s="50">
        <v>129.30000000000001</v>
      </c>
      <c r="K9494" t="s">
        <v>1618</v>
      </c>
      <c r="M9494" t="s">
        <v>1619</v>
      </c>
      <c r="N9494">
        <v>22.75</v>
      </c>
      <c r="O9494" s="49">
        <v>44922</v>
      </c>
      <c r="P9494" s="50">
        <v>58.185000000000009</v>
      </c>
    </row>
    <row r="9495" spans="4:16" x14ac:dyDescent="0.2">
      <c r="D9495">
        <v>100005659</v>
      </c>
      <c r="E9495" s="49">
        <v>44450</v>
      </c>
      <c r="F9495" t="s">
        <v>5286</v>
      </c>
      <c r="G9495" t="s">
        <v>1859</v>
      </c>
      <c r="H9495">
        <v>3</v>
      </c>
      <c r="I9495">
        <v>14.89</v>
      </c>
      <c r="J9495" s="50">
        <v>44.67</v>
      </c>
      <c r="K9495" t="s">
        <v>1618</v>
      </c>
      <c r="M9495" t="s">
        <v>1619</v>
      </c>
      <c r="N9495">
        <v>7.86</v>
      </c>
      <c r="O9495" s="49">
        <v>44452</v>
      </c>
      <c r="P9495" s="50">
        <v>20.101500000000001</v>
      </c>
    </row>
    <row r="9496" spans="4:16" x14ac:dyDescent="0.2">
      <c r="D9496">
        <v>100005659</v>
      </c>
      <c r="E9496" s="49">
        <v>44755</v>
      </c>
      <c r="F9496" t="s">
        <v>5286</v>
      </c>
      <c r="G9496" t="s">
        <v>1846</v>
      </c>
      <c r="H9496">
        <v>5</v>
      </c>
      <c r="I9496">
        <v>51.17</v>
      </c>
      <c r="J9496" s="50">
        <v>255.85</v>
      </c>
      <c r="K9496" t="s">
        <v>1618</v>
      </c>
      <c r="M9496" t="s">
        <v>1624</v>
      </c>
      <c r="N9496">
        <v>27.01</v>
      </c>
      <c r="O9496" s="49">
        <v>44759</v>
      </c>
      <c r="P9496" s="50">
        <v>115.13249999999999</v>
      </c>
    </row>
    <row r="9497" spans="4:16" x14ac:dyDescent="0.2">
      <c r="D9497">
        <v>100005660</v>
      </c>
      <c r="E9497" s="49">
        <v>44497</v>
      </c>
      <c r="F9497" t="s">
        <v>6734</v>
      </c>
      <c r="G9497" t="s">
        <v>2041</v>
      </c>
      <c r="H9497">
        <v>4</v>
      </c>
      <c r="I9497">
        <v>35.340000000000003</v>
      </c>
      <c r="J9497" s="50">
        <v>141.36000000000001</v>
      </c>
      <c r="K9497" t="s">
        <v>1618</v>
      </c>
      <c r="M9497" t="s">
        <v>1629</v>
      </c>
      <c r="N9497">
        <v>18.649999999999999</v>
      </c>
      <c r="O9497" s="49">
        <v>44498</v>
      </c>
      <c r="P9497" s="50">
        <v>63.612000000000009</v>
      </c>
    </row>
    <row r="9498" spans="4:16" x14ac:dyDescent="0.2">
      <c r="D9498">
        <v>100005661</v>
      </c>
      <c r="E9498" s="49">
        <v>45542</v>
      </c>
      <c r="F9498" t="s">
        <v>6735</v>
      </c>
      <c r="G9498" t="s">
        <v>2357</v>
      </c>
      <c r="H9498">
        <v>4</v>
      </c>
      <c r="I9498">
        <v>97.74</v>
      </c>
      <c r="J9498" s="50">
        <v>390.96</v>
      </c>
      <c r="K9498" t="s">
        <v>1618</v>
      </c>
      <c r="M9498" t="s">
        <v>1619</v>
      </c>
      <c r="N9498">
        <v>51.58</v>
      </c>
      <c r="O9498" s="49">
        <v>45543</v>
      </c>
      <c r="P9498" s="50">
        <v>175.93199999999999</v>
      </c>
    </row>
    <row r="9499" spans="4:16" x14ac:dyDescent="0.2">
      <c r="D9499">
        <v>100005661</v>
      </c>
      <c r="E9499" s="49">
        <v>44201</v>
      </c>
      <c r="F9499" t="s">
        <v>6735</v>
      </c>
      <c r="G9499" t="s">
        <v>1722</v>
      </c>
      <c r="H9499">
        <v>5</v>
      </c>
      <c r="I9499">
        <v>15.07</v>
      </c>
      <c r="J9499" s="50">
        <v>75.349999999999994</v>
      </c>
      <c r="K9499" t="s">
        <v>1618</v>
      </c>
      <c r="M9499" t="s">
        <v>1624</v>
      </c>
      <c r="N9499">
        <v>7.95</v>
      </c>
      <c r="O9499" s="49">
        <v>44202</v>
      </c>
      <c r="P9499" s="50">
        <v>33.907499999999999</v>
      </c>
    </row>
    <row r="9500" spans="4:16" x14ac:dyDescent="0.2">
      <c r="D9500">
        <v>100005662</v>
      </c>
      <c r="E9500" s="49">
        <v>45491</v>
      </c>
      <c r="F9500" t="s">
        <v>6736</v>
      </c>
      <c r="G9500" t="s">
        <v>2348</v>
      </c>
      <c r="H9500">
        <v>9</v>
      </c>
      <c r="I9500">
        <v>73.819999999999993</v>
      </c>
      <c r="J9500" s="50">
        <v>664.37999999999988</v>
      </c>
      <c r="K9500" t="s">
        <v>1618</v>
      </c>
      <c r="M9500" t="s">
        <v>1619</v>
      </c>
      <c r="N9500">
        <v>38.96</v>
      </c>
      <c r="O9500" s="49">
        <v>45496</v>
      </c>
      <c r="P9500" s="50">
        <v>298.97099999999995</v>
      </c>
    </row>
    <row r="9501" spans="4:16" x14ac:dyDescent="0.2">
      <c r="D9501">
        <v>100005663</v>
      </c>
      <c r="E9501" s="49">
        <v>45510</v>
      </c>
      <c r="F9501" t="s">
        <v>6623</v>
      </c>
      <c r="G9501" t="s">
        <v>2048</v>
      </c>
      <c r="H9501">
        <v>1</v>
      </c>
      <c r="I9501">
        <v>57.27</v>
      </c>
      <c r="J9501" s="50">
        <v>57.27</v>
      </c>
      <c r="K9501" t="s">
        <v>1632</v>
      </c>
      <c r="M9501" t="s">
        <v>1621</v>
      </c>
      <c r="N9501">
        <v>30.23</v>
      </c>
      <c r="O9501" s="49">
        <v>45512</v>
      </c>
      <c r="P9501" s="50">
        <v>25.771500000000003</v>
      </c>
    </row>
    <row r="9502" spans="4:16" x14ac:dyDescent="0.2">
      <c r="D9502">
        <v>100005664</v>
      </c>
      <c r="E9502" s="49">
        <v>45128</v>
      </c>
      <c r="F9502" t="s">
        <v>6737</v>
      </c>
      <c r="G9502" t="s">
        <v>2431</v>
      </c>
      <c r="H9502">
        <v>2</v>
      </c>
      <c r="I9502">
        <v>110.18</v>
      </c>
      <c r="J9502" s="50">
        <v>220.36</v>
      </c>
      <c r="K9502" t="s">
        <v>1632</v>
      </c>
      <c r="M9502" t="s">
        <v>1627</v>
      </c>
      <c r="N9502">
        <v>58.15</v>
      </c>
      <c r="O9502" s="49">
        <v>45132</v>
      </c>
      <c r="P9502" s="50">
        <v>99.162000000000006</v>
      </c>
    </row>
    <row r="9503" spans="4:16" x14ac:dyDescent="0.2">
      <c r="D9503">
        <v>100005664</v>
      </c>
      <c r="E9503" s="49">
        <v>44339</v>
      </c>
      <c r="F9503" t="s">
        <v>6737</v>
      </c>
      <c r="G9503" t="s">
        <v>1704</v>
      </c>
      <c r="H9503">
        <v>7</v>
      </c>
      <c r="I9503">
        <v>32.1</v>
      </c>
      <c r="J9503" s="50">
        <v>224.7</v>
      </c>
      <c r="K9503" t="s">
        <v>1632</v>
      </c>
      <c r="M9503" t="s">
        <v>1619</v>
      </c>
      <c r="N9503">
        <v>16.940000000000001</v>
      </c>
      <c r="O9503" s="49">
        <v>44344</v>
      </c>
      <c r="P9503" s="50">
        <v>101.11499999999999</v>
      </c>
    </row>
    <row r="9504" spans="4:16" x14ac:dyDescent="0.2">
      <c r="D9504">
        <v>100005665</v>
      </c>
      <c r="E9504" s="49">
        <v>44823</v>
      </c>
      <c r="F9504" t="s">
        <v>6738</v>
      </c>
      <c r="G9504" t="s">
        <v>1644</v>
      </c>
      <c r="H9504">
        <v>10</v>
      </c>
      <c r="I9504">
        <v>18.829999999999998</v>
      </c>
      <c r="J9504" s="50">
        <v>188.3</v>
      </c>
      <c r="K9504" t="s">
        <v>1632</v>
      </c>
      <c r="M9504" t="s">
        <v>1629</v>
      </c>
      <c r="N9504">
        <v>9.94</v>
      </c>
      <c r="O9504" s="49">
        <v>44825</v>
      </c>
      <c r="P9504" s="50">
        <v>84.735000000000014</v>
      </c>
    </row>
    <row r="9505" spans="4:16" x14ac:dyDescent="0.2">
      <c r="D9505">
        <v>100005665</v>
      </c>
      <c r="E9505" s="49">
        <v>45517</v>
      </c>
      <c r="F9505" t="s">
        <v>6738</v>
      </c>
      <c r="G9505" t="s">
        <v>2633</v>
      </c>
      <c r="H9505">
        <v>10</v>
      </c>
      <c r="I9505">
        <v>19.309999999999999</v>
      </c>
      <c r="J9505" s="50">
        <v>193.1</v>
      </c>
      <c r="K9505" t="s">
        <v>1632</v>
      </c>
      <c r="M9505" t="s">
        <v>1627</v>
      </c>
      <c r="N9505">
        <v>10.19</v>
      </c>
      <c r="O9505" s="49">
        <v>45522</v>
      </c>
      <c r="P9505" s="50">
        <v>86.894999999999996</v>
      </c>
    </row>
    <row r="9506" spans="4:16" x14ac:dyDescent="0.2">
      <c r="D9506">
        <v>100005666</v>
      </c>
      <c r="E9506" s="49">
        <v>45604</v>
      </c>
      <c r="F9506" t="s">
        <v>6739</v>
      </c>
      <c r="G9506" t="s">
        <v>1669</v>
      </c>
      <c r="H9506">
        <v>4</v>
      </c>
      <c r="I9506">
        <v>99.92</v>
      </c>
      <c r="J9506" s="50">
        <v>399.68</v>
      </c>
      <c r="K9506" t="s">
        <v>1632</v>
      </c>
      <c r="L9506" t="s">
        <v>6740</v>
      </c>
      <c r="M9506" t="s">
        <v>1624</v>
      </c>
      <c r="N9506">
        <v>52.74</v>
      </c>
      <c r="O9506" s="49">
        <v>45605</v>
      </c>
      <c r="P9506" s="50">
        <v>179.85599999999999</v>
      </c>
    </row>
    <row r="9507" spans="4:16" x14ac:dyDescent="0.2">
      <c r="D9507">
        <v>100005666</v>
      </c>
      <c r="E9507" s="49">
        <v>45525</v>
      </c>
      <c r="F9507" t="s">
        <v>6739</v>
      </c>
      <c r="G9507" t="s">
        <v>1701</v>
      </c>
      <c r="H9507">
        <v>2</v>
      </c>
      <c r="I9507">
        <v>74.47</v>
      </c>
      <c r="J9507" s="50">
        <v>148.94</v>
      </c>
      <c r="K9507" t="s">
        <v>1632</v>
      </c>
      <c r="L9507" t="s">
        <v>6740</v>
      </c>
      <c r="M9507" t="s">
        <v>1621</v>
      </c>
      <c r="N9507">
        <v>39.299999999999997</v>
      </c>
      <c r="O9507" s="49">
        <v>45526</v>
      </c>
      <c r="P9507" s="50">
        <v>67.022999999999996</v>
      </c>
    </row>
    <row r="9508" spans="4:16" x14ac:dyDescent="0.2">
      <c r="D9508">
        <v>100005667</v>
      </c>
      <c r="E9508" s="49">
        <v>44640</v>
      </c>
      <c r="F9508" t="s">
        <v>4923</v>
      </c>
      <c r="G9508" t="s">
        <v>1963</v>
      </c>
      <c r="H9508">
        <v>9</v>
      </c>
      <c r="I9508">
        <v>21.41</v>
      </c>
      <c r="J9508" s="50">
        <v>192.69</v>
      </c>
      <c r="K9508" t="s">
        <v>1632</v>
      </c>
      <c r="M9508" t="s">
        <v>1621</v>
      </c>
      <c r="N9508">
        <v>11.3</v>
      </c>
      <c r="O9508" s="49">
        <v>44642</v>
      </c>
      <c r="P9508" s="50">
        <v>86.710499999999996</v>
      </c>
    </row>
    <row r="9509" spans="4:16" x14ac:dyDescent="0.2">
      <c r="D9509">
        <v>100005667</v>
      </c>
      <c r="E9509" s="49">
        <v>44590</v>
      </c>
      <c r="F9509" t="s">
        <v>4923</v>
      </c>
      <c r="G9509" t="s">
        <v>1628</v>
      </c>
      <c r="H9509">
        <v>5</v>
      </c>
      <c r="I9509">
        <v>60.58</v>
      </c>
      <c r="J9509" s="50">
        <v>302.89999999999998</v>
      </c>
      <c r="K9509" t="s">
        <v>1632</v>
      </c>
      <c r="M9509" t="s">
        <v>1624</v>
      </c>
      <c r="N9509">
        <v>31.97</v>
      </c>
      <c r="O9509" s="49">
        <v>44591</v>
      </c>
      <c r="P9509" s="50">
        <v>136.30500000000001</v>
      </c>
    </row>
    <row r="9510" spans="4:16" x14ac:dyDescent="0.2">
      <c r="D9510">
        <v>100005670</v>
      </c>
      <c r="E9510" s="49">
        <v>44229</v>
      </c>
      <c r="F9510" t="s">
        <v>6741</v>
      </c>
      <c r="G9510" t="s">
        <v>1937</v>
      </c>
      <c r="H9510">
        <v>1</v>
      </c>
      <c r="I9510">
        <v>28.97</v>
      </c>
      <c r="J9510" s="50">
        <v>28.97</v>
      </c>
      <c r="K9510" t="s">
        <v>1632</v>
      </c>
      <c r="L9510" t="s">
        <v>4629</v>
      </c>
      <c r="M9510" t="s">
        <v>1621</v>
      </c>
      <c r="N9510">
        <v>15.29</v>
      </c>
      <c r="O9510" s="49">
        <v>44230</v>
      </c>
      <c r="P9510" s="50">
        <v>13.0365</v>
      </c>
    </row>
    <row r="9511" spans="4:16" x14ac:dyDescent="0.2">
      <c r="D9511">
        <v>100005673</v>
      </c>
      <c r="E9511" s="49">
        <v>45591</v>
      </c>
      <c r="F9511" t="s">
        <v>6742</v>
      </c>
      <c r="G9511" t="s">
        <v>1893</v>
      </c>
      <c r="H9511">
        <v>7</v>
      </c>
      <c r="I9511">
        <v>115.46</v>
      </c>
      <c r="J9511" s="50">
        <v>808.21999999999991</v>
      </c>
      <c r="K9511" t="s">
        <v>1618</v>
      </c>
      <c r="L9511" t="s">
        <v>6743</v>
      </c>
      <c r="M9511" t="s">
        <v>1629</v>
      </c>
      <c r="N9511">
        <v>60.94</v>
      </c>
      <c r="O9511" s="49">
        <v>45592</v>
      </c>
      <c r="P9511" s="50">
        <v>363.69899999999996</v>
      </c>
    </row>
    <row r="9512" spans="4:16" x14ac:dyDescent="0.2">
      <c r="D9512">
        <v>100005674</v>
      </c>
      <c r="E9512" s="49">
        <v>45611</v>
      </c>
      <c r="F9512" t="s">
        <v>6744</v>
      </c>
      <c r="G9512" t="s">
        <v>1676</v>
      </c>
      <c r="H9512">
        <v>6</v>
      </c>
      <c r="I9512">
        <v>28.33</v>
      </c>
      <c r="J9512" s="50">
        <v>169.98</v>
      </c>
      <c r="K9512" t="s">
        <v>1618</v>
      </c>
      <c r="L9512" t="s">
        <v>3213</v>
      </c>
      <c r="M9512" t="s">
        <v>1624</v>
      </c>
      <c r="N9512">
        <v>14.95</v>
      </c>
      <c r="O9512" s="49">
        <v>45612</v>
      </c>
      <c r="P9512" s="50">
        <v>76.491</v>
      </c>
    </row>
    <row r="9513" spans="4:16" x14ac:dyDescent="0.2">
      <c r="D9513">
        <v>100005674</v>
      </c>
      <c r="E9513" s="49">
        <v>45296</v>
      </c>
      <c r="F9513" t="s">
        <v>6744</v>
      </c>
      <c r="G9513" t="s">
        <v>2232</v>
      </c>
      <c r="H9513">
        <v>2</v>
      </c>
      <c r="I9513">
        <v>28.31</v>
      </c>
      <c r="J9513" s="50">
        <v>56.62</v>
      </c>
      <c r="K9513" t="s">
        <v>1618</v>
      </c>
      <c r="L9513" t="s">
        <v>3213</v>
      </c>
      <c r="M9513" t="s">
        <v>1629</v>
      </c>
      <c r="N9513">
        <v>14.94</v>
      </c>
      <c r="O9513" s="49">
        <v>45301</v>
      </c>
      <c r="P9513" s="50">
        <v>25.478999999999999</v>
      </c>
    </row>
    <row r="9514" spans="4:16" x14ac:dyDescent="0.2">
      <c r="D9514">
        <v>100005674</v>
      </c>
      <c r="E9514" s="49">
        <v>44705</v>
      </c>
      <c r="F9514" t="s">
        <v>6744</v>
      </c>
      <c r="G9514" t="s">
        <v>2062</v>
      </c>
      <c r="H9514">
        <v>1</v>
      </c>
      <c r="I9514">
        <v>63.11</v>
      </c>
      <c r="J9514" s="50">
        <v>63.11</v>
      </c>
      <c r="K9514" t="s">
        <v>1618</v>
      </c>
      <c r="L9514" t="s">
        <v>3213</v>
      </c>
      <c r="M9514" t="s">
        <v>1619</v>
      </c>
      <c r="N9514">
        <v>33.31</v>
      </c>
      <c r="O9514" s="49">
        <v>44709</v>
      </c>
      <c r="P9514" s="50">
        <v>28.3995</v>
      </c>
    </row>
    <row r="9515" spans="4:16" x14ac:dyDescent="0.2">
      <c r="D9515">
        <v>100005674</v>
      </c>
      <c r="E9515" s="49">
        <v>44788</v>
      </c>
      <c r="F9515" t="s">
        <v>6744</v>
      </c>
      <c r="G9515" t="s">
        <v>1679</v>
      </c>
      <c r="H9515">
        <v>9</v>
      </c>
      <c r="I9515">
        <v>10.94</v>
      </c>
      <c r="J9515" s="50">
        <v>98.46</v>
      </c>
      <c r="K9515" t="s">
        <v>1618</v>
      </c>
      <c r="L9515" t="s">
        <v>3213</v>
      </c>
      <c r="M9515" t="s">
        <v>1619</v>
      </c>
      <c r="N9515">
        <v>5.77</v>
      </c>
      <c r="O9515" s="49">
        <v>44790</v>
      </c>
      <c r="P9515" s="50">
        <v>44.306999999999995</v>
      </c>
    </row>
    <row r="9516" spans="4:16" x14ac:dyDescent="0.2">
      <c r="D9516">
        <v>100005674</v>
      </c>
      <c r="E9516" s="49">
        <v>45343</v>
      </c>
      <c r="F9516" t="s">
        <v>6744</v>
      </c>
      <c r="G9516" t="s">
        <v>2064</v>
      </c>
      <c r="H9516">
        <v>6</v>
      </c>
      <c r="I9516">
        <v>94.61</v>
      </c>
      <c r="J9516" s="50">
        <v>567.66</v>
      </c>
      <c r="K9516" t="s">
        <v>1618</v>
      </c>
      <c r="L9516" t="s">
        <v>3213</v>
      </c>
      <c r="M9516" t="s">
        <v>1627</v>
      </c>
      <c r="N9516">
        <v>49.93</v>
      </c>
      <c r="O9516" s="49">
        <v>45348</v>
      </c>
      <c r="P9516" s="50">
        <v>255.447</v>
      </c>
    </row>
    <row r="9517" spans="4:16" x14ac:dyDescent="0.2">
      <c r="D9517">
        <v>100005674</v>
      </c>
      <c r="E9517" s="49">
        <v>45515</v>
      </c>
      <c r="F9517" t="s">
        <v>6744</v>
      </c>
      <c r="G9517" t="s">
        <v>2151</v>
      </c>
      <c r="H9517">
        <v>7</v>
      </c>
      <c r="I9517">
        <v>66.73</v>
      </c>
      <c r="J9517" s="50">
        <v>467.11</v>
      </c>
      <c r="K9517" t="s">
        <v>1618</v>
      </c>
      <c r="L9517" t="s">
        <v>3213</v>
      </c>
      <c r="M9517" t="s">
        <v>1621</v>
      </c>
      <c r="N9517">
        <v>35.22</v>
      </c>
      <c r="O9517" s="49">
        <v>45518</v>
      </c>
      <c r="P9517" s="50">
        <v>210.1995</v>
      </c>
    </row>
    <row r="9518" spans="4:16" x14ac:dyDescent="0.2">
      <c r="D9518">
        <v>100005675</v>
      </c>
      <c r="E9518" s="49">
        <v>45334</v>
      </c>
      <c r="F9518" t="s">
        <v>6745</v>
      </c>
      <c r="G9518" t="s">
        <v>1714</v>
      </c>
      <c r="H9518">
        <v>7</v>
      </c>
      <c r="I9518">
        <v>42.1</v>
      </c>
      <c r="J9518" s="50">
        <v>294.7</v>
      </c>
      <c r="K9518" t="s">
        <v>1618</v>
      </c>
      <c r="M9518" t="s">
        <v>1629</v>
      </c>
      <c r="N9518">
        <v>22.22</v>
      </c>
      <c r="O9518" s="49">
        <v>45335</v>
      </c>
      <c r="P9518" s="50">
        <v>132.61500000000001</v>
      </c>
    </row>
    <row r="9519" spans="4:16" x14ac:dyDescent="0.2">
      <c r="D9519">
        <v>100005676</v>
      </c>
      <c r="E9519" s="49">
        <v>45385</v>
      </c>
      <c r="F9519" t="s">
        <v>5141</v>
      </c>
      <c r="G9519" t="s">
        <v>2007</v>
      </c>
      <c r="H9519">
        <v>6</v>
      </c>
      <c r="I9519">
        <v>12.33</v>
      </c>
      <c r="J9519" s="50">
        <v>73.98</v>
      </c>
      <c r="K9519" t="s">
        <v>1618</v>
      </c>
      <c r="M9519" t="s">
        <v>1629</v>
      </c>
      <c r="N9519">
        <v>6.51</v>
      </c>
      <c r="O9519" s="49">
        <v>45389</v>
      </c>
      <c r="P9519" s="50">
        <v>33.291000000000004</v>
      </c>
    </row>
    <row r="9520" spans="4:16" x14ac:dyDescent="0.2">
      <c r="D9520">
        <v>100005677</v>
      </c>
      <c r="E9520" s="49">
        <v>44749</v>
      </c>
      <c r="F9520" t="s">
        <v>5216</v>
      </c>
      <c r="G9520" t="s">
        <v>2328</v>
      </c>
      <c r="H9520">
        <v>3</v>
      </c>
      <c r="I9520">
        <v>70.650000000000006</v>
      </c>
      <c r="J9520" s="50">
        <v>211.95</v>
      </c>
      <c r="K9520" t="s">
        <v>1632</v>
      </c>
      <c r="M9520" t="s">
        <v>1629</v>
      </c>
      <c r="N9520">
        <v>37.29</v>
      </c>
      <c r="O9520" s="49">
        <v>44753</v>
      </c>
      <c r="P9520" s="50">
        <v>95.377499999999998</v>
      </c>
    </row>
    <row r="9521" spans="4:16" x14ac:dyDescent="0.2">
      <c r="D9521">
        <v>100005677</v>
      </c>
      <c r="E9521" s="49">
        <v>44799</v>
      </c>
      <c r="F9521" t="s">
        <v>5216</v>
      </c>
      <c r="G9521" t="s">
        <v>2613</v>
      </c>
      <c r="H9521">
        <v>1</v>
      </c>
      <c r="I9521">
        <v>39.64</v>
      </c>
      <c r="J9521" s="50">
        <v>39.64</v>
      </c>
      <c r="K9521" t="s">
        <v>1632</v>
      </c>
      <c r="M9521" t="s">
        <v>1619</v>
      </c>
      <c r="N9521">
        <v>20.92</v>
      </c>
      <c r="O9521" s="49">
        <v>44800</v>
      </c>
      <c r="P9521" s="50">
        <v>17.838000000000001</v>
      </c>
    </row>
    <row r="9522" spans="4:16" x14ac:dyDescent="0.2">
      <c r="D9522">
        <v>100005677</v>
      </c>
      <c r="E9522" s="49">
        <v>44881</v>
      </c>
      <c r="F9522" t="s">
        <v>5216</v>
      </c>
      <c r="G9522" t="s">
        <v>2745</v>
      </c>
      <c r="H9522">
        <v>9</v>
      </c>
      <c r="I9522">
        <v>26.67</v>
      </c>
      <c r="J9522" s="50">
        <v>240.03</v>
      </c>
      <c r="K9522" t="s">
        <v>1632</v>
      </c>
      <c r="M9522" t="s">
        <v>1619</v>
      </c>
      <c r="N9522">
        <v>14.08</v>
      </c>
      <c r="O9522" s="49">
        <v>44882</v>
      </c>
      <c r="P9522" s="50">
        <v>108.01350000000001</v>
      </c>
    </row>
    <row r="9523" spans="4:16" x14ac:dyDescent="0.2">
      <c r="D9523">
        <v>100005677</v>
      </c>
      <c r="E9523" s="49">
        <v>44343</v>
      </c>
      <c r="F9523" t="s">
        <v>5216</v>
      </c>
      <c r="G9523" t="s">
        <v>1717</v>
      </c>
      <c r="H9523">
        <v>10</v>
      </c>
      <c r="I9523">
        <v>59.84</v>
      </c>
      <c r="J9523" s="50">
        <v>598.40000000000009</v>
      </c>
      <c r="K9523" t="s">
        <v>1632</v>
      </c>
      <c r="M9523" t="s">
        <v>1627</v>
      </c>
      <c r="N9523">
        <v>31.58</v>
      </c>
      <c r="O9523" s="49">
        <v>44348</v>
      </c>
      <c r="P9523" s="50">
        <v>269.28000000000003</v>
      </c>
    </row>
    <row r="9524" spans="4:16" x14ac:dyDescent="0.2">
      <c r="D9524">
        <v>100005679</v>
      </c>
      <c r="E9524" s="49">
        <v>44956</v>
      </c>
      <c r="F9524" t="s">
        <v>6746</v>
      </c>
      <c r="G9524" t="s">
        <v>2348</v>
      </c>
      <c r="H9524">
        <v>7</v>
      </c>
      <c r="I9524">
        <v>98.77</v>
      </c>
      <c r="J9524" s="50">
        <v>691.39</v>
      </c>
      <c r="K9524" t="s">
        <v>1618</v>
      </c>
      <c r="M9524" t="s">
        <v>1619</v>
      </c>
      <c r="N9524">
        <v>52.13</v>
      </c>
      <c r="O9524" s="49">
        <v>44961</v>
      </c>
      <c r="P9524" s="50">
        <v>311.12549999999999</v>
      </c>
    </row>
    <row r="9525" spans="4:16" x14ac:dyDescent="0.2">
      <c r="D9525">
        <v>100005679</v>
      </c>
      <c r="E9525" s="49">
        <v>44932</v>
      </c>
      <c r="F9525" t="s">
        <v>6746</v>
      </c>
      <c r="G9525" t="s">
        <v>2571</v>
      </c>
      <c r="H9525">
        <v>3</v>
      </c>
      <c r="I9525">
        <v>101.16</v>
      </c>
      <c r="J9525" s="50">
        <v>303.48</v>
      </c>
      <c r="K9525" t="s">
        <v>1618</v>
      </c>
      <c r="M9525" t="s">
        <v>1624</v>
      </c>
      <c r="N9525">
        <v>53.39</v>
      </c>
      <c r="O9525" s="49">
        <v>44934</v>
      </c>
      <c r="P9525" s="50">
        <v>136.566</v>
      </c>
    </row>
    <row r="9526" spans="4:16" x14ac:dyDescent="0.2">
      <c r="D9526">
        <v>100005679</v>
      </c>
      <c r="E9526" s="49">
        <v>44856</v>
      </c>
      <c r="F9526" t="s">
        <v>6746</v>
      </c>
      <c r="G9526" t="s">
        <v>2263</v>
      </c>
      <c r="H9526">
        <v>2</v>
      </c>
      <c r="I9526">
        <v>104.94</v>
      </c>
      <c r="J9526" s="50">
        <v>209.88</v>
      </c>
      <c r="K9526" t="s">
        <v>1618</v>
      </c>
      <c r="M9526" t="s">
        <v>1624</v>
      </c>
      <c r="N9526">
        <v>55.38</v>
      </c>
      <c r="O9526" s="49">
        <v>44860</v>
      </c>
      <c r="P9526" s="50">
        <v>94.445999999999998</v>
      </c>
    </row>
    <row r="9527" spans="4:16" x14ac:dyDescent="0.2">
      <c r="D9527">
        <v>100005680</v>
      </c>
      <c r="E9527" s="49">
        <v>44487</v>
      </c>
      <c r="F9527" t="s">
        <v>6747</v>
      </c>
      <c r="G9527" t="s">
        <v>1943</v>
      </c>
      <c r="H9527">
        <v>10</v>
      </c>
      <c r="I9527">
        <v>83.96</v>
      </c>
      <c r="J9527" s="50">
        <v>839.59999999999991</v>
      </c>
      <c r="K9527" t="s">
        <v>1632</v>
      </c>
      <c r="M9527" t="s">
        <v>1621</v>
      </c>
      <c r="N9527">
        <v>44.31</v>
      </c>
      <c r="O9527" s="49">
        <v>44491</v>
      </c>
      <c r="P9527" s="50">
        <v>377.82</v>
      </c>
    </row>
    <row r="9528" spans="4:16" x14ac:dyDescent="0.2">
      <c r="D9528">
        <v>100005680</v>
      </c>
      <c r="E9528" s="49">
        <v>44647</v>
      </c>
      <c r="F9528" t="s">
        <v>6747</v>
      </c>
      <c r="G9528" t="s">
        <v>1807</v>
      </c>
      <c r="H9528">
        <v>4</v>
      </c>
      <c r="I9528">
        <v>113.77</v>
      </c>
      <c r="J9528" s="50">
        <v>455.08</v>
      </c>
      <c r="K9528" t="s">
        <v>1632</v>
      </c>
      <c r="M9528" t="s">
        <v>1621</v>
      </c>
      <c r="N9528">
        <v>60.04</v>
      </c>
      <c r="O9528" s="49">
        <v>44649</v>
      </c>
      <c r="P9528" s="50">
        <v>204.786</v>
      </c>
    </row>
    <row r="9529" spans="4:16" x14ac:dyDescent="0.2">
      <c r="D9529">
        <v>100005680</v>
      </c>
      <c r="E9529" s="49">
        <v>44994</v>
      </c>
      <c r="F9529" t="s">
        <v>6747</v>
      </c>
      <c r="G9529" t="s">
        <v>1805</v>
      </c>
      <c r="H9529">
        <v>2</v>
      </c>
      <c r="I9529">
        <v>67.92</v>
      </c>
      <c r="J9529" s="50">
        <v>135.84</v>
      </c>
      <c r="K9529" t="s">
        <v>1632</v>
      </c>
      <c r="M9529" t="s">
        <v>1621</v>
      </c>
      <c r="N9529">
        <v>35.85</v>
      </c>
      <c r="O9529" s="49">
        <v>44998</v>
      </c>
      <c r="P9529" s="50">
        <v>61.128</v>
      </c>
    </row>
    <row r="9530" spans="4:16" x14ac:dyDescent="0.2">
      <c r="D9530">
        <v>100005680</v>
      </c>
      <c r="E9530" s="49">
        <v>44307</v>
      </c>
      <c r="F9530" t="s">
        <v>6747</v>
      </c>
      <c r="G9530" t="s">
        <v>2130</v>
      </c>
      <c r="H9530">
        <v>10</v>
      </c>
      <c r="I9530">
        <v>50</v>
      </c>
      <c r="J9530" s="50">
        <v>500</v>
      </c>
      <c r="K9530" t="s">
        <v>1632</v>
      </c>
      <c r="M9530" t="s">
        <v>1629</v>
      </c>
      <c r="N9530">
        <v>26.39</v>
      </c>
      <c r="O9530" s="49">
        <v>44310</v>
      </c>
      <c r="P9530" s="50">
        <v>225</v>
      </c>
    </row>
    <row r="9531" spans="4:16" x14ac:dyDescent="0.2">
      <c r="D9531">
        <v>100005680</v>
      </c>
      <c r="E9531" s="49">
        <v>45541</v>
      </c>
      <c r="F9531" t="s">
        <v>6747</v>
      </c>
      <c r="G9531" t="s">
        <v>1958</v>
      </c>
      <c r="H9531">
        <v>4</v>
      </c>
      <c r="I9531">
        <v>118.76</v>
      </c>
      <c r="J9531" s="50">
        <v>475.04</v>
      </c>
      <c r="K9531" t="s">
        <v>1632</v>
      </c>
      <c r="M9531" t="s">
        <v>1621</v>
      </c>
      <c r="N9531">
        <v>62.68</v>
      </c>
      <c r="O9531" s="49">
        <v>45546</v>
      </c>
      <c r="P9531" s="50">
        <v>213.768</v>
      </c>
    </row>
    <row r="9532" spans="4:16" x14ac:dyDescent="0.2">
      <c r="D9532">
        <v>100005680</v>
      </c>
      <c r="E9532" s="49">
        <v>45370</v>
      </c>
      <c r="F9532" t="s">
        <v>6747</v>
      </c>
      <c r="G9532" t="s">
        <v>1901</v>
      </c>
      <c r="H9532">
        <v>1</v>
      </c>
      <c r="I9532">
        <v>83.56</v>
      </c>
      <c r="J9532" s="50">
        <v>83.56</v>
      </c>
      <c r="K9532" t="s">
        <v>1632</v>
      </c>
      <c r="M9532" t="s">
        <v>1621</v>
      </c>
      <c r="N9532">
        <v>44.1</v>
      </c>
      <c r="O9532" s="49">
        <v>45374</v>
      </c>
      <c r="P9532" s="50">
        <v>37.602000000000004</v>
      </c>
    </row>
    <row r="9533" spans="4:16" x14ac:dyDescent="0.2">
      <c r="D9533">
        <v>100005680</v>
      </c>
      <c r="E9533" s="49">
        <v>45373</v>
      </c>
      <c r="F9533" t="s">
        <v>6747</v>
      </c>
      <c r="G9533" t="s">
        <v>2071</v>
      </c>
      <c r="H9533">
        <v>2</v>
      </c>
      <c r="I9533">
        <v>63.09</v>
      </c>
      <c r="J9533" s="50">
        <v>126.18</v>
      </c>
      <c r="K9533" t="s">
        <v>1632</v>
      </c>
      <c r="M9533" t="s">
        <v>1619</v>
      </c>
      <c r="N9533">
        <v>33.299999999999997</v>
      </c>
      <c r="O9533" s="49">
        <v>45374</v>
      </c>
      <c r="P9533" s="50">
        <v>56.781000000000006</v>
      </c>
    </row>
    <row r="9534" spans="4:16" x14ac:dyDescent="0.2">
      <c r="D9534">
        <v>100005680</v>
      </c>
      <c r="E9534" s="49">
        <v>44398</v>
      </c>
      <c r="F9534" t="s">
        <v>6747</v>
      </c>
      <c r="G9534" t="s">
        <v>1623</v>
      </c>
      <c r="H9534">
        <v>9</v>
      </c>
      <c r="I9534">
        <v>46.59</v>
      </c>
      <c r="J9534" s="50">
        <v>419.31000000000012</v>
      </c>
      <c r="K9534" t="s">
        <v>1632</v>
      </c>
      <c r="M9534" t="s">
        <v>1621</v>
      </c>
      <c r="N9534">
        <v>24.59</v>
      </c>
      <c r="O9534" s="49">
        <v>44399</v>
      </c>
      <c r="P9534" s="50">
        <v>188.68950000000007</v>
      </c>
    </row>
    <row r="9535" spans="4:16" x14ac:dyDescent="0.2">
      <c r="D9535">
        <v>100005681</v>
      </c>
      <c r="E9535" s="49">
        <v>44953</v>
      </c>
      <c r="F9535" t="s">
        <v>6748</v>
      </c>
      <c r="G9535" t="s">
        <v>2028</v>
      </c>
      <c r="H9535">
        <v>9</v>
      </c>
      <c r="I9535">
        <v>89.57</v>
      </c>
      <c r="J9535" s="50">
        <v>806.12999999999988</v>
      </c>
      <c r="K9535" t="s">
        <v>1618</v>
      </c>
      <c r="M9535" t="s">
        <v>1624</v>
      </c>
      <c r="N9535">
        <v>47.27</v>
      </c>
      <c r="O9535" s="49">
        <v>44954</v>
      </c>
      <c r="P9535" s="50">
        <v>362.75849999999997</v>
      </c>
    </row>
    <row r="9536" spans="4:16" x14ac:dyDescent="0.2">
      <c r="D9536">
        <v>100005682</v>
      </c>
      <c r="E9536" s="49">
        <v>44402</v>
      </c>
      <c r="F9536" t="s">
        <v>6749</v>
      </c>
      <c r="G9536" t="s">
        <v>2050</v>
      </c>
      <c r="H9536">
        <v>6</v>
      </c>
      <c r="I9536">
        <v>20.260000000000002</v>
      </c>
      <c r="J9536" s="50">
        <v>121.56</v>
      </c>
      <c r="K9536" t="s">
        <v>1632</v>
      </c>
      <c r="M9536" t="s">
        <v>1629</v>
      </c>
      <c r="N9536">
        <v>10.69</v>
      </c>
      <c r="O9536" s="49">
        <v>44404</v>
      </c>
      <c r="P9536" s="50">
        <v>54.702000000000005</v>
      </c>
    </row>
    <row r="9537" spans="4:16" x14ac:dyDescent="0.2">
      <c r="D9537">
        <v>100005682</v>
      </c>
      <c r="E9537" s="49">
        <v>44591</v>
      </c>
      <c r="F9537" t="s">
        <v>6749</v>
      </c>
      <c r="G9537" t="s">
        <v>1802</v>
      </c>
      <c r="H9537">
        <v>4</v>
      </c>
      <c r="I9537">
        <v>66.900000000000006</v>
      </c>
      <c r="J9537" s="50">
        <v>267.60000000000002</v>
      </c>
      <c r="K9537" t="s">
        <v>1632</v>
      </c>
      <c r="M9537" t="s">
        <v>1629</v>
      </c>
      <c r="N9537">
        <v>35.31</v>
      </c>
      <c r="O9537" s="49">
        <v>44596</v>
      </c>
      <c r="P9537" s="50">
        <v>120.42000000000002</v>
      </c>
    </row>
    <row r="9538" spans="4:16" x14ac:dyDescent="0.2">
      <c r="D9538">
        <v>100005683</v>
      </c>
      <c r="E9538" s="49">
        <v>44883</v>
      </c>
      <c r="F9538" t="s">
        <v>6750</v>
      </c>
      <c r="G9538" t="s">
        <v>2003</v>
      </c>
      <c r="H9538">
        <v>5</v>
      </c>
      <c r="I9538">
        <v>82.28</v>
      </c>
      <c r="J9538" s="50">
        <v>411.4</v>
      </c>
      <c r="K9538" t="s">
        <v>1618</v>
      </c>
      <c r="M9538" t="s">
        <v>1629</v>
      </c>
      <c r="N9538">
        <v>43.43</v>
      </c>
      <c r="O9538" s="49">
        <v>44884</v>
      </c>
      <c r="P9538" s="50">
        <v>185.13</v>
      </c>
    </row>
    <row r="9539" spans="4:16" x14ac:dyDescent="0.2">
      <c r="D9539">
        <v>100005684</v>
      </c>
      <c r="E9539" s="49">
        <v>45387</v>
      </c>
      <c r="F9539" t="s">
        <v>5661</v>
      </c>
      <c r="G9539" t="s">
        <v>2112</v>
      </c>
      <c r="H9539">
        <v>10</v>
      </c>
      <c r="I9539">
        <v>102.6</v>
      </c>
      <c r="J9539" s="50">
        <v>1026</v>
      </c>
      <c r="K9539" t="s">
        <v>1632</v>
      </c>
      <c r="M9539" t="s">
        <v>1627</v>
      </c>
      <c r="N9539">
        <v>54.15</v>
      </c>
      <c r="O9539" s="49">
        <v>45389</v>
      </c>
      <c r="P9539" s="50">
        <v>461.7</v>
      </c>
    </row>
    <row r="9540" spans="4:16" x14ac:dyDescent="0.2">
      <c r="D9540">
        <v>100005685</v>
      </c>
      <c r="E9540" s="49">
        <v>44748</v>
      </c>
      <c r="F9540" t="s">
        <v>6751</v>
      </c>
      <c r="G9540" t="s">
        <v>1710</v>
      </c>
      <c r="H9540">
        <v>3</v>
      </c>
      <c r="I9540">
        <v>87.46</v>
      </c>
      <c r="J9540" s="50">
        <v>262.38</v>
      </c>
      <c r="K9540" t="s">
        <v>1618</v>
      </c>
      <c r="M9540" t="s">
        <v>1629</v>
      </c>
      <c r="N9540">
        <v>46.16</v>
      </c>
      <c r="O9540" s="49">
        <v>44752</v>
      </c>
      <c r="P9540" s="50">
        <v>118.071</v>
      </c>
    </row>
    <row r="9541" spans="4:16" x14ac:dyDescent="0.2">
      <c r="D9541">
        <v>100005685</v>
      </c>
      <c r="E9541" s="49">
        <v>45319</v>
      </c>
      <c r="F9541" t="s">
        <v>6751</v>
      </c>
      <c r="G9541" t="s">
        <v>2207</v>
      </c>
      <c r="H9541">
        <v>4</v>
      </c>
      <c r="I9541">
        <v>112.5</v>
      </c>
      <c r="J9541" s="50">
        <v>450</v>
      </c>
      <c r="K9541" t="s">
        <v>1618</v>
      </c>
      <c r="M9541" t="s">
        <v>1627</v>
      </c>
      <c r="N9541">
        <v>59.37</v>
      </c>
      <c r="O9541" s="49">
        <v>45321</v>
      </c>
      <c r="P9541" s="50">
        <v>202.5</v>
      </c>
    </row>
    <row r="9542" spans="4:16" x14ac:dyDescent="0.2">
      <c r="D9542">
        <v>100005685</v>
      </c>
      <c r="E9542" s="49">
        <v>45148</v>
      </c>
      <c r="F9542" t="s">
        <v>6751</v>
      </c>
      <c r="G9542" t="s">
        <v>2343</v>
      </c>
      <c r="H9542">
        <v>9</v>
      </c>
      <c r="I9542">
        <v>106.97</v>
      </c>
      <c r="J9542" s="50">
        <v>962.73</v>
      </c>
      <c r="K9542" t="s">
        <v>1618</v>
      </c>
      <c r="M9542" t="s">
        <v>1621</v>
      </c>
      <c r="N9542">
        <v>56.46</v>
      </c>
      <c r="O9542" s="49">
        <v>45149</v>
      </c>
      <c r="P9542" s="50">
        <v>433.2285</v>
      </c>
    </row>
    <row r="9543" spans="4:16" x14ac:dyDescent="0.2">
      <c r="D9543">
        <v>100005686</v>
      </c>
      <c r="E9543" s="49">
        <v>45488</v>
      </c>
      <c r="F9543" t="s">
        <v>6752</v>
      </c>
      <c r="G9543" t="s">
        <v>1805</v>
      </c>
      <c r="H9543">
        <v>6</v>
      </c>
      <c r="I9543">
        <v>80.91</v>
      </c>
      <c r="J9543" s="50">
        <v>485.46</v>
      </c>
      <c r="K9543" t="s">
        <v>1618</v>
      </c>
      <c r="M9543" t="s">
        <v>1624</v>
      </c>
      <c r="N9543">
        <v>42.7</v>
      </c>
      <c r="O9543" s="49">
        <v>45493</v>
      </c>
      <c r="P9543" s="50">
        <v>218.45699999999999</v>
      </c>
    </row>
    <row r="9544" spans="4:16" x14ac:dyDescent="0.2">
      <c r="D9544">
        <v>100005686</v>
      </c>
      <c r="E9544" s="49">
        <v>44434</v>
      </c>
      <c r="F9544" t="s">
        <v>6752</v>
      </c>
      <c r="G9544" t="s">
        <v>1634</v>
      </c>
      <c r="H9544">
        <v>6</v>
      </c>
      <c r="I9544">
        <v>38.880000000000003</v>
      </c>
      <c r="J9544" s="50">
        <v>233.28</v>
      </c>
      <c r="K9544" t="s">
        <v>1618</v>
      </c>
      <c r="M9544" t="s">
        <v>1624</v>
      </c>
      <c r="N9544">
        <v>20.52</v>
      </c>
      <c r="O9544" s="49">
        <v>44439</v>
      </c>
      <c r="P9544" s="50">
        <v>104.976</v>
      </c>
    </row>
    <row r="9545" spans="4:16" x14ac:dyDescent="0.2">
      <c r="D9545">
        <v>100005687</v>
      </c>
      <c r="E9545" s="49">
        <v>44471</v>
      </c>
      <c r="F9545" t="s">
        <v>6753</v>
      </c>
      <c r="G9545" t="s">
        <v>1945</v>
      </c>
      <c r="H9545">
        <v>6</v>
      </c>
      <c r="I9545">
        <v>97.14</v>
      </c>
      <c r="J9545" s="50">
        <v>582.84</v>
      </c>
      <c r="K9545" t="s">
        <v>1632</v>
      </c>
      <c r="M9545" t="s">
        <v>1629</v>
      </c>
      <c r="N9545">
        <v>51.27</v>
      </c>
      <c r="O9545" s="49">
        <v>44473</v>
      </c>
      <c r="P9545" s="50">
        <v>262.27800000000002</v>
      </c>
    </row>
    <row r="9546" spans="4:16" x14ac:dyDescent="0.2">
      <c r="D9546">
        <v>100005687</v>
      </c>
      <c r="E9546" s="49">
        <v>45638</v>
      </c>
      <c r="F9546" t="s">
        <v>6753</v>
      </c>
      <c r="G9546" t="s">
        <v>1922</v>
      </c>
      <c r="H9546">
        <v>7</v>
      </c>
      <c r="I9546">
        <v>115.29</v>
      </c>
      <c r="J9546" s="50">
        <v>807.03000000000009</v>
      </c>
      <c r="K9546" t="s">
        <v>1632</v>
      </c>
      <c r="M9546" t="s">
        <v>1619</v>
      </c>
      <c r="N9546">
        <v>60.85</v>
      </c>
      <c r="O9546" s="49">
        <v>45642</v>
      </c>
      <c r="P9546" s="50">
        <v>363.16350000000006</v>
      </c>
    </row>
    <row r="9547" spans="4:16" x14ac:dyDescent="0.2">
      <c r="D9547">
        <v>100005687</v>
      </c>
      <c r="E9547" s="49">
        <v>45174</v>
      </c>
      <c r="F9547" t="s">
        <v>6753</v>
      </c>
      <c r="G9547" t="s">
        <v>1739</v>
      </c>
      <c r="H9547">
        <v>10</v>
      </c>
      <c r="I9547">
        <v>21.35</v>
      </c>
      <c r="J9547" s="50">
        <v>213.5</v>
      </c>
      <c r="K9547" t="s">
        <v>1632</v>
      </c>
      <c r="M9547" t="s">
        <v>1624</v>
      </c>
      <c r="N9547">
        <v>11.27</v>
      </c>
      <c r="O9547" s="49">
        <v>45176</v>
      </c>
      <c r="P9547" s="50">
        <v>96.075000000000003</v>
      </c>
    </row>
    <row r="9548" spans="4:16" x14ac:dyDescent="0.2">
      <c r="D9548">
        <v>100005688</v>
      </c>
      <c r="E9548" s="49">
        <v>44346</v>
      </c>
      <c r="F9548" t="s">
        <v>6754</v>
      </c>
      <c r="G9548" t="s">
        <v>1674</v>
      </c>
      <c r="H9548">
        <v>8</v>
      </c>
      <c r="I9548">
        <v>88.37</v>
      </c>
      <c r="J9548" s="50">
        <v>706.96</v>
      </c>
      <c r="K9548" t="s">
        <v>1632</v>
      </c>
      <c r="M9548" t="s">
        <v>1624</v>
      </c>
      <c r="N9548">
        <v>46.64</v>
      </c>
      <c r="O9548" s="49">
        <v>44350</v>
      </c>
      <c r="P9548" s="50">
        <v>318.13200000000001</v>
      </c>
    </row>
    <row r="9549" spans="4:16" x14ac:dyDescent="0.2">
      <c r="D9549">
        <v>100005688</v>
      </c>
      <c r="E9549" s="49">
        <v>44955</v>
      </c>
      <c r="F9549" t="s">
        <v>6754</v>
      </c>
      <c r="G9549" t="s">
        <v>1897</v>
      </c>
      <c r="H9549">
        <v>7</v>
      </c>
      <c r="I9549">
        <v>57.4</v>
      </c>
      <c r="J9549" s="50">
        <v>401.8</v>
      </c>
      <c r="K9549" t="s">
        <v>1632</v>
      </c>
      <c r="M9549" t="s">
        <v>1619</v>
      </c>
      <c r="N9549">
        <v>30.29</v>
      </c>
      <c r="O9549" s="49">
        <v>44956</v>
      </c>
      <c r="P9549" s="50">
        <v>180.81</v>
      </c>
    </row>
    <row r="9550" spans="4:16" x14ac:dyDescent="0.2">
      <c r="D9550">
        <v>100005689</v>
      </c>
      <c r="E9550" s="49">
        <v>45087</v>
      </c>
      <c r="F9550" t="s">
        <v>6755</v>
      </c>
      <c r="G9550" t="s">
        <v>1723</v>
      </c>
      <c r="H9550">
        <v>5</v>
      </c>
      <c r="I9550">
        <v>108.19</v>
      </c>
      <c r="J9550" s="50">
        <v>540.95000000000005</v>
      </c>
      <c r="K9550" t="s">
        <v>1618</v>
      </c>
      <c r="L9550" t="s">
        <v>6756</v>
      </c>
      <c r="M9550" t="s">
        <v>1624</v>
      </c>
      <c r="N9550">
        <v>57.1</v>
      </c>
      <c r="O9550" s="49">
        <v>45091</v>
      </c>
      <c r="P9550" s="50">
        <v>243.42750000000004</v>
      </c>
    </row>
    <row r="9551" spans="4:16" x14ac:dyDescent="0.2">
      <c r="D9551">
        <v>100005691</v>
      </c>
      <c r="E9551" s="49">
        <v>44695</v>
      </c>
      <c r="F9551" t="s">
        <v>6757</v>
      </c>
      <c r="G9551" t="s">
        <v>2025</v>
      </c>
      <c r="H9551">
        <v>3</v>
      </c>
      <c r="I9551">
        <v>109.19</v>
      </c>
      <c r="J9551" s="50">
        <v>327.57</v>
      </c>
      <c r="K9551" t="s">
        <v>1618</v>
      </c>
      <c r="M9551" t="s">
        <v>1621</v>
      </c>
      <c r="N9551">
        <v>57.63</v>
      </c>
      <c r="O9551" s="49">
        <v>44700</v>
      </c>
      <c r="P9551" s="50">
        <v>147.40649999999999</v>
      </c>
    </row>
    <row r="9552" spans="4:16" x14ac:dyDescent="0.2">
      <c r="D9552">
        <v>100005692</v>
      </c>
      <c r="E9552" s="49">
        <v>45038</v>
      </c>
      <c r="F9552" t="s">
        <v>4793</v>
      </c>
      <c r="G9552" t="s">
        <v>1792</v>
      </c>
      <c r="H9552">
        <v>9</v>
      </c>
      <c r="I9552">
        <v>10.08</v>
      </c>
      <c r="J9552" s="50">
        <v>90.72</v>
      </c>
      <c r="K9552" t="s">
        <v>1618</v>
      </c>
      <c r="L9552" t="s">
        <v>4105</v>
      </c>
      <c r="M9552" t="s">
        <v>1619</v>
      </c>
      <c r="N9552">
        <v>5.32</v>
      </c>
      <c r="O9552" s="49">
        <v>45041</v>
      </c>
      <c r="P9552" s="50">
        <v>40.823999999999998</v>
      </c>
    </row>
    <row r="9553" spans="4:16" x14ac:dyDescent="0.2">
      <c r="D9553">
        <v>100005692</v>
      </c>
      <c r="E9553" s="49">
        <v>44823</v>
      </c>
      <c r="F9553" t="s">
        <v>4793</v>
      </c>
      <c r="G9553" t="s">
        <v>1797</v>
      </c>
      <c r="H9553">
        <v>4</v>
      </c>
      <c r="I9553">
        <v>46.35</v>
      </c>
      <c r="J9553" s="50">
        <v>185.4</v>
      </c>
      <c r="K9553" t="s">
        <v>1618</v>
      </c>
      <c r="L9553" t="s">
        <v>4105</v>
      </c>
      <c r="M9553" t="s">
        <v>1621</v>
      </c>
      <c r="N9553">
        <v>24.46</v>
      </c>
      <c r="O9553" s="49">
        <v>44826</v>
      </c>
      <c r="P9553" s="50">
        <v>83.43</v>
      </c>
    </row>
    <row r="9554" spans="4:16" x14ac:dyDescent="0.2">
      <c r="D9554">
        <v>100005693</v>
      </c>
      <c r="E9554" s="49">
        <v>45428</v>
      </c>
      <c r="F9554" t="s">
        <v>4406</v>
      </c>
      <c r="G9554" t="s">
        <v>1743</v>
      </c>
      <c r="H9554">
        <v>9</v>
      </c>
      <c r="I9554">
        <v>103.62</v>
      </c>
      <c r="J9554" s="50">
        <v>932.58</v>
      </c>
      <c r="K9554" t="s">
        <v>1618</v>
      </c>
      <c r="M9554" t="s">
        <v>1619</v>
      </c>
      <c r="N9554">
        <v>54.69</v>
      </c>
      <c r="O9554" s="49">
        <v>45430</v>
      </c>
      <c r="P9554" s="50">
        <v>419.661</v>
      </c>
    </row>
    <row r="9555" spans="4:16" x14ac:dyDescent="0.2">
      <c r="D9555">
        <v>100005695</v>
      </c>
      <c r="E9555" s="49">
        <v>45082</v>
      </c>
      <c r="F9555" t="s">
        <v>6758</v>
      </c>
      <c r="G9555" t="s">
        <v>2263</v>
      </c>
      <c r="H9555">
        <v>4</v>
      </c>
      <c r="I9555">
        <v>21.43</v>
      </c>
      <c r="J9555" s="50">
        <v>85.72</v>
      </c>
      <c r="K9555" t="s">
        <v>1618</v>
      </c>
      <c r="M9555" t="s">
        <v>1619</v>
      </c>
      <c r="N9555">
        <v>11.31</v>
      </c>
      <c r="O9555" s="49">
        <v>45084</v>
      </c>
      <c r="P9555" s="50">
        <v>38.573999999999998</v>
      </c>
    </row>
    <row r="9556" spans="4:16" x14ac:dyDescent="0.2">
      <c r="D9556">
        <v>100005698</v>
      </c>
      <c r="E9556" s="49">
        <v>45224</v>
      </c>
      <c r="F9556" t="s">
        <v>6759</v>
      </c>
      <c r="G9556" t="s">
        <v>2232</v>
      </c>
      <c r="H9556">
        <v>5</v>
      </c>
      <c r="I9556">
        <v>81.790000000000006</v>
      </c>
      <c r="J9556" s="50">
        <v>408.95</v>
      </c>
      <c r="K9556" t="s">
        <v>1618</v>
      </c>
      <c r="M9556" t="s">
        <v>1619</v>
      </c>
      <c r="N9556">
        <v>43.17</v>
      </c>
      <c r="O9556" s="49">
        <v>45227</v>
      </c>
      <c r="P9556" s="50">
        <v>184.0275</v>
      </c>
    </row>
    <row r="9557" spans="4:16" x14ac:dyDescent="0.2">
      <c r="D9557">
        <v>100005698</v>
      </c>
      <c r="E9557" s="49">
        <v>45487</v>
      </c>
      <c r="F9557" t="s">
        <v>6759</v>
      </c>
      <c r="G9557" t="s">
        <v>1655</v>
      </c>
      <c r="H9557">
        <v>2</v>
      </c>
      <c r="I9557">
        <v>14.23</v>
      </c>
      <c r="J9557" s="50">
        <v>28.46</v>
      </c>
      <c r="K9557" t="s">
        <v>1618</v>
      </c>
      <c r="M9557" t="s">
        <v>1619</v>
      </c>
      <c r="N9557">
        <v>7.51</v>
      </c>
      <c r="O9557" s="49">
        <v>45489</v>
      </c>
      <c r="P9557" s="50">
        <v>12.807</v>
      </c>
    </row>
    <row r="9558" spans="4:16" x14ac:dyDescent="0.2">
      <c r="D9558">
        <v>100005698</v>
      </c>
      <c r="E9558" s="49">
        <v>44412</v>
      </c>
      <c r="F9558" t="s">
        <v>6759</v>
      </c>
      <c r="G9558" t="s">
        <v>1623</v>
      </c>
      <c r="H9558">
        <v>2</v>
      </c>
      <c r="I9558">
        <v>83.67</v>
      </c>
      <c r="J9558" s="50">
        <v>167.34</v>
      </c>
      <c r="K9558" t="s">
        <v>1618</v>
      </c>
      <c r="M9558" t="s">
        <v>1627</v>
      </c>
      <c r="N9558">
        <v>44.16</v>
      </c>
      <c r="O9558" s="49">
        <v>44413</v>
      </c>
      <c r="P9558" s="50">
        <v>75.302999999999997</v>
      </c>
    </row>
    <row r="9559" spans="4:16" x14ac:dyDescent="0.2">
      <c r="D9559">
        <v>100005700</v>
      </c>
      <c r="E9559" s="49">
        <v>45543</v>
      </c>
      <c r="F9559" t="s">
        <v>6760</v>
      </c>
      <c r="G9559" t="s">
        <v>1677</v>
      </c>
      <c r="H9559">
        <v>8</v>
      </c>
      <c r="I9559">
        <v>63.77</v>
      </c>
      <c r="J9559" s="50">
        <v>510.16</v>
      </c>
      <c r="K9559" t="s">
        <v>1618</v>
      </c>
      <c r="M9559" t="s">
        <v>1627</v>
      </c>
      <c r="N9559">
        <v>33.659999999999997</v>
      </c>
      <c r="O9559" s="49">
        <v>45544</v>
      </c>
      <c r="P9559" s="50">
        <v>229.572</v>
      </c>
    </row>
    <row r="9560" spans="4:16" x14ac:dyDescent="0.2">
      <c r="D9560">
        <v>100005701</v>
      </c>
      <c r="E9560" s="49">
        <v>44747</v>
      </c>
      <c r="F9560" t="s">
        <v>6761</v>
      </c>
      <c r="G9560" t="s">
        <v>2028</v>
      </c>
      <c r="H9560">
        <v>1</v>
      </c>
      <c r="I9560">
        <v>114.13</v>
      </c>
      <c r="J9560" s="50">
        <v>114.13</v>
      </c>
      <c r="K9560" t="s">
        <v>1618</v>
      </c>
      <c r="M9560" t="s">
        <v>1627</v>
      </c>
      <c r="N9560">
        <v>60.23</v>
      </c>
      <c r="O9560" s="49">
        <v>44750</v>
      </c>
      <c r="P9560" s="50">
        <v>51.358499999999999</v>
      </c>
    </row>
    <row r="9561" spans="4:16" x14ac:dyDescent="0.2">
      <c r="D9561">
        <v>100005701</v>
      </c>
      <c r="E9561" s="49">
        <v>45173</v>
      </c>
      <c r="F9561" t="s">
        <v>6761</v>
      </c>
      <c r="G9561" t="s">
        <v>2086</v>
      </c>
      <c r="H9561">
        <v>3</v>
      </c>
      <c r="I9561">
        <v>59.67</v>
      </c>
      <c r="J9561" s="50">
        <v>179.01</v>
      </c>
      <c r="K9561" t="s">
        <v>1618</v>
      </c>
      <c r="M9561" t="s">
        <v>1629</v>
      </c>
      <c r="N9561">
        <v>31.49</v>
      </c>
      <c r="O9561" s="49">
        <v>45174</v>
      </c>
      <c r="P9561" s="50">
        <v>80.554500000000004</v>
      </c>
    </row>
    <row r="9562" spans="4:16" x14ac:dyDescent="0.2">
      <c r="D9562">
        <v>100005701</v>
      </c>
      <c r="E9562" s="49">
        <v>44442</v>
      </c>
      <c r="F9562" t="s">
        <v>6761</v>
      </c>
      <c r="G9562" t="s">
        <v>2151</v>
      </c>
      <c r="H9562">
        <v>3</v>
      </c>
      <c r="I9562">
        <v>118</v>
      </c>
      <c r="J9562" s="50">
        <v>354</v>
      </c>
      <c r="K9562" t="s">
        <v>1618</v>
      </c>
      <c r="M9562" t="s">
        <v>1629</v>
      </c>
      <c r="N9562">
        <v>62.28</v>
      </c>
      <c r="O9562" s="49">
        <v>44444</v>
      </c>
      <c r="P9562" s="50">
        <v>159.30000000000001</v>
      </c>
    </row>
    <row r="9563" spans="4:16" x14ac:dyDescent="0.2">
      <c r="D9563">
        <v>100005701</v>
      </c>
      <c r="E9563" s="49">
        <v>44426</v>
      </c>
      <c r="F9563" t="s">
        <v>6761</v>
      </c>
      <c r="G9563" t="s">
        <v>1718</v>
      </c>
      <c r="H9563">
        <v>6</v>
      </c>
      <c r="I9563">
        <v>55.09</v>
      </c>
      <c r="J9563" s="50">
        <v>330.54</v>
      </c>
      <c r="K9563" t="s">
        <v>1618</v>
      </c>
      <c r="M9563" t="s">
        <v>1627</v>
      </c>
      <c r="N9563">
        <v>29.08</v>
      </c>
      <c r="O9563" s="49">
        <v>44427</v>
      </c>
      <c r="P9563" s="50">
        <v>148.74300000000002</v>
      </c>
    </row>
    <row r="9564" spans="4:16" x14ac:dyDescent="0.2">
      <c r="D9564">
        <v>100005701</v>
      </c>
      <c r="E9564" s="49">
        <v>44884</v>
      </c>
      <c r="F9564" t="s">
        <v>6761</v>
      </c>
      <c r="G9564" t="s">
        <v>2111</v>
      </c>
      <c r="H9564">
        <v>3</v>
      </c>
      <c r="I9564">
        <v>105.73</v>
      </c>
      <c r="J9564" s="50">
        <v>317.19</v>
      </c>
      <c r="K9564" t="s">
        <v>1618</v>
      </c>
      <c r="M9564" t="s">
        <v>1621</v>
      </c>
      <c r="N9564">
        <v>55.8</v>
      </c>
      <c r="O9564" s="49">
        <v>44886</v>
      </c>
      <c r="P9564" s="50">
        <v>142.7355</v>
      </c>
    </row>
    <row r="9565" spans="4:16" x14ac:dyDescent="0.2">
      <c r="D9565">
        <v>100005702</v>
      </c>
      <c r="E9565" s="49">
        <v>45432</v>
      </c>
      <c r="F9565" t="s">
        <v>6762</v>
      </c>
      <c r="G9565" t="s">
        <v>1767</v>
      </c>
      <c r="H9565">
        <v>3</v>
      </c>
      <c r="I9565">
        <v>79.459999999999994</v>
      </c>
      <c r="J9565" s="50">
        <v>238.38</v>
      </c>
      <c r="K9565" t="s">
        <v>1632</v>
      </c>
      <c r="M9565" t="s">
        <v>1629</v>
      </c>
      <c r="N9565">
        <v>41.94</v>
      </c>
      <c r="O9565" s="49">
        <v>45433</v>
      </c>
      <c r="P9565" s="50">
        <v>107.271</v>
      </c>
    </row>
    <row r="9566" spans="4:16" x14ac:dyDescent="0.2">
      <c r="D9566">
        <v>100005705</v>
      </c>
      <c r="E9566" s="49">
        <v>45287</v>
      </c>
      <c r="F9566" t="s">
        <v>6763</v>
      </c>
      <c r="G9566" t="s">
        <v>1758</v>
      </c>
      <c r="H9566">
        <v>4</v>
      </c>
      <c r="I9566">
        <v>55.21</v>
      </c>
      <c r="J9566" s="50">
        <v>220.84</v>
      </c>
      <c r="K9566" t="s">
        <v>1632</v>
      </c>
      <c r="M9566" t="s">
        <v>1621</v>
      </c>
      <c r="N9566">
        <v>29.14</v>
      </c>
      <c r="O9566" s="49">
        <v>45291</v>
      </c>
      <c r="P9566" s="50">
        <v>99.378</v>
      </c>
    </row>
    <row r="9567" spans="4:16" x14ac:dyDescent="0.2">
      <c r="D9567">
        <v>100005705</v>
      </c>
      <c r="E9567" s="49">
        <v>44992</v>
      </c>
      <c r="F9567" t="s">
        <v>6763</v>
      </c>
      <c r="G9567" t="s">
        <v>1744</v>
      </c>
      <c r="H9567">
        <v>9</v>
      </c>
      <c r="I9567">
        <v>52.42</v>
      </c>
      <c r="J9567" s="50">
        <v>471.78</v>
      </c>
      <c r="K9567" t="s">
        <v>1632</v>
      </c>
      <c r="M9567" t="s">
        <v>1624</v>
      </c>
      <c r="N9567">
        <v>27.67</v>
      </c>
      <c r="O9567" s="49">
        <v>44994</v>
      </c>
      <c r="P9567" s="50">
        <v>212.30099999999999</v>
      </c>
    </row>
    <row r="9568" spans="4:16" x14ac:dyDescent="0.2">
      <c r="D9568">
        <v>100005705</v>
      </c>
      <c r="E9568" s="49">
        <v>44493</v>
      </c>
      <c r="F9568" t="s">
        <v>6763</v>
      </c>
      <c r="G9568" t="s">
        <v>2151</v>
      </c>
      <c r="H9568">
        <v>9</v>
      </c>
      <c r="I9568">
        <v>41.56</v>
      </c>
      <c r="J9568" s="50">
        <v>374.04</v>
      </c>
      <c r="K9568" t="s">
        <v>1632</v>
      </c>
      <c r="M9568" t="s">
        <v>1627</v>
      </c>
      <c r="N9568">
        <v>21.93</v>
      </c>
      <c r="O9568" s="49">
        <v>44496</v>
      </c>
      <c r="P9568" s="50">
        <v>168.31800000000001</v>
      </c>
    </row>
    <row r="9569" spans="4:16" x14ac:dyDescent="0.2">
      <c r="D9569">
        <v>100005705</v>
      </c>
      <c r="E9569" s="49">
        <v>45177</v>
      </c>
      <c r="F9569" t="s">
        <v>6763</v>
      </c>
      <c r="G9569" t="s">
        <v>1721</v>
      </c>
      <c r="H9569">
        <v>7</v>
      </c>
      <c r="I9569">
        <v>69.37</v>
      </c>
      <c r="J9569" s="50">
        <v>485.59</v>
      </c>
      <c r="K9569" t="s">
        <v>1632</v>
      </c>
      <c r="M9569" t="s">
        <v>1621</v>
      </c>
      <c r="N9569">
        <v>36.61</v>
      </c>
      <c r="O9569" s="49">
        <v>45181</v>
      </c>
      <c r="P9569" s="50">
        <v>218.5155</v>
      </c>
    </row>
    <row r="9570" spans="4:16" x14ac:dyDescent="0.2">
      <c r="D9570">
        <v>100005705</v>
      </c>
      <c r="E9570" s="49">
        <v>45615</v>
      </c>
      <c r="F9570" t="s">
        <v>6763</v>
      </c>
      <c r="G9570" t="s">
        <v>1955</v>
      </c>
      <c r="H9570">
        <v>6</v>
      </c>
      <c r="I9570">
        <v>98.3</v>
      </c>
      <c r="J9570" s="50">
        <v>589.79999999999995</v>
      </c>
      <c r="K9570" t="s">
        <v>1632</v>
      </c>
      <c r="M9570" t="s">
        <v>1624</v>
      </c>
      <c r="N9570">
        <v>51.88</v>
      </c>
      <c r="O9570" s="49">
        <v>45620</v>
      </c>
      <c r="P9570" s="50">
        <v>265.40999999999997</v>
      </c>
    </row>
    <row r="9571" spans="4:16" x14ac:dyDescent="0.2">
      <c r="D9571">
        <v>100005705</v>
      </c>
      <c r="E9571" s="49">
        <v>45321</v>
      </c>
      <c r="F9571" t="s">
        <v>6763</v>
      </c>
      <c r="G9571" t="s">
        <v>1802</v>
      </c>
      <c r="H9571">
        <v>7</v>
      </c>
      <c r="I9571">
        <v>67.75</v>
      </c>
      <c r="J9571" s="50">
        <v>474.25</v>
      </c>
      <c r="K9571" t="s">
        <v>1632</v>
      </c>
      <c r="M9571" t="s">
        <v>1629</v>
      </c>
      <c r="N9571">
        <v>35.76</v>
      </c>
      <c r="O9571" s="49">
        <v>45323</v>
      </c>
      <c r="P9571" s="50">
        <v>213.41249999999999</v>
      </c>
    </row>
    <row r="9572" spans="4:16" x14ac:dyDescent="0.2">
      <c r="D9572">
        <v>100005705</v>
      </c>
      <c r="E9572" s="49">
        <v>44344</v>
      </c>
      <c r="F9572" t="s">
        <v>6763</v>
      </c>
      <c r="G9572" t="s">
        <v>1676</v>
      </c>
      <c r="H9572">
        <v>8</v>
      </c>
      <c r="I9572">
        <v>67.72</v>
      </c>
      <c r="J9572" s="50">
        <v>541.76</v>
      </c>
      <c r="K9572" t="s">
        <v>1632</v>
      </c>
      <c r="M9572" t="s">
        <v>1627</v>
      </c>
      <c r="N9572">
        <v>35.74</v>
      </c>
      <c r="O9572" s="49">
        <v>44345</v>
      </c>
      <c r="P9572" s="50">
        <v>243.792</v>
      </c>
    </row>
    <row r="9573" spans="4:16" x14ac:dyDescent="0.2">
      <c r="D9573">
        <v>100005706</v>
      </c>
      <c r="E9573" s="49">
        <v>45329</v>
      </c>
      <c r="F9573" t="s">
        <v>6764</v>
      </c>
      <c r="G9573" t="s">
        <v>1846</v>
      </c>
      <c r="H9573">
        <v>9</v>
      </c>
      <c r="I9573">
        <v>110.99</v>
      </c>
      <c r="J9573" s="50">
        <v>998.91</v>
      </c>
      <c r="K9573" t="s">
        <v>1632</v>
      </c>
      <c r="L9573" t="s">
        <v>5443</v>
      </c>
      <c r="M9573" t="s">
        <v>1621</v>
      </c>
      <c r="N9573">
        <v>58.58</v>
      </c>
      <c r="O9573" s="49">
        <v>45330</v>
      </c>
      <c r="P9573" s="50">
        <v>449.5095</v>
      </c>
    </row>
    <row r="9574" spans="4:16" x14ac:dyDescent="0.2">
      <c r="D9574">
        <v>100005709</v>
      </c>
      <c r="E9574" s="49">
        <v>44425</v>
      </c>
      <c r="F9574" t="s">
        <v>6765</v>
      </c>
      <c r="G9574" t="s">
        <v>1650</v>
      </c>
      <c r="H9574">
        <v>9</v>
      </c>
      <c r="I9574">
        <v>86.53</v>
      </c>
      <c r="J9574" s="50">
        <v>778.77</v>
      </c>
      <c r="K9574" t="s">
        <v>1618</v>
      </c>
      <c r="M9574" t="s">
        <v>1627</v>
      </c>
      <c r="N9574">
        <v>45.67</v>
      </c>
      <c r="O9574" s="49">
        <v>44430</v>
      </c>
      <c r="P9574" s="50">
        <v>350.44650000000001</v>
      </c>
    </row>
    <row r="9575" spans="4:16" x14ac:dyDescent="0.2">
      <c r="D9575">
        <v>100005710</v>
      </c>
      <c r="E9575" s="49">
        <v>45212</v>
      </c>
      <c r="F9575" t="s">
        <v>6766</v>
      </c>
      <c r="G9575" t="s">
        <v>2418</v>
      </c>
      <c r="H9575">
        <v>8</v>
      </c>
      <c r="I9575">
        <v>109.7</v>
      </c>
      <c r="J9575" s="50">
        <v>877.6</v>
      </c>
      <c r="K9575" t="s">
        <v>1618</v>
      </c>
      <c r="L9575" t="s">
        <v>4733</v>
      </c>
      <c r="M9575" t="s">
        <v>1624</v>
      </c>
      <c r="N9575">
        <v>57.9</v>
      </c>
      <c r="O9575" s="49">
        <v>45215</v>
      </c>
      <c r="P9575" s="50">
        <v>394.92</v>
      </c>
    </row>
    <row r="9576" spans="4:16" x14ac:dyDescent="0.2">
      <c r="D9576">
        <v>100005711</v>
      </c>
      <c r="E9576" s="49">
        <v>45171</v>
      </c>
      <c r="F9576" t="s">
        <v>6767</v>
      </c>
      <c r="G9576" t="s">
        <v>1704</v>
      </c>
      <c r="H9576">
        <v>2</v>
      </c>
      <c r="I9576">
        <v>102.5</v>
      </c>
      <c r="J9576" s="50">
        <v>205</v>
      </c>
      <c r="K9576" t="s">
        <v>1618</v>
      </c>
      <c r="L9576" t="s">
        <v>4099</v>
      </c>
      <c r="M9576" t="s">
        <v>1624</v>
      </c>
      <c r="N9576">
        <v>54.1</v>
      </c>
      <c r="O9576" s="49">
        <v>45176</v>
      </c>
      <c r="P9576" s="50">
        <v>92.25</v>
      </c>
    </row>
    <row r="9577" spans="4:16" x14ac:dyDescent="0.2">
      <c r="D9577">
        <v>100005711</v>
      </c>
      <c r="E9577" s="49">
        <v>45163</v>
      </c>
      <c r="F9577" t="s">
        <v>6767</v>
      </c>
      <c r="G9577" t="s">
        <v>1910</v>
      </c>
      <c r="H9577">
        <v>8</v>
      </c>
      <c r="I9577">
        <v>68.67</v>
      </c>
      <c r="J9577" s="50">
        <v>549.36</v>
      </c>
      <c r="K9577" t="s">
        <v>1618</v>
      </c>
      <c r="L9577" t="s">
        <v>4099</v>
      </c>
      <c r="M9577" t="s">
        <v>1627</v>
      </c>
      <c r="N9577">
        <v>36.24</v>
      </c>
      <c r="O9577" s="49">
        <v>45167</v>
      </c>
      <c r="P9577" s="50">
        <v>247.21200000000002</v>
      </c>
    </row>
    <row r="9578" spans="4:16" x14ac:dyDescent="0.2">
      <c r="D9578">
        <v>100005714</v>
      </c>
      <c r="E9578" s="49">
        <v>44679</v>
      </c>
      <c r="F9578" t="s">
        <v>6768</v>
      </c>
      <c r="G9578" t="s">
        <v>1955</v>
      </c>
      <c r="H9578">
        <v>2</v>
      </c>
      <c r="I9578">
        <v>64.48</v>
      </c>
      <c r="J9578" s="50">
        <v>128.96</v>
      </c>
      <c r="K9578" t="s">
        <v>1618</v>
      </c>
      <c r="L9578" t="s">
        <v>6769</v>
      </c>
      <c r="M9578" t="s">
        <v>1621</v>
      </c>
      <c r="N9578">
        <v>34.03</v>
      </c>
      <c r="O9578" s="49">
        <v>44684</v>
      </c>
      <c r="P9578" s="50">
        <v>58.032000000000004</v>
      </c>
    </row>
    <row r="9579" spans="4:16" x14ac:dyDescent="0.2">
      <c r="D9579">
        <v>100005714</v>
      </c>
      <c r="E9579" s="49">
        <v>44720</v>
      </c>
      <c r="F9579" t="s">
        <v>6768</v>
      </c>
      <c r="G9579" t="s">
        <v>1844</v>
      </c>
      <c r="H9579">
        <v>8</v>
      </c>
      <c r="I9579">
        <v>70.150000000000006</v>
      </c>
      <c r="J9579" s="50">
        <v>561.20000000000005</v>
      </c>
      <c r="K9579" t="s">
        <v>1618</v>
      </c>
      <c r="L9579" t="s">
        <v>6769</v>
      </c>
      <c r="M9579" t="s">
        <v>1624</v>
      </c>
      <c r="N9579">
        <v>37.020000000000003</v>
      </c>
      <c r="O9579" s="49">
        <v>44721</v>
      </c>
      <c r="P9579" s="50">
        <v>252.54000000000002</v>
      </c>
    </row>
    <row r="9580" spans="4:16" x14ac:dyDescent="0.2">
      <c r="D9580">
        <v>100005714</v>
      </c>
      <c r="E9580" s="49">
        <v>44467</v>
      </c>
      <c r="F9580" t="s">
        <v>6768</v>
      </c>
      <c r="G9580" t="s">
        <v>1895</v>
      </c>
      <c r="H9580">
        <v>2</v>
      </c>
      <c r="I9580">
        <v>92.31</v>
      </c>
      <c r="J9580" s="50">
        <v>184.62</v>
      </c>
      <c r="K9580" t="s">
        <v>1618</v>
      </c>
      <c r="L9580" t="s">
        <v>6769</v>
      </c>
      <c r="M9580" t="s">
        <v>1627</v>
      </c>
      <c r="N9580">
        <v>48.72</v>
      </c>
      <c r="O9580" s="49">
        <v>44470</v>
      </c>
      <c r="P9580" s="50">
        <v>83.079000000000008</v>
      </c>
    </row>
    <row r="9581" spans="4:16" x14ac:dyDescent="0.2">
      <c r="D9581">
        <v>100005714</v>
      </c>
      <c r="E9581" s="49">
        <v>44704</v>
      </c>
      <c r="F9581" t="s">
        <v>6768</v>
      </c>
      <c r="G9581" t="s">
        <v>2447</v>
      </c>
      <c r="H9581">
        <v>4</v>
      </c>
      <c r="I9581">
        <v>82.58</v>
      </c>
      <c r="J9581" s="50">
        <v>330.32</v>
      </c>
      <c r="K9581" t="s">
        <v>1618</v>
      </c>
      <c r="L9581" t="s">
        <v>6769</v>
      </c>
      <c r="M9581" t="s">
        <v>1619</v>
      </c>
      <c r="N9581">
        <v>43.58</v>
      </c>
      <c r="O9581" s="49">
        <v>44708</v>
      </c>
      <c r="P9581" s="50">
        <v>148.64400000000001</v>
      </c>
    </row>
    <row r="9582" spans="4:16" x14ac:dyDescent="0.2">
      <c r="D9582">
        <v>100005714</v>
      </c>
      <c r="E9582" s="49">
        <v>45026</v>
      </c>
      <c r="F9582" t="s">
        <v>6768</v>
      </c>
      <c r="G9582" t="s">
        <v>1815</v>
      </c>
      <c r="H9582">
        <v>3</v>
      </c>
      <c r="I9582">
        <v>55.94</v>
      </c>
      <c r="J9582" s="50">
        <v>167.82</v>
      </c>
      <c r="K9582" t="s">
        <v>1618</v>
      </c>
      <c r="L9582" t="s">
        <v>6769</v>
      </c>
      <c r="M9582" t="s">
        <v>1621</v>
      </c>
      <c r="N9582">
        <v>29.52</v>
      </c>
      <c r="O9582" s="49">
        <v>45027</v>
      </c>
      <c r="P9582" s="50">
        <v>75.519000000000005</v>
      </c>
    </row>
    <row r="9583" spans="4:16" x14ac:dyDescent="0.2">
      <c r="D9583">
        <v>100005714</v>
      </c>
      <c r="E9583" s="49">
        <v>44900</v>
      </c>
      <c r="F9583" t="s">
        <v>6768</v>
      </c>
      <c r="G9583" t="s">
        <v>2436</v>
      </c>
      <c r="H9583">
        <v>5</v>
      </c>
      <c r="I9583">
        <v>90.36</v>
      </c>
      <c r="J9583" s="50">
        <v>451.8</v>
      </c>
      <c r="K9583" t="s">
        <v>1618</v>
      </c>
      <c r="L9583" t="s">
        <v>6769</v>
      </c>
      <c r="M9583" t="s">
        <v>1627</v>
      </c>
      <c r="N9583">
        <v>47.69</v>
      </c>
      <c r="O9583" s="49">
        <v>44904</v>
      </c>
      <c r="P9583" s="50">
        <v>203.31</v>
      </c>
    </row>
    <row r="9584" spans="4:16" x14ac:dyDescent="0.2">
      <c r="D9584">
        <v>100005715</v>
      </c>
      <c r="E9584" s="49">
        <v>44999</v>
      </c>
      <c r="F9584" t="s">
        <v>6770</v>
      </c>
      <c r="G9584" t="s">
        <v>2068</v>
      </c>
      <c r="H9584">
        <v>10</v>
      </c>
      <c r="I9584">
        <v>92.45</v>
      </c>
      <c r="J9584" s="50">
        <v>924.5</v>
      </c>
      <c r="K9584" t="s">
        <v>1618</v>
      </c>
      <c r="L9584" t="s">
        <v>5794</v>
      </c>
      <c r="M9584" t="s">
        <v>1627</v>
      </c>
      <c r="N9584">
        <v>48.79</v>
      </c>
      <c r="O9584" s="49">
        <v>45004</v>
      </c>
      <c r="P9584" s="50">
        <v>416.02500000000003</v>
      </c>
    </row>
    <row r="9585" spans="4:16" x14ac:dyDescent="0.2">
      <c r="D9585">
        <v>100005717</v>
      </c>
      <c r="E9585" s="49">
        <v>45565</v>
      </c>
      <c r="F9585" t="s">
        <v>6344</v>
      </c>
      <c r="G9585" t="s">
        <v>1644</v>
      </c>
      <c r="H9585">
        <v>10</v>
      </c>
      <c r="I9585">
        <v>19.97</v>
      </c>
      <c r="J9585" s="50">
        <v>199.7</v>
      </c>
      <c r="K9585" t="s">
        <v>1618</v>
      </c>
      <c r="M9585" t="s">
        <v>1629</v>
      </c>
      <c r="N9585">
        <v>10.54</v>
      </c>
      <c r="O9585" s="49">
        <v>45569</v>
      </c>
      <c r="P9585" s="50">
        <v>89.864999999999995</v>
      </c>
    </row>
    <row r="9586" spans="4:16" x14ac:dyDescent="0.2">
      <c r="D9586">
        <v>100005717</v>
      </c>
      <c r="E9586" s="49">
        <v>44597</v>
      </c>
      <c r="F9586" t="s">
        <v>6344</v>
      </c>
      <c r="G9586" t="s">
        <v>1702</v>
      </c>
      <c r="H9586">
        <v>4</v>
      </c>
      <c r="I9586">
        <v>80.28</v>
      </c>
      <c r="J9586" s="50">
        <v>321.12</v>
      </c>
      <c r="K9586" t="s">
        <v>1618</v>
      </c>
      <c r="M9586" t="s">
        <v>1629</v>
      </c>
      <c r="N9586">
        <v>42.37</v>
      </c>
      <c r="O9586" s="49">
        <v>44598</v>
      </c>
      <c r="P9586" s="50">
        <v>144.50400000000002</v>
      </c>
    </row>
    <row r="9587" spans="4:16" x14ac:dyDescent="0.2">
      <c r="D9587">
        <v>100005717</v>
      </c>
      <c r="E9587" s="49">
        <v>44332</v>
      </c>
      <c r="F9587" t="s">
        <v>6344</v>
      </c>
      <c r="G9587" t="s">
        <v>1838</v>
      </c>
      <c r="H9587">
        <v>5</v>
      </c>
      <c r="I9587">
        <v>110.45</v>
      </c>
      <c r="J9587" s="50">
        <v>552.25</v>
      </c>
      <c r="K9587" t="s">
        <v>1618</v>
      </c>
      <c r="M9587" t="s">
        <v>1629</v>
      </c>
      <c r="N9587">
        <v>58.29</v>
      </c>
      <c r="O9587" s="49">
        <v>44336</v>
      </c>
      <c r="P9587" s="50">
        <v>248.51250000000002</v>
      </c>
    </row>
    <row r="9588" spans="4:16" x14ac:dyDescent="0.2">
      <c r="D9588">
        <v>100005718</v>
      </c>
      <c r="E9588" s="49">
        <v>44525</v>
      </c>
      <c r="F9588" t="s">
        <v>6771</v>
      </c>
      <c r="G9588" t="s">
        <v>2480</v>
      </c>
      <c r="H9588">
        <v>6</v>
      </c>
      <c r="I9588">
        <v>10.8</v>
      </c>
      <c r="J9588" s="50">
        <v>64.800000000000011</v>
      </c>
      <c r="K9588" t="s">
        <v>1632</v>
      </c>
      <c r="M9588" t="s">
        <v>1619</v>
      </c>
      <c r="N9588">
        <v>5.7</v>
      </c>
      <c r="O9588" s="49">
        <v>44529</v>
      </c>
      <c r="P9588" s="50">
        <v>29.160000000000007</v>
      </c>
    </row>
    <row r="9589" spans="4:16" x14ac:dyDescent="0.2">
      <c r="D9589">
        <v>100005718</v>
      </c>
      <c r="E9589" s="49">
        <v>44339</v>
      </c>
      <c r="F9589" t="s">
        <v>6771</v>
      </c>
      <c r="G9589" t="s">
        <v>2240</v>
      </c>
      <c r="H9589">
        <v>7</v>
      </c>
      <c r="I9589">
        <v>56.65</v>
      </c>
      <c r="J9589" s="50">
        <v>396.55</v>
      </c>
      <c r="K9589" t="s">
        <v>1632</v>
      </c>
      <c r="M9589" t="s">
        <v>1621</v>
      </c>
      <c r="N9589">
        <v>29.9</v>
      </c>
      <c r="O9589" s="49">
        <v>44343</v>
      </c>
      <c r="P9589" s="50">
        <v>178.44750000000002</v>
      </c>
    </row>
    <row r="9590" spans="4:16" x14ac:dyDescent="0.2">
      <c r="D9590">
        <v>100005718</v>
      </c>
      <c r="E9590" s="49">
        <v>45123</v>
      </c>
      <c r="F9590" t="s">
        <v>6771</v>
      </c>
      <c r="G9590" t="s">
        <v>2331</v>
      </c>
      <c r="H9590">
        <v>2</v>
      </c>
      <c r="I9590">
        <v>31.89</v>
      </c>
      <c r="J9590" s="50">
        <v>63.78</v>
      </c>
      <c r="K9590" t="s">
        <v>1632</v>
      </c>
      <c r="M9590" t="s">
        <v>1621</v>
      </c>
      <c r="N9590">
        <v>16.829999999999998</v>
      </c>
      <c r="O9590" s="49">
        <v>45124</v>
      </c>
      <c r="P9590" s="50">
        <v>28.701000000000001</v>
      </c>
    </row>
    <row r="9591" spans="4:16" x14ac:dyDescent="0.2">
      <c r="D9591">
        <v>100005718</v>
      </c>
      <c r="E9591" s="49">
        <v>44863</v>
      </c>
      <c r="F9591" t="s">
        <v>6771</v>
      </c>
      <c r="G9591" t="s">
        <v>1649</v>
      </c>
      <c r="H9591">
        <v>1</v>
      </c>
      <c r="I9591">
        <v>29.13</v>
      </c>
      <c r="J9591" s="50">
        <v>29.13</v>
      </c>
      <c r="K9591" t="s">
        <v>1632</v>
      </c>
      <c r="M9591" t="s">
        <v>1627</v>
      </c>
      <c r="N9591">
        <v>15.37</v>
      </c>
      <c r="O9591" s="49">
        <v>44867</v>
      </c>
      <c r="P9591" s="50">
        <v>13.108499999999999</v>
      </c>
    </row>
    <row r="9592" spans="4:16" x14ac:dyDescent="0.2">
      <c r="D9592">
        <v>100005718</v>
      </c>
      <c r="E9592" s="49">
        <v>45573</v>
      </c>
      <c r="F9592" t="s">
        <v>6771</v>
      </c>
      <c r="G9592" t="s">
        <v>1768</v>
      </c>
      <c r="H9592">
        <v>5</v>
      </c>
      <c r="I9592">
        <v>66.61</v>
      </c>
      <c r="J9592" s="50">
        <v>333.05</v>
      </c>
      <c r="K9592" t="s">
        <v>1632</v>
      </c>
      <c r="M9592" t="s">
        <v>1627</v>
      </c>
      <c r="N9592">
        <v>35.159999999999997</v>
      </c>
      <c r="O9592" s="49">
        <v>45576</v>
      </c>
      <c r="P9592" s="50">
        <v>149.8725</v>
      </c>
    </row>
    <row r="9593" spans="4:16" x14ac:dyDescent="0.2">
      <c r="D9593">
        <v>100005721</v>
      </c>
      <c r="E9593" s="49">
        <v>45489</v>
      </c>
      <c r="F9593" t="s">
        <v>6772</v>
      </c>
      <c r="G9593" t="s">
        <v>2278</v>
      </c>
      <c r="H9593">
        <v>9</v>
      </c>
      <c r="I9593">
        <v>52.03</v>
      </c>
      <c r="J9593" s="50">
        <v>468.27</v>
      </c>
      <c r="K9593" t="s">
        <v>1632</v>
      </c>
      <c r="M9593" t="s">
        <v>1624</v>
      </c>
      <c r="N9593">
        <v>27.46</v>
      </c>
      <c r="O9593" s="49">
        <v>45494</v>
      </c>
      <c r="P9593" s="50">
        <v>210.72149999999999</v>
      </c>
    </row>
    <row r="9594" spans="4:16" x14ac:dyDescent="0.2">
      <c r="D9594">
        <v>100005722</v>
      </c>
      <c r="E9594" s="49">
        <v>45361</v>
      </c>
      <c r="F9594" t="s">
        <v>6773</v>
      </c>
      <c r="G9594" t="s">
        <v>1751</v>
      </c>
      <c r="H9594">
        <v>8</v>
      </c>
      <c r="I9594">
        <v>32.729999999999997</v>
      </c>
      <c r="J9594" s="50">
        <v>261.83999999999997</v>
      </c>
      <c r="K9594" t="s">
        <v>1618</v>
      </c>
      <c r="L9594" t="s">
        <v>6398</v>
      </c>
      <c r="M9594" t="s">
        <v>1621</v>
      </c>
      <c r="N9594">
        <v>17.27</v>
      </c>
      <c r="O9594" s="49">
        <v>45365</v>
      </c>
      <c r="P9594" s="50">
        <v>117.82799999999999</v>
      </c>
    </row>
    <row r="9595" spans="4:16" x14ac:dyDescent="0.2">
      <c r="D9595">
        <v>100005722</v>
      </c>
      <c r="E9595" s="49">
        <v>44909</v>
      </c>
      <c r="F9595" t="s">
        <v>6773</v>
      </c>
      <c r="G9595" t="s">
        <v>1890</v>
      </c>
      <c r="H9595">
        <v>4</v>
      </c>
      <c r="I9595">
        <v>85.52</v>
      </c>
      <c r="J9595" s="50">
        <v>342.08</v>
      </c>
      <c r="K9595" t="s">
        <v>1618</v>
      </c>
      <c r="L9595" t="s">
        <v>6398</v>
      </c>
      <c r="M9595" t="s">
        <v>1627</v>
      </c>
      <c r="N9595">
        <v>45.14</v>
      </c>
      <c r="O9595" s="49">
        <v>44913</v>
      </c>
      <c r="P9595" s="50">
        <v>153.93600000000001</v>
      </c>
    </row>
    <row r="9596" spans="4:16" x14ac:dyDescent="0.2">
      <c r="D9596">
        <v>100005724</v>
      </c>
      <c r="E9596" s="49">
        <v>45170</v>
      </c>
      <c r="F9596" t="s">
        <v>6774</v>
      </c>
      <c r="G9596" t="s">
        <v>1677</v>
      </c>
      <c r="H9596">
        <v>8</v>
      </c>
      <c r="I9596">
        <v>52.36</v>
      </c>
      <c r="J9596" s="50">
        <v>418.88</v>
      </c>
      <c r="K9596" t="s">
        <v>1632</v>
      </c>
      <c r="L9596" t="s">
        <v>2602</v>
      </c>
      <c r="M9596" t="s">
        <v>1629</v>
      </c>
      <c r="N9596">
        <v>27.63</v>
      </c>
      <c r="O9596" s="49">
        <v>45172</v>
      </c>
      <c r="P9596" s="50">
        <v>188.49600000000001</v>
      </c>
    </row>
    <row r="9597" spans="4:16" x14ac:dyDescent="0.2">
      <c r="D9597">
        <v>100005724</v>
      </c>
      <c r="E9597" s="49">
        <v>45319</v>
      </c>
      <c r="F9597" t="s">
        <v>6774</v>
      </c>
      <c r="G9597" t="s">
        <v>2202</v>
      </c>
      <c r="H9597">
        <v>8</v>
      </c>
      <c r="I9597">
        <v>24.24</v>
      </c>
      <c r="J9597" s="50">
        <v>193.92</v>
      </c>
      <c r="K9597" t="s">
        <v>1632</v>
      </c>
      <c r="L9597" t="s">
        <v>2602</v>
      </c>
      <c r="M9597" t="s">
        <v>1624</v>
      </c>
      <c r="N9597">
        <v>12.79</v>
      </c>
      <c r="O9597" s="49">
        <v>45323</v>
      </c>
      <c r="P9597" s="50">
        <v>87.263999999999996</v>
      </c>
    </row>
    <row r="9598" spans="4:16" x14ac:dyDescent="0.2">
      <c r="D9598">
        <v>100005724</v>
      </c>
      <c r="E9598" s="49">
        <v>45026</v>
      </c>
      <c r="F9598" t="s">
        <v>6774</v>
      </c>
      <c r="G9598" t="s">
        <v>1647</v>
      </c>
      <c r="H9598">
        <v>6</v>
      </c>
      <c r="I9598">
        <v>80.73</v>
      </c>
      <c r="J9598" s="50">
        <v>484.38</v>
      </c>
      <c r="K9598" t="s">
        <v>1632</v>
      </c>
      <c r="L9598" t="s">
        <v>2602</v>
      </c>
      <c r="M9598" t="s">
        <v>1629</v>
      </c>
      <c r="N9598">
        <v>42.61</v>
      </c>
      <c r="O9598" s="49">
        <v>45029</v>
      </c>
      <c r="P9598" s="50">
        <v>217.971</v>
      </c>
    </row>
    <row r="9599" spans="4:16" x14ac:dyDescent="0.2">
      <c r="D9599">
        <v>100005724</v>
      </c>
      <c r="E9599" s="49">
        <v>45422</v>
      </c>
      <c r="F9599" t="s">
        <v>6774</v>
      </c>
      <c r="G9599" t="s">
        <v>1724</v>
      </c>
      <c r="H9599">
        <v>6</v>
      </c>
      <c r="I9599">
        <v>38.26</v>
      </c>
      <c r="J9599" s="50">
        <v>229.56</v>
      </c>
      <c r="K9599" t="s">
        <v>1632</v>
      </c>
      <c r="L9599" t="s">
        <v>2602</v>
      </c>
      <c r="M9599" t="s">
        <v>1627</v>
      </c>
      <c r="N9599">
        <v>20.190000000000001</v>
      </c>
      <c r="O9599" s="49">
        <v>45425</v>
      </c>
      <c r="P9599" s="50">
        <v>103.30200000000001</v>
      </c>
    </row>
    <row r="9600" spans="4:16" x14ac:dyDescent="0.2">
      <c r="D9600">
        <v>100005724</v>
      </c>
      <c r="E9600" s="49">
        <v>45231</v>
      </c>
      <c r="F9600" t="s">
        <v>6774</v>
      </c>
      <c r="G9600" t="s">
        <v>1799</v>
      </c>
      <c r="H9600">
        <v>1</v>
      </c>
      <c r="I9600">
        <v>78.02</v>
      </c>
      <c r="J9600" s="50">
        <v>78.02</v>
      </c>
      <c r="K9600" t="s">
        <v>1632</v>
      </c>
      <c r="L9600" t="s">
        <v>2602</v>
      </c>
      <c r="M9600" t="s">
        <v>1629</v>
      </c>
      <c r="N9600">
        <v>41.18</v>
      </c>
      <c r="O9600" s="49">
        <v>45235</v>
      </c>
      <c r="P9600" s="50">
        <v>35.109000000000002</v>
      </c>
    </row>
    <row r="9601" spans="4:16" x14ac:dyDescent="0.2">
      <c r="D9601">
        <v>100005725</v>
      </c>
      <c r="E9601" s="49">
        <v>45262</v>
      </c>
      <c r="F9601" t="s">
        <v>6775</v>
      </c>
      <c r="G9601" t="s">
        <v>1882</v>
      </c>
      <c r="H9601">
        <v>4</v>
      </c>
      <c r="I9601">
        <v>21.3</v>
      </c>
      <c r="J9601" s="50">
        <v>85.2</v>
      </c>
      <c r="K9601" t="s">
        <v>1632</v>
      </c>
      <c r="M9601" t="s">
        <v>1619</v>
      </c>
      <c r="N9601">
        <v>11.24</v>
      </c>
      <c r="O9601" s="49">
        <v>45264</v>
      </c>
      <c r="P9601" s="50">
        <v>38.340000000000003</v>
      </c>
    </row>
    <row r="9602" spans="4:16" x14ac:dyDescent="0.2">
      <c r="D9602">
        <v>100005725</v>
      </c>
      <c r="E9602" s="49">
        <v>45383</v>
      </c>
      <c r="F9602" t="s">
        <v>6775</v>
      </c>
      <c r="G9602" t="s">
        <v>1648</v>
      </c>
      <c r="H9602">
        <v>9</v>
      </c>
      <c r="I9602">
        <v>63.83</v>
      </c>
      <c r="J9602" s="50">
        <v>574.47</v>
      </c>
      <c r="K9602" t="s">
        <v>1632</v>
      </c>
      <c r="M9602" t="s">
        <v>1627</v>
      </c>
      <c r="N9602">
        <v>33.69</v>
      </c>
      <c r="O9602" s="49">
        <v>45386</v>
      </c>
      <c r="P9602" s="50">
        <v>258.51150000000001</v>
      </c>
    </row>
    <row r="9603" spans="4:16" x14ac:dyDescent="0.2">
      <c r="D9603">
        <v>100005725</v>
      </c>
      <c r="E9603" s="49">
        <v>44294</v>
      </c>
      <c r="F9603" t="s">
        <v>6775</v>
      </c>
      <c r="G9603" t="s">
        <v>2574</v>
      </c>
      <c r="H9603">
        <v>7</v>
      </c>
      <c r="I9603">
        <v>101.47</v>
      </c>
      <c r="J9603" s="50">
        <v>710.29</v>
      </c>
      <c r="K9603" t="s">
        <v>1632</v>
      </c>
      <c r="M9603" t="s">
        <v>1624</v>
      </c>
      <c r="N9603">
        <v>53.55</v>
      </c>
      <c r="O9603" s="49">
        <v>44295</v>
      </c>
      <c r="P9603" s="50">
        <v>319.63049999999998</v>
      </c>
    </row>
    <row r="9604" spans="4:16" x14ac:dyDescent="0.2">
      <c r="D9604">
        <v>100005728</v>
      </c>
      <c r="E9604" s="49">
        <v>44351</v>
      </c>
      <c r="F9604" t="s">
        <v>6776</v>
      </c>
      <c r="G9604" t="s">
        <v>1831</v>
      </c>
      <c r="H9604">
        <v>3</v>
      </c>
      <c r="I9604">
        <v>90.17</v>
      </c>
      <c r="J9604" s="50">
        <v>270.51</v>
      </c>
      <c r="K9604" t="s">
        <v>1618</v>
      </c>
      <c r="M9604" t="s">
        <v>1629</v>
      </c>
      <c r="N9604">
        <v>47.59</v>
      </c>
      <c r="O9604" s="49">
        <v>44356</v>
      </c>
      <c r="P9604" s="50">
        <v>121.7295</v>
      </c>
    </row>
    <row r="9605" spans="4:16" x14ac:dyDescent="0.2">
      <c r="D9605">
        <v>100005729</v>
      </c>
      <c r="E9605" s="49">
        <v>45116</v>
      </c>
      <c r="F9605" t="s">
        <v>6777</v>
      </c>
      <c r="G9605" t="s">
        <v>2306</v>
      </c>
      <c r="H9605">
        <v>3</v>
      </c>
      <c r="I9605">
        <v>112.27</v>
      </c>
      <c r="J9605" s="50">
        <v>336.81</v>
      </c>
      <c r="K9605" t="s">
        <v>1618</v>
      </c>
      <c r="L9605" t="s">
        <v>6778</v>
      </c>
      <c r="M9605" t="s">
        <v>1627</v>
      </c>
      <c r="N9605">
        <v>59.25</v>
      </c>
      <c r="O9605" s="49">
        <v>45118</v>
      </c>
      <c r="P9605" s="50">
        <v>151.56450000000001</v>
      </c>
    </row>
    <row r="9606" spans="4:16" x14ac:dyDescent="0.2">
      <c r="D9606">
        <v>100005729</v>
      </c>
      <c r="E9606" s="49">
        <v>45196</v>
      </c>
      <c r="F9606" t="s">
        <v>6777</v>
      </c>
      <c r="G9606" t="s">
        <v>1893</v>
      </c>
      <c r="H9606">
        <v>6</v>
      </c>
      <c r="I9606">
        <v>15.09</v>
      </c>
      <c r="J9606" s="50">
        <v>90.539999999999992</v>
      </c>
      <c r="K9606" t="s">
        <v>1618</v>
      </c>
      <c r="L9606" t="s">
        <v>6778</v>
      </c>
      <c r="M9606" t="s">
        <v>1621</v>
      </c>
      <c r="N9606">
        <v>7.96</v>
      </c>
      <c r="O9606" s="49">
        <v>45197</v>
      </c>
      <c r="P9606" s="50">
        <v>40.742999999999995</v>
      </c>
    </row>
    <row r="9607" spans="4:16" x14ac:dyDescent="0.2">
      <c r="D9607">
        <v>100005729</v>
      </c>
      <c r="E9607" s="49">
        <v>45275</v>
      </c>
      <c r="F9607" t="s">
        <v>6777</v>
      </c>
      <c r="G9607" t="s">
        <v>1642</v>
      </c>
      <c r="H9607">
        <v>8</v>
      </c>
      <c r="I9607">
        <v>91.11</v>
      </c>
      <c r="J9607" s="50">
        <v>728.88</v>
      </c>
      <c r="K9607" t="s">
        <v>1618</v>
      </c>
      <c r="L9607" t="s">
        <v>6778</v>
      </c>
      <c r="M9607" t="s">
        <v>1619</v>
      </c>
      <c r="N9607">
        <v>48.09</v>
      </c>
      <c r="O9607" s="49">
        <v>45277</v>
      </c>
      <c r="P9607" s="50">
        <v>327.99599999999998</v>
      </c>
    </row>
    <row r="9608" spans="4:16" x14ac:dyDescent="0.2">
      <c r="D9608">
        <v>100005730</v>
      </c>
      <c r="E9608" s="49">
        <v>44486</v>
      </c>
      <c r="F9608" t="s">
        <v>6779</v>
      </c>
      <c r="G9608" t="s">
        <v>2028</v>
      </c>
      <c r="H9608">
        <v>10</v>
      </c>
      <c r="I9608">
        <v>62.09</v>
      </c>
      <c r="J9608" s="50">
        <v>620.90000000000009</v>
      </c>
      <c r="K9608" t="s">
        <v>1618</v>
      </c>
      <c r="M9608" t="s">
        <v>1621</v>
      </c>
      <c r="N9608">
        <v>32.770000000000003</v>
      </c>
      <c r="O9608" s="49">
        <v>44491</v>
      </c>
      <c r="P9608" s="50">
        <v>279.40500000000003</v>
      </c>
    </row>
    <row r="9609" spans="4:16" x14ac:dyDescent="0.2">
      <c r="D9609">
        <v>100005730</v>
      </c>
      <c r="E9609" s="49">
        <v>44513</v>
      </c>
      <c r="F9609" t="s">
        <v>6779</v>
      </c>
      <c r="G9609" t="s">
        <v>1714</v>
      </c>
      <c r="H9609">
        <v>2</v>
      </c>
      <c r="I9609">
        <v>42.3</v>
      </c>
      <c r="J9609" s="50">
        <v>84.6</v>
      </c>
      <c r="K9609" t="s">
        <v>1618</v>
      </c>
      <c r="M9609" t="s">
        <v>1627</v>
      </c>
      <c r="N9609">
        <v>22.32</v>
      </c>
      <c r="O9609" s="49">
        <v>44517</v>
      </c>
      <c r="P9609" s="50">
        <v>38.07</v>
      </c>
    </row>
    <row r="9610" spans="4:16" x14ac:dyDescent="0.2">
      <c r="D9610">
        <v>100005731</v>
      </c>
      <c r="E9610" s="49">
        <v>44477</v>
      </c>
      <c r="F9610" t="s">
        <v>6780</v>
      </c>
      <c r="G9610" t="s">
        <v>1728</v>
      </c>
      <c r="H9610">
        <v>4</v>
      </c>
      <c r="I9610">
        <v>108.66</v>
      </c>
      <c r="J9610" s="50">
        <v>434.64</v>
      </c>
      <c r="K9610" t="s">
        <v>1618</v>
      </c>
      <c r="L9610" t="s">
        <v>6781</v>
      </c>
      <c r="M9610" t="s">
        <v>1621</v>
      </c>
      <c r="N9610">
        <v>57.35</v>
      </c>
      <c r="O9610" s="49">
        <v>44481</v>
      </c>
      <c r="P9610" s="50">
        <v>195.58799999999999</v>
      </c>
    </row>
    <row r="9611" spans="4:16" x14ac:dyDescent="0.2">
      <c r="D9611">
        <v>100005731</v>
      </c>
      <c r="E9611" s="49">
        <v>44276</v>
      </c>
      <c r="F9611" t="s">
        <v>6780</v>
      </c>
      <c r="G9611" t="s">
        <v>2242</v>
      </c>
      <c r="H9611">
        <v>2</v>
      </c>
      <c r="I9611">
        <v>78.39</v>
      </c>
      <c r="J9611" s="50">
        <v>156.78</v>
      </c>
      <c r="K9611" t="s">
        <v>1618</v>
      </c>
      <c r="L9611" t="s">
        <v>6781</v>
      </c>
      <c r="M9611" t="s">
        <v>1624</v>
      </c>
      <c r="N9611">
        <v>41.37</v>
      </c>
      <c r="O9611" s="49">
        <v>44278</v>
      </c>
      <c r="P9611" s="50">
        <v>70.551000000000002</v>
      </c>
    </row>
    <row r="9612" spans="4:16" x14ac:dyDescent="0.2">
      <c r="D9612">
        <v>100005732</v>
      </c>
      <c r="E9612" s="49">
        <v>44291</v>
      </c>
      <c r="F9612" t="s">
        <v>3137</v>
      </c>
      <c r="G9612" t="s">
        <v>1937</v>
      </c>
      <c r="H9612">
        <v>3</v>
      </c>
      <c r="I9612">
        <v>80.069999999999993</v>
      </c>
      <c r="J9612" s="50">
        <v>240.21</v>
      </c>
      <c r="K9612" t="s">
        <v>1632</v>
      </c>
      <c r="M9612" t="s">
        <v>1624</v>
      </c>
      <c r="N9612">
        <v>42.26</v>
      </c>
      <c r="O9612" s="49">
        <v>44294</v>
      </c>
      <c r="P9612" s="50">
        <v>108.09450000000001</v>
      </c>
    </row>
    <row r="9613" spans="4:16" x14ac:dyDescent="0.2">
      <c r="D9613">
        <v>100005735</v>
      </c>
      <c r="E9613" s="49">
        <v>44553</v>
      </c>
      <c r="F9613" t="s">
        <v>6782</v>
      </c>
      <c r="G9613" t="s">
        <v>1744</v>
      </c>
      <c r="H9613">
        <v>2</v>
      </c>
      <c r="I9613">
        <v>14.05</v>
      </c>
      <c r="J9613" s="50">
        <v>28.1</v>
      </c>
      <c r="K9613" t="s">
        <v>1618</v>
      </c>
      <c r="M9613" t="s">
        <v>1629</v>
      </c>
      <c r="N9613">
        <v>7.42</v>
      </c>
      <c r="O9613" s="49">
        <v>44554</v>
      </c>
      <c r="P9613" s="50">
        <v>12.645000000000001</v>
      </c>
    </row>
    <row r="9614" spans="4:16" x14ac:dyDescent="0.2">
      <c r="D9614">
        <v>100005736</v>
      </c>
      <c r="E9614" s="49">
        <v>45047</v>
      </c>
      <c r="F9614" t="s">
        <v>6783</v>
      </c>
      <c r="G9614" t="s">
        <v>2016</v>
      </c>
      <c r="H9614">
        <v>4</v>
      </c>
      <c r="I9614">
        <v>95.79</v>
      </c>
      <c r="J9614" s="50">
        <v>383.16</v>
      </c>
      <c r="K9614" t="s">
        <v>1632</v>
      </c>
      <c r="M9614" t="s">
        <v>1627</v>
      </c>
      <c r="N9614">
        <v>50.56</v>
      </c>
      <c r="O9614" s="49">
        <v>45048</v>
      </c>
      <c r="P9614" s="50">
        <v>172.42200000000003</v>
      </c>
    </row>
    <row r="9615" spans="4:16" x14ac:dyDescent="0.2">
      <c r="D9615">
        <v>100005737</v>
      </c>
      <c r="E9615" s="49">
        <v>45365</v>
      </c>
      <c r="F9615" t="s">
        <v>6513</v>
      </c>
      <c r="G9615" t="s">
        <v>2762</v>
      </c>
      <c r="H9615">
        <v>7</v>
      </c>
      <c r="I9615">
        <v>65.040000000000006</v>
      </c>
      <c r="J9615" s="50">
        <v>455.28</v>
      </c>
      <c r="K9615" t="s">
        <v>1632</v>
      </c>
      <c r="M9615" t="s">
        <v>1621</v>
      </c>
      <c r="N9615">
        <v>34.33</v>
      </c>
      <c r="O9615" s="49">
        <v>45367</v>
      </c>
      <c r="P9615" s="50">
        <v>204.876</v>
      </c>
    </row>
    <row r="9616" spans="4:16" x14ac:dyDescent="0.2">
      <c r="D9616">
        <v>100005737</v>
      </c>
      <c r="E9616" s="49">
        <v>45328</v>
      </c>
      <c r="F9616" t="s">
        <v>6513</v>
      </c>
      <c r="G9616" t="s">
        <v>1726</v>
      </c>
      <c r="H9616">
        <v>2</v>
      </c>
      <c r="I9616">
        <v>115.18</v>
      </c>
      <c r="J9616" s="50">
        <v>230.36</v>
      </c>
      <c r="K9616" t="s">
        <v>1632</v>
      </c>
      <c r="M9616" t="s">
        <v>1619</v>
      </c>
      <c r="N9616">
        <v>60.79</v>
      </c>
      <c r="O9616" s="49">
        <v>45332</v>
      </c>
      <c r="P9616" s="50">
        <v>103.66200000000001</v>
      </c>
    </row>
    <row r="9617" spans="4:16" x14ac:dyDescent="0.2">
      <c r="D9617">
        <v>100005737</v>
      </c>
      <c r="E9617" s="49">
        <v>45161</v>
      </c>
      <c r="F9617" t="s">
        <v>6513</v>
      </c>
      <c r="G9617" t="s">
        <v>1859</v>
      </c>
      <c r="H9617">
        <v>8</v>
      </c>
      <c r="I9617">
        <v>14.61</v>
      </c>
      <c r="J9617" s="50">
        <v>116.88</v>
      </c>
      <c r="K9617" t="s">
        <v>1632</v>
      </c>
      <c r="M9617" t="s">
        <v>1624</v>
      </c>
      <c r="N9617">
        <v>7.71</v>
      </c>
      <c r="O9617" s="49">
        <v>45163</v>
      </c>
      <c r="P9617" s="50">
        <v>52.595999999999997</v>
      </c>
    </row>
    <row r="9618" spans="4:16" x14ac:dyDescent="0.2">
      <c r="D9618">
        <v>100005737</v>
      </c>
      <c r="E9618" s="49">
        <v>45142</v>
      </c>
      <c r="F9618" t="s">
        <v>6513</v>
      </c>
      <c r="G9618" t="s">
        <v>1696</v>
      </c>
      <c r="H9618">
        <v>1</v>
      </c>
      <c r="I9618">
        <v>29.31</v>
      </c>
      <c r="J9618" s="50">
        <v>29.31</v>
      </c>
      <c r="K9618" t="s">
        <v>1632</v>
      </c>
      <c r="M9618" t="s">
        <v>1627</v>
      </c>
      <c r="N9618">
        <v>15.47</v>
      </c>
      <c r="O9618" s="49">
        <v>45147</v>
      </c>
      <c r="P9618" s="50">
        <v>13.189499999999999</v>
      </c>
    </row>
    <row r="9619" spans="4:16" x14ac:dyDescent="0.2">
      <c r="D9619">
        <v>100005738</v>
      </c>
      <c r="E9619" s="49">
        <v>44792</v>
      </c>
      <c r="F9619" t="s">
        <v>6784</v>
      </c>
      <c r="G9619" t="s">
        <v>2078</v>
      </c>
      <c r="H9619">
        <v>5</v>
      </c>
      <c r="I9619">
        <v>60.58</v>
      </c>
      <c r="J9619" s="50">
        <v>302.89999999999998</v>
      </c>
      <c r="K9619" t="s">
        <v>1618</v>
      </c>
      <c r="M9619" t="s">
        <v>1627</v>
      </c>
      <c r="N9619">
        <v>31.97</v>
      </c>
      <c r="O9619" s="49">
        <v>44795</v>
      </c>
      <c r="P9619" s="50">
        <v>136.30500000000001</v>
      </c>
    </row>
    <row r="9620" spans="4:16" x14ac:dyDescent="0.2">
      <c r="D9620">
        <v>100005738</v>
      </c>
      <c r="E9620" s="49">
        <v>44714</v>
      </c>
      <c r="F9620" t="s">
        <v>6784</v>
      </c>
      <c r="G9620" t="s">
        <v>1802</v>
      </c>
      <c r="H9620">
        <v>2</v>
      </c>
      <c r="I9620">
        <v>52.8</v>
      </c>
      <c r="J9620" s="50">
        <v>105.6</v>
      </c>
      <c r="K9620" t="s">
        <v>1618</v>
      </c>
      <c r="M9620" t="s">
        <v>1619</v>
      </c>
      <c r="N9620">
        <v>27.87</v>
      </c>
      <c r="O9620" s="49">
        <v>44716</v>
      </c>
      <c r="P9620" s="50">
        <v>47.519999999999996</v>
      </c>
    </row>
    <row r="9621" spans="4:16" x14ac:dyDescent="0.2">
      <c r="D9621">
        <v>100005739</v>
      </c>
      <c r="E9621" s="49">
        <v>45345</v>
      </c>
      <c r="F9621" t="s">
        <v>6785</v>
      </c>
      <c r="G9621" t="s">
        <v>1712</v>
      </c>
      <c r="H9621">
        <v>5</v>
      </c>
      <c r="I9621">
        <v>21.56</v>
      </c>
      <c r="J9621" s="50">
        <v>107.8</v>
      </c>
      <c r="K9621" t="s">
        <v>1618</v>
      </c>
      <c r="M9621" t="s">
        <v>1619</v>
      </c>
      <c r="N9621">
        <v>11.38</v>
      </c>
      <c r="O9621" s="49">
        <v>45347</v>
      </c>
      <c r="P9621" s="50">
        <v>48.51</v>
      </c>
    </row>
    <row r="9622" spans="4:16" x14ac:dyDescent="0.2">
      <c r="D9622">
        <v>100005739</v>
      </c>
      <c r="E9622" s="49">
        <v>44464</v>
      </c>
      <c r="F9622" t="s">
        <v>6785</v>
      </c>
      <c r="G9622" t="s">
        <v>1900</v>
      </c>
      <c r="H9622">
        <v>2</v>
      </c>
      <c r="I9622">
        <v>73.47</v>
      </c>
      <c r="J9622" s="50">
        <v>146.94</v>
      </c>
      <c r="K9622" t="s">
        <v>1618</v>
      </c>
      <c r="M9622" t="s">
        <v>1621</v>
      </c>
      <c r="N9622">
        <v>38.78</v>
      </c>
      <c r="O9622" s="49">
        <v>44466</v>
      </c>
      <c r="P9622" s="50">
        <v>66.123000000000005</v>
      </c>
    </row>
    <row r="9623" spans="4:16" x14ac:dyDescent="0.2">
      <c r="D9623">
        <v>100005739</v>
      </c>
      <c r="E9623" s="49">
        <v>44458</v>
      </c>
      <c r="F9623" t="s">
        <v>6785</v>
      </c>
      <c r="G9623" t="s">
        <v>1999</v>
      </c>
      <c r="H9623">
        <v>4</v>
      </c>
      <c r="I9623">
        <v>56.35</v>
      </c>
      <c r="J9623" s="50">
        <v>225.4</v>
      </c>
      <c r="K9623" t="s">
        <v>1618</v>
      </c>
      <c r="M9623" t="s">
        <v>1629</v>
      </c>
      <c r="N9623">
        <v>29.74</v>
      </c>
      <c r="O9623" s="49">
        <v>44461</v>
      </c>
      <c r="P9623" s="50">
        <v>101.43</v>
      </c>
    </row>
    <row r="9624" spans="4:16" x14ac:dyDescent="0.2">
      <c r="D9624">
        <v>100005739</v>
      </c>
      <c r="E9624" s="49">
        <v>44333</v>
      </c>
      <c r="F9624" t="s">
        <v>6785</v>
      </c>
      <c r="G9624" t="s">
        <v>1721</v>
      </c>
      <c r="H9624">
        <v>1</v>
      </c>
      <c r="I9624">
        <v>67.28</v>
      </c>
      <c r="J9624" s="50">
        <v>67.28</v>
      </c>
      <c r="K9624" t="s">
        <v>1618</v>
      </c>
      <c r="M9624" t="s">
        <v>1629</v>
      </c>
      <c r="N9624">
        <v>35.51</v>
      </c>
      <c r="O9624" s="49">
        <v>44336</v>
      </c>
      <c r="P9624" s="50">
        <v>30.276</v>
      </c>
    </row>
    <row r="9625" spans="4:16" x14ac:dyDescent="0.2">
      <c r="D9625">
        <v>100005739</v>
      </c>
      <c r="E9625" s="49">
        <v>45371</v>
      </c>
      <c r="F9625" t="s">
        <v>6785</v>
      </c>
      <c r="G9625" t="s">
        <v>2130</v>
      </c>
      <c r="H9625">
        <v>2</v>
      </c>
      <c r="I9625">
        <v>76.95</v>
      </c>
      <c r="J9625" s="50">
        <v>153.9</v>
      </c>
      <c r="K9625" t="s">
        <v>1618</v>
      </c>
      <c r="M9625" t="s">
        <v>1627</v>
      </c>
      <c r="N9625">
        <v>40.61</v>
      </c>
      <c r="O9625" s="49">
        <v>45373</v>
      </c>
      <c r="P9625" s="50">
        <v>69.25500000000001</v>
      </c>
    </row>
    <row r="9626" spans="4:16" x14ac:dyDescent="0.2">
      <c r="D9626">
        <v>100005739</v>
      </c>
      <c r="E9626" s="49">
        <v>44773</v>
      </c>
      <c r="F9626" t="s">
        <v>6785</v>
      </c>
      <c r="G9626" t="s">
        <v>1955</v>
      </c>
      <c r="H9626">
        <v>10</v>
      </c>
      <c r="I9626">
        <v>71.48</v>
      </c>
      <c r="J9626" s="50">
        <v>714.80000000000007</v>
      </c>
      <c r="K9626" t="s">
        <v>1618</v>
      </c>
      <c r="M9626" t="s">
        <v>1621</v>
      </c>
      <c r="N9626">
        <v>37.729999999999997</v>
      </c>
      <c r="O9626" s="49">
        <v>44775</v>
      </c>
      <c r="P9626" s="50">
        <v>321.66000000000003</v>
      </c>
    </row>
    <row r="9627" spans="4:16" x14ac:dyDescent="0.2">
      <c r="D9627">
        <v>100005739</v>
      </c>
      <c r="E9627" s="49">
        <v>45631</v>
      </c>
      <c r="F9627" t="s">
        <v>6785</v>
      </c>
      <c r="G9627" t="s">
        <v>2079</v>
      </c>
      <c r="H9627">
        <v>8</v>
      </c>
      <c r="I9627">
        <v>16.079999999999998</v>
      </c>
      <c r="J9627" s="50">
        <v>128.63999999999999</v>
      </c>
      <c r="K9627" t="s">
        <v>1618</v>
      </c>
      <c r="M9627" t="s">
        <v>1619</v>
      </c>
      <c r="N9627">
        <v>8.49</v>
      </c>
      <c r="O9627" s="49">
        <v>45632</v>
      </c>
      <c r="P9627" s="50">
        <v>57.887999999999998</v>
      </c>
    </row>
    <row r="9628" spans="4:16" x14ac:dyDescent="0.2">
      <c r="D9628">
        <v>100005739</v>
      </c>
      <c r="E9628" s="49">
        <v>44773</v>
      </c>
      <c r="F9628" t="s">
        <v>6785</v>
      </c>
      <c r="G9628" t="s">
        <v>1691</v>
      </c>
      <c r="H9628">
        <v>6</v>
      </c>
      <c r="I9628">
        <v>48.04</v>
      </c>
      <c r="J9628" s="50">
        <v>288.24</v>
      </c>
      <c r="K9628" t="s">
        <v>1618</v>
      </c>
      <c r="M9628" t="s">
        <v>1629</v>
      </c>
      <c r="N9628">
        <v>25.35</v>
      </c>
      <c r="O9628" s="49">
        <v>44776</v>
      </c>
      <c r="P9628" s="50">
        <v>129.708</v>
      </c>
    </row>
    <row r="9629" spans="4:16" x14ac:dyDescent="0.2">
      <c r="D9629">
        <v>100005739</v>
      </c>
      <c r="E9629" s="49">
        <v>44691</v>
      </c>
      <c r="F9629" t="s">
        <v>6785</v>
      </c>
      <c r="G9629" t="s">
        <v>3135</v>
      </c>
      <c r="H9629">
        <v>6</v>
      </c>
      <c r="I9629">
        <v>114.7</v>
      </c>
      <c r="J9629" s="50">
        <v>688.2</v>
      </c>
      <c r="K9629" t="s">
        <v>1618</v>
      </c>
      <c r="M9629" t="s">
        <v>1627</v>
      </c>
      <c r="N9629">
        <v>60.54</v>
      </c>
      <c r="O9629" s="49">
        <v>44696</v>
      </c>
      <c r="P9629" s="50">
        <v>309.69000000000005</v>
      </c>
    </row>
    <row r="9630" spans="4:16" x14ac:dyDescent="0.2">
      <c r="D9630">
        <v>100005739</v>
      </c>
      <c r="E9630" s="49">
        <v>44373</v>
      </c>
      <c r="F9630" t="s">
        <v>6785</v>
      </c>
      <c r="G9630" t="s">
        <v>1812</v>
      </c>
      <c r="H9630">
        <v>9</v>
      </c>
      <c r="I9630">
        <v>22.65</v>
      </c>
      <c r="J9630" s="50">
        <v>203.85</v>
      </c>
      <c r="K9630" t="s">
        <v>1618</v>
      </c>
      <c r="M9630" t="s">
        <v>1621</v>
      </c>
      <c r="N9630">
        <v>11.95</v>
      </c>
      <c r="O9630" s="49">
        <v>44376</v>
      </c>
      <c r="P9630" s="50">
        <v>91.732500000000002</v>
      </c>
    </row>
    <row r="9631" spans="4:16" x14ac:dyDescent="0.2">
      <c r="D9631">
        <v>100005740</v>
      </c>
      <c r="E9631" s="49">
        <v>45638</v>
      </c>
      <c r="F9631" t="s">
        <v>6786</v>
      </c>
      <c r="G9631" t="s">
        <v>1737</v>
      </c>
      <c r="H9631">
        <v>5</v>
      </c>
      <c r="I9631">
        <v>83.31</v>
      </c>
      <c r="J9631" s="50">
        <v>416.55</v>
      </c>
      <c r="K9631" t="s">
        <v>1632</v>
      </c>
      <c r="M9631" t="s">
        <v>1624</v>
      </c>
      <c r="N9631">
        <v>43.97</v>
      </c>
      <c r="O9631" s="49">
        <v>45642</v>
      </c>
      <c r="P9631" s="50">
        <v>187.44750000000002</v>
      </c>
    </row>
    <row r="9632" spans="4:16" x14ac:dyDescent="0.2">
      <c r="D9632">
        <v>100005740</v>
      </c>
      <c r="E9632" s="49">
        <v>45050</v>
      </c>
      <c r="F9632" t="s">
        <v>6786</v>
      </c>
      <c r="G9632" t="s">
        <v>1799</v>
      </c>
      <c r="H9632">
        <v>5</v>
      </c>
      <c r="I9632">
        <v>88.57</v>
      </c>
      <c r="J9632" s="50">
        <v>442.85</v>
      </c>
      <c r="K9632" t="s">
        <v>1632</v>
      </c>
      <c r="M9632" t="s">
        <v>1621</v>
      </c>
      <c r="N9632">
        <v>46.74</v>
      </c>
      <c r="O9632" s="49">
        <v>45053</v>
      </c>
      <c r="P9632" s="50">
        <v>199.28250000000003</v>
      </c>
    </row>
    <row r="9633" spans="4:16" x14ac:dyDescent="0.2">
      <c r="D9633">
        <v>100005741</v>
      </c>
      <c r="E9633" s="49">
        <v>44702</v>
      </c>
      <c r="F9633" t="s">
        <v>6787</v>
      </c>
      <c r="G9633" t="s">
        <v>1620</v>
      </c>
      <c r="H9633">
        <v>4</v>
      </c>
      <c r="I9633">
        <v>56.46</v>
      </c>
      <c r="J9633" s="50">
        <v>225.84</v>
      </c>
      <c r="K9633" t="s">
        <v>1632</v>
      </c>
      <c r="M9633" t="s">
        <v>1627</v>
      </c>
      <c r="N9633">
        <v>29.8</v>
      </c>
      <c r="O9633" s="49">
        <v>44703</v>
      </c>
      <c r="P9633" s="50">
        <v>101.628</v>
      </c>
    </row>
    <row r="9634" spans="4:16" x14ac:dyDescent="0.2">
      <c r="D9634">
        <v>100005742</v>
      </c>
      <c r="E9634" s="49">
        <v>44444</v>
      </c>
      <c r="F9634" t="s">
        <v>6788</v>
      </c>
      <c r="G9634" t="s">
        <v>1631</v>
      </c>
      <c r="H9634">
        <v>9</v>
      </c>
      <c r="I9634">
        <v>26.83</v>
      </c>
      <c r="J9634" s="50">
        <v>241.47</v>
      </c>
      <c r="K9634" t="s">
        <v>1618</v>
      </c>
      <c r="M9634" t="s">
        <v>1629</v>
      </c>
      <c r="N9634">
        <v>14.16</v>
      </c>
      <c r="O9634" s="49">
        <v>44448</v>
      </c>
      <c r="P9634" s="50">
        <v>108.6615</v>
      </c>
    </row>
    <row r="9635" spans="4:16" x14ac:dyDescent="0.2">
      <c r="D9635">
        <v>100005742</v>
      </c>
      <c r="E9635" s="49">
        <v>45224</v>
      </c>
      <c r="F9635" t="s">
        <v>6788</v>
      </c>
      <c r="G9635" t="s">
        <v>1978</v>
      </c>
      <c r="H9635">
        <v>3</v>
      </c>
      <c r="I9635">
        <v>16.48</v>
      </c>
      <c r="J9635" s="50">
        <v>49.44</v>
      </c>
      <c r="K9635" t="s">
        <v>1618</v>
      </c>
      <c r="M9635" t="s">
        <v>1624</v>
      </c>
      <c r="N9635">
        <v>8.6999999999999993</v>
      </c>
      <c r="O9635" s="49">
        <v>45225</v>
      </c>
      <c r="P9635" s="50">
        <v>22.248000000000001</v>
      </c>
    </row>
    <row r="9636" spans="4:16" x14ac:dyDescent="0.2">
      <c r="D9636">
        <v>100005742</v>
      </c>
      <c r="E9636" s="49">
        <v>44928</v>
      </c>
      <c r="F9636" t="s">
        <v>6788</v>
      </c>
      <c r="G9636" t="s">
        <v>1626</v>
      </c>
      <c r="H9636">
        <v>8</v>
      </c>
      <c r="I9636">
        <v>40.200000000000003</v>
      </c>
      <c r="J9636" s="50">
        <v>321.60000000000002</v>
      </c>
      <c r="K9636" t="s">
        <v>1618</v>
      </c>
      <c r="M9636" t="s">
        <v>1619</v>
      </c>
      <c r="N9636">
        <v>21.22</v>
      </c>
      <c r="O9636" s="49">
        <v>44930</v>
      </c>
      <c r="P9636" s="50">
        <v>144.72000000000003</v>
      </c>
    </row>
    <row r="9637" spans="4:16" x14ac:dyDescent="0.2">
      <c r="D9637">
        <v>100005743</v>
      </c>
      <c r="E9637" s="49">
        <v>44779</v>
      </c>
      <c r="F9637" t="s">
        <v>6789</v>
      </c>
      <c r="G9637" t="s">
        <v>2047</v>
      </c>
      <c r="H9637">
        <v>9</v>
      </c>
      <c r="I9637">
        <v>21.1</v>
      </c>
      <c r="J9637" s="50">
        <v>189.9</v>
      </c>
      <c r="K9637" t="s">
        <v>1618</v>
      </c>
      <c r="M9637" t="s">
        <v>1624</v>
      </c>
      <c r="N9637">
        <v>11.14</v>
      </c>
      <c r="O9637" s="49">
        <v>44781</v>
      </c>
      <c r="P9637" s="50">
        <v>85.454999999999998</v>
      </c>
    </row>
    <row r="9638" spans="4:16" x14ac:dyDescent="0.2">
      <c r="D9638">
        <v>100005743</v>
      </c>
      <c r="E9638" s="49">
        <v>45537</v>
      </c>
      <c r="F9638" t="s">
        <v>6789</v>
      </c>
      <c r="G9638" t="s">
        <v>1872</v>
      </c>
      <c r="H9638">
        <v>4</v>
      </c>
      <c r="I9638">
        <v>38.15</v>
      </c>
      <c r="J9638" s="50">
        <v>152.6</v>
      </c>
      <c r="K9638" t="s">
        <v>1618</v>
      </c>
      <c r="M9638" t="s">
        <v>1624</v>
      </c>
      <c r="N9638">
        <v>20.13</v>
      </c>
      <c r="O9638" s="49">
        <v>45542</v>
      </c>
      <c r="P9638" s="50">
        <v>68.67</v>
      </c>
    </row>
    <row r="9639" spans="4:16" x14ac:dyDescent="0.2">
      <c r="D9639">
        <v>100005745</v>
      </c>
      <c r="E9639" s="49">
        <v>45430</v>
      </c>
      <c r="F9639" t="s">
        <v>6790</v>
      </c>
      <c r="G9639" t="s">
        <v>1765</v>
      </c>
      <c r="H9639">
        <v>1</v>
      </c>
      <c r="I9639">
        <v>84.31</v>
      </c>
      <c r="J9639" s="50">
        <v>84.31</v>
      </c>
      <c r="K9639" t="s">
        <v>1618</v>
      </c>
      <c r="M9639" t="s">
        <v>1621</v>
      </c>
      <c r="N9639">
        <v>44.5</v>
      </c>
      <c r="O9639" s="49">
        <v>45434</v>
      </c>
      <c r="P9639" s="50">
        <v>37.939500000000002</v>
      </c>
    </row>
    <row r="9640" spans="4:16" x14ac:dyDescent="0.2">
      <c r="D9640">
        <v>100005745</v>
      </c>
      <c r="E9640" s="49">
        <v>44970</v>
      </c>
      <c r="F9640" t="s">
        <v>6790</v>
      </c>
      <c r="G9640" t="s">
        <v>2147</v>
      </c>
      <c r="H9640">
        <v>9</v>
      </c>
      <c r="I9640">
        <v>18.36</v>
      </c>
      <c r="J9640" s="50">
        <v>165.24</v>
      </c>
      <c r="K9640" t="s">
        <v>1618</v>
      </c>
      <c r="M9640" t="s">
        <v>1629</v>
      </c>
      <c r="N9640">
        <v>9.69</v>
      </c>
      <c r="O9640" s="49">
        <v>44974</v>
      </c>
      <c r="P9640" s="50">
        <v>74.358000000000004</v>
      </c>
    </row>
    <row r="9641" spans="4:16" x14ac:dyDescent="0.2">
      <c r="D9641">
        <v>100005746</v>
      </c>
      <c r="E9641" s="49">
        <v>44607</v>
      </c>
      <c r="F9641" t="s">
        <v>6791</v>
      </c>
      <c r="G9641" t="s">
        <v>2346</v>
      </c>
      <c r="H9641">
        <v>2</v>
      </c>
      <c r="I9641">
        <v>95.51</v>
      </c>
      <c r="J9641" s="50">
        <v>191.02</v>
      </c>
      <c r="K9641" t="s">
        <v>1632</v>
      </c>
      <c r="M9641" t="s">
        <v>1619</v>
      </c>
      <c r="N9641">
        <v>50.41</v>
      </c>
      <c r="O9641" s="49">
        <v>44611</v>
      </c>
      <c r="P9641" s="50">
        <v>85.959000000000003</v>
      </c>
    </row>
    <row r="9642" spans="4:16" x14ac:dyDescent="0.2">
      <c r="D9642">
        <v>100005746</v>
      </c>
      <c r="E9642" s="49">
        <v>45092</v>
      </c>
      <c r="F9642" t="s">
        <v>6791</v>
      </c>
      <c r="G9642" t="s">
        <v>2255</v>
      </c>
      <c r="H9642">
        <v>9</v>
      </c>
      <c r="I9642">
        <v>85.26</v>
      </c>
      <c r="J9642" s="50">
        <v>767.34</v>
      </c>
      <c r="K9642" t="s">
        <v>1632</v>
      </c>
      <c r="M9642" t="s">
        <v>1627</v>
      </c>
      <c r="N9642">
        <v>45</v>
      </c>
      <c r="O9642" s="49">
        <v>45093</v>
      </c>
      <c r="P9642" s="50">
        <v>345.303</v>
      </c>
    </row>
    <row r="9643" spans="4:16" x14ac:dyDescent="0.2">
      <c r="D9643">
        <v>100005746</v>
      </c>
      <c r="E9643" s="49">
        <v>45543</v>
      </c>
      <c r="F9643" t="s">
        <v>6791</v>
      </c>
      <c r="G9643" t="s">
        <v>1715</v>
      </c>
      <c r="H9643">
        <v>5</v>
      </c>
      <c r="I9643">
        <v>63.16</v>
      </c>
      <c r="J9643" s="50">
        <v>315.8</v>
      </c>
      <c r="K9643" t="s">
        <v>1632</v>
      </c>
      <c r="M9643" t="s">
        <v>1621</v>
      </c>
      <c r="N9643">
        <v>33.33</v>
      </c>
      <c r="O9643" s="49">
        <v>45545</v>
      </c>
      <c r="P9643" s="50">
        <v>142.11000000000001</v>
      </c>
    </row>
    <row r="9644" spans="4:16" x14ac:dyDescent="0.2">
      <c r="D9644">
        <v>100005746</v>
      </c>
      <c r="E9644" s="49">
        <v>45000</v>
      </c>
      <c r="F9644" t="s">
        <v>6791</v>
      </c>
      <c r="G9644" t="s">
        <v>1787</v>
      </c>
      <c r="H9644">
        <v>6</v>
      </c>
      <c r="I9644">
        <v>38.729999999999997</v>
      </c>
      <c r="J9644" s="50">
        <v>232.38</v>
      </c>
      <c r="K9644" t="s">
        <v>1632</v>
      </c>
      <c r="M9644" t="s">
        <v>1621</v>
      </c>
      <c r="N9644">
        <v>20.440000000000001</v>
      </c>
      <c r="O9644" s="49">
        <v>45003</v>
      </c>
      <c r="P9644" s="50">
        <v>104.571</v>
      </c>
    </row>
    <row r="9645" spans="4:16" x14ac:dyDescent="0.2">
      <c r="D9645">
        <v>100005746</v>
      </c>
      <c r="E9645" s="49">
        <v>44727</v>
      </c>
      <c r="F9645" t="s">
        <v>6791</v>
      </c>
      <c r="G9645" t="s">
        <v>1846</v>
      </c>
      <c r="H9645">
        <v>2</v>
      </c>
      <c r="I9645">
        <v>76.27</v>
      </c>
      <c r="J9645" s="50">
        <v>152.54</v>
      </c>
      <c r="K9645" t="s">
        <v>1632</v>
      </c>
      <c r="M9645" t="s">
        <v>1627</v>
      </c>
      <c r="N9645">
        <v>40.25</v>
      </c>
      <c r="O9645" s="49">
        <v>44731</v>
      </c>
      <c r="P9645" s="50">
        <v>68.643000000000001</v>
      </c>
    </row>
    <row r="9646" spans="4:16" x14ac:dyDescent="0.2">
      <c r="D9646">
        <v>100005746</v>
      </c>
      <c r="E9646" s="49">
        <v>45256</v>
      </c>
      <c r="F9646" t="s">
        <v>6791</v>
      </c>
      <c r="G9646" t="s">
        <v>1844</v>
      </c>
      <c r="H9646">
        <v>3</v>
      </c>
      <c r="I9646">
        <v>13.16</v>
      </c>
      <c r="J9646" s="50">
        <v>39.479999999999997</v>
      </c>
      <c r="K9646" t="s">
        <v>1632</v>
      </c>
      <c r="M9646" t="s">
        <v>1629</v>
      </c>
      <c r="N9646">
        <v>6.95</v>
      </c>
      <c r="O9646" s="49">
        <v>45260</v>
      </c>
      <c r="P9646" s="50">
        <v>17.765999999999998</v>
      </c>
    </row>
    <row r="9647" spans="4:16" x14ac:dyDescent="0.2">
      <c r="D9647">
        <v>100005746</v>
      </c>
      <c r="E9647" s="49">
        <v>44828</v>
      </c>
      <c r="F9647" t="s">
        <v>6791</v>
      </c>
      <c r="G9647" t="s">
        <v>1939</v>
      </c>
      <c r="H9647">
        <v>10</v>
      </c>
      <c r="I9647">
        <v>34.92</v>
      </c>
      <c r="J9647" s="50">
        <v>349.2</v>
      </c>
      <c r="K9647" t="s">
        <v>1632</v>
      </c>
      <c r="M9647" t="s">
        <v>1624</v>
      </c>
      <c r="N9647">
        <v>18.43</v>
      </c>
      <c r="O9647" s="49">
        <v>44831</v>
      </c>
      <c r="P9647" s="50">
        <v>157.13999999999999</v>
      </c>
    </row>
    <row r="9648" spans="4:16" x14ac:dyDescent="0.2">
      <c r="D9648">
        <v>100005748</v>
      </c>
      <c r="E9648" s="49">
        <v>45349</v>
      </c>
      <c r="F9648" t="s">
        <v>6792</v>
      </c>
      <c r="G9648" t="s">
        <v>1950</v>
      </c>
      <c r="H9648">
        <v>8</v>
      </c>
      <c r="I9648">
        <v>26.96</v>
      </c>
      <c r="J9648" s="50">
        <v>215.68</v>
      </c>
      <c r="K9648" t="s">
        <v>1632</v>
      </c>
      <c r="M9648" t="s">
        <v>1627</v>
      </c>
      <c r="N9648">
        <v>14.23</v>
      </c>
      <c r="O9648" s="49">
        <v>45351</v>
      </c>
      <c r="P9648" s="50">
        <v>97.056000000000012</v>
      </c>
    </row>
    <row r="9649" spans="4:16" x14ac:dyDescent="0.2">
      <c r="D9649">
        <v>100005748</v>
      </c>
      <c r="E9649" s="49">
        <v>44686</v>
      </c>
      <c r="F9649" t="s">
        <v>6792</v>
      </c>
      <c r="G9649" t="s">
        <v>1758</v>
      </c>
      <c r="H9649">
        <v>8</v>
      </c>
      <c r="I9649">
        <v>119.66</v>
      </c>
      <c r="J9649" s="50">
        <v>957.28</v>
      </c>
      <c r="K9649" t="s">
        <v>1632</v>
      </c>
      <c r="M9649" t="s">
        <v>1621</v>
      </c>
      <c r="N9649">
        <v>63.15</v>
      </c>
      <c r="O9649" s="49">
        <v>44690</v>
      </c>
      <c r="P9649" s="50">
        <v>430.77600000000001</v>
      </c>
    </row>
    <row r="9650" spans="4:16" x14ac:dyDescent="0.2">
      <c r="D9650">
        <v>100005749</v>
      </c>
      <c r="E9650" s="49">
        <v>45432</v>
      </c>
      <c r="F9650" t="s">
        <v>6793</v>
      </c>
      <c r="G9650" t="s">
        <v>1985</v>
      </c>
      <c r="H9650">
        <v>9</v>
      </c>
      <c r="I9650">
        <v>35.53</v>
      </c>
      <c r="J9650" s="50">
        <v>319.77</v>
      </c>
      <c r="K9650" t="s">
        <v>1632</v>
      </c>
      <c r="M9650" t="s">
        <v>1627</v>
      </c>
      <c r="N9650">
        <v>18.75</v>
      </c>
      <c r="O9650" s="49">
        <v>45435</v>
      </c>
      <c r="P9650" s="50">
        <v>143.8965</v>
      </c>
    </row>
    <row r="9651" spans="4:16" x14ac:dyDescent="0.2">
      <c r="D9651">
        <v>100005750</v>
      </c>
      <c r="E9651" s="49">
        <v>45533</v>
      </c>
      <c r="F9651" t="s">
        <v>6794</v>
      </c>
      <c r="G9651" t="s">
        <v>1639</v>
      </c>
      <c r="H9651">
        <v>6</v>
      </c>
      <c r="I9651">
        <v>113.56</v>
      </c>
      <c r="J9651" s="50">
        <v>681.36</v>
      </c>
      <c r="K9651" t="s">
        <v>1632</v>
      </c>
      <c r="M9651" t="s">
        <v>1629</v>
      </c>
      <c r="N9651">
        <v>59.93</v>
      </c>
      <c r="O9651" s="49">
        <v>45535</v>
      </c>
      <c r="P9651" s="50">
        <v>306.61200000000002</v>
      </c>
    </row>
    <row r="9652" spans="4:16" x14ac:dyDescent="0.2">
      <c r="D9652">
        <v>100005751</v>
      </c>
      <c r="E9652" s="49">
        <v>45554</v>
      </c>
      <c r="F9652" t="s">
        <v>6795</v>
      </c>
      <c r="G9652" t="s">
        <v>1766</v>
      </c>
      <c r="H9652">
        <v>4</v>
      </c>
      <c r="I9652">
        <v>44.07</v>
      </c>
      <c r="J9652" s="50">
        <v>176.28</v>
      </c>
      <c r="K9652" t="s">
        <v>1618</v>
      </c>
      <c r="L9652" t="s">
        <v>2298</v>
      </c>
      <c r="M9652" t="s">
        <v>1624</v>
      </c>
      <c r="N9652">
        <v>23.26</v>
      </c>
      <c r="O9652" s="49">
        <v>45558</v>
      </c>
      <c r="P9652" s="50">
        <v>79.326000000000008</v>
      </c>
    </row>
    <row r="9653" spans="4:16" x14ac:dyDescent="0.2">
      <c r="D9653">
        <v>100005754</v>
      </c>
      <c r="E9653" s="49">
        <v>45322</v>
      </c>
      <c r="F9653" t="s">
        <v>6796</v>
      </c>
      <c r="G9653" t="s">
        <v>1904</v>
      </c>
      <c r="H9653">
        <v>10</v>
      </c>
      <c r="I9653">
        <v>27.58</v>
      </c>
      <c r="J9653" s="50">
        <v>275.8</v>
      </c>
      <c r="K9653" t="s">
        <v>1618</v>
      </c>
      <c r="M9653" t="s">
        <v>1619</v>
      </c>
      <c r="N9653">
        <v>14.56</v>
      </c>
      <c r="O9653" s="49">
        <v>45325</v>
      </c>
      <c r="P9653" s="50">
        <v>124.11000000000001</v>
      </c>
    </row>
    <row r="9654" spans="4:16" x14ac:dyDescent="0.2">
      <c r="D9654">
        <v>100005754</v>
      </c>
      <c r="E9654" s="49">
        <v>45576</v>
      </c>
      <c r="F9654" t="s">
        <v>6796</v>
      </c>
      <c r="G9654" t="s">
        <v>2063</v>
      </c>
      <c r="H9654">
        <v>9</v>
      </c>
      <c r="I9654">
        <v>28.62</v>
      </c>
      <c r="J9654" s="50">
        <v>257.58</v>
      </c>
      <c r="K9654" t="s">
        <v>1618</v>
      </c>
      <c r="M9654" t="s">
        <v>1629</v>
      </c>
      <c r="N9654">
        <v>15.1</v>
      </c>
      <c r="O9654" s="49">
        <v>45579</v>
      </c>
      <c r="P9654" s="50">
        <v>115.911</v>
      </c>
    </row>
    <row r="9655" spans="4:16" x14ac:dyDescent="0.2">
      <c r="D9655">
        <v>100005754</v>
      </c>
      <c r="E9655" s="49">
        <v>44662</v>
      </c>
      <c r="F9655" t="s">
        <v>6796</v>
      </c>
      <c r="G9655" t="s">
        <v>1853</v>
      </c>
      <c r="H9655">
        <v>2</v>
      </c>
      <c r="I9655">
        <v>107.64</v>
      </c>
      <c r="J9655" s="50">
        <v>215.28</v>
      </c>
      <c r="K9655" t="s">
        <v>1618</v>
      </c>
      <c r="M9655" t="s">
        <v>1624</v>
      </c>
      <c r="N9655">
        <v>56.81</v>
      </c>
      <c r="O9655" s="49">
        <v>44663</v>
      </c>
      <c r="P9655" s="50">
        <v>96.876000000000005</v>
      </c>
    </row>
    <row r="9656" spans="4:16" x14ac:dyDescent="0.2">
      <c r="D9656">
        <v>100005756</v>
      </c>
      <c r="E9656" s="49">
        <v>45313</v>
      </c>
      <c r="F9656" t="s">
        <v>6797</v>
      </c>
      <c r="G9656" t="s">
        <v>1729</v>
      </c>
      <c r="H9656">
        <v>3</v>
      </c>
      <c r="I9656">
        <v>76.98</v>
      </c>
      <c r="J9656" s="50">
        <v>230.94</v>
      </c>
      <c r="K9656" t="s">
        <v>1618</v>
      </c>
      <c r="M9656" t="s">
        <v>1619</v>
      </c>
      <c r="N9656">
        <v>40.630000000000003</v>
      </c>
      <c r="O9656" s="49">
        <v>45318</v>
      </c>
      <c r="P9656" s="50">
        <v>103.923</v>
      </c>
    </row>
    <row r="9657" spans="4:16" x14ac:dyDescent="0.2">
      <c r="D9657">
        <v>100005756</v>
      </c>
      <c r="E9657" s="49">
        <v>44473</v>
      </c>
      <c r="F9657" t="s">
        <v>6797</v>
      </c>
      <c r="G9657" t="s">
        <v>1777</v>
      </c>
      <c r="H9657">
        <v>2</v>
      </c>
      <c r="I9657">
        <v>50.02</v>
      </c>
      <c r="J9657" s="50">
        <v>100.04</v>
      </c>
      <c r="K9657" t="s">
        <v>1618</v>
      </c>
      <c r="M9657" t="s">
        <v>1629</v>
      </c>
      <c r="N9657">
        <v>26.4</v>
      </c>
      <c r="O9657" s="49">
        <v>44478</v>
      </c>
      <c r="P9657" s="50">
        <v>45.018000000000001</v>
      </c>
    </row>
    <row r="9658" spans="4:16" x14ac:dyDescent="0.2">
      <c r="D9658">
        <v>100005757</v>
      </c>
      <c r="E9658" s="49">
        <v>45466</v>
      </c>
      <c r="F9658" t="s">
        <v>6798</v>
      </c>
      <c r="G9658" t="s">
        <v>1947</v>
      </c>
      <c r="H9658">
        <v>8</v>
      </c>
      <c r="I9658">
        <v>15.36</v>
      </c>
      <c r="J9658" s="50">
        <v>122.88</v>
      </c>
      <c r="K9658" t="s">
        <v>1618</v>
      </c>
      <c r="L9658" t="s">
        <v>2504</v>
      </c>
      <c r="M9658" t="s">
        <v>1624</v>
      </c>
      <c r="N9658">
        <v>8.11</v>
      </c>
      <c r="O9658" s="49">
        <v>45469</v>
      </c>
      <c r="P9658" s="50">
        <v>55.295999999999999</v>
      </c>
    </row>
    <row r="9659" spans="4:16" x14ac:dyDescent="0.2">
      <c r="D9659">
        <v>100005758</v>
      </c>
      <c r="E9659" s="49">
        <v>45224</v>
      </c>
      <c r="F9659" t="s">
        <v>6799</v>
      </c>
      <c r="G9659" t="s">
        <v>2155</v>
      </c>
      <c r="H9659">
        <v>5</v>
      </c>
      <c r="I9659">
        <v>37.24</v>
      </c>
      <c r="J9659" s="50">
        <v>186.2</v>
      </c>
      <c r="K9659" t="s">
        <v>1632</v>
      </c>
      <c r="M9659" t="s">
        <v>1619</v>
      </c>
      <c r="N9659">
        <v>19.649999999999999</v>
      </c>
      <c r="O9659" s="49">
        <v>45228</v>
      </c>
      <c r="P9659" s="50">
        <v>83.789999999999992</v>
      </c>
    </row>
    <row r="9660" spans="4:16" x14ac:dyDescent="0.2">
      <c r="D9660">
        <v>100005760</v>
      </c>
      <c r="E9660" s="49">
        <v>44816</v>
      </c>
      <c r="F9660" t="s">
        <v>6800</v>
      </c>
      <c r="G9660" t="s">
        <v>2574</v>
      </c>
      <c r="H9660">
        <v>3</v>
      </c>
      <c r="I9660">
        <v>29.19</v>
      </c>
      <c r="J9660" s="50">
        <v>87.570000000000007</v>
      </c>
      <c r="K9660" t="s">
        <v>1632</v>
      </c>
      <c r="M9660" t="s">
        <v>1621</v>
      </c>
      <c r="N9660">
        <v>15.41</v>
      </c>
      <c r="O9660" s="49">
        <v>44818</v>
      </c>
      <c r="P9660" s="50">
        <v>39.406500000000001</v>
      </c>
    </row>
    <row r="9661" spans="4:16" x14ac:dyDescent="0.2">
      <c r="D9661">
        <v>100005761</v>
      </c>
      <c r="E9661" s="49">
        <v>45385</v>
      </c>
      <c r="F9661" t="s">
        <v>6801</v>
      </c>
      <c r="G9661" t="s">
        <v>2191</v>
      </c>
      <c r="H9661">
        <v>9</v>
      </c>
      <c r="I9661">
        <v>115.66</v>
      </c>
      <c r="J9661" s="50">
        <v>1040.94</v>
      </c>
      <c r="K9661" t="s">
        <v>1632</v>
      </c>
      <c r="L9661" t="s">
        <v>6802</v>
      </c>
      <c r="M9661" t="s">
        <v>1619</v>
      </c>
      <c r="N9661">
        <v>61.04</v>
      </c>
      <c r="O9661" s="49">
        <v>45388</v>
      </c>
      <c r="P9661" s="50">
        <v>468.42300000000006</v>
      </c>
    </row>
    <row r="9662" spans="4:16" x14ac:dyDescent="0.2">
      <c r="D9662">
        <v>100005762</v>
      </c>
      <c r="E9662" s="49">
        <v>44831</v>
      </c>
      <c r="F9662" t="s">
        <v>6803</v>
      </c>
      <c r="G9662" t="s">
        <v>2291</v>
      </c>
      <c r="H9662">
        <v>10</v>
      </c>
      <c r="I9662">
        <v>56.61</v>
      </c>
      <c r="J9662" s="50">
        <v>566.1</v>
      </c>
      <c r="K9662" t="s">
        <v>1632</v>
      </c>
      <c r="M9662" t="s">
        <v>1619</v>
      </c>
      <c r="N9662">
        <v>29.88</v>
      </c>
      <c r="O9662" s="49">
        <v>44834</v>
      </c>
      <c r="P9662" s="50">
        <v>254.745</v>
      </c>
    </row>
    <row r="9663" spans="4:16" x14ac:dyDescent="0.2">
      <c r="D9663">
        <v>100005762</v>
      </c>
      <c r="E9663" s="49">
        <v>44880</v>
      </c>
      <c r="F9663" t="s">
        <v>6803</v>
      </c>
      <c r="G9663" t="s">
        <v>2603</v>
      </c>
      <c r="H9663">
        <v>3</v>
      </c>
      <c r="I9663">
        <v>48.45</v>
      </c>
      <c r="J9663" s="50">
        <v>145.35</v>
      </c>
      <c r="K9663" t="s">
        <v>1632</v>
      </c>
      <c r="M9663" t="s">
        <v>1621</v>
      </c>
      <c r="N9663">
        <v>25.57</v>
      </c>
      <c r="O9663" s="49">
        <v>44884</v>
      </c>
      <c r="P9663" s="50">
        <v>65.407499999999999</v>
      </c>
    </row>
    <row r="9664" spans="4:16" x14ac:dyDescent="0.2">
      <c r="D9664">
        <v>100005762</v>
      </c>
      <c r="E9664" s="49">
        <v>45016</v>
      </c>
      <c r="F9664" t="s">
        <v>6803</v>
      </c>
      <c r="G9664" t="s">
        <v>2174</v>
      </c>
      <c r="H9664">
        <v>2</v>
      </c>
      <c r="I9664">
        <v>10.23</v>
      </c>
      <c r="J9664" s="50">
        <v>20.46</v>
      </c>
      <c r="K9664" t="s">
        <v>1632</v>
      </c>
      <c r="M9664" t="s">
        <v>1619</v>
      </c>
      <c r="N9664">
        <v>5.4</v>
      </c>
      <c r="O9664" s="49">
        <v>45020</v>
      </c>
      <c r="P9664" s="50">
        <v>9.2070000000000007</v>
      </c>
    </row>
    <row r="9665" spans="4:16" x14ac:dyDescent="0.2">
      <c r="D9665">
        <v>100005762</v>
      </c>
      <c r="E9665" s="49">
        <v>45630</v>
      </c>
      <c r="F9665" t="s">
        <v>6803</v>
      </c>
      <c r="G9665" t="s">
        <v>1902</v>
      </c>
      <c r="H9665">
        <v>8</v>
      </c>
      <c r="I9665">
        <v>67.17</v>
      </c>
      <c r="J9665" s="50">
        <v>537.36</v>
      </c>
      <c r="K9665" t="s">
        <v>1632</v>
      </c>
      <c r="M9665" t="s">
        <v>1619</v>
      </c>
      <c r="N9665">
        <v>35.450000000000003</v>
      </c>
      <c r="O9665" s="49">
        <v>45635</v>
      </c>
      <c r="P9665" s="50">
        <v>241.81200000000001</v>
      </c>
    </row>
    <row r="9666" spans="4:16" x14ac:dyDescent="0.2">
      <c r="D9666">
        <v>100005762</v>
      </c>
      <c r="E9666" s="49">
        <v>44762</v>
      </c>
      <c r="F9666" t="s">
        <v>6803</v>
      </c>
      <c r="G9666" t="s">
        <v>1937</v>
      </c>
      <c r="H9666">
        <v>9</v>
      </c>
      <c r="I9666">
        <v>81.37</v>
      </c>
      <c r="J9666" s="50">
        <v>732.33</v>
      </c>
      <c r="K9666" t="s">
        <v>1632</v>
      </c>
      <c r="M9666" t="s">
        <v>1621</v>
      </c>
      <c r="N9666">
        <v>42.94</v>
      </c>
      <c r="O9666" s="49">
        <v>44763</v>
      </c>
      <c r="P9666" s="50">
        <v>329.54850000000005</v>
      </c>
    </row>
    <row r="9667" spans="4:16" x14ac:dyDescent="0.2">
      <c r="D9667">
        <v>100005762</v>
      </c>
      <c r="E9667" s="49">
        <v>45411</v>
      </c>
      <c r="F9667" t="s">
        <v>6803</v>
      </c>
      <c r="G9667" t="s">
        <v>1932</v>
      </c>
      <c r="H9667">
        <v>2</v>
      </c>
      <c r="I9667">
        <v>100.82</v>
      </c>
      <c r="J9667" s="50">
        <v>201.64</v>
      </c>
      <c r="K9667" t="s">
        <v>1632</v>
      </c>
      <c r="M9667" t="s">
        <v>1621</v>
      </c>
      <c r="N9667">
        <v>53.21</v>
      </c>
      <c r="O9667" s="49">
        <v>45414</v>
      </c>
      <c r="P9667" s="50">
        <v>90.738</v>
      </c>
    </row>
    <row r="9668" spans="4:16" x14ac:dyDescent="0.2">
      <c r="D9668">
        <v>100005762</v>
      </c>
      <c r="E9668" s="49">
        <v>44860</v>
      </c>
      <c r="F9668" t="s">
        <v>6803</v>
      </c>
      <c r="G9668" t="s">
        <v>1817</v>
      </c>
      <c r="H9668">
        <v>8</v>
      </c>
      <c r="I9668">
        <v>42.98</v>
      </c>
      <c r="J9668" s="50">
        <v>343.84</v>
      </c>
      <c r="K9668" t="s">
        <v>1632</v>
      </c>
      <c r="M9668" t="s">
        <v>1629</v>
      </c>
      <c r="N9668">
        <v>22.68</v>
      </c>
      <c r="O9668" s="49">
        <v>44861</v>
      </c>
      <c r="P9668" s="50">
        <v>154.72799999999998</v>
      </c>
    </row>
    <row r="9669" spans="4:16" x14ac:dyDescent="0.2">
      <c r="D9669">
        <v>100005763</v>
      </c>
      <c r="E9669" s="49">
        <v>44513</v>
      </c>
      <c r="F9669" t="s">
        <v>6804</v>
      </c>
      <c r="G9669" t="s">
        <v>1921</v>
      </c>
      <c r="H9669">
        <v>6</v>
      </c>
      <c r="I9669">
        <v>75.33</v>
      </c>
      <c r="J9669" s="50">
        <v>451.98</v>
      </c>
      <c r="K9669" t="s">
        <v>1618</v>
      </c>
      <c r="M9669" t="s">
        <v>1619</v>
      </c>
      <c r="N9669">
        <v>39.76</v>
      </c>
      <c r="O9669" s="49">
        <v>44518</v>
      </c>
      <c r="P9669" s="50">
        <v>203.39100000000002</v>
      </c>
    </row>
    <row r="9670" spans="4:16" x14ac:dyDescent="0.2">
      <c r="D9670">
        <v>100005764</v>
      </c>
      <c r="E9670" s="49">
        <v>45173</v>
      </c>
      <c r="F9670" t="s">
        <v>6805</v>
      </c>
      <c r="G9670" t="s">
        <v>1697</v>
      </c>
      <c r="H9670">
        <v>10</v>
      </c>
      <c r="I9670">
        <v>91.31</v>
      </c>
      <c r="J9670" s="50">
        <v>913.1</v>
      </c>
      <c r="K9670" t="s">
        <v>1618</v>
      </c>
      <c r="L9670" t="s">
        <v>6806</v>
      </c>
      <c r="M9670" t="s">
        <v>1621</v>
      </c>
      <c r="N9670">
        <v>48.19</v>
      </c>
      <c r="O9670" s="49">
        <v>45174</v>
      </c>
      <c r="P9670" s="50">
        <v>410.89500000000004</v>
      </c>
    </row>
    <row r="9671" spans="4:16" x14ac:dyDescent="0.2">
      <c r="D9671">
        <v>100005766</v>
      </c>
      <c r="E9671" s="49">
        <v>44997</v>
      </c>
      <c r="F9671" t="s">
        <v>6807</v>
      </c>
      <c r="G9671" t="s">
        <v>2038</v>
      </c>
      <c r="H9671">
        <v>8</v>
      </c>
      <c r="I9671">
        <v>56.93</v>
      </c>
      <c r="J9671" s="50">
        <v>455.44</v>
      </c>
      <c r="K9671" t="s">
        <v>1618</v>
      </c>
      <c r="M9671" t="s">
        <v>1619</v>
      </c>
      <c r="N9671">
        <v>30.05</v>
      </c>
      <c r="O9671" s="49">
        <v>45001</v>
      </c>
      <c r="P9671" s="50">
        <v>204.94800000000001</v>
      </c>
    </row>
    <row r="9672" spans="4:16" x14ac:dyDescent="0.2">
      <c r="D9672">
        <v>100005766</v>
      </c>
      <c r="E9672" s="49">
        <v>44396</v>
      </c>
      <c r="F9672" t="s">
        <v>6807</v>
      </c>
      <c r="G9672" t="s">
        <v>1799</v>
      </c>
      <c r="H9672">
        <v>8</v>
      </c>
      <c r="I9672">
        <v>69.47</v>
      </c>
      <c r="J9672" s="50">
        <v>555.76</v>
      </c>
      <c r="K9672" t="s">
        <v>1618</v>
      </c>
      <c r="M9672" t="s">
        <v>1629</v>
      </c>
      <c r="N9672">
        <v>36.659999999999997</v>
      </c>
      <c r="O9672" s="49">
        <v>44400</v>
      </c>
      <c r="P9672" s="50">
        <v>250.09200000000001</v>
      </c>
    </row>
    <row r="9673" spans="4:16" x14ac:dyDescent="0.2">
      <c r="D9673">
        <v>100005767</v>
      </c>
      <c r="E9673" s="49">
        <v>44642</v>
      </c>
      <c r="F9673" t="s">
        <v>6808</v>
      </c>
      <c r="G9673" t="s">
        <v>1945</v>
      </c>
      <c r="H9673">
        <v>10</v>
      </c>
      <c r="I9673">
        <v>111.49</v>
      </c>
      <c r="J9673" s="50">
        <v>1114.9000000000001</v>
      </c>
      <c r="K9673" t="s">
        <v>1632</v>
      </c>
      <c r="L9673" t="s">
        <v>5316</v>
      </c>
      <c r="M9673" t="s">
        <v>1624</v>
      </c>
      <c r="N9673">
        <v>58.84</v>
      </c>
      <c r="O9673" s="49">
        <v>44646</v>
      </c>
      <c r="P9673" s="50">
        <v>501.70500000000004</v>
      </c>
    </row>
    <row r="9674" spans="4:16" x14ac:dyDescent="0.2">
      <c r="D9674">
        <v>100005767</v>
      </c>
      <c r="E9674" s="49">
        <v>44226</v>
      </c>
      <c r="F9674" t="s">
        <v>6808</v>
      </c>
      <c r="G9674" t="s">
        <v>2372</v>
      </c>
      <c r="H9674">
        <v>6</v>
      </c>
      <c r="I9674">
        <v>71.959999999999994</v>
      </c>
      <c r="J9674" s="50">
        <v>431.76</v>
      </c>
      <c r="K9674" t="s">
        <v>1632</v>
      </c>
      <c r="L9674" t="s">
        <v>5316</v>
      </c>
      <c r="M9674" t="s">
        <v>1627</v>
      </c>
      <c r="N9674">
        <v>37.979999999999997</v>
      </c>
      <c r="O9674" s="49">
        <v>44231</v>
      </c>
      <c r="P9674" s="50">
        <v>194.292</v>
      </c>
    </row>
    <row r="9675" spans="4:16" x14ac:dyDescent="0.2">
      <c r="D9675">
        <v>100005767</v>
      </c>
      <c r="E9675" s="49">
        <v>44543</v>
      </c>
      <c r="F9675" t="s">
        <v>6808</v>
      </c>
      <c r="G9675" t="s">
        <v>2180</v>
      </c>
      <c r="H9675">
        <v>7</v>
      </c>
      <c r="I9675">
        <v>62.6</v>
      </c>
      <c r="J9675" s="50">
        <v>438.2</v>
      </c>
      <c r="K9675" t="s">
        <v>1632</v>
      </c>
      <c r="L9675" t="s">
        <v>5316</v>
      </c>
      <c r="M9675" t="s">
        <v>1619</v>
      </c>
      <c r="N9675">
        <v>33.04</v>
      </c>
      <c r="O9675" s="49">
        <v>44547</v>
      </c>
      <c r="P9675" s="50">
        <v>197.19</v>
      </c>
    </row>
    <row r="9676" spans="4:16" x14ac:dyDescent="0.2">
      <c r="D9676">
        <v>100005767</v>
      </c>
      <c r="E9676" s="49">
        <v>44256</v>
      </c>
      <c r="F9676" t="s">
        <v>6808</v>
      </c>
      <c r="G9676" t="s">
        <v>1865</v>
      </c>
      <c r="H9676">
        <v>10</v>
      </c>
      <c r="I9676">
        <v>110.84</v>
      </c>
      <c r="J9676" s="50">
        <v>1108.4000000000001</v>
      </c>
      <c r="K9676" t="s">
        <v>1632</v>
      </c>
      <c r="L9676" t="s">
        <v>5316</v>
      </c>
      <c r="M9676" t="s">
        <v>1621</v>
      </c>
      <c r="N9676">
        <v>58.5</v>
      </c>
      <c r="O9676" s="49">
        <v>44259</v>
      </c>
      <c r="P9676" s="50">
        <v>498.78000000000003</v>
      </c>
    </row>
    <row r="9677" spans="4:16" x14ac:dyDescent="0.2">
      <c r="D9677">
        <v>100005768</v>
      </c>
      <c r="E9677" s="49">
        <v>45267</v>
      </c>
      <c r="F9677" t="s">
        <v>6809</v>
      </c>
      <c r="G9677" t="s">
        <v>1846</v>
      </c>
      <c r="H9677">
        <v>6</v>
      </c>
      <c r="I9677">
        <v>37.83</v>
      </c>
      <c r="J9677" s="50">
        <v>226.98</v>
      </c>
      <c r="K9677" t="s">
        <v>1618</v>
      </c>
      <c r="M9677" t="s">
        <v>1619</v>
      </c>
      <c r="N9677">
        <v>19.97</v>
      </c>
      <c r="O9677" s="49">
        <v>45268</v>
      </c>
      <c r="P9677" s="50">
        <v>102.14099999999999</v>
      </c>
    </row>
    <row r="9678" spans="4:16" x14ac:dyDescent="0.2">
      <c r="D9678">
        <v>100005768</v>
      </c>
      <c r="E9678" s="49">
        <v>45461</v>
      </c>
      <c r="F9678" t="s">
        <v>6809</v>
      </c>
      <c r="G9678" t="s">
        <v>1671</v>
      </c>
      <c r="H9678">
        <v>1</v>
      </c>
      <c r="I9678">
        <v>22.51</v>
      </c>
      <c r="J9678" s="50">
        <v>22.51</v>
      </c>
      <c r="K9678" t="s">
        <v>1618</v>
      </c>
      <c r="M9678" t="s">
        <v>1624</v>
      </c>
      <c r="N9678">
        <v>11.88</v>
      </c>
      <c r="O9678" s="49">
        <v>45463</v>
      </c>
      <c r="P9678" s="50">
        <v>10.1295</v>
      </c>
    </row>
    <row r="9679" spans="4:16" x14ac:dyDescent="0.2">
      <c r="D9679">
        <v>100005768</v>
      </c>
      <c r="E9679" s="49">
        <v>44487</v>
      </c>
      <c r="F9679" t="s">
        <v>6809</v>
      </c>
      <c r="G9679" t="s">
        <v>2062</v>
      </c>
      <c r="H9679">
        <v>9</v>
      </c>
      <c r="I9679">
        <v>73.58</v>
      </c>
      <c r="J9679" s="50">
        <v>662.22</v>
      </c>
      <c r="K9679" t="s">
        <v>1618</v>
      </c>
      <c r="M9679" t="s">
        <v>1629</v>
      </c>
      <c r="N9679">
        <v>38.83</v>
      </c>
      <c r="O9679" s="49">
        <v>44490</v>
      </c>
      <c r="P9679" s="50">
        <v>297.99900000000002</v>
      </c>
    </row>
    <row r="9680" spans="4:16" x14ac:dyDescent="0.2">
      <c r="D9680">
        <v>100005769</v>
      </c>
      <c r="E9680" s="49">
        <v>44428</v>
      </c>
      <c r="F9680" t="s">
        <v>1992</v>
      </c>
      <c r="G9680" t="s">
        <v>1641</v>
      </c>
      <c r="H9680">
        <v>7</v>
      </c>
      <c r="I9680">
        <v>17.45</v>
      </c>
      <c r="J9680" s="50">
        <v>122.15</v>
      </c>
      <c r="K9680" t="s">
        <v>1618</v>
      </c>
      <c r="M9680" t="s">
        <v>1621</v>
      </c>
      <c r="N9680">
        <v>9.2100000000000009</v>
      </c>
      <c r="O9680" s="49">
        <v>44429</v>
      </c>
      <c r="P9680" s="50">
        <v>54.967500000000001</v>
      </c>
    </row>
    <row r="9681" spans="4:16" x14ac:dyDescent="0.2">
      <c r="D9681">
        <v>100005769</v>
      </c>
      <c r="E9681" s="49">
        <v>44441</v>
      </c>
      <c r="F9681" t="s">
        <v>1992</v>
      </c>
      <c r="G9681" t="s">
        <v>1637</v>
      </c>
      <c r="H9681">
        <v>4</v>
      </c>
      <c r="I9681">
        <v>62.07</v>
      </c>
      <c r="J9681" s="50">
        <v>248.28</v>
      </c>
      <c r="K9681" t="s">
        <v>1618</v>
      </c>
      <c r="M9681" t="s">
        <v>1627</v>
      </c>
      <c r="N9681">
        <v>32.76</v>
      </c>
      <c r="O9681" s="49">
        <v>44445</v>
      </c>
      <c r="P9681" s="50">
        <v>111.726</v>
      </c>
    </row>
    <row r="9682" spans="4:16" x14ac:dyDescent="0.2">
      <c r="D9682">
        <v>100005770</v>
      </c>
      <c r="E9682" s="49">
        <v>45039</v>
      </c>
      <c r="F9682" t="s">
        <v>6810</v>
      </c>
      <c r="G9682" t="s">
        <v>1733</v>
      </c>
      <c r="H9682">
        <v>10</v>
      </c>
      <c r="I9682">
        <v>22.92</v>
      </c>
      <c r="J9682" s="50">
        <v>229.2</v>
      </c>
      <c r="K9682" t="s">
        <v>1618</v>
      </c>
      <c r="M9682" t="s">
        <v>1624</v>
      </c>
      <c r="N9682">
        <v>12.1</v>
      </c>
      <c r="O9682" s="49">
        <v>45041</v>
      </c>
      <c r="P9682" s="50">
        <v>103.14</v>
      </c>
    </row>
    <row r="9683" spans="4:16" x14ac:dyDescent="0.2">
      <c r="D9683">
        <v>100005771</v>
      </c>
      <c r="E9683" s="49">
        <v>44767</v>
      </c>
      <c r="F9683" t="s">
        <v>6811</v>
      </c>
      <c r="G9683" t="s">
        <v>1880</v>
      </c>
      <c r="H9683">
        <v>7</v>
      </c>
      <c r="I9683">
        <v>56.39</v>
      </c>
      <c r="J9683" s="50">
        <v>394.73</v>
      </c>
      <c r="K9683" t="s">
        <v>1618</v>
      </c>
      <c r="M9683" t="s">
        <v>1621</v>
      </c>
      <c r="N9683">
        <v>29.76</v>
      </c>
      <c r="O9683" s="49">
        <v>44768</v>
      </c>
      <c r="P9683" s="50">
        <v>177.6285</v>
      </c>
    </row>
    <row r="9684" spans="4:16" x14ac:dyDescent="0.2">
      <c r="D9684">
        <v>100005772</v>
      </c>
      <c r="E9684" s="49">
        <v>45366</v>
      </c>
      <c r="F9684" t="s">
        <v>6812</v>
      </c>
      <c r="G9684" t="s">
        <v>1928</v>
      </c>
      <c r="H9684">
        <v>4</v>
      </c>
      <c r="I9684">
        <v>40.159999999999997</v>
      </c>
      <c r="J9684" s="50">
        <v>160.63999999999999</v>
      </c>
      <c r="K9684" t="s">
        <v>1632</v>
      </c>
      <c r="M9684" t="s">
        <v>1627</v>
      </c>
      <c r="N9684">
        <v>21.2</v>
      </c>
      <c r="O9684" s="49">
        <v>45370</v>
      </c>
      <c r="P9684" s="50">
        <v>72.287999999999997</v>
      </c>
    </row>
    <row r="9685" spans="4:16" x14ac:dyDescent="0.2">
      <c r="D9685">
        <v>100005773</v>
      </c>
      <c r="E9685" s="49">
        <v>45479</v>
      </c>
      <c r="F9685" t="s">
        <v>6813</v>
      </c>
      <c r="G9685" t="s">
        <v>1953</v>
      </c>
      <c r="H9685">
        <v>1</v>
      </c>
      <c r="I9685">
        <v>79.459999999999994</v>
      </c>
      <c r="J9685" s="50">
        <v>79.459999999999994</v>
      </c>
      <c r="K9685" t="s">
        <v>1618</v>
      </c>
      <c r="M9685" t="s">
        <v>1627</v>
      </c>
      <c r="N9685">
        <v>41.94</v>
      </c>
      <c r="O9685" s="49">
        <v>45484</v>
      </c>
      <c r="P9685" s="50">
        <v>35.756999999999998</v>
      </c>
    </row>
    <row r="9686" spans="4:16" x14ac:dyDescent="0.2">
      <c r="D9686">
        <v>100005775</v>
      </c>
      <c r="E9686" s="49">
        <v>44868</v>
      </c>
      <c r="F9686" t="s">
        <v>6814</v>
      </c>
      <c r="G9686" t="s">
        <v>2086</v>
      </c>
      <c r="H9686">
        <v>7</v>
      </c>
      <c r="I9686">
        <v>103.76</v>
      </c>
      <c r="J9686" s="50">
        <v>726.32</v>
      </c>
      <c r="K9686" t="s">
        <v>1618</v>
      </c>
      <c r="M9686" t="s">
        <v>1629</v>
      </c>
      <c r="N9686">
        <v>54.76</v>
      </c>
      <c r="O9686" s="49">
        <v>44873</v>
      </c>
      <c r="P9686" s="50">
        <v>326.84400000000005</v>
      </c>
    </row>
    <row r="9687" spans="4:16" x14ac:dyDescent="0.2">
      <c r="D9687">
        <v>100005776</v>
      </c>
      <c r="E9687" s="49">
        <v>44511</v>
      </c>
      <c r="F9687" t="s">
        <v>5918</v>
      </c>
      <c r="G9687" t="s">
        <v>2204</v>
      </c>
      <c r="H9687">
        <v>5</v>
      </c>
      <c r="I9687">
        <v>15.48</v>
      </c>
      <c r="J9687" s="50">
        <v>77.400000000000006</v>
      </c>
      <c r="K9687" t="s">
        <v>1632</v>
      </c>
      <c r="L9687" t="s">
        <v>6815</v>
      </c>
      <c r="M9687" t="s">
        <v>1619</v>
      </c>
      <c r="N9687">
        <v>8.17</v>
      </c>
      <c r="O9687" s="49">
        <v>44516</v>
      </c>
      <c r="P9687" s="50">
        <v>34.830000000000005</v>
      </c>
    </row>
    <row r="9688" spans="4:16" x14ac:dyDescent="0.2">
      <c r="D9688">
        <v>100005776</v>
      </c>
      <c r="E9688" s="49">
        <v>45479</v>
      </c>
      <c r="F9688" t="s">
        <v>5918</v>
      </c>
      <c r="G9688" t="s">
        <v>2343</v>
      </c>
      <c r="H9688">
        <v>3</v>
      </c>
      <c r="I9688">
        <v>86.71</v>
      </c>
      <c r="J9688" s="50">
        <v>260.13</v>
      </c>
      <c r="K9688" t="s">
        <v>1632</v>
      </c>
      <c r="L9688" t="s">
        <v>6815</v>
      </c>
      <c r="M9688" t="s">
        <v>1619</v>
      </c>
      <c r="N9688">
        <v>45.76</v>
      </c>
      <c r="O9688" s="49">
        <v>45483</v>
      </c>
      <c r="P9688" s="50">
        <v>117.0585</v>
      </c>
    </row>
    <row r="9689" spans="4:16" x14ac:dyDescent="0.2">
      <c r="D9689">
        <v>100005776</v>
      </c>
      <c r="E9689" s="49">
        <v>44210</v>
      </c>
      <c r="F9689" t="s">
        <v>5918</v>
      </c>
      <c r="G9689" t="s">
        <v>1661</v>
      </c>
      <c r="H9689">
        <v>3</v>
      </c>
      <c r="I9689">
        <v>107.8</v>
      </c>
      <c r="J9689" s="50">
        <v>323.39999999999998</v>
      </c>
      <c r="K9689" t="s">
        <v>1632</v>
      </c>
      <c r="L9689" t="s">
        <v>6815</v>
      </c>
      <c r="M9689" t="s">
        <v>1621</v>
      </c>
      <c r="N9689">
        <v>56.89</v>
      </c>
      <c r="O9689" s="49">
        <v>44213</v>
      </c>
      <c r="P9689" s="50">
        <v>145.53</v>
      </c>
    </row>
    <row r="9690" spans="4:16" x14ac:dyDescent="0.2">
      <c r="D9690">
        <v>100005776</v>
      </c>
      <c r="E9690" s="49">
        <v>44816</v>
      </c>
      <c r="F9690" t="s">
        <v>5918</v>
      </c>
      <c r="G9690" t="s">
        <v>1628</v>
      </c>
      <c r="H9690">
        <v>1</v>
      </c>
      <c r="I9690">
        <v>75.489999999999995</v>
      </c>
      <c r="J9690" s="50">
        <v>75.489999999999995</v>
      </c>
      <c r="K9690" t="s">
        <v>1632</v>
      </c>
      <c r="L9690" t="s">
        <v>6815</v>
      </c>
      <c r="M9690" t="s">
        <v>1619</v>
      </c>
      <c r="N9690">
        <v>39.840000000000003</v>
      </c>
      <c r="O9690" s="49">
        <v>44818</v>
      </c>
      <c r="P9690" s="50">
        <v>33.970500000000001</v>
      </c>
    </row>
    <row r="9691" spans="4:16" x14ac:dyDescent="0.2">
      <c r="D9691">
        <v>100005776</v>
      </c>
      <c r="E9691" s="49">
        <v>45263</v>
      </c>
      <c r="F9691" t="s">
        <v>5918</v>
      </c>
      <c r="G9691" t="s">
        <v>2062</v>
      </c>
      <c r="H9691">
        <v>6</v>
      </c>
      <c r="I9691">
        <v>31.17</v>
      </c>
      <c r="J9691" s="50">
        <v>187.02</v>
      </c>
      <c r="K9691" t="s">
        <v>1632</v>
      </c>
      <c r="L9691" t="s">
        <v>6815</v>
      </c>
      <c r="M9691" t="s">
        <v>1619</v>
      </c>
      <c r="N9691">
        <v>16.45</v>
      </c>
      <c r="O9691" s="49">
        <v>45268</v>
      </c>
      <c r="P9691" s="50">
        <v>84.159000000000006</v>
      </c>
    </row>
    <row r="9692" spans="4:16" x14ac:dyDescent="0.2">
      <c r="D9692">
        <v>100005776</v>
      </c>
      <c r="E9692" s="49">
        <v>44831</v>
      </c>
      <c r="F9692" t="s">
        <v>5918</v>
      </c>
      <c r="G9692" t="s">
        <v>2147</v>
      </c>
      <c r="H9692">
        <v>1</v>
      </c>
      <c r="I9692">
        <v>63.1</v>
      </c>
      <c r="J9692" s="50">
        <v>63.1</v>
      </c>
      <c r="K9692" t="s">
        <v>1632</v>
      </c>
      <c r="L9692" t="s">
        <v>6815</v>
      </c>
      <c r="M9692" t="s">
        <v>1629</v>
      </c>
      <c r="N9692">
        <v>33.299999999999997</v>
      </c>
      <c r="O9692" s="49">
        <v>44833</v>
      </c>
      <c r="P9692" s="50">
        <v>28.395</v>
      </c>
    </row>
    <row r="9693" spans="4:16" x14ac:dyDescent="0.2">
      <c r="D9693">
        <v>100005776</v>
      </c>
      <c r="E9693" s="49">
        <v>45560</v>
      </c>
      <c r="F9693" t="s">
        <v>5918</v>
      </c>
      <c r="G9693" t="s">
        <v>2101</v>
      </c>
      <c r="H9693">
        <v>10</v>
      </c>
      <c r="I9693">
        <v>97.63</v>
      </c>
      <c r="J9693" s="50">
        <v>976.3</v>
      </c>
      <c r="K9693" t="s">
        <v>1632</v>
      </c>
      <c r="L9693" t="s">
        <v>6815</v>
      </c>
      <c r="M9693" t="s">
        <v>1627</v>
      </c>
      <c r="N9693">
        <v>51.53</v>
      </c>
      <c r="O9693" s="49">
        <v>45565</v>
      </c>
      <c r="P9693" s="50">
        <v>439.33499999999998</v>
      </c>
    </row>
    <row r="9694" spans="4:16" x14ac:dyDescent="0.2">
      <c r="D9694">
        <v>100005778</v>
      </c>
      <c r="E9694" s="49">
        <v>44289</v>
      </c>
      <c r="F9694" t="s">
        <v>6816</v>
      </c>
      <c r="G9694" t="s">
        <v>2019</v>
      </c>
      <c r="H9694">
        <v>7</v>
      </c>
      <c r="I9694">
        <v>82.12</v>
      </c>
      <c r="J9694" s="50">
        <v>574.84</v>
      </c>
      <c r="K9694" t="s">
        <v>1618</v>
      </c>
      <c r="M9694" t="s">
        <v>1627</v>
      </c>
      <c r="N9694">
        <v>43.34</v>
      </c>
      <c r="O9694" s="49">
        <v>44292</v>
      </c>
      <c r="P9694" s="50">
        <v>258.678</v>
      </c>
    </row>
    <row r="9695" spans="4:16" x14ac:dyDescent="0.2">
      <c r="D9695">
        <v>100005779</v>
      </c>
      <c r="E9695" s="49">
        <v>45134</v>
      </c>
      <c r="F9695" t="s">
        <v>6817</v>
      </c>
      <c r="G9695" t="s">
        <v>2378</v>
      </c>
      <c r="H9695">
        <v>10</v>
      </c>
      <c r="I9695">
        <v>84.27</v>
      </c>
      <c r="J9695" s="50">
        <v>842.69999999999993</v>
      </c>
      <c r="K9695" t="s">
        <v>1618</v>
      </c>
      <c r="M9695" t="s">
        <v>1621</v>
      </c>
      <c r="N9695">
        <v>44.48</v>
      </c>
      <c r="O9695" s="49">
        <v>45135</v>
      </c>
      <c r="P9695" s="50">
        <v>379.21499999999997</v>
      </c>
    </row>
    <row r="9696" spans="4:16" x14ac:dyDescent="0.2">
      <c r="D9696">
        <v>100005779</v>
      </c>
      <c r="E9696" s="49">
        <v>45053</v>
      </c>
      <c r="F9696" t="s">
        <v>6817</v>
      </c>
      <c r="G9696" t="s">
        <v>2373</v>
      </c>
      <c r="H9696">
        <v>2</v>
      </c>
      <c r="I9696">
        <v>63.83</v>
      </c>
      <c r="J9696" s="50">
        <v>127.66</v>
      </c>
      <c r="K9696" t="s">
        <v>1618</v>
      </c>
      <c r="M9696" t="s">
        <v>1629</v>
      </c>
      <c r="N9696">
        <v>33.69</v>
      </c>
      <c r="O9696" s="49">
        <v>45058</v>
      </c>
      <c r="P9696" s="50">
        <v>57.447000000000003</v>
      </c>
    </row>
    <row r="9697" spans="4:16" x14ac:dyDescent="0.2">
      <c r="D9697">
        <v>100005779</v>
      </c>
      <c r="E9697" s="49">
        <v>44277</v>
      </c>
      <c r="F9697" t="s">
        <v>6817</v>
      </c>
      <c r="G9697" t="s">
        <v>2042</v>
      </c>
      <c r="H9697">
        <v>7</v>
      </c>
      <c r="I9697">
        <v>78.38</v>
      </c>
      <c r="J9697" s="50">
        <v>548.66</v>
      </c>
      <c r="K9697" t="s">
        <v>1618</v>
      </c>
      <c r="M9697" t="s">
        <v>1619</v>
      </c>
      <c r="N9697">
        <v>41.37</v>
      </c>
      <c r="O9697" s="49">
        <v>44278</v>
      </c>
      <c r="P9697" s="50">
        <v>246.89699999999999</v>
      </c>
    </row>
    <row r="9698" spans="4:16" x14ac:dyDescent="0.2">
      <c r="D9698">
        <v>100005779</v>
      </c>
      <c r="E9698" s="49">
        <v>45329</v>
      </c>
      <c r="F9698" t="s">
        <v>6817</v>
      </c>
      <c r="G9698" t="s">
        <v>2585</v>
      </c>
      <c r="H9698">
        <v>8</v>
      </c>
      <c r="I9698">
        <v>36.86</v>
      </c>
      <c r="J9698" s="50">
        <v>294.88</v>
      </c>
      <c r="K9698" t="s">
        <v>1618</v>
      </c>
      <c r="M9698" t="s">
        <v>1619</v>
      </c>
      <c r="N9698">
        <v>19.45</v>
      </c>
      <c r="O9698" s="49">
        <v>45330</v>
      </c>
      <c r="P9698" s="50">
        <v>132.696</v>
      </c>
    </row>
    <row r="9699" spans="4:16" x14ac:dyDescent="0.2">
      <c r="D9699">
        <v>100005781</v>
      </c>
      <c r="E9699" s="49">
        <v>45322</v>
      </c>
      <c r="F9699" t="s">
        <v>6818</v>
      </c>
      <c r="G9699" t="s">
        <v>2306</v>
      </c>
      <c r="H9699">
        <v>7</v>
      </c>
      <c r="I9699">
        <v>104.4</v>
      </c>
      <c r="J9699" s="50">
        <v>730.80000000000007</v>
      </c>
      <c r="K9699" t="s">
        <v>1632</v>
      </c>
      <c r="M9699" t="s">
        <v>1629</v>
      </c>
      <c r="N9699">
        <v>55.1</v>
      </c>
      <c r="O9699" s="49">
        <v>45324</v>
      </c>
      <c r="P9699" s="50">
        <v>328.86</v>
      </c>
    </row>
    <row r="9700" spans="4:16" x14ac:dyDescent="0.2">
      <c r="D9700">
        <v>100005781</v>
      </c>
      <c r="E9700" s="49">
        <v>44630</v>
      </c>
      <c r="F9700" t="s">
        <v>6818</v>
      </c>
      <c r="G9700" t="s">
        <v>1882</v>
      </c>
      <c r="H9700">
        <v>1</v>
      </c>
      <c r="I9700">
        <v>40.909999999999997</v>
      </c>
      <c r="J9700" s="50">
        <v>40.909999999999997</v>
      </c>
      <c r="K9700" t="s">
        <v>1632</v>
      </c>
      <c r="M9700" t="s">
        <v>1627</v>
      </c>
      <c r="N9700">
        <v>21.59</v>
      </c>
      <c r="O9700" s="49">
        <v>44634</v>
      </c>
      <c r="P9700" s="50">
        <v>18.409499999999998</v>
      </c>
    </row>
    <row r="9701" spans="4:16" x14ac:dyDescent="0.2">
      <c r="D9701">
        <v>100005784</v>
      </c>
      <c r="E9701" s="49">
        <v>45470</v>
      </c>
      <c r="F9701" t="s">
        <v>5974</v>
      </c>
      <c r="G9701" t="s">
        <v>2762</v>
      </c>
      <c r="H9701">
        <v>3</v>
      </c>
      <c r="I9701">
        <v>82.1</v>
      </c>
      <c r="J9701" s="50">
        <v>246.3</v>
      </c>
      <c r="K9701" t="s">
        <v>1632</v>
      </c>
      <c r="M9701" t="s">
        <v>1629</v>
      </c>
      <c r="N9701">
        <v>43.33</v>
      </c>
      <c r="O9701" s="49">
        <v>45471</v>
      </c>
      <c r="P9701" s="50">
        <v>110.83500000000001</v>
      </c>
    </row>
    <row r="9702" spans="4:16" x14ac:dyDescent="0.2">
      <c r="D9702">
        <v>100005786</v>
      </c>
      <c r="E9702" s="49">
        <v>45367</v>
      </c>
      <c r="F9702" t="s">
        <v>6819</v>
      </c>
      <c r="G9702" t="s">
        <v>1916</v>
      </c>
      <c r="H9702">
        <v>1</v>
      </c>
      <c r="I9702">
        <v>108.54</v>
      </c>
      <c r="J9702" s="50">
        <v>108.54</v>
      </c>
      <c r="K9702" t="s">
        <v>1632</v>
      </c>
      <c r="M9702" t="s">
        <v>1627</v>
      </c>
      <c r="N9702">
        <v>57.28</v>
      </c>
      <c r="O9702" s="49">
        <v>45369</v>
      </c>
      <c r="P9702" s="50">
        <v>48.843000000000004</v>
      </c>
    </row>
    <row r="9703" spans="4:16" x14ac:dyDescent="0.2">
      <c r="D9703">
        <v>100005787</v>
      </c>
      <c r="E9703" s="49">
        <v>44202</v>
      </c>
      <c r="F9703" t="s">
        <v>6820</v>
      </c>
      <c r="G9703" t="s">
        <v>1697</v>
      </c>
      <c r="H9703">
        <v>2</v>
      </c>
      <c r="I9703">
        <v>54.96</v>
      </c>
      <c r="J9703" s="50">
        <v>109.92</v>
      </c>
      <c r="K9703" t="s">
        <v>1632</v>
      </c>
      <c r="L9703" t="s">
        <v>6821</v>
      </c>
      <c r="M9703" t="s">
        <v>1624</v>
      </c>
      <c r="N9703">
        <v>29.01</v>
      </c>
      <c r="O9703" s="49">
        <v>44207</v>
      </c>
      <c r="P9703" s="50">
        <v>49.463999999999999</v>
      </c>
    </row>
    <row r="9704" spans="4:16" x14ac:dyDescent="0.2">
      <c r="D9704">
        <v>100005789</v>
      </c>
      <c r="E9704" s="49">
        <v>45277</v>
      </c>
      <c r="F9704" t="s">
        <v>5706</v>
      </c>
      <c r="G9704" t="s">
        <v>1742</v>
      </c>
      <c r="H9704">
        <v>1</v>
      </c>
      <c r="I9704">
        <v>23.55</v>
      </c>
      <c r="J9704" s="50">
        <v>23.55</v>
      </c>
      <c r="K9704" t="s">
        <v>1618</v>
      </c>
      <c r="L9704" t="s">
        <v>4459</v>
      </c>
      <c r="M9704" t="s">
        <v>1619</v>
      </c>
      <c r="N9704">
        <v>12.43</v>
      </c>
      <c r="O9704" s="49">
        <v>45278</v>
      </c>
      <c r="P9704" s="50">
        <v>10.5975</v>
      </c>
    </row>
    <row r="9705" spans="4:16" x14ac:dyDescent="0.2">
      <c r="D9705">
        <v>100005789</v>
      </c>
      <c r="E9705" s="49">
        <v>44347</v>
      </c>
      <c r="F9705" t="s">
        <v>5706</v>
      </c>
      <c r="G9705" t="s">
        <v>1658</v>
      </c>
      <c r="H9705">
        <v>2</v>
      </c>
      <c r="I9705">
        <v>115.21</v>
      </c>
      <c r="J9705" s="50">
        <v>230.42</v>
      </c>
      <c r="K9705" t="s">
        <v>1618</v>
      </c>
      <c r="L9705" t="s">
        <v>4459</v>
      </c>
      <c r="M9705" t="s">
        <v>1619</v>
      </c>
      <c r="N9705">
        <v>60.8</v>
      </c>
      <c r="O9705" s="49">
        <v>44352</v>
      </c>
      <c r="P9705" s="50">
        <v>103.68899999999999</v>
      </c>
    </row>
    <row r="9706" spans="4:16" x14ac:dyDescent="0.2">
      <c r="D9706">
        <v>100005791</v>
      </c>
      <c r="E9706" s="49">
        <v>45164</v>
      </c>
      <c r="F9706" t="s">
        <v>6822</v>
      </c>
      <c r="G9706" t="s">
        <v>1820</v>
      </c>
      <c r="H9706">
        <v>10</v>
      </c>
      <c r="I9706">
        <v>105.09</v>
      </c>
      <c r="J9706" s="50">
        <v>1050.9000000000001</v>
      </c>
      <c r="K9706" t="s">
        <v>1632</v>
      </c>
      <c r="M9706" t="s">
        <v>1627</v>
      </c>
      <c r="N9706">
        <v>55.46</v>
      </c>
      <c r="O9706" s="49">
        <v>45166</v>
      </c>
      <c r="P9706" s="50">
        <v>472.90500000000003</v>
      </c>
    </row>
    <row r="9707" spans="4:16" x14ac:dyDescent="0.2">
      <c r="D9707">
        <v>100005792</v>
      </c>
      <c r="E9707" s="49">
        <v>44750</v>
      </c>
      <c r="F9707" t="s">
        <v>6823</v>
      </c>
      <c r="G9707" t="s">
        <v>1754</v>
      </c>
      <c r="H9707">
        <v>6</v>
      </c>
      <c r="I9707">
        <v>77.61</v>
      </c>
      <c r="J9707" s="50">
        <v>465.66</v>
      </c>
      <c r="K9707" t="s">
        <v>1618</v>
      </c>
      <c r="M9707" t="s">
        <v>1629</v>
      </c>
      <c r="N9707">
        <v>40.96</v>
      </c>
      <c r="O9707" s="49">
        <v>44755</v>
      </c>
      <c r="P9707" s="50">
        <v>209.54700000000003</v>
      </c>
    </row>
    <row r="9708" spans="4:16" x14ac:dyDescent="0.2">
      <c r="D9708">
        <v>100005793</v>
      </c>
      <c r="E9708" s="49">
        <v>45050</v>
      </c>
      <c r="F9708" t="s">
        <v>6824</v>
      </c>
      <c r="G9708" t="s">
        <v>2005</v>
      </c>
      <c r="H9708">
        <v>8</v>
      </c>
      <c r="I9708">
        <v>20.83</v>
      </c>
      <c r="J9708" s="50">
        <v>166.64</v>
      </c>
      <c r="K9708" t="s">
        <v>1618</v>
      </c>
      <c r="M9708" t="s">
        <v>1619</v>
      </c>
      <c r="N9708">
        <v>10.99</v>
      </c>
      <c r="O9708" s="49">
        <v>45052</v>
      </c>
      <c r="P9708" s="50">
        <v>74.988</v>
      </c>
    </row>
    <row r="9709" spans="4:16" x14ac:dyDescent="0.2">
      <c r="D9709">
        <v>100005793</v>
      </c>
      <c r="E9709" s="49">
        <v>44207</v>
      </c>
      <c r="F9709" t="s">
        <v>6824</v>
      </c>
      <c r="G9709" t="s">
        <v>1950</v>
      </c>
      <c r="H9709">
        <v>3</v>
      </c>
      <c r="I9709">
        <v>28.19</v>
      </c>
      <c r="J9709" s="50">
        <v>84.570000000000007</v>
      </c>
      <c r="K9709" t="s">
        <v>1618</v>
      </c>
      <c r="M9709" t="s">
        <v>1627</v>
      </c>
      <c r="N9709">
        <v>14.88</v>
      </c>
      <c r="O9709" s="49">
        <v>44209</v>
      </c>
      <c r="P9709" s="50">
        <v>38.056500000000007</v>
      </c>
    </row>
    <row r="9710" spans="4:16" x14ac:dyDescent="0.2">
      <c r="D9710">
        <v>100005793</v>
      </c>
      <c r="E9710" s="49">
        <v>45583</v>
      </c>
      <c r="F9710" t="s">
        <v>6824</v>
      </c>
      <c r="G9710" t="s">
        <v>2766</v>
      </c>
      <c r="H9710">
        <v>5</v>
      </c>
      <c r="I9710">
        <v>26.29</v>
      </c>
      <c r="J9710" s="50">
        <v>131.44999999999999</v>
      </c>
      <c r="K9710" t="s">
        <v>1618</v>
      </c>
      <c r="M9710" t="s">
        <v>1627</v>
      </c>
      <c r="N9710">
        <v>13.88</v>
      </c>
      <c r="O9710" s="49">
        <v>45584</v>
      </c>
      <c r="P9710" s="50">
        <v>59.152499999999996</v>
      </c>
    </row>
    <row r="9711" spans="4:16" x14ac:dyDescent="0.2">
      <c r="D9711">
        <v>100005794</v>
      </c>
      <c r="E9711" s="49">
        <v>45254</v>
      </c>
      <c r="F9711" t="s">
        <v>6825</v>
      </c>
      <c r="G9711" t="s">
        <v>2025</v>
      </c>
      <c r="H9711">
        <v>8</v>
      </c>
      <c r="I9711">
        <v>90.41</v>
      </c>
      <c r="J9711" s="50">
        <v>723.28</v>
      </c>
      <c r="K9711" t="s">
        <v>1618</v>
      </c>
      <c r="M9711" t="s">
        <v>1621</v>
      </c>
      <c r="N9711">
        <v>47.72</v>
      </c>
      <c r="O9711" s="49">
        <v>45255</v>
      </c>
      <c r="P9711" s="50">
        <v>325.476</v>
      </c>
    </row>
    <row r="9712" spans="4:16" x14ac:dyDescent="0.2">
      <c r="D9712">
        <v>100005794</v>
      </c>
      <c r="E9712" s="49">
        <v>44417</v>
      </c>
      <c r="F9712" t="s">
        <v>6825</v>
      </c>
      <c r="G9712" t="s">
        <v>3135</v>
      </c>
      <c r="H9712">
        <v>6</v>
      </c>
      <c r="I9712">
        <v>67.27</v>
      </c>
      <c r="J9712" s="50">
        <v>403.62</v>
      </c>
      <c r="K9712" t="s">
        <v>1618</v>
      </c>
      <c r="M9712" t="s">
        <v>1621</v>
      </c>
      <c r="N9712">
        <v>35.5</v>
      </c>
      <c r="O9712" s="49">
        <v>44420</v>
      </c>
      <c r="P9712" s="50">
        <v>181.62900000000002</v>
      </c>
    </row>
    <row r="9713" spans="4:16" x14ac:dyDescent="0.2">
      <c r="D9713">
        <v>100005794</v>
      </c>
      <c r="E9713" s="49">
        <v>45565</v>
      </c>
      <c r="F9713" t="s">
        <v>6825</v>
      </c>
      <c r="G9713" t="s">
        <v>2017</v>
      </c>
      <c r="H9713">
        <v>9</v>
      </c>
      <c r="I9713">
        <v>33.770000000000003</v>
      </c>
      <c r="J9713" s="50">
        <v>303.93</v>
      </c>
      <c r="K9713" t="s">
        <v>1618</v>
      </c>
      <c r="M9713" t="s">
        <v>1624</v>
      </c>
      <c r="N9713">
        <v>17.82</v>
      </c>
      <c r="O9713" s="49">
        <v>45569</v>
      </c>
      <c r="P9713" s="50">
        <v>136.76850000000002</v>
      </c>
    </row>
    <row r="9714" spans="4:16" x14ac:dyDescent="0.2">
      <c r="D9714">
        <v>100005797</v>
      </c>
      <c r="E9714" s="49">
        <v>44634</v>
      </c>
      <c r="F9714" t="s">
        <v>4933</v>
      </c>
      <c r="G9714" t="s">
        <v>1765</v>
      </c>
      <c r="H9714">
        <v>9</v>
      </c>
      <c r="I9714">
        <v>110.49</v>
      </c>
      <c r="J9714" s="50">
        <v>994.41</v>
      </c>
      <c r="K9714" t="s">
        <v>1618</v>
      </c>
      <c r="M9714" t="s">
        <v>1629</v>
      </c>
      <c r="N9714">
        <v>58.31</v>
      </c>
      <c r="O9714" s="49">
        <v>44637</v>
      </c>
      <c r="P9714" s="50">
        <v>447.48449999999997</v>
      </c>
    </row>
    <row r="9715" spans="4:16" x14ac:dyDescent="0.2">
      <c r="D9715">
        <v>100005797</v>
      </c>
      <c r="E9715" s="49">
        <v>44884</v>
      </c>
      <c r="F9715" t="s">
        <v>4933</v>
      </c>
      <c r="G9715" t="s">
        <v>2068</v>
      </c>
      <c r="H9715">
        <v>2</v>
      </c>
      <c r="I9715">
        <v>73.349999999999994</v>
      </c>
      <c r="J9715" s="50">
        <v>146.69999999999999</v>
      </c>
      <c r="K9715" t="s">
        <v>1618</v>
      </c>
      <c r="M9715" t="s">
        <v>1621</v>
      </c>
      <c r="N9715">
        <v>38.71</v>
      </c>
      <c r="O9715" s="49">
        <v>44888</v>
      </c>
      <c r="P9715" s="50">
        <v>66.015000000000001</v>
      </c>
    </row>
    <row r="9716" spans="4:16" x14ac:dyDescent="0.2">
      <c r="D9716">
        <v>100005797</v>
      </c>
      <c r="E9716" s="49">
        <v>45063</v>
      </c>
      <c r="F9716" t="s">
        <v>4933</v>
      </c>
      <c r="G9716" t="s">
        <v>2301</v>
      </c>
      <c r="H9716">
        <v>1</v>
      </c>
      <c r="I9716">
        <v>96.1</v>
      </c>
      <c r="J9716" s="50">
        <v>96.1</v>
      </c>
      <c r="K9716" t="s">
        <v>1618</v>
      </c>
      <c r="M9716" t="s">
        <v>1619</v>
      </c>
      <c r="N9716">
        <v>50.72</v>
      </c>
      <c r="O9716" s="49">
        <v>45068</v>
      </c>
      <c r="P9716" s="50">
        <v>43.244999999999997</v>
      </c>
    </row>
    <row r="9717" spans="4:16" x14ac:dyDescent="0.2">
      <c r="D9717">
        <v>100005797</v>
      </c>
      <c r="E9717" s="49">
        <v>45527</v>
      </c>
      <c r="F9717" t="s">
        <v>4933</v>
      </c>
      <c r="G9717" t="s">
        <v>2263</v>
      </c>
      <c r="H9717">
        <v>1</v>
      </c>
      <c r="I9717">
        <v>96.58</v>
      </c>
      <c r="J9717" s="50">
        <v>96.58</v>
      </c>
      <c r="K9717" t="s">
        <v>1618</v>
      </c>
      <c r="M9717" t="s">
        <v>1627</v>
      </c>
      <c r="N9717">
        <v>50.97</v>
      </c>
      <c r="O9717" s="49">
        <v>45530</v>
      </c>
      <c r="P9717" s="50">
        <v>43.460999999999999</v>
      </c>
    </row>
    <row r="9718" spans="4:16" x14ac:dyDescent="0.2">
      <c r="D9718">
        <v>100005797</v>
      </c>
      <c r="E9718" s="49">
        <v>45114</v>
      </c>
      <c r="F9718" t="s">
        <v>4933</v>
      </c>
      <c r="G9718" t="s">
        <v>2210</v>
      </c>
      <c r="H9718">
        <v>8</v>
      </c>
      <c r="I9718">
        <v>108.64</v>
      </c>
      <c r="J9718" s="50">
        <v>869.12</v>
      </c>
      <c r="K9718" t="s">
        <v>1618</v>
      </c>
      <c r="M9718" t="s">
        <v>1621</v>
      </c>
      <c r="N9718">
        <v>57.34</v>
      </c>
      <c r="O9718" s="49">
        <v>45117</v>
      </c>
      <c r="P9718" s="50">
        <v>391.10399999999998</v>
      </c>
    </row>
    <row r="9719" spans="4:16" x14ac:dyDescent="0.2">
      <c r="D9719">
        <v>100005797</v>
      </c>
      <c r="E9719" s="49">
        <v>44716</v>
      </c>
      <c r="F9719" t="s">
        <v>4933</v>
      </c>
      <c r="G9719" t="s">
        <v>1963</v>
      </c>
      <c r="H9719">
        <v>5</v>
      </c>
      <c r="I9719">
        <v>48.19</v>
      </c>
      <c r="J9719" s="50">
        <v>240.95</v>
      </c>
      <c r="K9719" t="s">
        <v>1618</v>
      </c>
      <c r="M9719" t="s">
        <v>1627</v>
      </c>
      <c r="N9719">
        <v>25.43</v>
      </c>
      <c r="O9719" s="49">
        <v>44718</v>
      </c>
      <c r="P9719" s="50">
        <v>108.42749999999999</v>
      </c>
    </row>
    <row r="9720" spans="4:16" x14ac:dyDescent="0.2">
      <c r="D9720">
        <v>100005798</v>
      </c>
      <c r="E9720" s="49">
        <v>45221</v>
      </c>
      <c r="F9720" t="s">
        <v>6826</v>
      </c>
      <c r="G9720" t="s">
        <v>1651</v>
      </c>
      <c r="H9720">
        <v>8</v>
      </c>
      <c r="I9720">
        <v>115.82</v>
      </c>
      <c r="J9720" s="50">
        <v>926.56</v>
      </c>
      <c r="K9720" t="s">
        <v>1618</v>
      </c>
      <c r="M9720" t="s">
        <v>1619</v>
      </c>
      <c r="N9720">
        <v>61.13</v>
      </c>
      <c r="O9720" s="49">
        <v>45223</v>
      </c>
      <c r="P9720" s="50">
        <v>416.952</v>
      </c>
    </row>
    <row r="9721" spans="4:16" x14ac:dyDescent="0.2">
      <c r="D9721">
        <v>100005798</v>
      </c>
      <c r="E9721" s="49">
        <v>45468</v>
      </c>
      <c r="F9721" t="s">
        <v>6826</v>
      </c>
      <c r="G9721" t="s">
        <v>1868</v>
      </c>
      <c r="H9721">
        <v>3</v>
      </c>
      <c r="I9721">
        <v>85.19</v>
      </c>
      <c r="J9721" s="50">
        <v>255.57</v>
      </c>
      <c r="K9721" t="s">
        <v>1618</v>
      </c>
      <c r="M9721" t="s">
        <v>1624</v>
      </c>
      <c r="N9721">
        <v>44.96</v>
      </c>
      <c r="O9721" s="49">
        <v>45473</v>
      </c>
      <c r="P9721" s="50">
        <v>115.0065</v>
      </c>
    </row>
    <row r="9722" spans="4:16" x14ac:dyDescent="0.2">
      <c r="D9722">
        <v>100005798</v>
      </c>
      <c r="E9722" s="49">
        <v>45421</v>
      </c>
      <c r="F9722" t="s">
        <v>6826</v>
      </c>
      <c r="G9722" t="s">
        <v>2003</v>
      </c>
      <c r="H9722">
        <v>3</v>
      </c>
      <c r="I9722">
        <v>39.619999999999997</v>
      </c>
      <c r="J9722" s="50">
        <v>118.86</v>
      </c>
      <c r="K9722" t="s">
        <v>1618</v>
      </c>
      <c r="M9722" t="s">
        <v>1629</v>
      </c>
      <c r="N9722">
        <v>20.91</v>
      </c>
      <c r="O9722" s="49">
        <v>45424</v>
      </c>
      <c r="P9722" s="50">
        <v>53.487000000000002</v>
      </c>
    </row>
    <row r="9723" spans="4:16" x14ac:dyDescent="0.2">
      <c r="D9723">
        <v>100005798</v>
      </c>
      <c r="E9723" s="49">
        <v>44938</v>
      </c>
      <c r="F9723" t="s">
        <v>6826</v>
      </c>
      <c r="G9723" t="s">
        <v>1744</v>
      </c>
      <c r="H9723">
        <v>6</v>
      </c>
      <c r="I9723">
        <v>109.21</v>
      </c>
      <c r="J9723" s="50">
        <v>655.26</v>
      </c>
      <c r="K9723" t="s">
        <v>1618</v>
      </c>
      <c r="M9723" t="s">
        <v>1629</v>
      </c>
      <c r="N9723">
        <v>57.64</v>
      </c>
      <c r="O9723" s="49">
        <v>44943</v>
      </c>
      <c r="P9723" s="50">
        <v>294.86700000000002</v>
      </c>
    </row>
    <row r="9724" spans="4:16" x14ac:dyDescent="0.2">
      <c r="D9724">
        <v>100005798</v>
      </c>
      <c r="E9724" s="49">
        <v>44361</v>
      </c>
      <c r="F9724" t="s">
        <v>6826</v>
      </c>
      <c r="G9724" t="s">
        <v>1642</v>
      </c>
      <c r="H9724">
        <v>3</v>
      </c>
      <c r="I9724">
        <v>29.63</v>
      </c>
      <c r="J9724" s="50">
        <v>88.89</v>
      </c>
      <c r="K9724" t="s">
        <v>1618</v>
      </c>
      <c r="M9724" t="s">
        <v>1624</v>
      </c>
      <c r="N9724">
        <v>15.64</v>
      </c>
      <c r="O9724" s="49">
        <v>44362</v>
      </c>
      <c r="P9724" s="50">
        <v>40.000500000000002</v>
      </c>
    </row>
    <row r="9725" spans="4:16" x14ac:dyDescent="0.2">
      <c r="D9725">
        <v>100005799</v>
      </c>
      <c r="E9725" s="49">
        <v>44424</v>
      </c>
      <c r="F9725" t="s">
        <v>6827</v>
      </c>
      <c r="G9725" t="s">
        <v>1617</v>
      </c>
      <c r="H9725">
        <v>6</v>
      </c>
      <c r="I9725">
        <v>74.14</v>
      </c>
      <c r="J9725" s="50">
        <v>444.84</v>
      </c>
      <c r="K9725" t="s">
        <v>1632</v>
      </c>
      <c r="L9725" t="s">
        <v>6828</v>
      </c>
      <c r="M9725" t="s">
        <v>1624</v>
      </c>
      <c r="N9725">
        <v>39.130000000000003</v>
      </c>
      <c r="O9725" s="49">
        <v>44428</v>
      </c>
      <c r="P9725" s="50">
        <v>200.178</v>
      </c>
    </row>
    <row r="9726" spans="4:16" x14ac:dyDescent="0.2">
      <c r="D9726">
        <v>100005799</v>
      </c>
      <c r="E9726" s="49">
        <v>44355</v>
      </c>
      <c r="F9726" t="s">
        <v>6827</v>
      </c>
      <c r="G9726" t="s">
        <v>1777</v>
      </c>
      <c r="H9726">
        <v>8</v>
      </c>
      <c r="I9726">
        <v>49.42</v>
      </c>
      <c r="J9726" s="50">
        <v>395.36</v>
      </c>
      <c r="K9726" t="s">
        <v>1632</v>
      </c>
      <c r="L9726" t="s">
        <v>6828</v>
      </c>
      <c r="M9726" t="s">
        <v>1619</v>
      </c>
      <c r="N9726">
        <v>26.08</v>
      </c>
      <c r="O9726" s="49">
        <v>44359</v>
      </c>
      <c r="P9726" s="50">
        <v>177.91200000000001</v>
      </c>
    </row>
    <row r="9727" spans="4:16" x14ac:dyDescent="0.2">
      <c r="D9727">
        <v>100005799</v>
      </c>
      <c r="E9727" s="49">
        <v>45357</v>
      </c>
      <c r="F9727" t="s">
        <v>6827</v>
      </c>
      <c r="G9727" t="s">
        <v>2147</v>
      </c>
      <c r="H9727">
        <v>4</v>
      </c>
      <c r="I9727">
        <v>70.8</v>
      </c>
      <c r="J9727" s="50">
        <v>283.2</v>
      </c>
      <c r="K9727" t="s">
        <v>1632</v>
      </c>
      <c r="L9727" t="s">
        <v>6828</v>
      </c>
      <c r="M9727" t="s">
        <v>1627</v>
      </c>
      <c r="N9727">
        <v>37.369999999999997</v>
      </c>
      <c r="O9727" s="49">
        <v>45359</v>
      </c>
      <c r="P9727" s="50">
        <v>127.44</v>
      </c>
    </row>
    <row r="9728" spans="4:16" x14ac:dyDescent="0.2">
      <c r="D9728">
        <v>100005799</v>
      </c>
      <c r="E9728" s="49">
        <v>44601</v>
      </c>
      <c r="F9728" t="s">
        <v>6827</v>
      </c>
      <c r="G9728" t="s">
        <v>1825</v>
      </c>
      <c r="H9728">
        <v>8</v>
      </c>
      <c r="I9728">
        <v>37.049999999999997</v>
      </c>
      <c r="J9728" s="50">
        <v>296.39999999999998</v>
      </c>
      <c r="K9728" t="s">
        <v>1632</v>
      </c>
      <c r="L9728" t="s">
        <v>6828</v>
      </c>
      <c r="M9728" t="s">
        <v>1627</v>
      </c>
      <c r="N9728">
        <v>19.55</v>
      </c>
      <c r="O9728" s="49">
        <v>44605</v>
      </c>
      <c r="P9728" s="50">
        <v>133.38</v>
      </c>
    </row>
    <row r="9729" spans="4:16" x14ac:dyDescent="0.2">
      <c r="D9729">
        <v>100005799</v>
      </c>
      <c r="E9729" s="49">
        <v>45409</v>
      </c>
      <c r="F9729" t="s">
        <v>6827</v>
      </c>
      <c r="G9729" t="s">
        <v>1866</v>
      </c>
      <c r="H9729">
        <v>4</v>
      </c>
      <c r="I9729">
        <v>43.73</v>
      </c>
      <c r="J9729" s="50">
        <v>174.92</v>
      </c>
      <c r="K9729" t="s">
        <v>1632</v>
      </c>
      <c r="L9729" t="s">
        <v>6828</v>
      </c>
      <c r="M9729" t="s">
        <v>1621</v>
      </c>
      <c r="N9729">
        <v>23.08</v>
      </c>
      <c r="O9729" s="49">
        <v>45413</v>
      </c>
      <c r="P9729" s="50">
        <v>78.713999999999999</v>
      </c>
    </row>
    <row r="9730" spans="4:16" x14ac:dyDescent="0.2">
      <c r="D9730">
        <v>100005800</v>
      </c>
      <c r="E9730" s="49">
        <v>44989</v>
      </c>
      <c r="F9730" t="s">
        <v>5984</v>
      </c>
      <c r="G9730" t="s">
        <v>1841</v>
      </c>
      <c r="H9730">
        <v>10</v>
      </c>
      <c r="I9730">
        <v>92.8</v>
      </c>
      <c r="J9730" s="50">
        <v>928</v>
      </c>
      <c r="K9730" t="s">
        <v>1618</v>
      </c>
      <c r="M9730" t="s">
        <v>1619</v>
      </c>
      <c r="N9730">
        <v>48.98</v>
      </c>
      <c r="O9730" s="49">
        <v>44993</v>
      </c>
      <c r="P9730" s="50">
        <v>417.6</v>
      </c>
    </row>
    <row r="9731" spans="4:16" x14ac:dyDescent="0.2">
      <c r="D9731">
        <v>100005800</v>
      </c>
      <c r="E9731" s="49">
        <v>45536</v>
      </c>
      <c r="F9731" t="s">
        <v>5984</v>
      </c>
      <c r="G9731" t="s">
        <v>2436</v>
      </c>
      <c r="H9731">
        <v>4</v>
      </c>
      <c r="I9731">
        <v>27.27</v>
      </c>
      <c r="J9731" s="50">
        <v>109.08</v>
      </c>
      <c r="K9731" t="s">
        <v>1618</v>
      </c>
      <c r="M9731" t="s">
        <v>1627</v>
      </c>
      <c r="N9731">
        <v>14.39</v>
      </c>
      <c r="O9731" s="49">
        <v>45537</v>
      </c>
      <c r="P9731" s="50">
        <v>49.085999999999999</v>
      </c>
    </row>
    <row r="9732" spans="4:16" x14ac:dyDescent="0.2">
      <c r="D9732">
        <v>100005802</v>
      </c>
      <c r="E9732" s="49">
        <v>44871</v>
      </c>
      <c r="F9732" t="s">
        <v>6829</v>
      </c>
      <c r="G9732" t="s">
        <v>2194</v>
      </c>
      <c r="H9732">
        <v>6</v>
      </c>
      <c r="I9732">
        <v>89.32</v>
      </c>
      <c r="J9732" s="50">
        <v>535.91999999999996</v>
      </c>
      <c r="K9732" t="s">
        <v>1618</v>
      </c>
      <c r="L9732" t="s">
        <v>2518</v>
      </c>
      <c r="M9732" t="s">
        <v>1629</v>
      </c>
      <c r="N9732">
        <v>47.14</v>
      </c>
      <c r="O9732" s="49">
        <v>44875</v>
      </c>
      <c r="P9732" s="50">
        <v>241.16399999999999</v>
      </c>
    </row>
    <row r="9733" spans="4:16" x14ac:dyDescent="0.2">
      <c r="D9733">
        <v>100005804</v>
      </c>
      <c r="E9733" s="49">
        <v>44988</v>
      </c>
      <c r="F9733" t="s">
        <v>6830</v>
      </c>
      <c r="G9733" t="s">
        <v>2230</v>
      </c>
      <c r="H9733">
        <v>2</v>
      </c>
      <c r="I9733">
        <v>109.45</v>
      </c>
      <c r="J9733" s="50">
        <v>218.9</v>
      </c>
      <c r="K9733" t="s">
        <v>1632</v>
      </c>
      <c r="M9733" t="s">
        <v>1621</v>
      </c>
      <c r="N9733">
        <v>57.76</v>
      </c>
      <c r="O9733" s="49">
        <v>44991</v>
      </c>
      <c r="P9733" s="50">
        <v>98.50500000000001</v>
      </c>
    </row>
    <row r="9734" spans="4:16" x14ac:dyDescent="0.2">
      <c r="D9734">
        <v>100005804</v>
      </c>
      <c r="E9734" s="49">
        <v>44652</v>
      </c>
      <c r="F9734" t="s">
        <v>6830</v>
      </c>
      <c r="G9734" t="s">
        <v>1651</v>
      </c>
      <c r="H9734">
        <v>7</v>
      </c>
      <c r="I9734">
        <v>56.99</v>
      </c>
      <c r="J9734" s="50">
        <v>398.93</v>
      </c>
      <c r="K9734" t="s">
        <v>1632</v>
      </c>
      <c r="M9734" t="s">
        <v>1624</v>
      </c>
      <c r="N9734">
        <v>30.08</v>
      </c>
      <c r="O9734" s="49">
        <v>44655</v>
      </c>
      <c r="P9734" s="50">
        <v>179.51850000000002</v>
      </c>
    </row>
    <row r="9735" spans="4:16" x14ac:dyDescent="0.2">
      <c r="D9735">
        <v>100005805</v>
      </c>
      <c r="E9735" s="49">
        <v>44929</v>
      </c>
      <c r="F9735" t="s">
        <v>6831</v>
      </c>
      <c r="G9735" t="s">
        <v>2323</v>
      </c>
      <c r="H9735">
        <v>8</v>
      </c>
      <c r="I9735">
        <v>105.78</v>
      </c>
      <c r="J9735" s="50">
        <v>846.24</v>
      </c>
      <c r="K9735" t="s">
        <v>1618</v>
      </c>
      <c r="M9735" t="s">
        <v>1624</v>
      </c>
      <c r="N9735">
        <v>55.83</v>
      </c>
      <c r="O9735" s="49">
        <v>44931</v>
      </c>
      <c r="P9735" s="50">
        <v>380.80799999999999</v>
      </c>
    </row>
    <row r="9736" spans="4:16" x14ac:dyDescent="0.2">
      <c r="D9736">
        <v>100005805</v>
      </c>
      <c r="E9736" s="49">
        <v>45025</v>
      </c>
      <c r="F9736" t="s">
        <v>6831</v>
      </c>
      <c r="G9736" t="s">
        <v>2348</v>
      </c>
      <c r="H9736">
        <v>1</v>
      </c>
      <c r="I9736">
        <v>65.510000000000005</v>
      </c>
      <c r="J9736" s="50">
        <v>65.510000000000005</v>
      </c>
      <c r="K9736" t="s">
        <v>1618</v>
      </c>
      <c r="M9736" t="s">
        <v>1629</v>
      </c>
      <c r="N9736">
        <v>34.57</v>
      </c>
      <c r="O9736" s="49">
        <v>45027</v>
      </c>
      <c r="P9736" s="50">
        <v>29.479500000000002</v>
      </c>
    </row>
    <row r="9737" spans="4:16" x14ac:dyDescent="0.2">
      <c r="D9737">
        <v>100005806</v>
      </c>
      <c r="E9737" s="49">
        <v>44257</v>
      </c>
      <c r="F9737" t="s">
        <v>4881</v>
      </c>
      <c r="G9737" t="s">
        <v>1752</v>
      </c>
      <c r="H9737">
        <v>6</v>
      </c>
      <c r="I9737">
        <v>108</v>
      </c>
      <c r="J9737" s="50">
        <v>648</v>
      </c>
      <c r="K9737" t="s">
        <v>1632</v>
      </c>
      <c r="M9737" t="s">
        <v>1627</v>
      </c>
      <c r="N9737">
        <v>57</v>
      </c>
      <c r="O9737" s="49">
        <v>44260</v>
      </c>
      <c r="P9737" s="50">
        <v>291.60000000000002</v>
      </c>
    </row>
    <row r="9738" spans="4:16" x14ac:dyDescent="0.2">
      <c r="D9738">
        <v>100005806</v>
      </c>
      <c r="E9738" s="49">
        <v>45535</v>
      </c>
      <c r="F9738" t="s">
        <v>4881</v>
      </c>
      <c r="G9738" t="s">
        <v>2418</v>
      </c>
      <c r="H9738">
        <v>9</v>
      </c>
      <c r="I9738">
        <v>37.020000000000003</v>
      </c>
      <c r="J9738" s="50">
        <v>333.18</v>
      </c>
      <c r="K9738" t="s">
        <v>1632</v>
      </c>
      <c r="M9738" t="s">
        <v>1624</v>
      </c>
      <c r="N9738">
        <v>19.54</v>
      </c>
      <c r="O9738" s="49">
        <v>45540</v>
      </c>
      <c r="P9738" s="50">
        <v>149.93100000000001</v>
      </c>
    </row>
    <row r="9739" spans="4:16" x14ac:dyDescent="0.2">
      <c r="D9739">
        <v>100005806</v>
      </c>
      <c r="E9739" s="49">
        <v>44433</v>
      </c>
      <c r="F9739" t="s">
        <v>4881</v>
      </c>
      <c r="G9739" t="s">
        <v>2217</v>
      </c>
      <c r="H9739">
        <v>2</v>
      </c>
      <c r="I9739">
        <v>38.65</v>
      </c>
      <c r="J9739" s="50">
        <v>77.3</v>
      </c>
      <c r="K9739" t="s">
        <v>1632</v>
      </c>
      <c r="M9739" t="s">
        <v>1621</v>
      </c>
      <c r="N9739">
        <v>20.399999999999999</v>
      </c>
      <c r="O9739" s="49">
        <v>44436</v>
      </c>
      <c r="P9739" s="50">
        <v>34.784999999999997</v>
      </c>
    </row>
    <row r="9740" spans="4:16" x14ac:dyDescent="0.2">
      <c r="D9740">
        <v>100005807</v>
      </c>
      <c r="E9740" s="49">
        <v>44310</v>
      </c>
      <c r="F9740" t="s">
        <v>6832</v>
      </c>
      <c r="G9740" t="s">
        <v>1645</v>
      </c>
      <c r="H9740">
        <v>1</v>
      </c>
      <c r="I9740">
        <v>86.05</v>
      </c>
      <c r="J9740" s="50">
        <v>86.05</v>
      </c>
      <c r="K9740" t="s">
        <v>1632</v>
      </c>
      <c r="L9740" t="s">
        <v>2882</v>
      </c>
      <c r="M9740" t="s">
        <v>1627</v>
      </c>
      <c r="N9740">
        <v>45.41</v>
      </c>
      <c r="O9740" s="49">
        <v>44311</v>
      </c>
      <c r="P9740" s="50">
        <v>38.722499999999997</v>
      </c>
    </row>
    <row r="9741" spans="4:16" x14ac:dyDescent="0.2">
      <c r="D9741">
        <v>100005808</v>
      </c>
      <c r="E9741" s="49">
        <v>45485</v>
      </c>
      <c r="F9741" t="s">
        <v>2251</v>
      </c>
      <c r="G9741" t="s">
        <v>1859</v>
      </c>
      <c r="H9741">
        <v>9</v>
      </c>
      <c r="I9741">
        <v>10.64</v>
      </c>
      <c r="J9741" s="50">
        <v>95.76</v>
      </c>
      <c r="K9741" t="s">
        <v>1618</v>
      </c>
      <c r="M9741" t="s">
        <v>1619</v>
      </c>
      <c r="N9741">
        <v>5.62</v>
      </c>
      <c r="O9741" s="49">
        <v>45489</v>
      </c>
      <c r="P9741" s="50">
        <v>43.092000000000006</v>
      </c>
    </row>
    <row r="9742" spans="4:16" x14ac:dyDescent="0.2">
      <c r="D9742">
        <v>100005809</v>
      </c>
      <c r="E9742" s="49">
        <v>45244</v>
      </c>
      <c r="F9742" t="s">
        <v>6833</v>
      </c>
      <c r="G9742" t="s">
        <v>1928</v>
      </c>
      <c r="H9742">
        <v>8</v>
      </c>
      <c r="I9742">
        <v>108.57</v>
      </c>
      <c r="J9742" s="50">
        <v>868.56</v>
      </c>
      <c r="K9742" t="s">
        <v>1618</v>
      </c>
      <c r="M9742" t="s">
        <v>1619</v>
      </c>
      <c r="N9742">
        <v>57.3</v>
      </c>
      <c r="O9742" s="49">
        <v>45246</v>
      </c>
      <c r="P9742" s="50">
        <v>390.85199999999998</v>
      </c>
    </row>
    <row r="9743" spans="4:16" x14ac:dyDescent="0.2">
      <c r="D9743">
        <v>100005810</v>
      </c>
      <c r="E9743" s="49">
        <v>44287</v>
      </c>
      <c r="F9743" t="s">
        <v>6834</v>
      </c>
      <c r="G9743" t="s">
        <v>1805</v>
      </c>
      <c r="H9743">
        <v>1</v>
      </c>
      <c r="I9743">
        <v>98.3</v>
      </c>
      <c r="J9743" s="50">
        <v>98.3</v>
      </c>
      <c r="K9743" t="s">
        <v>1618</v>
      </c>
      <c r="M9743" t="s">
        <v>1624</v>
      </c>
      <c r="N9743">
        <v>51.88</v>
      </c>
      <c r="O9743" s="49">
        <v>44289</v>
      </c>
      <c r="P9743" s="50">
        <v>44.234999999999999</v>
      </c>
    </row>
    <row r="9744" spans="4:16" x14ac:dyDescent="0.2">
      <c r="D9744">
        <v>100005811</v>
      </c>
      <c r="E9744" s="49">
        <v>45573</v>
      </c>
      <c r="F9744" t="s">
        <v>6835</v>
      </c>
      <c r="G9744" t="s">
        <v>1707</v>
      </c>
      <c r="H9744">
        <v>7</v>
      </c>
      <c r="I9744">
        <v>107.5</v>
      </c>
      <c r="J9744" s="50">
        <v>752.5</v>
      </c>
      <c r="K9744" t="s">
        <v>1618</v>
      </c>
      <c r="M9744" t="s">
        <v>1619</v>
      </c>
      <c r="N9744">
        <v>56.74</v>
      </c>
      <c r="O9744" s="49">
        <v>45578</v>
      </c>
      <c r="P9744" s="50">
        <v>338.625</v>
      </c>
    </row>
    <row r="9745" spans="4:16" x14ac:dyDescent="0.2">
      <c r="D9745">
        <v>100005813</v>
      </c>
      <c r="E9745" s="49">
        <v>45171</v>
      </c>
      <c r="F9745" t="s">
        <v>4205</v>
      </c>
      <c r="G9745" t="s">
        <v>2585</v>
      </c>
      <c r="H9745">
        <v>8</v>
      </c>
      <c r="I9745">
        <v>69.41</v>
      </c>
      <c r="J9745" s="50">
        <v>555.28</v>
      </c>
      <c r="K9745" t="s">
        <v>1632</v>
      </c>
      <c r="M9745" t="s">
        <v>1619</v>
      </c>
      <c r="N9745">
        <v>36.630000000000003</v>
      </c>
      <c r="O9745" s="49">
        <v>45174</v>
      </c>
      <c r="P9745" s="50">
        <v>249.876</v>
      </c>
    </row>
    <row r="9746" spans="4:16" x14ac:dyDescent="0.2">
      <c r="D9746">
        <v>100005813</v>
      </c>
      <c r="E9746" s="49">
        <v>44971</v>
      </c>
      <c r="F9746" t="s">
        <v>4205</v>
      </c>
      <c r="G9746" t="s">
        <v>1658</v>
      </c>
      <c r="H9746">
        <v>8</v>
      </c>
      <c r="I9746">
        <v>74.86</v>
      </c>
      <c r="J9746" s="50">
        <v>598.88</v>
      </c>
      <c r="K9746" t="s">
        <v>1632</v>
      </c>
      <c r="M9746" t="s">
        <v>1619</v>
      </c>
      <c r="N9746">
        <v>39.51</v>
      </c>
      <c r="O9746" s="49">
        <v>44975</v>
      </c>
      <c r="P9746" s="50">
        <v>269.49599999999998</v>
      </c>
    </row>
    <row r="9747" spans="4:16" x14ac:dyDescent="0.2">
      <c r="D9747">
        <v>100005814</v>
      </c>
      <c r="E9747" s="49">
        <v>44529</v>
      </c>
      <c r="F9747" t="s">
        <v>6836</v>
      </c>
      <c r="G9747" t="s">
        <v>1834</v>
      </c>
      <c r="H9747">
        <v>5</v>
      </c>
      <c r="I9747">
        <v>96.37</v>
      </c>
      <c r="J9747" s="50">
        <v>481.85</v>
      </c>
      <c r="K9747" t="s">
        <v>1618</v>
      </c>
      <c r="M9747" t="s">
        <v>1621</v>
      </c>
      <c r="N9747">
        <v>50.86</v>
      </c>
      <c r="O9747" s="49">
        <v>44530</v>
      </c>
      <c r="P9747" s="50">
        <v>216.83250000000001</v>
      </c>
    </row>
    <row r="9748" spans="4:16" x14ac:dyDescent="0.2">
      <c r="D9748">
        <v>100005814</v>
      </c>
      <c r="E9748" s="49">
        <v>45298</v>
      </c>
      <c r="F9748" t="s">
        <v>6836</v>
      </c>
      <c r="G9748" t="s">
        <v>1827</v>
      </c>
      <c r="H9748">
        <v>4</v>
      </c>
      <c r="I9748">
        <v>10.72</v>
      </c>
      <c r="J9748" s="50">
        <v>42.88</v>
      </c>
      <c r="K9748" t="s">
        <v>1618</v>
      </c>
      <c r="M9748" t="s">
        <v>1629</v>
      </c>
      <c r="N9748">
        <v>5.66</v>
      </c>
      <c r="O9748" s="49">
        <v>45301</v>
      </c>
      <c r="P9748" s="50">
        <v>19.296000000000003</v>
      </c>
    </row>
    <row r="9749" spans="4:16" x14ac:dyDescent="0.2">
      <c r="D9749">
        <v>100005815</v>
      </c>
      <c r="E9749" s="49">
        <v>45487</v>
      </c>
      <c r="F9749" t="s">
        <v>6837</v>
      </c>
      <c r="G9749" t="s">
        <v>2198</v>
      </c>
      <c r="H9749">
        <v>2</v>
      </c>
      <c r="I9749">
        <v>67.88</v>
      </c>
      <c r="J9749" s="50">
        <v>135.76</v>
      </c>
      <c r="K9749" t="s">
        <v>1618</v>
      </c>
      <c r="M9749" t="s">
        <v>1624</v>
      </c>
      <c r="N9749">
        <v>35.83</v>
      </c>
      <c r="O9749" s="49">
        <v>45492</v>
      </c>
      <c r="P9749" s="50">
        <v>61.091999999999999</v>
      </c>
    </row>
    <row r="9750" spans="4:16" x14ac:dyDescent="0.2">
      <c r="D9750">
        <v>100005815</v>
      </c>
      <c r="E9750" s="49">
        <v>45146</v>
      </c>
      <c r="F9750" t="s">
        <v>6837</v>
      </c>
      <c r="G9750" t="s">
        <v>2393</v>
      </c>
      <c r="H9750">
        <v>9</v>
      </c>
      <c r="I9750">
        <v>93.6</v>
      </c>
      <c r="J9750" s="50">
        <v>842.4</v>
      </c>
      <c r="K9750" t="s">
        <v>1618</v>
      </c>
      <c r="M9750" t="s">
        <v>1619</v>
      </c>
      <c r="N9750">
        <v>49.4</v>
      </c>
      <c r="O9750" s="49">
        <v>45148</v>
      </c>
      <c r="P9750" s="50">
        <v>379.08</v>
      </c>
    </row>
    <row r="9751" spans="4:16" x14ac:dyDescent="0.2">
      <c r="D9751">
        <v>100005816</v>
      </c>
      <c r="E9751" s="49">
        <v>45530</v>
      </c>
      <c r="F9751" t="s">
        <v>6838</v>
      </c>
      <c r="G9751" t="s">
        <v>2063</v>
      </c>
      <c r="H9751">
        <v>1</v>
      </c>
      <c r="I9751">
        <v>89.13</v>
      </c>
      <c r="J9751" s="50">
        <v>89.13</v>
      </c>
      <c r="K9751" t="s">
        <v>1618</v>
      </c>
      <c r="M9751" t="s">
        <v>1619</v>
      </c>
      <c r="N9751">
        <v>47.04</v>
      </c>
      <c r="O9751" s="49">
        <v>45533</v>
      </c>
      <c r="P9751" s="50">
        <v>40.108499999999999</v>
      </c>
    </row>
    <row r="9752" spans="4:16" x14ac:dyDescent="0.2">
      <c r="D9752">
        <v>100005817</v>
      </c>
      <c r="E9752" s="49">
        <v>44345</v>
      </c>
      <c r="F9752" t="s">
        <v>6839</v>
      </c>
      <c r="G9752" t="s">
        <v>1859</v>
      </c>
      <c r="H9752">
        <v>10</v>
      </c>
      <c r="I9752">
        <v>117.71</v>
      </c>
      <c r="J9752" s="50">
        <v>1177.0999999999999</v>
      </c>
      <c r="K9752" t="s">
        <v>1618</v>
      </c>
      <c r="M9752" t="s">
        <v>1627</v>
      </c>
      <c r="N9752">
        <v>62.12</v>
      </c>
      <c r="O9752" s="49">
        <v>44347</v>
      </c>
      <c r="P9752" s="50">
        <v>529.69499999999994</v>
      </c>
    </row>
    <row r="9753" spans="4:16" x14ac:dyDescent="0.2">
      <c r="D9753">
        <v>100005817</v>
      </c>
      <c r="E9753" s="49">
        <v>45511</v>
      </c>
      <c r="F9753" t="s">
        <v>6839</v>
      </c>
      <c r="G9753" t="s">
        <v>2161</v>
      </c>
      <c r="H9753">
        <v>1</v>
      </c>
      <c r="I9753">
        <v>93.81</v>
      </c>
      <c r="J9753" s="50">
        <v>93.81</v>
      </c>
      <c r="K9753" t="s">
        <v>1618</v>
      </c>
      <c r="M9753" t="s">
        <v>1619</v>
      </c>
      <c r="N9753">
        <v>49.51</v>
      </c>
      <c r="O9753" s="49">
        <v>45516</v>
      </c>
      <c r="P9753" s="50">
        <v>42.214500000000001</v>
      </c>
    </row>
    <row r="9754" spans="4:16" x14ac:dyDescent="0.2">
      <c r="D9754">
        <v>100005819</v>
      </c>
      <c r="E9754" s="49">
        <v>45643</v>
      </c>
      <c r="F9754" t="s">
        <v>6840</v>
      </c>
      <c r="G9754" t="s">
        <v>2603</v>
      </c>
      <c r="H9754">
        <v>5</v>
      </c>
      <c r="I9754">
        <v>99.89</v>
      </c>
      <c r="J9754" s="50">
        <v>499.45</v>
      </c>
      <c r="K9754" t="s">
        <v>1618</v>
      </c>
      <c r="L9754" t="s">
        <v>6841</v>
      </c>
      <c r="M9754" t="s">
        <v>1629</v>
      </c>
      <c r="N9754">
        <v>52.72</v>
      </c>
      <c r="O9754" s="49">
        <v>45648</v>
      </c>
      <c r="P9754" s="50">
        <v>224.7525</v>
      </c>
    </row>
    <row r="9755" spans="4:16" x14ac:dyDescent="0.2">
      <c r="D9755">
        <v>100005819</v>
      </c>
      <c r="E9755" s="49">
        <v>45289</v>
      </c>
      <c r="F9755" t="s">
        <v>6840</v>
      </c>
      <c r="G9755" t="s">
        <v>1783</v>
      </c>
      <c r="H9755">
        <v>1</v>
      </c>
      <c r="I9755">
        <v>52.73</v>
      </c>
      <c r="J9755" s="50">
        <v>52.73</v>
      </c>
      <c r="K9755" t="s">
        <v>1618</v>
      </c>
      <c r="L9755" t="s">
        <v>6841</v>
      </c>
      <c r="M9755" t="s">
        <v>1621</v>
      </c>
      <c r="N9755">
        <v>27.83</v>
      </c>
      <c r="O9755" s="49">
        <v>45294</v>
      </c>
      <c r="P9755" s="50">
        <v>23.7285</v>
      </c>
    </row>
    <row r="9756" spans="4:16" x14ac:dyDescent="0.2">
      <c r="D9756">
        <v>100005821</v>
      </c>
      <c r="E9756" s="49">
        <v>44717</v>
      </c>
      <c r="F9756" t="s">
        <v>6842</v>
      </c>
      <c r="G9756" t="s">
        <v>1932</v>
      </c>
      <c r="H9756">
        <v>10</v>
      </c>
      <c r="I9756">
        <v>49.92</v>
      </c>
      <c r="J9756" s="50">
        <v>499.2</v>
      </c>
      <c r="K9756" t="s">
        <v>1618</v>
      </c>
      <c r="L9756" t="s">
        <v>6843</v>
      </c>
      <c r="M9756" t="s">
        <v>1629</v>
      </c>
      <c r="N9756">
        <v>26.35</v>
      </c>
      <c r="O9756" s="49">
        <v>44718</v>
      </c>
      <c r="P9756" s="50">
        <v>224.64</v>
      </c>
    </row>
    <row r="9757" spans="4:16" x14ac:dyDescent="0.2">
      <c r="D9757">
        <v>100005821</v>
      </c>
      <c r="E9757" s="49">
        <v>45137</v>
      </c>
      <c r="F9757" t="s">
        <v>6842</v>
      </c>
      <c r="G9757" t="s">
        <v>2016</v>
      </c>
      <c r="H9757">
        <v>8</v>
      </c>
      <c r="I9757">
        <v>13.96</v>
      </c>
      <c r="J9757" s="50">
        <v>111.68</v>
      </c>
      <c r="K9757" t="s">
        <v>1618</v>
      </c>
      <c r="L9757" t="s">
        <v>6843</v>
      </c>
      <c r="M9757" t="s">
        <v>1624</v>
      </c>
      <c r="N9757">
        <v>7.37</v>
      </c>
      <c r="O9757" s="49">
        <v>45138</v>
      </c>
      <c r="P9757" s="50">
        <v>50.256000000000007</v>
      </c>
    </row>
    <row r="9758" spans="4:16" x14ac:dyDescent="0.2">
      <c r="D9758">
        <v>100005822</v>
      </c>
      <c r="E9758" s="49">
        <v>45391</v>
      </c>
      <c r="F9758" t="s">
        <v>6844</v>
      </c>
      <c r="G9758" t="s">
        <v>2099</v>
      </c>
      <c r="H9758">
        <v>9</v>
      </c>
      <c r="I9758">
        <v>12.1</v>
      </c>
      <c r="J9758" s="50">
        <v>108.9</v>
      </c>
      <c r="K9758" t="s">
        <v>1632</v>
      </c>
      <c r="M9758" t="s">
        <v>1627</v>
      </c>
      <c r="N9758">
        <v>6.39</v>
      </c>
      <c r="O9758" s="49">
        <v>45395</v>
      </c>
      <c r="P9758" s="50">
        <v>49.005000000000003</v>
      </c>
    </row>
    <row r="9759" spans="4:16" x14ac:dyDescent="0.2">
      <c r="D9759">
        <v>100005822</v>
      </c>
      <c r="E9759" s="49">
        <v>44328</v>
      </c>
      <c r="F9759" t="s">
        <v>6844</v>
      </c>
      <c r="G9759" t="s">
        <v>2202</v>
      </c>
      <c r="H9759">
        <v>10</v>
      </c>
      <c r="I9759">
        <v>95.54</v>
      </c>
      <c r="J9759" s="50">
        <v>955.40000000000009</v>
      </c>
      <c r="K9759" t="s">
        <v>1632</v>
      </c>
      <c r="M9759" t="s">
        <v>1624</v>
      </c>
      <c r="N9759">
        <v>50.42</v>
      </c>
      <c r="O9759" s="49">
        <v>44333</v>
      </c>
      <c r="P9759" s="50">
        <v>429.93000000000006</v>
      </c>
    </row>
    <row r="9760" spans="4:16" x14ac:dyDescent="0.2">
      <c r="D9760">
        <v>100005822</v>
      </c>
      <c r="E9760" s="49">
        <v>45271</v>
      </c>
      <c r="F9760" t="s">
        <v>6844</v>
      </c>
      <c r="G9760" t="s">
        <v>2213</v>
      </c>
      <c r="H9760">
        <v>10</v>
      </c>
      <c r="I9760">
        <v>105.07</v>
      </c>
      <c r="J9760" s="50">
        <v>1050.7</v>
      </c>
      <c r="K9760" t="s">
        <v>1632</v>
      </c>
      <c r="M9760" t="s">
        <v>1627</v>
      </c>
      <c r="N9760">
        <v>55.45</v>
      </c>
      <c r="O9760" s="49">
        <v>45274</v>
      </c>
      <c r="P9760" s="50">
        <v>472.81500000000005</v>
      </c>
    </row>
    <row r="9761" spans="4:16" x14ac:dyDescent="0.2">
      <c r="D9761">
        <v>100005822</v>
      </c>
      <c r="E9761" s="49">
        <v>44254</v>
      </c>
      <c r="F9761" t="s">
        <v>6844</v>
      </c>
      <c r="G9761" t="s">
        <v>1642</v>
      </c>
      <c r="H9761">
        <v>2</v>
      </c>
      <c r="I9761">
        <v>52.57</v>
      </c>
      <c r="J9761" s="50">
        <v>105.14</v>
      </c>
      <c r="K9761" t="s">
        <v>1632</v>
      </c>
      <c r="M9761" t="s">
        <v>1619</v>
      </c>
      <c r="N9761">
        <v>27.75</v>
      </c>
      <c r="O9761" s="49">
        <v>44256</v>
      </c>
      <c r="P9761" s="50">
        <v>47.313000000000002</v>
      </c>
    </row>
    <row r="9762" spans="4:16" x14ac:dyDescent="0.2">
      <c r="D9762">
        <v>100005822</v>
      </c>
      <c r="E9762" s="49">
        <v>44393</v>
      </c>
      <c r="F9762" t="s">
        <v>6844</v>
      </c>
      <c r="G9762" t="s">
        <v>2016</v>
      </c>
      <c r="H9762">
        <v>2</v>
      </c>
      <c r="I9762">
        <v>112.45</v>
      </c>
      <c r="J9762" s="50">
        <v>224.9</v>
      </c>
      <c r="K9762" t="s">
        <v>1632</v>
      </c>
      <c r="M9762" t="s">
        <v>1627</v>
      </c>
      <c r="N9762">
        <v>59.35</v>
      </c>
      <c r="O9762" s="49">
        <v>44394</v>
      </c>
      <c r="P9762" s="50">
        <v>101.205</v>
      </c>
    </row>
    <row r="9763" spans="4:16" x14ac:dyDescent="0.2">
      <c r="D9763">
        <v>100005822</v>
      </c>
      <c r="E9763" s="49">
        <v>44420</v>
      </c>
      <c r="F9763" t="s">
        <v>6844</v>
      </c>
      <c r="G9763" t="s">
        <v>2240</v>
      </c>
      <c r="H9763">
        <v>3</v>
      </c>
      <c r="I9763">
        <v>58.93</v>
      </c>
      <c r="J9763" s="50">
        <v>176.79</v>
      </c>
      <c r="K9763" t="s">
        <v>1632</v>
      </c>
      <c r="M9763" t="s">
        <v>1627</v>
      </c>
      <c r="N9763">
        <v>31.1</v>
      </c>
      <c r="O9763" s="49">
        <v>44422</v>
      </c>
      <c r="P9763" s="50">
        <v>79.555499999999995</v>
      </c>
    </row>
    <row r="9764" spans="4:16" x14ac:dyDescent="0.2">
      <c r="D9764">
        <v>100005822</v>
      </c>
      <c r="E9764" s="49">
        <v>44619</v>
      </c>
      <c r="F9764" t="s">
        <v>6844</v>
      </c>
      <c r="G9764" t="s">
        <v>2068</v>
      </c>
      <c r="H9764">
        <v>8</v>
      </c>
      <c r="I9764">
        <v>73.3</v>
      </c>
      <c r="J9764" s="50">
        <v>586.4</v>
      </c>
      <c r="K9764" t="s">
        <v>1632</v>
      </c>
      <c r="M9764" t="s">
        <v>1629</v>
      </c>
      <c r="N9764">
        <v>38.69</v>
      </c>
      <c r="O9764" s="49">
        <v>44624</v>
      </c>
      <c r="P9764" s="50">
        <v>263.88</v>
      </c>
    </row>
    <row r="9765" spans="4:16" x14ac:dyDescent="0.2">
      <c r="D9765">
        <v>100005824</v>
      </c>
      <c r="E9765" s="49">
        <v>45136</v>
      </c>
      <c r="F9765" t="s">
        <v>6845</v>
      </c>
      <c r="G9765" t="s">
        <v>1669</v>
      </c>
      <c r="H9765">
        <v>10</v>
      </c>
      <c r="I9765">
        <v>104.74</v>
      </c>
      <c r="J9765" s="50">
        <v>1047.4000000000001</v>
      </c>
      <c r="K9765" t="s">
        <v>1618</v>
      </c>
      <c r="M9765" t="s">
        <v>1627</v>
      </c>
      <c r="N9765">
        <v>55.28</v>
      </c>
      <c r="O9765" s="49">
        <v>45139</v>
      </c>
      <c r="P9765" s="50">
        <v>471.33000000000004</v>
      </c>
    </row>
    <row r="9766" spans="4:16" x14ac:dyDescent="0.2">
      <c r="D9766">
        <v>100005825</v>
      </c>
      <c r="E9766" s="49">
        <v>45045</v>
      </c>
      <c r="F9766" t="s">
        <v>6846</v>
      </c>
      <c r="G9766" t="s">
        <v>2016</v>
      </c>
      <c r="H9766">
        <v>10</v>
      </c>
      <c r="I9766">
        <v>64.069999999999993</v>
      </c>
      <c r="J9766" s="50">
        <v>640.69999999999993</v>
      </c>
      <c r="K9766" t="s">
        <v>1618</v>
      </c>
      <c r="M9766" t="s">
        <v>1624</v>
      </c>
      <c r="N9766">
        <v>33.81</v>
      </c>
      <c r="O9766" s="49">
        <v>45047</v>
      </c>
      <c r="P9766" s="50">
        <v>288.315</v>
      </c>
    </row>
    <row r="9767" spans="4:16" x14ac:dyDescent="0.2">
      <c r="D9767">
        <v>100005826</v>
      </c>
      <c r="E9767" s="49">
        <v>44380</v>
      </c>
      <c r="F9767" t="s">
        <v>6847</v>
      </c>
      <c r="G9767" t="s">
        <v>1937</v>
      </c>
      <c r="H9767">
        <v>9</v>
      </c>
      <c r="I9767">
        <v>101.65</v>
      </c>
      <c r="J9767" s="50">
        <v>914.85</v>
      </c>
      <c r="K9767" t="s">
        <v>1618</v>
      </c>
      <c r="M9767" t="s">
        <v>1629</v>
      </c>
      <c r="N9767">
        <v>53.65</v>
      </c>
      <c r="O9767" s="49">
        <v>44381</v>
      </c>
      <c r="P9767" s="50">
        <v>411.6825</v>
      </c>
    </row>
    <row r="9768" spans="4:16" x14ac:dyDescent="0.2">
      <c r="D9768">
        <v>100005827</v>
      </c>
      <c r="E9768" s="49">
        <v>44529</v>
      </c>
      <c r="F9768" t="s">
        <v>6848</v>
      </c>
      <c r="G9768" t="s">
        <v>2121</v>
      </c>
      <c r="H9768">
        <v>8</v>
      </c>
      <c r="I9768">
        <v>10.210000000000001</v>
      </c>
      <c r="J9768" s="50">
        <v>81.680000000000007</v>
      </c>
      <c r="K9768" t="s">
        <v>1618</v>
      </c>
      <c r="L9768" t="s">
        <v>6849</v>
      </c>
      <c r="M9768" t="s">
        <v>1624</v>
      </c>
      <c r="N9768">
        <v>5.39</v>
      </c>
      <c r="O9768" s="49">
        <v>44532</v>
      </c>
      <c r="P9768" s="50">
        <v>36.756000000000007</v>
      </c>
    </row>
    <row r="9769" spans="4:16" x14ac:dyDescent="0.2">
      <c r="D9769">
        <v>100005827</v>
      </c>
      <c r="E9769" s="49">
        <v>44927</v>
      </c>
      <c r="F9769" t="s">
        <v>6848</v>
      </c>
      <c r="G9769" t="s">
        <v>2585</v>
      </c>
      <c r="H9769">
        <v>5</v>
      </c>
      <c r="I9769">
        <v>56.09</v>
      </c>
      <c r="J9769" s="50">
        <v>280.45</v>
      </c>
      <c r="K9769" t="s">
        <v>1618</v>
      </c>
      <c r="L9769" t="s">
        <v>6849</v>
      </c>
      <c r="M9769" t="s">
        <v>1621</v>
      </c>
      <c r="N9769">
        <v>29.6</v>
      </c>
      <c r="O9769" s="49">
        <v>44929</v>
      </c>
      <c r="P9769" s="50">
        <v>126.2025</v>
      </c>
    </row>
    <row r="9770" spans="4:16" x14ac:dyDescent="0.2">
      <c r="D9770">
        <v>100005827</v>
      </c>
      <c r="E9770" s="49">
        <v>45493</v>
      </c>
      <c r="F9770" t="s">
        <v>6848</v>
      </c>
      <c r="G9770" t="s">
        <v>1955</v>
      </c>
      <c r="H9770">
        <v>2</v>
      </c>
      <c r="I9770">
        <v>85.55</v>
      </c>
      <c r="J9770" s="50">
        <v>171.1</v>
      </c>
      <c r="K9770" t="s">
        <v>1618</v>
      </c>
      <c r="L9770" t="s">
        <v>6849</v>
      </c>
      <c r="M9770" t="s">
        <v>1624</v>
      </c>
      <c r="N9770">
        <v>45.15</v>
      </c>
      <c r="O9770" s="49">
        <v>45498</v>
      </c>
      <c r="P9770" s="50">
        <v>76.995000000000005</v>
      </c>
    </row>
    <row r="9771" spans="4:16" x14ac:dyDescent="0.2">
      <c r="D9771">
        <v>100005829</v>
      </c>
      <c r="E9771" s="49">
        <v>45371</v>
      </c>
      <c r="F9771" t="s">
        <v>6850</v>
      </c>
      <c r="G9771" t="s">
        <v>1787</v>
      </c>
      <c r="H9771">
        <v>3</v>
      </c>
      <c r="I9771">
        <v>102.2</v>
      </c>
      <c r="J9771" s="50">
        <v>306.60000000000002</v>
      </c>
      <c r="K9771" t="s">
        <v>1618</v>
      </c>
      <c r="M9771" t="s">
        <v>1629</v>
      </c>
      <c r="N9771">
        <v>53.94</v>
      </c>
      <c r="O9771" s="49">
        <v>45375</v>
      </c>
      <c r="P9771" s="50">
        <v>137.97000000000003</v>
      </c>
    </row>
    <row r="9772" spans="4:16" x14ac:dyDescent="0.2">
      <c r="D9772">
        <v>100005829</v>
      </c>
      <c r="E9772" s="49">
        <v>44973</v>
      </c>
      <c r="F9772" t="s">
        <v>6850</v>
      </c>
      <c r="G9772" t="s">
        <v>1819</v>
      </c>
      <c r="H9772">
        <v>7</v>
      </c>
      <c r="I9772">
        <v>63.29</v>
      </c>
      <c r="J9772" s="50">
        <v>443.03</v>
      </c>
      <c r="K9772" t="s">
        <v>1618</v>
      </c>
      <c r="M9772" t="s">
        <v>1619</v>
      </c>
      <c r="N9772">
        <v>33.4</v>
      </c>
      <c r="O9772" s="49">
        <v>44978</v>
      </c>
      <c r="P9772" s="50">
        <v>199.36349999999999</v>
      </c>
    </row>
    <row r="9773" spans="4:16" x14ac:dyDescent="0.2">
      <c r="D9773">
        <v>100005829</v>
      </c>
      <c r="E9773" s="49">
        <v>45192</v>
      </c>
      <c r="F9773" t="s">
        <v>6850</v>
      </c>
      <c r="G9773" t="s">
        <v>1872</v>
      </c>
      <c r="H9773">
        <v>1</v>
      </c>
      <c r="I9773">
        <v>116.08</v>
      </c>
      <c r="J9773" s="50">
        <v>116.08</v>
      </c>
      <c r="K9773" t="s">
        <v>1618</v>
      </c>
      <c r="M9773" t="s">
        <v>1627</v>
      </c>
      <c r="N9773">
        <v>61.26</v>
      </c>
      <c r="O9773" s="49">
        <v>45193</v>
      </c>
      <c r="P9773" s="50">
        <v>52.235999999999997</v>
      </c>
    </row>
    <row r="9774" spans="4:16" x14ac:dyDescent="0.2">
      <c r="D9774">
        <v>100005829</v>
      </c>
      <c r="E9774" s="49">
        <v>45607</v>
      </c>
      <c r="F9774" t="s">
        <v>6850</v>
      </c>
      <c r="G9774" t="s">
        <v>1701</v>
      </c>
      <c r="H9774">
        <v>3</v>
      </c>
      <c r="I9774">
        <v>105.32</v>
      </c>
      <c r="J9774" s="50">
        <v>315.95999999999998</v>
      </c>
      <c r="K9774" t="s">
        <v>1618</v>
      </c>
      <c r="M9774" t="s">
        <v>1619</v>
      </c>
      <c r="N9774">
        <v>55.59</v>
      </c>
      <c r="O9774" s="49">
        <v>45608</v>
      </c>
      <c r="P9774" s="50">
        <v>142.18199999999999</v>
      </c>
    </row>
    <row r="9775" spans="4:16" x14ac:dyDescent="0.2">
      <c r="D9775">
        <v>100005829</v>
      </c>
      <c r="E9775" s="49">
        <v>44433</v>
      </c>
      <c r="F9775" t="s">
        <v>6850</v>
      </c>
      <c r="G9775" t="s">
        <v>1670</v>
      </c>
      <c r="H9775">
        <v>4</v>
      </c>
      <c r="I9775">
        <v>88.31</v>
      </c>
      <c r="J9775" s="50">
        <v>353.24</v>
      </c>
      <c r="K9775" t="s">
        <v>1618</v>
      </c>
      <c r="M9775" t="s">
        <v>1627</v>
      </c>
      <c r="N9775">
        <v>46.61</v>
      </c>
      <c r="O9775" s="49">
        <v>44434</v>
      </c>
      <c r="P9775" s="50">
        <v>158.958</v>
      </c>
    </row>
    <row r="9776" spans="4:16" x14ac:dyDescent="0.2">
      <c r="D9776">
        <v>100005829</v>
      </c>
      <c r="E9776" s="49">
        <v>44699</v>
      </c>
      <c r="F9776" t="s">
        <v>6850</v>
      </c>
      <c r="G9776" t="s">
        <v>1833</v>
      </c>
      <c r="H9776">
        <v>5</v>
      </c>
      <c r="I9776">
        <v>97.27</v>
      </c>
      <c r="J9776" s="50">
        <v>486.35</v>
      </c>
      <c r="K9776" t="s">
        <v>1618</v>
      </c>
      <c r="M9776" t="s">
        <v>1627</v>
      </c>
      <c r="N9776">
        <v>51.34</v>
      </c>
      <c r="O9776" s="49">
        <v>44704</v>
      </c>
      <c r="P9776" s="50">
        <v>218.85750000000002</v>
      </c>
    </row>
    <row r="9777" spans="4:16" x14ac:dyDescent="0.2">
      <c r="D9777">
        <v>100005829</v>
      </c>
      <c r="E9777" s="49">
        <v>45124</v>
      </c>
      <c r="F9777" t="s">
        <v>6850</v>
      </c>
      <c r="G9777" t="s">
        <v>1762</v>
      </c>
      <c r="H9777">
        <v>10</v>
      </c>
      <c r="I9777">
        <v>101.01</v>
      </c>
      <c r="J9777" s="50">
        <v>1010.1</v>
      </c>
      <c r="K9777" t="s">
        <v>1618</v>
      </c>
      <c r="M9777" t="s">
        <v>1624</v>
      </c>
      <c r="N9777">
        <v>53.31</v>
      </c>
      <c r="O9777" s="49">
        <v>45127</v>
      </c>
      <c r="P9777" s="50">
        <v>454.54500000000002</v>
      </c>
    </row>
    <row r="9778" spans="4:16" x14ac:dyDescent="0.2">
      <c r="D9778">
        <v>100005830</v>
      </c>
      <c r="E9778" s="49">
        <v>44214</v>
      </c>
      <c r="F9778" t="s">
        <v>6851</v>
      </c>
      <c r="G9778" t="s">
        <v>1932</v>
      </c>
      <c r="H9778">
        <v>10</v>
      </c>
      <c r="I9778">
        <v>92.41</v>
      </c>
      <c r="J9778" s="50">
        <v>924.09999999999991</v>
      </c>
      <c r="K9778" t="s">
        <v>1632</v>
      </c>
      <c r="M9778" t="s">
        <v>1627</v>
      </c>
      <c r="N9778">
        <v>48.77</v>
      </c>
      <c r="O9778" s="49">
        <v>44217</v>
      </c>
      <c r="P9778" s="50">
        <v>415.84499999999997</v>
      </c>
    </row>
    <row r="9779" spans="4:16" x14ac:dyDescent="0.2">
      <c r="D9779">
        <v>100005830</v>
      </c>
      <c r="E9779" s="49">
        <v>44950</v>
      </c>
      <c r="F9779" t="s">
        <v>6851</v>
      </c>
      <c r="G9779" t="s">
        <v>1900</v>
      </c>
      <c r="H9779">
        <v>3</v>
      </c>
      <c r="I9779">
        <v>46.1</v>
      </c>
      <c r="J9779" s="50">
        <v>138.30000000000001</v>
      </c>
      <c r="K9779" t="s">
        <v>1632</v>
      </c>
      <c r="M9779" t="s">
        <v>1624</v>
      </c>
      <c r="N9779">
        <v>24.33</v>
      </c>
      <c r="O9779" s="49">
        <v>44954</v>
      </c>
      <c r="P9779" s="50">
        <v>62.235000000000007</v>
      </c>
    </row>
    <row r="9780" spans="4:16" x14ac:dyDescent="0.2">
      <c r="D9780">
        <v>100005830</v>
      </c>
      <c r="E9780" s="49">
        <v>45653</v>
      </c>
      <c r="F9780" t="s">
        <v>6851</v>
      </c>
      <c r="G9780" t="s">
        <v>1702</v>
      </c>
      <c r="H9780">
        <v>7</v>
      </c>
      <c r="I9780">
        <v>69.78</v>
      </c>
      <c r="J9780" s="50">
        <v>488.46</v>
      </c>
      <c r="K9780" t="s">
        <v>1632</v>
      </c>
      <c r="M9780" t="s">
        <v>1624</v>
      </c>
      <c r="N9780">
        <v>36.83</v>
      </c>
      <c r="O9780" s="49">
        <v>45655</v>
      </c>
      <c r="P9780" s="50">
        <v>219.80699999999999</v>
      </c>
    </row>
    <row r="9781" spans="4:16" x14ac:dyDescent="0.2">
      <c r="D9781">
        <v>100005830</v>
      </c>
      <c r="E9781" s="49">
        <v>44335</v>
      </c>
      <c r="F9781" t="s">
        <v>6851</v>
      </c>
      <c r="G9781" t="s">
        <v>1910</v>
      </c>
      <c r="H9781">
        <v>4</v>
      </c>
      <c r="I9781">
        <v>10.11</v>
      </c>
      <c r="J9781" s="50">
        <v>40.44</v>
      </c>
      <c r="K9781" t="s">
        <v>1632</v>
      </c>
      <c r="M9781" t="s">
        <v>1621</v>
      </c>
      <c r="N9781">
        <v>5.34</v>
      </c>
      <c r="O9781" s="49">
        <v>44339</v>
      </c>
      <c r="P9781" s="50">
        <v>18.198</v>
      </c>
    </row>
    <row r="9782" spans="4:16" x14ac:dyDescent="0.2">
      <c r="D9782">
        <v>100005830</v>
      </c>
      <c r="E9782" s="49">
        <v>44487</v>
      </c>
      <c r="F9782" t="s">
        <v>6851</v>
      </c>
      <c r="G9782" t="s">
        <v>1975</v>
      </c>
      <c r="H9782">
        <v>4</v>
      </c>
      <c r="I9782">
        <v>13.23</v>
      </c>
      <c r="J9782" s="50">
        <v>52.92</v>
      </c>
      <c r="K9782" t="s">
        <v>1632</v>
      </c>
      <c r="M9782" t="s">
        <v>1627</v>
      </c>
      <c r="N9782">
        <v>6.98</v>
      </c>
      <c r="O9782" s="49">
        <v>44490</v>
      </c>
      <c r="P9782" s="50">
        <v>23.814</v>
      </c>
    </row>
    <row r="9783" spans="4:16" x14ac:dyDescent="0.2">
      <c r="D9783">
        <v>100005832</v>
      </c>
      <c r="E9783" s="49">
        <v>44287</v>
      </c>
      <c r="F9783" t="s">
        <v>6852</v>
      </c>
      <c r="G9783" t="s">
        <v>2766</v>
      </c>
      <c r="H9783">
        <v>6</v>
      </c>
      <c r="I9783">
        <v>33.1</v>
      </c>
      <c r="J9783" s="50">
        <v>198.6</v>
      </c>
      <c r="K9783" t="s">
        <v>1632</v>
      </c>
      <c r="M9783" t="s">
        <v>1629</v>
      </c>
      <c r="N9783">
        <v>17.47</v>
      </c>
      <c r="O9783" s="49">
        <v>44290</v>
      </c>
      <c r="P9783" s="50">
        <v>89.37</v>
      </c>
    </row>
    <row r="9784" spans="4:16" x14ac:dyDescent="0.2">
      <c r="D9784">
        <v>100005833</v>
      </c>
      <c r="E9784" s="49">
        <v>44710</v>
      </c>
      <c r="F9784" t="s">
        <v>4501</v>
      </c>
      <c r="G9784" t="s">
        <v>1922</v>
      </c>
      <c r="H9784">
        <v>8</v>
      </c>
      <c r="I9784">
        <v>64.52</v>
      </c>
      <c r="J9784" s="50">
        <v>516.16</v>
      </c>
      <c r="K9784" t="s">
        <v>1632</v>
      </c>
      <c r="M9784" t="s">
        <v>1629</v>
      </c>
      <c r="N9784">
        <v>34.049999999999997</v>
      </c>
      <c r="O9784" s="49">
        <v>44712</v>
      </c>
      <c r="P9784" s="50">
        <v>232.27199999999999</v>
      </c>
    </row>
    <row r="9785" spans="4:16" x14ac:dyDescent="0.2">
      <c r="D9785">
        <v>100005835</v>
      </c>
      <c r="E9785" s="49">
        <v>44279</v>
      </c>
      <c r="F9785" t="s">
        <v>6853</v>
      </c>
      <c r="G9785" t="s">
        <v>2613</v>
      </c>
      <c r="H9785">
        <v>7</v>
      </c>
      <c r="I9785">
        <v>105.87</v>
      </c>
      <c r="J9785" s="50">
        <v>741.09</v>
      </c>
      <c r="K9785" t="s">
        <v>1632</v>
      </c>
      <c r="M9785" t="s">
        <v>1619</v>
      </c>
      <c r="N9785">
        <v>55.88</v>
      </c>
      <c r="O9785" s="49">
        <v>44281</v>
      </c>
      <c r="P9785" s="50">
        <v>333.4905</v>
      </c>
    </row>
    <row r="9786" spans="4:16" x14ac:dyDescent="0.2">
      <c r="D9786">
        <v>100005835</v>
      </c>
      <c r="E9786" s="49">
        <v>44984</v>
      </c>
      <c r="F9786" t="s">
        <v>6853</v>
      </c>
      <c r="G9786" t="s">
        <v>2142</v>
      </c>
      <c r="H9786">
        <v>1</v>
      </c>
      <c r="I9786">
        <v>108.59</v>
      </c>
      <c r="J9786" s="50">
        <v>108.59</v>
      </c>
      <c r="K9786" t="s">
        <v>1632</v>
      </c>
      <c r="M9786" t="s">
        <v>1621</v>
      </c>
      <c r="N9786">
        <v>57.31</v>
      </c>
      <c r="O9786" s="49">
        <v>44986</v>
      </c>
      <c r="P9786" s="50">
        <v>48.865500000000004</v>
      </c>
    </row>
    <row r="9787" spans="4:16" x14ac:dyDescent="0.2">
      <c r="D9787">
        <v>100005835</v>
      </c>
      <c r="E9787" s="49">
        <v>45111</v>
      </c>
      <c r="F9787" t="s">
        <v>6853</v>
      </c>
      <c r="G9787" t="s">
        <v>1677</v>
      </c>
      <c r="H9787">
        <v>10</v>
      </c>
      <c r="I9787">
        <v>77.989999999999995</v>
      </c>
      <c r="J9787" s="50">
        <v>779.9</v>
      </c>
      <c r="K9787" t="s">
        <v>1632</v>
      </c>
      <c r="M9787" t="s">
        <v>1629</v>
      </c>
      <c r="N9787">
        <v>41.16</v>
      </c>
      <c r="O9787" s="49">
        <v>45114</v>
      </c>
      <c r="P9787" s="50">
        <v>350.95499999999998</v>
      </c>
    </row>
    <row r="9788" spans="4:16" x14ac:dyDescent="0.2">
      <c r="D9788">
        <v>100005836</v>
      </c>
      <c r="E9788" s="49">
        <v>44814</v>
      </c>
      <c r="F9788" t="s">
        <v>6854</v>
      </c>
      <c r="G9788" t="s">
        <v>1802</v>
      </c>
      <c r="H9788">
        <v>7</v>
      </c>
      <c r="I9788">
        <v>23.94</v>
      </c>
      <c r="J9788" s="50">
        <v>167.58</v>
      </c>
      <c r="K9788" t="s">
        <v>1632</v>
      </c>
      <c r="L9788" t="s">
        <v>6855</v>
      </c>
      <c r="M9788" t="s">
        <v>1624</v>
      </c>
      <c r="N9788">
        <v>12.63</v>
      </c>
      <c r="O9788" s="49">
        <v>44818</v>
      </c>
      <c r="P9788" s="50">
        <v>75.411000000000001</v>
      </c>
    </row>
    <row r="9789" spans="4:16" x14ac:dyDescent="0.2">
      <c r="D9789">
        <v>100005837</v>
      </c>
      <c r="E9789" s="49">
        <v>44626</v>
      </c>
      <c r="F9789" t="s">
        <v>6856</v>
      </c>
      <c r="G9789" t="s">
        <v>1731</v>
      </c>
      <c r="H9789">
        <v>6</v>
      </c>
      <c r="I9789">
        <v>61.59</v>
      </c>
      <c r="J9789" s="50">
        <v>369.54</v>
      </c>
      <c r="K9789" t="s">
        <v>1632</v>
      </c>
      <c r="M9789" t="s">
        <v>1627</v>
      </c>
      <c r="N9789">
        <v>32.51</v>
      </c>
      <c r="O9789" s="49">
        <v>44631</v>
      </c>
      <c r="P9789" s="50">
        <v>166.29300000000001</v>
      </c>
    </row>
    <row r="9790" spans="4:16" x14ac:dyDescent="0.2">
      <c r="D9790">
        <v>100005837</v>
      </c>
      <c r="E9790" s="49">
        <v>44682</v>
      </c>
      <c r="F9790" t="s">
        <v>6856</v>
      </c>
      <c r="G9790" t="s">
        <v>1975</v>
      </c>
      <c r="H9790">
        <v>6</v>
      </c>
      <c r="I9790">
        <v>19.14</v>
      </c>
      <c r="J9790" s="50">
        <v>114.84</v>
      </c>
      <c r="K9790" t="s">
        <v>1632</v>
      </c>
      <c r="M9790" t="s">
        <v>1619</v>
      </c>
      <c r="N9790">
        <v>10.1</v>
      </c>
      <c r="O9790" s="49">
        <v>44684</v>
      </c>
      <c r="P9790" s="50">
        <v>51.678000000000004</v>
      </c>
    </row>
    <row r="9791" spans="4:16" x14ac:dyDescent="0.2">
      <c r="D9791">
        <v>100005837</v>
      </c>
      <c r="E9791" s="49">
        <v>45121</v>
      </c>
      <c r="F9791" t="s">
        <v>6856</v>
      </c>
      <c r="G9791" t="s">
        <v>1853</v>
      </c>
      <c r="H9791">
        <v>8</v>
      </c>
      <c r="I9791">
        <v>77.37</v>
      </c>
      <c r="J9791" s="50">
        <v>618.96</v>
      </c>
      <c r="K9791" t="s">
        <v>1632</v>
      </c>
      <c r="M9791" t="s">
        <v>1619</v>
      </c>
      <c r="N9791">
        <v>40.83</v>
      </c>
      <c r="O9791" s="49">
        <v>45125</v>
      </c>
      <c r="P9791" s="50">
        <v>278.53200000000004</v>
      </c>
    </row>
    <row r="9792" spans="4:16" x14ac:dyDescent="0.2">
      <c r="D9792">
        <v>100005837</v>
      </c>
      <c r="E9792" s="49">
        <v>44313</v>
      </c>
      <c r="F9792" t="s">
        <v>6856</v>
      </c>
      <c r="G9792" t="s">
        <v>1641</v>
      </c>
      <c r="H9792">
        <v>3</v>
      </c>
      <c r="I9792">
        <v>23.15</v>
      </c>
      <c r="J9792" s="50">
        <v>69.449999999999989</v>
      </c>
      <c r="K9792" t="s">
        <v>1632</v>
      </c>
      <c r="M9792" t="s">
        <v>1629</v>
      </c>
      <c r="N9792">
        <v>12.22</v>
      </c>
      <c r="O9792" s="49">
        <v>44318</v>
      </c>
      <c r="P9792" s="50">
        <v>31.252499999999994</v>
      </c>
    </row>
    <row r="9793" spans="4:16" x14ac:dyDescent="0.2">
      <c r="D9793">
        <v>100005838</v>
      </c>
      <c r="E9793" s="49">
        <v>45321</v>
      </c>
      <c r="F9793" t="s">
        <v>2868</v>
      </c>
      <c r="G9793" t="s">
        <v>1658</v>
      </c>
      <c r="H9793">
        <v>10</v>
      </c>
      <c r="I9793">
        <v>35.64</v>
      </c>
      <c r="J9793" s="50">
        <v>356.4</v>
      </c>
      <c r="K9793" t="s">
        <v>1632</v>
      </c>
      <c r="M9793" t="s">
        <v>1624</v>
      </c>
      <c r="N9793">
        <v>18.809999999999999</v>
      </c>
      <c r="O9793" s="49">
        <v>45325</v>
      </c>
      <c r="P9793" s="50">
        <v>160.38</v>
      </c>
    </row>
    <row r="9794" spans="4:16" x14ac:dyDescent="0.2">
      <c r="D9794">
        <v>100005838</v>
      </c>
      <c r="E9794" s="49">
        <v>45000</v>
      </c>
      <c r="F9794" t="s">
        <v>2868</v>
      </c>
      <c r="G9794" t="s">
        <v>1985</v>
      </c>
      <c r="H9794">
        <v>10</v>
      </c>
      <c r="I9794">
        <v>119.34</v>
      </c>
      <c r="J9794" s="50">
        <v>1193.4000000000001</v>
      </c>
      <c r="K9794" t="s">
        <v>1632</v>
      </c>
      <c r="M9794" t="s">
        <v>1624</v>
      </c>
      <c r="N9794">
        <v>62.98</v>
      </c>
      <c r="O9794" s="49">
        <v>45005</v>
      </c>
      <c r="P9794" s="50">
        <v>537.03000000000009</v>
      </c>
    </row>
    <row r="9795" spans="4:16" x14ac:dyDescent="0.2">
      <c r="D9795">
        <v>100005838</v>
      </c>
      <c r="E9795" s="49">
        <v>45242</v>
      </c>
      <c r="F9795" t="s">
        <v>2868</v>
      </c>
      <c r="G9795" t="s">
        <v>2431</v>
      </c>
      <c r="H9795">
        <v>5</v>
      </c>
      <c r="I9795">
        <v>10.63</v>
      </c>
      <c r="J9795" s="50">
        <v>53.150000000000013</v>
      </c>
      <c r="K9795" t="s">
        <v>1632</v>
      </c>
      <c r="M9795" t="s">
        <v>1629</v>
      </c>
      <c r="N9795">
        <v>5.61</v>
      </c>
      <c r="O9795" s="49">
        <v>45243</v>
      </c>
      <c r="P9795" s="50">
        <v>23.917500000000008</v>
      </c>
    </row>
    <row r="9796" spans="4:16" x14ac:dyDescent="0.2">
      <c r="D9796">
        <v>100005838</v>
      </c>
      <c r="E9796" s="49">
        <v>44724</v>
      </c>
      <c r="F9796" t="s">
        <v>2868</v>
      </c>
      <c r="G9796" t="s">
        <v>1963</v>
      </c>
      <c r="H9796">
        <v>5</v>
      </c>
      <c r="I9796">
        <v>114.25</v>
      </c>
      <c r="J9796" s="50">
        <v>571.25</v>
      </c>
      <c r="K9796" t="s">
        <v>1632</v>
      </c>
      <c r="M9796" t="s">
        <v>1621</v>
      </c>
      <c r="N9796">
        <v>60.3</v>
      </c>
      <c r="O9796" s="49">
        <v>44725</v>
      </c>
      <c r="P9796" s="50">
        <v>257.0625</v>
      </c>
    </row>
    <row r="9797" spans="4:16" x14ac:dyDescent="0.2">
      <c r="D9797">
        <v>100005840</v>
      </c>
      <c r="E9797" s="49">
        <v>45305</v>
      </c>
      <c r="F9797" t="s">
        <v>6857</v>
      </c>
      <c r="G9797" t="s">
        <v>2378</v>
      </c>
      <c r="H9797">
        <v>3</v>
      </c>
      <c r="I9797">
        <v>31.2</v>
      </c>
      <c r="J9797" s="50">
        <v>93.6</v>
      </c>
      <c r="K9797" t="s">
        <v>1632</v>
      </c>
      <c r="L9797" t="s">
        <v>5825</v>
      </c>
      <c r="M9797" t="s">
        <v>1629</v>
      </c>
      <c r="N9797">
        <v>16.47</v>
      </c>
      <c r="O9797" s="49">
        <v>45308</v>
      </c>
      <c r="P9797" s="50">
        <v>42.12</v>
      </c>
    </row>
    <row r="9798" spans="4:16" x14ac:dyDescent="0.2">
      <c r="D9798">
        <v>100005840</v>
      </c>
      <c r="E9798" s="49">
        <v>44997</v>
      </c>
      <c r="F9798" t="s">
        <v>6857</v>
      </c>
      <c r="G9798" t="s">
        <v>2033</v>
      </c>
      <c r="H9798">
        <v>5</v>
      </c>
      <c r="I9798">
        <v>11.02</v>
      </c>
      <c r="J9798" s="50">
        <v>55.099999999999987</v>
      </c>
      <c r="K9798" t="s">
        <v>1632</v>
      </c>
      <c r="L9798" t="s">
        <v>5825</v>
      </c>
      <c r="M9798" t="s">
        <v>1629</v>
      </c>
      <c r="N9798">
        <v>5.82</v>
      </c>
      <c r="O9798" s="49">
        <v>45002</v>
      </c>
      <c r="P9798" s="50">
        <v>24.794999999999995</v>
      </c>
    </row>
    <row r="9799" spans="4:16" x14ac:dyDescent="0.2">
      <c r="D9799">
        <v>100005842</v>
      </c>
      <c r="E9799" s="49">
        <v>45224</v>
      </c>
      <c r="F9799" t="s">
        <v>6858</v>
      </c>
      <c r="G9799" t="s">
        <v>2192</v>
      </c>
      <c r="H9799">
        <v>1</v>
      </c>
      <c r="I9799">
        <v>12.03</v>
      </c>
      <c r="J9799" s="50">
        <v>12.03</v>
      </c>
      <c r="K9799" t="s">
        <v>1618</v>
      </c>
      <c r="M9799" t="s">
        <v>1621</v>
      </c>
      <c r="N9799">
        <v>6.35</v>
      </c>
      <c r="O9799" s="49">
        <v>45228</v>
      </c>
      <c r="P9799" s="50">
        <v>5.4135</v>
      </c>
    </row>
    <row r="9800" spans="4:16" x14ac:dyDescent="0.2">
      <c r="D9800">
        <v>100005842</v>
      </c>
      <c r="E9800" s="49">
        <v>45354</v>
      </c>
      <c r="F9800" t="s">
        <v>6858</v>
      </c>
      <c r="G9800" t="s">
        <v>1802</v>
      </c>
      <c r="H9800">
        <v>10</v>
      </c>
      <c r="I9800">
        <v>36.86</v>
      </c>
      <c r="J9800" s="50">
        <v>368.6</v>
      </c>
      <c r="K9800" t="s">
        <v>1618</v>
      </c>
      <c r="M9800" t="s">
        <v>1621</v>
      </c>
      <c r="N9800">
        <v>19.45</v>
      </c>
      <c r="O9800" s="49">
        <v>45358</v>
      </c>
      <c r="P9800" s="50">
        <v>165.87</v>
      </c>
    </row>
    <row r="9801" spans="4:16" x14ac:dyDescent="0.2">
      <c r="D9801">
        <v>100005843</v>
      </c>
      <c r="E9801" s="49">
        <v>44996</v>
      </c>
      <c r="F9801" t="s">
        <v>6859</v>
      </c>
      <c r="G9801" t="s">
        <v>1825</v>
      </c>
      <c r="H9801">
        <v>1</v>
      </c>
      <c r="I9801">
        <v>28.19</v>
      </c>
      <c r="J9801" s="50">
        <v>28.19</v>
      </c>
      <c r="K9801" t="s">
        <v>1618</v>
      </c>
      <c r="M9801" t="s">
        <v>1621</v>
      </c>
      <c r="N9801">
        <v>14.88</v>
      </c>
      <c r="O9801" s="49">
        <v>44999</v>
      </c>
      <c r="P9801" s="50">
        <v>12.685500000000001</v>
      </c>
    </row>
    <row r="9802" spans="4:16" x14ac:dyDescent="0.2">
      <c r="D9802">
        <v>100005846</v>
      </c>
      <c r="E9802" s="49">
        <v>44316</v>
      </c>
      <c r="F9802" t="s">
        <v>6860</v>
      </c>
      <c r="G9802" t="s">
        <v>1937</v>
      </c>
      <c r="H9802">
        <v>7</v>
      </c>
      <c r="I9802">
        <v>66.45</v>
      </c>
      <c r="J9802" s="50">
        <v>465.15</v>
      </c>
      <c r="K9802" t="s">
        <v>1618</v>
      </c>
      <c r="M9802" t="s">
        <v>1621</v>
      </c>
      <c r="N9802">
        <v>35.07</v>
      </c>
      <c r="O9802" s="49">
        <v>44318</v>
      </c>
      <c r="P9802" s="50">
        <v>209.3175</v>
      </c>
    </row>
    <row r="9803" spans="4:16" x14ac:dyDescent="0.2">
      <c r="D9803">
        <v>100005849</v>
      </c>
      <c r="E9803" s="49">
        <v>45273</v>
      </c>
      <c r="F9803" t="s">
        <v>6861</v>
      </c>
      <c r="G9803" t="s">
        <v>2387</v>
      </c>
      <c r="H9803">
        <v>1</v>
      </c>
      <c r="I9803">
        <v>33.049999999999997</v>
      </c>
      <c r="J9803" s="50">
        <v>33.049999999999997</v>
      </c>
      <c r="K9803" t="s">
        <v>1618</v>
      </c>
      <c r="M9803" t="s">
        <v>1624</v>
      </c>
      <c r="N9803">
        <v>17.440000000000001</v>
      </c>
      <c r="O9803" s="49">
        <v>45276</v>
      </c>
      <c r="P9803" s="50">
        <v>14.872499999999999</v>
      </c>
    </row>
    <row r="9804" spans="4:16" x14ac:dyDescent="0.2">
      <c r="D9804">
        <v>100005850</v>
      </c>
      <c r="E9804" s="49">
        <v>45161</v>
      </c>
      <c r="F9804" t="s">
        <v>6862</v>
      </c>
      <c r="G9804" t="s">
        <v>1982</v>
      </c>
      <c r="H9804">
        <v>6</v>
      </c>
      <c r="I9804">
        <v>43.19</v>
      </c>
      <c r="J9804" s="50">
        <v>259.14</v>
      </c>
      <c r="K9804" t="s">
        <v>1618</v>
      </c>
      <c r="M9804" t="s">
        <v>1621</v>
      </c>
      <c r="N9804">
        <v>22.79</v>
      </c>
      <c r="O9804" s="49">
        <v>45162</v>
      </c>
      <c r="P9804" s="50">
        <v>116.613</v>
      </c>
    </row>
    <row r="9805" spans="4:16" x14ac:dyDescent="0.2">
      <c r="D9805">
        <v>100005851</v>
      </c>
      <c r="E9805" s="49">
        <v>44239</v>
      </c>
      <c r="F9805" t="s">
        <v>6863</v>
      </c>
      <c r="G9805" t="s">
        <v>2373</v>
      </c>
      <c r="H9805">
        <v>2</v>
      </c>
      <c r="I9805">
        <v>44.73</v>
      </c>
      <c r="J9805" s="50">
        <v>89.46</v>
      </c>
      <c r="K9805" t="s">
        <v>1618</v>
      </c>
      <c r="M9805" t="s">
        <v>1629</v>
      </c>
      <c r="N9805">
        <v>23.61</v>
      </c>
      <c r="O9805" s="49">
        <v>44244</v>
      </c>
      <c r="P9805" s="50">
        <v>40.256999999999998</v>
      </c>
    </row>
    <row r="9806" spans="4:16" x14ac:dyDescent="0.2">
      <c r="D9806">
        <v>100005854</v>
      </c>
      <c r="E9806" s="49">
        <v>44209</v>
      </c>
      <c r="F9806" t="s">
        <v>6864</v>
      </c>
      <c r="G9806" t="s">
        <v>1846</v>
      </c>
      <c r="H9806">
        <v>3</v>
      </c>
      <c r="I9806">
        <v>50.21</v>
      </c>
      <c r="J9806" s="50">
        <v>150.63</v>
      </c>
      <c r="K9806" t="s">
        <v>1618</v>
      </c>
      <c r="M9806" t="s">
        <v>1629</v>
      </c>
      <c r="N9806">
        <v>26.5</v>
      </c>
      <c r="O9806" s="49">
        <v>44211</v>
      </c>
      <c r="P9806" s="50">
        <v>67.783500000000004</v>
      </c>
    </row>
    <row r="9807" spans="4:16" x14ac:dyDescent="0.2">
      <c r="D9807">
        <v>100005854</v>
      </c>
      <c r="E9807" s="49">
        <v>44417</v>
      </c>
      <c r="F9807" t="s">
        <v>6864</v>
      </c>
      <c r="G9807" t="s">
        <v>1948</v>
      </c>
      <c r="H9807">
        <v>9</v>
      </c>
      <c r="I9807">
        <v>14.59</v>
      </c>
      <c r="J9807" s="50">
        <v>131.31</v>
      </c>
      <c r="K9807" t="s">
        <v>1618</v>
      </c>
      <c r="M9807" t="s">
        <v>1629</v>
      </c>
      <c r="N9807">
        <v>7.7</v>
      </c>
      <c r="O9807" s="49">
        <v>44419</v>
      </c>
      <c r="P9807" s="50">
        <v>59.089500000000001</v>
      </c>
    </row>
    <row r="9808" spans="4:16" x14ac:dyDescent="0.2">
      <c r="D9808">
        <v>100005854</v>
      </c>
      <c r="E9808" s="49">
        <v>45309</v>
      </c>
      <c r="F9808" t="s">
        <v>6864</v>
      </c>
      <c r="G9808" t="s">
        <v>1973</v>
      </c>
      <c r="H9808">
        <v>6</v>
      </c>
      <c r="I9808">
        <v>74.63</v>
      </c>
      <c r="J9808" s="50">
        <v>447.78</v>
      </c>
      <c r="K9808" t="s">
        <v>1618</v>
      </c>
      <c r="M9808" t="s">
        <v>1624</v>
      </c>
      <c r="N9808">
        <v>39.39</v>
      </c>
      <c r="O9808" s="49">
        <v>45310</v>
      </c>
      <c r="P9808" s="50">
        <v>201.501</v>
      </c>
    </row>
    <row r="9809" spans="4:16" x14ac:dyDescent="0.2">
      <c r="D9809">
        <v>100005854</v>
      </c>
      <c r="E9809" s="49">
        <v>45193</v>
      </c>
      <c r="F9809" t="s">
        <v>6864</v>
      </c>
      <c r="G9809" t="s">
        <v>2291</v>
      </c>
      <c r="H9809">
        <v>5</v>
      </c>
      <c r="I9809">
        <v>117.59</v>
      </c>
      <c r="J9809" s="50">
        <v>587.95000000000005</v>
      </c>
      <c r="K9809" t="s">
        <v>1618</v>
      </c>
      <c r="M9809" t="s">
        <v>1627</v>
      </c>
      <c r="N9809">
        <v>62.06</v>
      </c>
      <c r="O9809" s="49">
        <v>45196</v>
      </c>
      <c r="P9809" s="50">
        <v>264.57750000000004</v>
      </c>
    </row>
    <row r="9810" spans="4:16" x14ac:dyDescent="0.2">
      <c r="D9810">
        <v>100005856</v>
      </c>
      <c r="E9810" s="49">
        <v>44572</v>
      </c>
      <c r="F9810" t="s">
        <v>6865</v>
      </c>
      <c r="G9810" t="s">
        <v>2305</v>
      </c>
      <c r="H9810">
        <v>3</v>
      </c>
      <c r="I9810">
        <v>59.59</v>
      </c>
      <c r="J9810" s="50">
        <v>178.77</v>
      </c>
      <c r="K9810" t="s">
        <v>1632</v>
      </c>
      <c r="M9810" t="s">
        <v>1621</v>
      </c>
      <c r="N9810">
        <v>31.45</v>
      </c>
      <c r="O9810" s="49">
        <v>44577</v>
      </c>
      <c r="P9810" s="50">
        <v>80.4465</v>
      </c>
    </row>
    <row r="9811" spans="4:16" x14ac:dyDescent="0.2">
      <c r="D9811">
        <v>100005857</v>
      </c>
      <c r="E9811" s="49">
        <v>44880</v>
      </c>
      <c r="F9811" t="s">
        <v>6866</v>
      </c>
      <c r="G9811" t="s">
        <v>2380</v>
      </c>
      <c r="H9811">
        <v>10</v>
      </c>
      <c r="I9811">
        <v>108.44</v>
      </c>
      <c r="J9811" s="50">
        <v>1084.4000000000001</v>
      </c>
      <c r="K9811" t="s">
        <v>1632</v>
      </c>
      <c r="M9811" t="s">
        <v>1624</v>
      </c>
      <c r="N9811">
        <v>57.23</v>
      </c>
      <c r="O9811" s="49">
        <v>44881</v>
      </c>
      <c r="P9811" s="50">
        <v>487.98000000000008</v>
      </c>
    </row>
    <row r="9812" spans="4:16" x14ac:dyDescent="0.2">
      <c r="D9812">
        <v>100005858</v>
      </c>
      <c r="E9812" s="49">
        <v>44677</v>
      </c>
      <c r="F9812" t="s">
        <v>6867</v>
      </c>
      <c r="G9812" t="s">
        <v>2005</v>
      </c>
      <c r="H9812">
        <v>10</v>
      </c>
      <c r="I9812">
        <v>92.46</v>
      </c>
      <c r="J9812" s="50">
        <v>924.59999999999991</v>
      </c>
      <c r="K9812" t="s">
        <v>1632</v>
      </c>
      <c r="M9812" t="s">
        <v>1627</v>
      </c>
      <c r="N9812">
        <v>48.8</v>
      </c>
      <c r="O9812" s="49">
        <v>44681</v>
      </c>
      <c r="P9812" s="50">
        <v>416.07</v>
      </c>
    </row>
    <row r="9813" spans="4:16" x14ac:dyDescent="0.2">
      <c r="D9813">
        <v>100005858</v>
      </c>
      <c r="E9813" s="49">
        <v>44388</v>
      </c>
      <c r="F9813" t="s">
        <v>6867</v>
      </c>
      <c r="G9813" t="s">
        <v>1990</v>
      </c>
      <c r="H9813">
        <v>3</v>
      </c>
      <c r="I9813">
        <v>14.57</v>
      </c>
      <c r="J9813" s="50">
        <v>43.71</v>
      </c>
      <c r="K9813" t="s">
        <v>1632</v>
      </c>
      <c r="M9813" t="s">
        <v>1621</v>
      </c>
      <c r="N9813">
        <v>7.69</v>
      </c>
      <c r="O9813" s="49">
        <v>44392</v>
      </c>
      <c r="P9813" s="50">
        <v>19.669499999999999</v>
      </c>
    </row>
    <row r="9814" spans="4:16" x14ac:dyDescent="0.2">
      <c r="D9814">
        <v>100005859</v>
      </c>
      <c r="E9814" s="49">
        <v>45508</v>
      </c>
      <c r="F9814" t="s">
        <v>6868</v>
      </c>
      <c r="G9814" t="s">
        <v>2191</v>
      </c>
      <c r="H9814">
        <v>9</v>
      </c>
      <c r="I9814">
        <v>91.69</v>
      </c>
      <c r="J9814" s="50">
        <v>825.21</v>
      </c>
      <c r="K9814" t="s">
        <v>1632</v>
      </c>
      <c r="L9814" t="s">
        <v>6869</v>
      </c>
      <c r="M9814" t="s">
        <v>1629</v>
      </c>
      <c r="N9814">
        <v>48.39</v>
      </c>
      <c r="O9814" s="49">
        <v>45511</v>
      </c>
      <c r="P9814" s="50">
        <v>371.34450000000004</v>
      </c>
    </row>
    <row r="9815" spans="4:16" x14ac:dyDescent="0.2">
      <c r="D9815">
        <v>100005860</v>
      </c>
      <c r="E9815" s="49">
        <v>44746</v>
      </c>
      <c r="F9815" t="s">
        <v>6870</v>
      </c>
      <c r="G9815" t="s">
        <v>1825</v>
      </c>
      <c r="H9815">
        <v>3</v>
      </c>
      <c r="I9815">
        <v>18.34</v>
      </c>
      <c r="J9815" s="50">
        <v>55.02</v>
      </c>
      <c r="K9815" t="s">
        <v>1618</v>
      </c>
      <c r="L9815" t="s">
        <v>2244</v>
      </c>
      <c r="M9815" t="s">
        <v>1627</v>
      </c>
      <c r="N9815">
        <v>9.68</v>
      </c>
      <c r="O9815" s="49">
        <v>44751</v>
      </c>
      <c r="P9815" s="50">
        <v>24.759</v>
      </c>
    </row>
    <row r="9816" spans="4:16" x14ac:dyDescent="0.2">
      <c r="D9816">
        <v>100005862</v>
      </c>
      <c r="E9816" s="49">
        <v>45313</v>
      </c>
      <c r="F9816" t="s">
        <v>6871</v>
      </c>
      <c r="G9816" t="s">
        <v>1948</v>
      </c>
      <c r="H9816">
        <v>2</v>
      </c>
      <c r="I9816">
        <v>119.1</v>
      </c>
      <c r="J9816" s="50">
        <v>238.2</v>
      </c>
      <c r="K9816" t="s">
        <v>1618</v>
      </c>
      <c r="M9816" t="s">
        <v>1619</v>
      </c>
      <c r="N9816">
        <v>62.86</v>
      </c>
      <c r="O9816" s="49">
        <v>45317</v>
      </c>
      <c r="P9816" s="50">
        <v>107.19</v>
      </c>
    </row>
    <row r="9817" spans="4:16" x14ac:dyDescent="0.2">
      <c r="D9817">
        <v>100005862</v>
      </c>
      <c r="E9817" s="49">
        <v>44725</v>
      </c>
      <c r="F9817" t="s">
        <v>6871</v>
      </c>
      <c r="G9817" t="s">
        <v>1846</v>
      </c>
      <c r="H9817">
        <v>4</v>
      </c>
      <c r="I9817">
        <v>113.59</v>
      </c>
      <c r="J9817" s="50">
        <v>454.36</v>
      </c>
      <c r="K9817" t="s">
        <v>1618</v>
      </c>
      <c r="M9817" t="s">
        <v>1629</v>
      </c>
      <c r="N9817">
        <v>59.95</v>
      </c>
      <c r="O9817" s="49">
        <v>44727</v>
      </c>
      <c r="P9817" s="50">
        <v>204.46200000000002</v>
      </c>
    </row>
    <row r="9818" spans="4:16" x14ac:dyDescent="0.2">
      <c r="D9818">
        <v>100005863</v>
      </c>
      <c r="E9818" s="49">
        <v>44432</v>
      </c>
      <c r="F9818" t="s">
        <v>6872</v>
      </c>
      <c r="G9818" t="s">
        <v>2553</v>
      </c>
      <c r="H9818">
        <v>3</v>
      </c>
      <c r="I9818">
        <v>64.05</v>
      </c>
      <c r="J9818" s="50">
        <v>192.15</v>
      </c>
      <c r="K9818" t="s">
        <v>1618</v>
      </c>
      <c r="M9818" t="s">
        <v>1624</v>
      </c>
      <c r="N9818">
        <v>33.799999999999997</v>
      </c>
      <c r="O9818" s="49">
        <v>44436</v>
      </c>
      <c r="P9818" s="50">
        <v>86.467500000000001</v>
      </c>
    </row>
    <row r="9819" spans="4:16" x14ac:dyDescent="0.2">
      <c r="D9819">
        <v>100005864</v>
      </c>
      <c r="E9819" s="49">
        <v>45297</v>
      </c>
      <c r="F9819" t="s">
        <v>6873</v>
      </c>
      <c r="G9819" t="s">
        <v>1775</v>
      </c>
      <c r="H9819">
        <v>9</v>
      </c>
      <c r="I9819">
        <v>87.64</v>
      </c>
      <c r="J9819" s="50">
        <v>788.76</v>
      </c>
      <c r="K9819" t="s">
        <v>1618</v>
      </c>
      <c r="M9819" t="s">
        <v>1619</v>
      </c>
      <c r="N9819">
        <v>46.25</v>
      </c>
      <c r="O9819" s="49">
        <v>45298</v>
      </c>
      <c r="P9819" s="50">
        <v>354.94200000000001</v>
      </c>
    </row>
    <row r="9820" spans="4:16" x14ac:dyDescent="0.2">
      <c r="D9820">
        <v>100005866</v>
      </c>
      <c r="E9820" s="49">
        <v>44422</v>
      </c>
      <c r="F9820" t="s">
        <v>6874</v>
      </c>
      <c r="G9820" t="s">
        <v>2766</v>
      </c>
      <c r="H9820">
        <v>3</v>
      </c>
      <c r="I9820">
        <v>41.4</v>
      </c>
      <c r="J9820" s="50">
        <v>124.2</v>
      </c>
      <c r="K9820" t="s">
        <v>1632</v>
      </c>
      <c r="M9820" t="s">
        <v>1627</v>
      </c>
      <c r="N9820">
        <v>21.85</v>
      </c>
      <c r="O9820" s="49">
        <v>44425</v>
      </c>
      <c r="P9820" s="50">
        <v>55.89</v>
      </c>
    </row>
    <row r="9821" spans="4:16" x14ac:dyDescent="0.2">
      <c r="D9821">
        <v>100005867</v>
      </c>
      <c r="E9821" s="49">
        <v>44287</v>
      </c>
      <c r="F9821" t="s">
        <v>6875</v>
      </c>
      <c r="G9821" t="s">
        <v>1877</v>
      </c>
      <c r="H9821">
        <v>7</v>
      </c>
      <c r="I9821">
        <v>88.67</v>
      </c>
      <c r="J9821" s="50">
        <v>620.69000000000005</v>
      </c>
      <c r="K9821" t="s">
        <v>1618</v>
      </c>
      <c r="M9821" t="s">
        <v>1621</v>
      </c>
      <c r="N9821">
        <v>46.8</v>
      </c>
      <c r="O9821" s="49">
        <v>44291</v>
      </c>
      <c r="P9821" s="50">
        <v>279.31050000000005</v>
      </c>
    </row>
    <row r="9822" spans="4:16" x14ac:dyDescent="0.2">
      <c r="D9822">
        <v>100005867</v>
      </c>
      <c r="E9822" s="49">
        <v>44626</v>
      </c>
      <c r="F9822" t="s">
        <v>6875</v>
      </c>
      <c r="G9822" t="s">
        <v>1980</v>
      </c>
      <c r="H9822">
        <v>9</v>
      </c>
      <c r="I9822">
        <v>35.520000000000003</v>
      </c>
      <c r="J9822" s="50">
        <v>319.68</v>
      </c>
      <c r="K9822" t="s">
        <v>1618</v>
      </c>
      <c r="M9822" t="s">
        <v>1621</v>
      </c>
      <c r="N9822">
        <v>18.75</v>
      </c>
      <c r="O9822" s="49">
        <v>44629</v>
      </c>
      <c r="P9822" s="50">
        <v>143.85599999999999</v>
      </c>
    </row>
    <row r="9823" spans="4:16" x14ac:dyDescent="0.2">
      <c r="D9823">
        <v>100005868</v>
      </c>
      <c r="E9823" s="49">
        <v>45134</v>
      </c>
      <c r="F9823" t="s">
        <v>6876</v>
      </c>
      <c r="G9823" t="s">
        <v>1868</v>
      </c>
      <c r="H9823">
        <v>2</v>
      </c>
      <c r="I9823">
        <v>54.05</v>
      </c>
      <c r="J9823" s="50">
        <v>108.1</v>
      </c>
      <c r="K9823" t="s">
        <v>1618</v>
      </c>
      <c r="M9823" t="s">
        <v>1624</v>
      </c>
      <c r="N9823">
        <v>28.53</v>
      </c>
      <c r="O9823" s="49">
        <v>45138</v>
      </c>
      <c r="P9823" s="50">
        <v>48.644999999999996</v>
      </c>
    </row>
    <row r="9824" spans="4:16" x14ac:dyDescent="0.2">
      <c r="D9824">
        <v>100005869</v>
      </c>
      <c r="E9824" s="49">
        <v>45304</v>
      </c>
      <c r="F9824" t="s">
        <v>6877</v>
      </c>
      <c r="G9824" t="s">
        <v>2330</v>
      </c>
      <c r="H9824">
        <v>6</v>
      </c>
      <c r="I9824">
        <v>11.83</v>
      </c>
      <c r="J9824" s="50">
        <v>70.98</v>
      </c>
      <c r="K9824" t="s">
        <v>1618</v>
      </c>
      <c r="M9824" t="s">
        <v>1629</v>
      </c>
      <c r="N9824">
        <v>6.24</v>
      </c>
      <c r="O9824" s="49">
        <v>45306</v>
      </c>
      <c r="P9824" s="50">
        <v>31.941000000000003</v>
      </c>
    </row>
    <row r="9825" spans="4:16" x14ac:dyDescent="0.2">
      <c r="D9825">
        <v>100005869</v>
      </c>
      <c r="E9825" s="49">
        <v>44540</v>
      </c>
      <c r="F9825" t="s">
        <v>6877</v>
      </c>
      <c r="G9825" t="s">
        <v>1733</v>
      </c>
      <c r="H9825">
        <v>5</v>
      </c>
      <c r="I9825">
        <v>36.130000000000003</v>
      </c>
      <c r="J9825" s="50">
        <v>180.65</v>
      </c>
      <c r="K9825" t="s">
        <v>1618</v>
      </c>
      <c r="M9825" t="s">
        <v>1629</v>
      </c>
      <c r="N9825">
        <v>19.07</v>
      </c>
      <c r="O9825" s="49">
        <v>44543</v>
      </c>
      <c r="P9825" s="50">
        <v>81.292500000000004</v>
      </c>
    </row>
    <row r="9826" spans="4:16" x14ac:dyDescent="0.2">
      <c r="D9826">
        <v>100005870</v>
      </c>
      <c r="E9826" s="49">
        <v>44569</v>
      </c>
      <c r="F9826" t="s">
        <v>6878</v>
      </c>
      <c r="G9826" t="s">
        <v>2357</v>
      </c>
      <c r="H9826">
        <v>4</v>
      </c>
      <c r="I9826">
        <v>45.99</v>
      </c>
      <c r="J9826" s="50">
        <v>183.96</v>
      </c>
      <c r="K9826" t="s">
        <v>1618</v>
      </c>
      <c r="L9826" t="s">
        <v>4081</v>
      </c>
      <c r="M9826" t="s">
        <v>1619</v>
      </c>
      <c r="N9826">
        <v>24.27</v>
      </c>
      <c r="O9826" s="49">
        <v>44570</v>
      </c>
      <c r="P9826" s="50">
        <v>82.782000000000011</v>
      </c>
    </row>
    <row r="9827" spans="4:16" x14ac:dyDescent="0.2">
      <c r="D9827">
        <v>100005872</v>
      </c>
      <c r="E9827" s="49">
        <v>45347</v>
      </c>
      <c r="F9827" t="s">
        <v>6879</v>
      </c>
      <c r="G9827" t="s">
        <v>1756</v>
      </c>
      <c r="H9827">
        <v>9</v>
      </c>
      <c r="I9827">
        <v>15.42</v>
      </c>
      <c r="J9827" s="50">
        <v>138.78</v>
      </c>
      <c r="K9827" t="s">
        <v>1618</v>
      </c>
      <c r="L9827" t="s">
        <v>6880</v>
      </c>
      <c r="M9827" t="s">
        <v>1619</v>
      </c>
      <c r="N9827">
        <v>8.14</v>
      </c>
      <c r="O9827" s="49">
        <v>45348</v>
      </c>
      <c r="P9827" s="50">
        <v>62.451000000000001</v>
      </c>
    </row>
    <row r="9828" spans="4:16" x14ac:dyDescent="0.2">
      <c r="D9828">
        <v>100005873</v>
      </c>
      <c r="E9828" s="49">
        <v>45065</v>
      </c>
      <c r="F9828" t="s">
        <v>6881</v>
      </c>
      <c r="G9828" t="s">
        <v>2232</v>
      </c>
      <c r="H9828">
        <v>5</v>
      </c>
      <c r="I9828">
        <v>51.64</v>
      </c>
      <c r="J9828" s="50">
        <v>258.2</v>
      </c>
      <c r="K9828" t="s">
        <v>1632</v>
      </c>
      <c r="M9828" t="s">
        <v>1629</v>
      </c>
      <c r="N9828">
        <v>27.25</v>
      </c>
      <c r="O9828" s="49">
        <v>45069</v>
      </c>
      <c r="P9828" s="50">
        <v>116.19</v>
      </c>
    </row>
    <row r="9829" spans="4:16" x14ac:dyDescent="0.2">
      <c r="D9829">
        <v>100005873</v>
      </c>
      <c r="E9829" s="49">
        <v>44456</v>
      </c>
      <c r="F9829" t="s">
        <v>6881</v>
      </c>
      <c r="G9829" t="s">
        <v>1636</v>
      </c>
      <c r="H9829">
        <v>4</v>
      </c>
      <c r="I9829">
        <v>46.44</v>
      </c>
      <c r="J9829" s="50">
        <v>185.76</v>
      </c>
      <c r="K9829" t="s">
        <v>1632</v>
      </c>
      <c r="M9829" t="s">
        <v>1624</v>
      </c>
      <c r="N9829">
        <v>24.51</v>
      </c>
      <c r="O9829" s="49">
        <v>44459</v>
      </c>
      <c r="P9829" s="50">
        <v>83.591999999999999</v>
      </c>
    </row>
    <row r="9830" spans="4:16" x14ac:dyDescent="0.2">
      <c r="D9830">
        <v>100005875</v>
      </c>
      <c r="E9830" s="49">
        <v>45262</v>
      </c>
      <c r="F9830" t="s">
        <v>6207</v>
      </c>
      <c r="G9830" t="s">
        <v>2230</v>
      </c>
      <c r="H9830">
        <v>10</v>
      </c>
      <c r="I9830">
        <v>72.010000000000005</v>
      </c>
      <c r="J9830" s="50">
        <v>720.1</v>
      </c>
      <c r="K9830" t="s">
        <v>1632</v>
      </c>
      <c r="M9830" t="s">
        <v>1619</v>
      </c>
      <c r="N9830">
        <v>38.01</v>
      </c>
      <c r="O9830" s="49">
        <v>45267</v>
      </c>
      <c r="P9830" s="50">
        <v>324.04500000000002</v>
      </c>
    </row>
    <row r="9831" spans="4:16" x14ac:dyDescent="0.2">
      <c r="D9831">
        <v>100005876</v>
      </c>
      <c r="E9831" s="49">
        <v>44293</v>
      </c>
      <c r="F9831" t="s">
        <v>6882</v>
      </c>
      <c r="G9831" t="s">
        <v>1643</v>
      </c>
      <c r="H9831">
        <v>5</v>
      </c>
      <c r="I9831">
        <v>62.54</v>
      </c>
      <c r="J9831" s="50">
        <v>312.7</v>
      </c>
      <c r="K9831" t="s">
        <v>1632</v>
      </c>
      <c r="M9831" t="s">
        <v>1627</v>
      </c>
      <c r="N9831">
        <v>33.01</v>
      </c>
      <c r="O9831" s="49">
        <v>44294</v>
      </c>
      <c r="P9831" s="50">
        <v>140.715</v>
      </c>
    </row>
    <row r="9832" spans="4:16" x14ac:dyDescent="0.2">
      <c r="D9832">
        <v>100005877</v>
      </c>
      <c r="E9832" s="49">
        <v>44724</v>
      </c>
      <c r="F9832" t="s">
        <v>6883</v>
      </c>
      <c r="G9832" t="s">
        <v>2093</v>
      </c>
      <c r="H9832">
        <v>2</v>
      </c>
      <c r="I9832">
        <v>61.73</v>
      </c>
      <c r="J9832" s="50">
        <v>123.46</v>
      </c>
      <c r="K9832" t="s">
        <v>1618</v>
      </c>
      <c r="M9832" t="s">
        <v>1629</v>
      </c>
      <c r="N9832">
        <v>32.58</v>
      </c>
      <c r="O9832" s="49">
        <v>44728</v>
      </c>
      <c r="P9832" s="50">
        <v>55.556999999999995</v>
      </c>
    </row>
    <row r="9833" spans="4:16" x14ac:dyDescent="0.2">
      <c r="D9833">
        <v>100005877</v>
      </c>
      <c r="E9833" s="49">
        <v>45023</v>
      </c>
      <c r="F9833" t="s">
        <v>6883</v>
      </c>
      <c r="G9833" t="s">
        <v>1620</v>
      </c>
      <c r="H9833">
        <v>5</v>
      </c>
      <c r="I9833">
        <v>112.55</v>
      </c>
      <c r="J9833" s="50">
        <v>562.75</v>
      </c>
      <c r="K9833" t="s">
        <v>1618</v>
      </c>
      <c r="M9833" t="s">
        <v>1619</v>
      </c>
      <c r="N9833">
        <v>59.4</v>
      </c>
      <c r="O9833" s="49">
        <v>45028</v>
      </c>
      <c r="P9833" s="50">
        <v>253.23750000000001</v>
      </c>
    </row>
    <row r="9834" spans="4:16" x14ac:dyDescent="0.2">
      <c r="D9834">
        <v>100005878</v>
      </c>
      <c r="E9834" s="49">
        <v>45074</v>
      </c>
      <c r="F9834" t="s">
        <v>6884</v>
      </c>
      <c r="G9834" t="s">
        <v>2168</v>
      </c>
      <c r="H9834">
        <v>10</v>
      </c>
      <c r="I9834">
        <v>67.150000000000006</v>
      </c>
      <c r="J9834" s="50">
        <v>671.5</v>
      </c>
      <c r="K9834" t="s">
        <v>1632</v>
      </c>
      <c r="M9834" t="s">
        <v>1629</v>
      </c>
      <c r="N9834">
        <v>35.44</v>
      </c>
      <c r="O9834" s="49">
        <v>45077</v>
      </c>
      <c r="P9834" s="50">
        <v>302.17500000000001</v>
      </c>
    </row>
    <row r="9835" spans="4:16" x14ac:dyDescent="0.2">
      <c r="D9835">
        <v>100005879</v>
      </c>
      <c r="E9835" s="49">
        <v>45384</v>
      </c>
      <c r="F9835" t="s">
        <v>6885</v>
      </c>
      <c r="G9835" t="s">
        <v>2301</v>
      </c>
      <c r="H9835">
        <v>4</v>
      </c>
      <c r="I9835">
        <v>118.36</v>
      </c>
      <c r="J9835" s="50">
        <v>473.44</v>
      </c>
      <c r="K9835" t="s">
        <v>1618</v>
      </c>
      <c r="M9835" t="s">
        <v>1629</v>
      </c>
      <c r="N9835">
        <v>62.47</v>
      </c>
      <c r="O9835" s="49">
        <v>45385</v>
      </c>
      <c r="P9835" s="50">
        <v>213.048</v>
      </c>
    </row>
    <row r="9836" spans="4:16" x14ac:dyDescent="0.2">
      <c r="D9836">
        <v>100005879</v>
      </c>
      <c r="E9836" s="49">
        <v>44774</v>
      </c>
      <c r="F9836" t="s">
        <v>6885</v>
      </c>
      <c r="G9836" t="s">
        <v>3135</v>
      </c>
      <c r="H9836">
        <v>8</v>
      </c>
      <c r="I9836">
        <v>73.25</v>
      </c>
      <c r="J9836" s="50">
        <v>586</v>
      </c>
      <c r="K9836" t="s">
        <v>1618</v>
      </c>
      <c r="M9836" t="s">
        <v>1629</v>
      </c>
      <c r="N9836">
        <v>38.659999999999997</v>
      </c>
      <c r="O9836" s="49">
        <v>44779</v>
      </c>
      <c r="P9836" s="50">
        <v>263.7</v>
      </c>
    </row>
    <row r="9837" spans="4:16" x14ac:dyDescent="0.2">
      <c r="D9837">
        <v>100005880</v>
      </c>
      <c r="E9837" s="49">
        <v>45148</v>
      </c>
      <c r="F9837" t="s">
        <v>6886</v>
      </c>
      <c r="G9837" t="s">
        <v>1720</v>
      </c>
      <c r="H9837">
        <v>8</v>
      </c>
      <c r="I9837">
        <v>109.99</v>
      </c>
      <c r="J9837" s="50">
        <v>879.92</v>
      </c>
      <c r="K9837" t="s">
        <v>1618</v>
      </c>
      <c r="M9837" t="s">
        <v>1627</v>
      </c>
      <c r="N9837">
        <v>58.05</v>
      </c>
      <c r="O9837" s="49">
        <v>45153</v>
      </c>
      <c r="P9837" s="50">
        <v>395.964</v>
      </c>
    </row>
    <row r="9838" spans="4:16" x14ac:dyDescent="0.2">
      <c r="D9838">
        <v>100005880</v>
      </c>
      <c r="E9838" s="49">
        <v>44402</v>
      </c>
      <c r="F9838" t="s">
        <v>6886</v>
      </c>
      <c r="G9838" t="s">
        <v>2574</v>
      </c>
      <c r="H9838">
        <v>6</v>
      </c>
      <c r="I9838">
        <v>35.799999999999997</v>
      </c>
      <c r="J9838" s="50">
        <v>214.8</v>
      </c>
      <c r="K9838" t="s">
        <v>1618</v>
      </c>
      <c r="M9838" t="s">
        <v>1619</v>
      </c>
      <c r="N9838">
        <v>18.89</v>
      </c>
      <c r="O9838" s="49">
        <v>44407</v>
      </c>
      <c r="P9838" s="50">
        <v>96.660000000000011</v>
      </c>
    </row>
    <row r="9839" spans="4:16" x14ac:dyDescent="0.2">
      <c r="D9839">
        <v>100005880</v>
      </c>
      <c r="E9839" s="49">
        <v>44252</v>
      </c>
      <c r="F9839" t="s">
        <v>6886</v>
      </c>
      <c r="G9839" t="s">
        <v>1877</v>
      </c>
      <c r="H9839">
        <v>8</v>
      </c>
      <c r="I9839">
        <v>114.53</v>
      </c>
      <c r="J9839" s="50">
        <v>916.24</v>
      </c>
      <c r="K9839" t="s">
        <v>1618</v>
      </c>
      <c r="M9839" t="s">
        <v>1627</v>
      </c>
      <c r="N9839">
        <v>60.45</v>
      </c>
      <c r="O9839" s="49">
        <v>44255</v>
      </c>
      <c r="P9839" s="50">
        <v>412.30799999999999</v>
      </c>
    </row>
    <row r="9840" spans="4:16" x14ac:dyDescent="0.2">
      <c r="D9840">
        <v>100005881</v>
      </c>
      <c r="E9840" s="49">
        <v>45138</v>
      </c>
      <c r="F9840" t="s">
        <v>6887</v>
      </c>
      <c r="G9840" t="s">
        <v>1649</v>
      </c>
      <c r="H9840">
        <v>10</v>
      </c>
      <c r="I9840">
        <v>102.38</v>
      </c>
      <c r="J9840" s="50">
        <v>1023.8</v>
      </c>
      <c r="K9840" t="s">
        <v>1618</v>
      </c>
      <c r="M9840" t="s">
        <v>1627</v>
      </c>
      <c r="N9840">
        <v>54.03</v>
      </c>
      <c r="O9840" s="49">
        <v>45142</v>
      </c>
      <c r="P9840" s="50">
        <v>460.71</v>
      </c>
    </row>
    <row r="9841" spans="4:16" x14ac:dyDescent="0.2">
      <c r="D9841">
        <v>100005882</v>
      </c>
      <c r="E9841" s="49">
        <v>44866</v>
      </c>
      <c r="F9841" t="s">
        <v>6888</v>
      </c>
      <c r="G9841" t="s">
        <v>1859</v>
      </c>
      <c r="H9841">
        <v>3</v>
      </c>
      <c r="I9841">
        <v>80.42</v>
      </c>
      <c r="J9841" s="50">
        <v>241.26</v>
      </c>
      <c r="K9841" t="s">
        <v>1632</v>
      </c>
      <c r="M9841" t="s">
        <v>1621</v>
      </c>
      <c r="N9841">
        <v>42.44</v>
      </c>
      <c r="O9841" s="49">
        <v>44867</v>
      </c>
      <c r="P9841" s="50">
        <v>108.56699999999999</v>
      </c>
    </row>
    <row r="9842" spans="4:16" x14ac:dyDescent="0.2">
      <c r="D9842">
        <v>100005883</v>
      </c>
      <c r="E9842" s="49">
        <v>45568</v>
      </c>
      <c r="F9842" t="s">
        <v>6889</v>
      </c>
      <c r="G9842" t="s">
        <v>2142</v>
      </c>
      <c r="H9842">
        <v>2</v>
      </c>
      <c r="I9842">
        <v>49.19</v>
      </c>
      <c r="J9842" s="50">
        <v>98.38</v>
      </c>
      <c r="K9842" t="s">
        <v>1632</v>
      </c>
      <c r="M9842" t="s">
        <v>1627</v>
      </c>
      <c r="N9842">
        <v>25.96</v>
      </c>
      <c r="O9842" s="49">
        <v>45569</v>
      </c>
      <c r="P9842" s="50">
        <v>44.271000000000001</v>
      </c>
    </row>
    <row r="9843" spans="4:16" x14ac:dyDescent="0.2">
      <c r="D9843">
        <v>100005883</v>
      </c>
      <c r="E9843" s="49">
        <v>44377</v>
      </c>
      <c r="F9843" t="s">
        <v>6889</v>
      </c>
      <c r="G9843" t="s">
        <v>1969</v>
      </c>
      <c r="H9843">
        <v>10</v>
      </c>
      <c r="I9843">
        <v>21.63</v>
      </c>
      <c r="J9843" s="50">
        <v>216.3</v>
      </c>
      <c r="K9843" t="s">
        <v>1632</v>
      </c>
      <c r="M9843" t="s">
        <v>1624</v>
      </c>
      <c r="N9843">
        <v>11.42</v>
      </c>
      <c r="O9843" s="49">
        <v>44380</v>
      </c>
      <c r="P9843" s="50">
        <v>97.335000000000008</v>
      </c>
    </row>
    <row r="9844" spans="4:16" x14ac:dyDescent="0.2">
      <c r="D9844">
        <v>100005883</v>
      </c>
      <c r="E9844" s="49">
        <v>45635</v>
      </c>
      <c r="F9844" t="s">
        <v>6889</v>
      </c>
      <c r="G9844" t="s">
        <v>1956</v>
      </c>
      <c r="H9844">
        <v>10</v>
      </c>
      <c r="I9844">
        <v>34.770000000000003</v>
      </c>
      <c r="J9844" s="50">
        <v>347.7</v>
      </c>
      <c r="K9844" t="s">
        <v>1632</v>
      </c>
      <c r="M9844" t="s">
        <v>1624</v>
      </c>
      <c r="N9844">
        <v>18.350000000000001</v>
      </c>
      <c r="O9844" s="49">
        <v>45640</v>
      </c>
      <c r="P9844" s="50">
        <v>156.465</v>
      </c>
    </row>
    <row r="9845" spans="4:16" x14ac:dyDescent="0.2">
      <c r="D9845">
        <v>100005884</v>
      </c>
      <c r="E9845" s="49">
        <v>44294</v>
      </c>
      <c r="F9845" t="s">
        <v>6890</v>
      </c>
      <c r="G9845" t="s">
        <v>1973</v>
      </c>
      <c r="H9845">
        <v>1</v>
      </c>
      <c r="I9845">
        <v>67.790000000000006</v>
      </c>
      <c r="J9845" s="50">
        <v>67.790000000000006</v>
      </c>
      <c r="K9845" t="s">
        <v>1618</v>
      </c>
      <c r="M9845" t="s">
        <v>1624</v>
      </c>
      <c r="N9845">
        <v>35.78</v>
      </c>
      <c r="O9845" s="49">
        <v>44298</v>
      </c>
      <c r="P9845" s="50">
        <v>30.505500000000005</v>
      </c>
    </row>
    <row r="9846" spans="4:16" x14ac:dyDescent="0.2">
      <c r="D9846">
        <v>100005885</v>
      </c>
      <c r="E9846" s="49">
        <v>44719</v>
      </c>
      <c r="F9846" t="s">
        <v>6891</v>
      </c>
      <c r="G9846" t="s">
        <v>1671</v>
      </c>
      <c r="H9846">
        <v>2</v>
      </c>
      <c r="I9846">
        <v>70.55</v>
      </c>
      <c r="J9846" s="50">
        <v>141.1</v>
      </c>
      <c r="K9846" t="s">
        <v>1618</v>
      </c>
      <c r="M9846" t="s">
        <v>1621</v>
      </c>
      <c r="N9846">
        <v>37.229999999999997</v>
      </c>
      <c r="O9846" s="49">
        <v>44721</v>
      </c>
      <c r="P9846" s="50">
        <v>63.494999999999997</v>
      </c>
    </row>
    <row r="9847" spans="4:16" x14ac:dyDescent="0.2">
      <c r="D9847">
        <v>100005885</v>
      </c>
      <c r="E9847" s="49">
        <v>45527</v>
      </c>
      <c r="F9847" t="s">
        <v>6891</v>
      </c>
      <c r="G9847" t="s">
        <v>1730</v>
      </c>
      <c r="H9847">
        <v>6</v>
      </c>
      <c r="I9847">
        <v>20.03</v>
      </c>
      <c r="J9847" s="50">
        <v>120.18</v>
      </c>
      <c r="K9847" t="s">
        <v>1618</v>
      </c>
      <c r="M9847" t="s">
        <v>1621</v>
      </c>
      <c r="N9847">
        <v>10.57</v>
      </c>
      <c r="O9847" s="49">
        <v>45529</v>
      </c>
      <c r="P9847" s="50">
        <v>54.081000000000003</v>
      </c>
    </row>
    <row r="9848" spans="4:16" x14ac:dyDescent="0.2">
      <c r="D9848">
        <v>100005885</v>
      </c>
      <c r="E9848" s="49">
        <v>44339</v>
      </c>
      <c r="F9848" t="s">
        <v>6891</v>
      </c>
      <c r="G9848" t="s">
        <v>1807</v>
      </c>
      <c r="H9848">
        <v>7</v>
      </c>
      <c r="I9848">
        <v>90.78</v>
      </c>
      <c r="J9848" s="50">
        <v>635.46</v>
      </c>
      <c r="K9848" t="s">
        <v>1618</v>
      </c>
      <c r="M9848" t="s">
        <v>1627</v>
      </c>
      <c r="N9848">
        <v>47.91</v>
      </c>
      <c r="O9848" s="49">
        <v>44343</v>
      </c>
      <c r="P9848" s="50">
        <v>285.95700000000005</v>
      </c>
    </row>
    <row r="9849" spans="4:16" x14ac:dyDescent="0.2">
      <c r="D9849">
        <v>100005885</v>
      </c>
      <c r="E9849" s="49">
        <v>44327</v>
      </c>
      <c r="F9849" t="s">
        <v>6891</v>
      </c>
      <c r="G9849" t="s">
        <v>1645</v>
      </c>
      <c r="H9849">
        <v>4</v>
      </c>
      <c r="I9849">
        <v>92.1</v>
      </c>
      <c r="J9849" s="50">
        <v>368.4</v>
      </c>
      <c r="K9849" t="s">
        <v>1618</v>
      </c>
      <c r="M9849" t="s">
        <v>1621</v>
      </c>
      <c r="N9849">
        <v>48.61</v>
      </c>
      <c r="O9849" s="49">
        <v>44328</v>
      </c>
      <c r="P9849" s="50">
        <v>165.78</v>
      </c>
    </row>
    <row r="9850" spans="4:16" x14ac:dyDescent="0.2">
      <c r="D9850">
        <v>100005885</v>
      </c>
      <c r="E9850" s="49">
        <v>44612</v>
      </c>
      <c r="F9850" t="s">
        <v>6891</v>
      </c>
      <c r="G9850" t="s">
        <v>1943</v>
      </c>
      <c r="H9850">
        <v>5</v>
      </c>
      <c r="I9850">
        <v>47.73</v>
      </c>
      <c r="J9850" s="50">
        <v>238.65</v>
      </c>
      <c r="K9850" t="s">
        <v>1618</v>
      </c>
      <c r="M9850" t="s">
        <v>1619</v>
      </c>
      <c r="N9850">
        <v>25.19</v>
      </c>
      <c r="O9850" s="49">
        <v>44614</v>
      </c>
      <c r="P9850" s="50">
        <v>107.3925</v>
      </c>
    </row>
    <row r="9851" spans="4:16" x14ac:dyDescent="0.2">
      <c r="D9851">
        <v>100005885</v>
      </c>
      <c r="E9851" s="49">
        <v>44926</v>
      </c>
      <c r="F9851" t="s">
        <v>6891</v>
      </c>
      <c r="G9851" t="s">
        <v>1693</v>
      </c>
      <c r="H9851">
        <v>5</v>
      </c>
      <c r="I9851">
        <v>119.87</v>
      </c>
      <c r="J9851" s="50">
        <v>599.35</v>
      </c>
      <c r="K9851" t="s">
        <v>1618</v>
      </c>
      <c r="M9851" t="s">
        <v>1619</v>
      </c>
      <c r="N9851">
        <v>63.26</v>
      </c>
      <c r="O9851" s="49">
        <v>44927</v>
      </c>
      <c r="P9851" s="50">
        <v>269.70750000000004</v>
      </c>
    </row>
    <row r="9852" spans="4:16" x14ac:dyDescent="0.2">
      <c r="D9852">
        <v>100005888</v>
      </c>
      <c r="E9852" s="49">
        <v>45184</v>
      </c>
      <c r="F9852" t="s">
        <v>6892</v>
      </c>
      <c r="G9852" t="s">
        <v>1743</v>
      </c>
      <c r="H9852">
        <v>8</v>
      </c>
      <c r="I9852">
        <v>104.92</v>
      </c>
      <c r="J9852" s="50">
        <v>839.36</v>
      </c>
      <c r="K9852" t="s">
        <v>1618</v>
      </c>
      <c r="M9852" t="s">
        <v>1621</v>
      </c>
      <c r="N9852">
        <v>55.37</v>
      </c>
      <c r="O9852" s="49">
        <v>45186</v>
      </c>
      <c r="P9852" s="50">
        <v>377.71199999999999</v>
      </c>
    </row>
    <row r="9853" spans="4:16" x14ac:dyDescent="0.2">
      <c r="D9853">
        <v>100005890</v>
      </c>
      <c r="E9853" s="49">
        <v>44847</v>
      </c>
      <c r="F9853" t="s">
        <v>6893</v>
      </c>
      <c r="G9853" t="s">
        <v>2301</v>
      </c>
      <c r="H9853">
        <v>1</v>
      </c>
      <c r="I9853">
        <v>65.92</v>
      </c>
      <c r="J9853" s="50">
        <v>65.92</v>
      </c>
      <c r="K9853" t="s">
        <v>1632</v>
      </c>
      <c r="L9853" t="s">
        <v>6894</v>
      </c>
      <c r="M9853" t="s">
        <v>1627</v>
      </c>
      <c r="N9853">
        <v>34.79</v>
      </c>
      <c r="O9853" s="49">
        <v>44848</v>
      </c>
      <c r="P9853" s="50">
        <v>29.664000000000001</v>
      </c>
    </row>
    <row r="9854" spans="4:16" x14ac:dyDescent="0.2">
      <c r="D9854">
        <v>100005890</v>
      </c>
      <c r="E9854" s="49">
        <v>45131</v>
      </c>
      <c r="F9854" t="s">
        <v>6893</v>
      </c>
      <c r="G9854" t="s">
        <v>2698</v>
      </c>
      <c r="H9854">
        <v>9</v>
      </c>
      <c r="I9854">
        <v>46.41</v>
      </c>
      <c r="J9854" s="50">
        <v>417.68999999999988</v>
      </c>
      <c r="K9854" t="s">
        <v>1632</v>
      </c>
      <c r="L9854" t="s">
        <v>6894</v>
      </c>
      <c r="M9854" t="s">
        <v>1621</v>
      </c>
      <c r="N9854">
        <v>24.49</v>
      </c>
      <c r="O9854" s="49">
        <v>45134</v>
      </c>
      <c r="P9854" s="50">
        <v>187.96049999999994</v>
      </c>
    </row>
    <row r="9855" spans="4:16" x14ac:dyDescent="0.2">
      <c r="D9855">
        <v>100005890</v>
      </c>
      <c r="E9855" s="49">
        <v>45261</v>
      </c>
      <c r="F9855" t="s">
        <v>6893</v>
      </c>
      <c r="G9855" t="s">
        <v>1805</v>
      </c>
      <c r="H9855">
        <v>10</v>
      </c>
      <c r="I9855">
        <v>107.2</v>
      </c>
      <c r="J9855" s="50">
        <v>1072</v>
      </c>
      <c r="K9855" t="s">
        <v>1632</v>
      </c>
      <c r="L9855" t="s">
        <v>6894</v>
      </c>
      <c r="M9855" t="s">
        <v>1629</v>
      </c>
      <c r="N9855">
        <v>56.58</v>
      </c>
      <c r="O9855" s="49">
        <v>45266</v>
      </c>
      <c r="P9855" s="50">
        <v>482.40000000000003</v>
      </c>
    </row>
    <row r="9856" spans="4:16" x14ac:dyDescent="0.2">
      <c r="D9856">
        <v>100005890</v>
      </c>
      <c r="E9856" s="49">
        <v>44981</v>
      </c>
      <c r="F9856" t="s">
        <v>6893</v>
      </c>
      <c r="G9856" t="s">
        <v>1921</v>
      </c>
      <c r="H9856">
        <v>8</v>
      </c>
      <c r="I9856">
        <v>10.02</v>
      </c>
      <c r="J9856" s="50">
        <v>80.16</v>
      </c>
      <c r="K9856" t="s">
        <v>1632</v>
      </c>
      <c r="L9856" t="s">
        <v>6894</v>
      </c>
      <c r="M9856" t="s">
        <v>1629</v>
      </c>
      <c r="N9856">
        <v>5.29</v>
      </c>
      <c r="O9856" s="49">
        <v>44982</v>
      </c>
      <c r="P9856" s="50">
        <v>36.072000000000003</v>
      </c>
    </row>
    <row r="9857" spans="4:16" x14ac:dyDescent="0.2">
      <c r="D9857">
        <v>100005890</v>
      </c>
      <c r="E9857" s="49">
        <v>45585</v>
      </c>
      <c r="F9857" t="s">
        <v>6893</v>
      </c>
      <c r="G9857" t="s">
        <v>1939</v>
      </c>
      <c r="H9857">
        <v>5</v>
      </c>
      <c r="I9857">
        <v>88.66</v>
      </c>
      <c r="J9857" s="50">
        <v>443.3</v>
      </c>
      <c r="K9857" t="s">
        <v>1632</v>
      </c>
      <c r="L9857" t="s">
        <v>6894</v>
      </c>
      <c r="M9857" t="s">
        <v>1629</v>
      </c>
      <c r="N9857">
        <v>46.79</v>
      </c>
      <c r="O9857" s="49">
        <v>45590</v>
      </c>
      <c r="P9857" s="50">
        <v>199.48500000000001</v>
      </c>
    </row>
    <row r="9858" spans="4:16" x14ac:dyDescent="0.2">
      <c r="D9858">
        <v>100005890</v>
      </c>
      <c r="E9858" s="49">
        <v>44289</v>
      </c>
      <c r="F9858" t="s">
        <v>6893</v>
      </c>
      <c r="G9858" t="s">
        <v>1987</v>
      </c>
      <c r="H9858">
        <v>2</v>
      </c>
      <c r="I9858">
        <v>49.13</v>
      </c>
      <c r="J9858" s="50">
        <v>98.26</v>
      </c>
      <c r="K9858" t="s">
        <v>1632</v>
      </c>
      <c r="L9858" t="s">
        <v>6894</v>
      </c>
      <c r="M9858" t="s">
        <v>1619</v>
      </c>
      <c r="N9858">
        <v>25.93</v>
      </c>
      <c r="O9858" s="49">
        <v>44291</v>
      </c>
      <c r="P9858" s="50">
        <v>44.217000000000006</v>
      </c>
    </row>
    <row r="9859" spans="4:16" x14ac:dyDescent="0.2">
      <c r="D9859">
        <v>100005894</v>
      </c>
      <c r="E9859" s="49">
        <v>44212</v>
      </c>
      <c r="F9859" t="s">
        <v>6895</v>
      </c>
      <c r="G9859" t="s">
        <v>2041</v>
      </c>
      <c r="H9859">
        <v>9</v>
      </c>
      <c r="I9859">
        <v>109.6</v>
      </c>
      <c r="J9859" s="50">
        <v>986.4</v>
      </c>
      <c r="K9859" t="s">
        <v>1618</v>
      </c>
      <c r="L9859" t="s">
        <v>6896</v>
      </c>
      <c r="M9859" t="s">
        <v>1619</v>
      </c>
      <c r="N9859">
        <v>57.84</v>
      </c>
      <c r="O9859" s="49">
        <v>44217</v>
      </c>
      <c r="P9859" s="50">
        <v>443.88</v>
      </c>
    </row>
    <row r="9860" spans="4:16" x14ac:dyDescent="0.2">
      <c r="D9860">
        <v>100005895</v>
      </c>
      <c r="E9860" s="49">
        <v>44275</v>
      </c>
      <c r="F9860" t="s">
        <v>6897</v>
      </c>
      <c r="G9860" t="s">
        <v>2111</v>
      </c>
      <c r="H9860">
        <v>5</v>
      </c>
      <c r="I9860">
        <v>12.57</v>
      </c>
      <c r="J9860" s="50">
        <v>62.85</v>
      </c>
      <c r="K9860" t="s">
        <v>1618</v>
      </c>
      <c r="M9860" t="s">
        <v>1624</v>
      </c>
      <c r="N9860">
        <v>6.63</v>
      </c>
      <c r="O9860" s="49">
        <v>44276</v>
      </c>
      <c r="P9860" s="50">
        <v>28.282500000000002</v>
      </c>
    </row>
    <row r="9861" spans="4:16" x14ac:dyDescent="0.2">
      <c r="D9861">
        <v>100005895</v>
      </c>
      <c r="E9861" s="49">
        <v>44512</v>
      </c>
      <c r="F9861" t="s">
        <v>6897</v>
      </c>
      <c r="G9861" t="s">
        <v>1699</v>
      </c>
      <c r="H9861">
        <v>1</v>
      </c>
      <c r="I9861">
        <v>53.25</v>
      </c>
      <c r="J9861" s="50">
        <v>53.25</v>
      </c>
      <c r="K9861" t="s">
        <v>1618</v>
      </c>
      <c r="M9861" t="s">
        <v>1621</v>
      </c>
      <c r="N9861">
        <v>28.1</v>
      </c>
      <c r="O9861" s="49">
        <v>44516</v>
      </c>
      <c r="P9861" s="50">
        <v>23.962500000000002</v>
      </c>
    </row>
    <row r="9862" spans="4:16" x14ac:dyDescent="0.2">
      <c r="D9862">
        <v>100005896</v>
      </c>
      <c r="E9862" s="49">
        <v>45077</v>
      </c>
      <c r="F9862" t="s">
        <v>6898</v>
      </c>
      <c r="G9862" t="s">
        <v>1751</v>
      </c>
      <c r="H9862">
        <v>7</v>
      </c>
      <c r="I9862">
        <v>35.46</v>
      </c>
      <c r="J9862" s="50">
        <v>248.22</v>
      </c>
      <c r="K9862" t="s">
        <v>1618</v>
      </c>
      <c r="M9862" t="s">
        <v>1619</v>
      </c>
      <c r="N9862">
        <v>18.71</v>
      </c>
      <c r="O9862" s="49">
        <v>45081</v>
      </c>
      <c r="P9862" s="50">
        <v>111.699</v>
      </c>
    </row>
    <row r="9863" spans="4:16" x14ac:dyDescent="0.2">
      <c r="D9863">
        <v>100005896</v>
      </c>
      <c r="E9863" s="49">
        <v>44201</v>
      </c>
      <c r="F9863" t="s">
        <v>6898</v>
      </c>
      <c r="G9863" t="s">
        <v>2436</v>
      </c>
      <c r="H9863">
        <v>9</v>
      </c>
      <c r="I9863">
        <v>16.170000000000002</v>
      </c>
      <c r="J9863" s="50">
        <v>145.53</v>
      </c>
      <c r="K9863" t="s">
        <v>1618</v>
      </c>
      <c r="M9863" t="s">
        <v>1624</v>
      </c>
      <c r="N9863">
        <v>8.5299999999999994</v>
      </c>
      <c r="O9863" s="49">
        <v>44206</v>
      </c>
      <c r="P9863" s="50">
        <v>65.488500000000002</v>
      </c>
    </row>
    <row r="9864" spans="4:16" x14ac:dyDescent="0.2">
      <c r="D9864">
        <v>100005897</v>
      </c>
      <c r="E9864" s="49">
        <v>44539</v>
      </c>
      <c r="F9864" t="s">
        <v>6899</v>
      </c>
      <c r="G9864" t="s">
        <v>2581</v>
      </c>
      <c r="H9864">
        <v>9</v>
      </c>
      <c r="I9864">
        <v>26.27</v>
      </c>
      <c r="J9864" s="50">
        <v>236.43</v>
      </c>
      <c r="K9864" t="s">
        <v>1632</v>
      </c>
      <c r="L9864" t="s">
        <v>6900</v>
      </c>
      <c r="M9864" t="s">
        <v>1621</v>
      </c>
      <c r="N9864">
        <v>13.86</v>
      </c>
      <c r="O9864" s="49">
        <v>44542</v>
      </c>
      <c r="P9864" s="50">
        <v>106.3935</v>
      </c>
    </row>
    <row r="9865" spans="4:16" x14ac:dyDescent="0.2">
      <c r="D9865">
        <v>100005901</v>
      </c>
      <c r="E9865" s="49">
        <v>44961</v>
      </c>
      <c r="F9865" t="s">
        <v>6901</v>
      </c>
      <c r="G9865" t="s">
        <v>2005</v>
      </c>
      <c r="H9865">
        <v>8</v>
      </c>
      <c r="I9865">
        <v>18.46</v>
      </c>
      <c r="J9865" s="50">
        <v>147.68</v>
      </c>
      <c r="K9865" t="s">
        <v>1618</v>
      </c>
      <c r="M9865" t="s">
        <v>1619</v>
      </c>
      <c r="N9865">
        <v>9.74</v>
      </c>
      <c r="O9865" s="49">
        <v>44965</v>
      </c>
      <c r="P9865" s="50">
        <v>66.456000000000003</v>
      </c>
    </row>
    <row r="9866" spans="4:16" x14ac:dyDescent="0.2">
      <c r="D9866">
        <v>100005902</v>
      </c>
      <c r="E9866" s="49">
        <v>45081</v>
      </c>
      <c r="F9866" t="s">
        <v>6902</v>
      </c>
      <c r="G9866" t="s">
        <v>2024</v>
      </c>
      <c r="H9866">
        <v>7</v>
      </c>
      <c r="I9866">
        <v>27.03</v>
      </c>
      <c r="J9866" s="50">
        <v>189.21</v>
      </c>
      <c r="K9866" t="s">
        <v>1618</v>
      </c>
      <c r="L9866" t="s">
        <v>6903</v>
      </c>
      <c r="M9866" t="s">
        <v>1619</v>
      </c>
      <c r="N9866">
        <v>14.27</v>
      </c>
      <c r="O9866" s="49">
        <v>45083</v>
      </c>
      <c r="P9866" s="50">
        <v>85.144500000000008</v>
      </c>
    </row>
    <row r="9867" spans="4:16" x14ac:dyDescent="0.2">
      <c r="D9867">
        <v>100005902</v>
      </c>
      <c r="E9867" s="49">
        <v>45148</v>
      </c>
      <c r="F9867" t="s">
        <v>6902</v>
      </c>
      <c r="G9867" t="s">
        <v>2261</v>
      </c>
      <c r="H9867">
        <v>1</v>
      </c>
      <c r="I9867">
        <v>24.15</v>
      </c>
      <c r="J9867" s="50">
        <v>24.15</v>
      </c>
      <c r="K9867" t="s">
        <v>1618</v>
      </c>
      <c r="L9867" t="s">
        <v>6903</v>
      </c>
      <c r="M9867" t="s">
        <v>1621</v>
      </c>
      <c r="N9867">
        <v>12.75</v>
      </c>
      <c r="O9867" s="49">
        <v>45151</v>
      </c>
      <c r="P9867" s="50">
        <v>10.8675</v>
      </c>
    </row>
    <row r="9868" spans="4:16" x14ac:dyDescent="0.2">
      <c r="D9868">
        <v>100005903</v>
      </c>
      <c r="E9868" s="49">
        <v>45017</v>
      </c>
      <c r="F9868" t="s">
        <v>6904</v>
      </c>
      <c r="G9868" t="s">
        <v>1924</v>
      </c>
      <c r="H9868">
        <v>5</v>
      </c>
      <c r="I9868">
        <v>67.13</v>
      </c>
      <c r="J9868" s="50">
        <v>335.65</v>
      </c>
      <c r="K9868" t="s">
        <v>1618</v>
      </c>
      <c r="M9868" t="s">
        <v>1627</v>
      </c>
      <c r="N9868">
        <v>35.43</v>
      </c>
      <c r="O9868" s="49">
        <v>45019</v>
      </c>
      <c r="P9868" s="50">
        <v>151.04249999999999</v>
      </c>
    </row>
    <row r="9869" spans="4:16" x14ac:dyDescent="0.2">
      <c r="D9869">
        <v>100005903</v>
      </c>
      <c r="E9869" s="49">
        <v>44834</v>
      </c>
      <c r="F9869" t="s">
        <v>6904</v>
      </c>
      <c r="G9869" t="s">
        <v>1749</v>
      </c>
      <c r="H9869">
        <v>4</v>
      </c>
      <c r="I9869">
        <v>21.66</v>
      </c>
      <c r="J9869" s="50">
        <v>86.64</v>
      </c>
      <c r="K9869" t="s">
        <v>1618</v>
      </c>
      <c r="M9869" t="s">
        <v>1627</v>
      </c>
      <c r="N9869">
        <v>11.43</v>
      </c>
      <c r="O9869" s="49">
        <v>44838</v>
      </c>
      <c r="P9869" s="50">
        <v>38.988</v>
      </c>
    </row>
    <row r="9870" spans="4:16" x14ac:dyDescent="0.2">
      <c r="D9870">
        <v>100005906</v>
      </c>
      <c r="E9870" s="49">
        <v>44675</v>
      </c>
      <c r="F9870" t="s">
        <v>6905</v>
      </c>
      <c r="G9870" t="s">
        <v>1722</v>
      </c>
      <c r="H9870">
        <v>9</v>
      </c>
      <c r="I9870">
        <v>86.71</v>
      </c>
      <c r="J9870" s="50">
        <v>780.39</v>
      </c>
      <c r="K9870" t="s">
        <v>1618</v>
      </c>
      <c r="L9870" t="s">
        <v>5950</v>
      </c>
      <c r="M9870" t="s">
        <v>1619</v>
      </c>
      <c r="N9870">
        <v>45.76</v>
      </c>
      <c r="O9870" s="49">
        <v>44680</v>
      </c>
      <c r="P9870" s="50">
        <v>351.1755</v>
      </c>
    </row>
    <row r="9871" spans="4:16" x14ac:dyDescent="0.2">
      <c r="D9871">
        <v>100005906</v>
      </c>
      <c r="E9871" s="49">
        <v>44839</v>
      </c>
      <c r="F9871" t="s">
        <v>6905</v>
      </c>
      <c r="G9871" t="s">
        <v>2180</v>
      </c>
      <c r="H9871">
        <v>10</v>
      </c>
      <c r="I9871">
        <v>24.14</v>
      </c>
      <c r="J9871" s="50">
        <v>241.4</v>
      </c>
      <c r="K9871" t="s">
        <v>1618</v>
      </c>
      <c r="L9871" t="s">
        <v>5950</v>
      </c>
      <c r="M9871" t="s">
        <v>1629</v>
      </c>
      <c r="N9871">
        <v>12.74</v>
      </c>
      <c r="O9871" s="49">
        <v>44841</v>
      </c>
      <c r="P9871" s="50">
        <v>108.63000000000001</v>
      </c>
    </row>
    <row r="9872" spans="4:16" x14ac:dyDescent="0.2">
      <c r="D9872">
        <v>100005907</v>
      </c>
      <c r="E9872" s="49">
        <v>44774</v>
      </c>
      <c r="F9872" t="s">
        <v>6906</v>
      </c>
      <c r="G9872" t="s">
        <v>1699</v>
      </c>
      <c r="H9872">
        <v>5</v>
      </c>
      <c r="I9872">
        <v>103.38</v>
      </c>
      <c r="J9872" s="50">
        <v>516.9</v>
      </c>
      <c r="K9872" t="s">
        <v>1618</v>
      </c>
      <c r="M9872" t="s">
        <v>1621</v>
      </c>
      <c r="N9872">
        <v>54.56</v>
      </c>
      <c r="O9872" s="49">
        <v>44778</v>
      </c>
      <c r="P9872" s="50">
        <v>232.60499999999999</v>
      </c>
    </row>
    <row r="9873" spans="4:16" x14ac:dyDescent="0.2">
      <c r="D9873">
        <v>100005907</v>
      </c>
      <c r="E9873" s="49">
        <v>45592</v>
      </c>
      <c r="F9873" t="s">
        <v>6906</v>
      </c>
      <c r="G9873" t="s">
        <v>1834</v>
      </c>
      <c r="H9873">
        <v>8</v>
      </c>
      <c r="I9873">
        <v>19.489999999999998</v>
      </c>
      <c r="J9873" s="50">
        <v>155.91999999999999</v>
      </c>
      <c r="K9873" t="s">
        <v>1618</v>
      </c>
      <c r="M9873" t="s">
        <v>1619</v>
      </c>
      <c r="N9873">
        <v>10.29</v>
      </c>
      <c r="O9873" s="49">
        <v>45595</v>
      </c>
      <c r="P9873" s="50">
        <v>70.164000000000001</v>
      </c>
    </row>
    <row r="9874" spans="4:16" x14ac:dyDescent="0.2">
      <c r="D9874">
        <v>100005907</v>
      </c>
      <c r="E9874" s="49">
        <v>45398</v>
      </c>
      <c r="F9874" t="s">
        <v>6906</v>
      </c>
      <c r="G9874" t="s">
        <v>2331</v>
      </c>
      <c r="H9874">
        <v>6</v>
      </c>
      <c r="I9874">
        <v>14.9</v>
      </c>
      <c r="J9874" s="50">
        <v>89.4</v>
      </c>
      <c r="K9874" t="s">
        <v>1618</v>
      </c>
      <c r="M9874" t="s">
        <v>1624</v>
      </c>
      <c r="N9874">
        <v>7.86</v>
      </c>
      <c r="O9874" s="49">
        <v>45401</v>
      </c>
      <c r="P9874" s="50">
        <v>40.230000000000004</v>
      </c>
    </row>
    <row r="9875" spans="4:16" x14ac:dyDescent="0.2">
      <c r="D9875">
        <v>100005907</v>
      </c>
      <c r="E9875" s="49">
        <v>45343</v>
      </c>
      <c r="F9875" t="s">
        <v>6906</v>
      </c>
      <c r="G9875" t="s">
        <v>1842</v>
      </c>
      <c r="H9875">
        <v>5</v>
      </c>
      <c r="I9875">
        <v>100.74</v>
      </c>
      <c r="J9875" s="50">
        <v>503.7</v>
      </c>
      <c r="K9875" t="s">
        <v>1618</v>
      </c>
      <c r="M9875" t="s">
        <v>1627</v>
      </c>
      <c r="N9875">
        <v>53.17</v>
      </c>
      <c r="O9875" s="49">
        <v>45346</v>
      </c>
      <c r="P9875" s="50">
        <v>226.66499999999999</v>
      </c>
    </row>
    <row r="9876" spans="4:16" x14ac:dyDescent="0.2">
      <c r="D9876">
        <v>100005907</v>
      </c>
      <c r="E9876" s="49">
        <v>44956</v>
      </c>
      <c r="F9876" t="s">
        <v>6906</v>
      </c>
      <c r="G9876" t="s">
        <v>1864</v>
      </c>
      <c r="H9876">
        <v>5</v>
      </c>
      <c r="I9876">
        <v>24.13</v>
      </c>
      <c r="J9876" s="50">
        <v>120.65</v>
      </c>
      <c r="K9876" t="s">
        <v>1618</v>
      </c>
      <c r="M9876" t="s">
        <v>1621</v>
      </c>
      <c r="N9876">
        <v>12.74</v>
      </c>
      <c r="O9876" s="49">
        <v>44961</v>
      </c>
      <c r="P9876" s="50">
        <v>54.292500000000004</v>
      </c>
    </row>
    <row r="9877" spans="4:16" x14ac:dyDescent="0.2">
      <c r="D9877">
        <v>100005907</v>
      </c>
      <c r="E9877" s="49">
        <v>44379</v>
      </c>
      <c r="F9877" t="s">
        <v>6906</v>
      </c>
      <c r="G9877" t="s">
        <v>1973</v>
      </c>
      <c r="H9877">
        <v>1</v>
      </c>
      <c r="I9877">
        <v>95.9</v>
      </c>
      <c r="J9877" s="50">
        <v>95.9</v>
      </c>
      <c r="K9877" t="s">
        <v>1618</v>
      </c>
      <c r="M9877" t="s">
        <v>1629</v>
      </c>
      <c r="N9877">
        <v>50.61</v>
      </c>
      <c r="O9877" s="49">
        <v>44383</v>
      </c>
      <c r="P9877" s="50">
        <v>43.155000000000001</v>
      </c>
    </row>
    <row r="9878" spans="4:16" x14ac:dyDescent="0.2">
      <c r="D9878">
        <v>100005913</v>
      </c>
      <c r="E9878" s="49">
        <v>44980</v>
      </c>
      <c r="F9878" t="s">
        <v>6907</v>
      </c>
      <c r="G9878" t="s">
        <v>1634</v>
      </c>
      <c r="H9878">
        <v>7</v>
      </c>
      <c r="I9878">
        <v>34.119999999999997</v>
      </c>
      <c r="J9878" s="50">
        <v>238.84</v>
      </c>
      <c r="K9878" t="s">
        <v>1618</v>
      </c>
      <c r="M9878" t="s">
        <v>1621</v>
      </c>
      <c r="N9878">
        <v>18.010000000000002</v>
      </c>
      <c r="O9878" s="49">
        <v>44981</v>
      </c>
      <c r="P9878" s="50">
        <v>107.47800000000001</v>
      </c>
    </row>
    <row r="9879" spans="4:16" x14ac:dyDescent="0.2">
      <c r="D9879">
        <v>100005913</v>
      </c>
      <c r="E9879" s="49">
        <v>45009</v>
      </c>
      <c r="F9879" t="s">
        <v>6907</v>
      </c>
      <c r="G9879" t="s">
        <v>2088</v>
      </c>
      <c r="H9879">
        <v>6</v>
      </c>
      <c r="I9879">
        <v>71.12</v>
      </c>
      <c r="J9879" s="50">
        <v>426.72</v>
      </c>
      <c r="K9879" t="s">
        <v>1618</v>
      </c>
      <c r="M9879" t="s">
        <v>1629</v>
      </c>
      <c r="N9879">
        <v>37.54</v>
      </c>
      <c r="O9879" s="49">
        <v>45014</v>
      </c>
      <c r="P9879" s="50">
        <v>192.02400000000003</v>
      </c>
    </row>
    <row r="9880" spans="4:16" x14ac:dyDescent="0.2">
      <c r="D9880">
        <v>100005914</v>
      </c>
      <c r="E9880" s="49">
        <v>44216</v>
      </c>
      <c r="F9880" t="s">
        <v>5022</v>
      </c>
      <c r="G9880" t="s">
        <v>1985</v>
      </c>
      <c r="H9880">
        <v>4</v>
      </c>
      <c r="I9880">
        <v>21.49</v>
      </c>
      <c r="J9880" s="50">
        <v>85.96</v>
      </c>
      <c r="K9880" t="s">
        <v>1618</v>
      </c>
      <c r="M9880" t="s">
        <v>1629</v>
      </c>
      <c r="N9880">
        <v>11.34</v>
      </c>
      <c r="O9880" s="49">
        <v>44220</v>
      </c>
      <c r="P9880" s="50">
        <v>38.681999999999995</v>
      </c>
    </row>
    <row r="9881" spans="4:16" x14ac:dyDescent="0.2">
      <c r="D9881">
        <v>100005914</v>
      </c>
      <c r="E9881" s="49">
        <v>44837</v>
      </c>
      <c r="F9881" t="s">
        <v>5022</v>
      </c>
      <c r="G9881" t="s">
        <v>1975</v>
      </c>
      <c r="H9881">
        <v>4</v>
      </c>
      <c r="I9881">
        <v>34.07</v>
      </c>
      <c r="J9881" s="50">
        <v>136.28</v>
      </c>
      <c r="K9881" t="s">
        <v>1618</v>
      </c>
      <c r="M9881" t="s">
        <v>1624</v>
      </c>
      <c r="N9881">
        <v>17.98</v>
      </c>
      <c r="O9881" s="49">
        <v>44841</v>
      </c>
      <c r="P9881" s="50">
        <v>61.326000000000001</v>
      </c>
    </row>
    <row r="9882" spans="4:16" x14ac:dyDescent="0.2">
      <c r="D9882">
        <v>100005914</v>
      </c>
      <c r="E9882" s="49">
        <v>45447</v>
      </c>
      <c r="F9882" t="s">
        <v>5022</v>
      </c>
      <c r="G9882" t="s">
        <v>1918</v>
      </c>
      <c r="H9882">
        <v>9</v>
      </c>
      <c r="I9882">
        <v>117.32</v>
      </c>
      <c r="J9882" s="50">
        <v>1055.8800000000001</v>
      </c>
      <c r="K9882" t="s">
        <v>1618</v>
      </c>
      <c r="M9882" t="s">
        <v>1629</v>
      </c>
      <c r="N9882">
        <v>61.92</v>
      </c>
      <c r="O9882" s="49">
        <v>45452</v>
      </c>
      <c r="P9882" s="50">
        <v>475.14600000000007</v>
      </c>
    </row>
    <row r="9883" spans="4:16" x14ac:dyDescent="0.2">
      <c r="D9883">
        <v>100005916</v>
      </c>
      <c r="E9883" s="49">
        <v>44952</v>
      </c>
      <c r="F9883" t="s">
        <v>6265</v>
      </c>
      <c r="G9883" t="s">
        <v>2302</v>
      </c>
      <c r="H9883">
        <v>4</v>
      </c>
      <c r="I9883">
        <v>51.34</v>
      </c>
      <c r="J9883" s="50">
        <v>205.36</v>
      </c>
      <c r="K9883" t="s">
        <v>1632</v>
      </c>
      <c r="M9883" t="s">
        <v>1627</v>
      </c>
      <c r="N9883">
        <v>27.1</v>
      </c>
      <c r="O9883" s="49">
        <v>44956</v>
      </c>
      <c r="P9883" s="50">
        <v>92.412000000000006</v>
      </c>
    </row>
    <row r="9884" spans="4:16" x14ac:dyDescent="0.2">
      <c r="D9884">
        <v>100005916</v>
      </c>
      <c r="E9884" s="49">
        <v>44747</v>
      </c>
      <c r="F9884" t="s">
        <v>6265</v>
      </c>
      <c r="G9884" t="s">
        <v>1944</v>
      </c>
      <c r="H9884">
        <v>2</v>
      </c>
      <c r="I9884">
        <v>19.059999999999999</v>
      </c>
      <c r="J9884" s="50">
        <v>38.119999999999997</v>
      </c>
      <c r="K9884" t="s">
        <v>1632</v>
      </c>
      <c r="M9884" t="s">
        <v>1624</v>
      </c>
      <c r="N9884">
        <v>10.06</v>
      </c>
      <c r="O9884" s="49">
        <v>44752</v>
      </c>
      <c r="P9884" s="50">
        <v>17.154</v>
      </c>
    </row>
    <row r="9885" spans="4:16" x14ac:dyDescent="0.2">
      <c r="D9885">
        <v>100005916</v>
      </c>
      <c r="E9885" s="49">
        <v>45339</v>
      </c>
      <c r="F9885" t="s">
        <v>6265</v>
      </c>
      <c r="G9885" t="s">
        <v>1760</v>
      </c>
      <c r="H9885">
        <v>4</v>
      </c>
      <c r="I9885">
        <v>119.79</v>
      </c>
      <c r="J9885" s="50">
        <v>479.16</v>
      </c>
      <c r="K9885" t="s">
        <v>1632</v>
      </c>
      <c r="M9885" t="s">
        <v>1624</v>
      </c>
      <c r="N9885">
        <v>63.22</v>
      </c>
      <c r="O9885" s="49">
        <v>45342</v>
      </c>
      <c r="P9885" s="50">
        <v>215.62200000000001</v>
      </c>
    </row>
    <row r="9886" spans="4:16" x14ac:dyDescent="0.2">
      <c r="D9886">
        <v>100005918</v>
      </c>
      <c r="E9886" s="49">
        <v>45068</v>
      </c>
      <c r="F9886" t="s">
        <v>6908</v>
      </c>
      <c r="G9886" t="s">
        <v>1751</v>
      </c>
      <c r="H9886">
        <v>7</v>
      </c>
      <c r="I9886">
        <v>79.760000000000005</v>
      </c>
      <c r="J9886" s="50">
        <v>558.32000000000005</v>
      </c>
      <c r="K9886" t="s">
        <v>1618</v>
      </c>
      <c r="M9886" t="s">
        <v>1624</v>
      </c>
      <c r="N9886">
        <v>42.1</v>
      </c>
      <c r="O9886" s="49">
        <v>45073</v>
      </c>
      <c r="P9886" s="50">
        <v>251.24400000000003</v>
      </c>
    </row>
    <row r="9887" spans="4:16" x14ac:dyDescent="0.2">
      <c r="D9887">
        <v>100005918</v>
      </c>
      <c r="E9887" s="49">
        <v>45110</v>
      </c>
      <c r="F9887" t="s">
        <v>6908</v>
      </c>
      <c r="G9887" t="s">
        <v>1655</v>
      </c>
      <c r="H9887">
        <v>3</v>
      </c>
      <c r="I9887">
        <v>52.67</v>
      </c>
      <c r="J9887" s="50">
        <v>158.01</v>
      </c>
      <c r="K9887" t="s">
        <v>1618</v>
      </c>
      <c r="M9887" t="s">
        <v>1624</v>
      </c>
      <c r="N9887">
        <v>27.8</v>
      </c>
      <c r="O9887" s="49">
        <v>45112</v>
      </c>
      <c r="P9887" s="50">
        <v>71.104500000000002</v>
      </c>
    </row>
    <row r="9888" spans="4:16" x14ac:dyDescent="0.2">
      <c r="D9888">
        <v>100005923</v>
      </c>
      <c r="E9888" s="49">
        <v>45473</v>
      </c>
      <c r="F9888" t="s">
        <v>6909</v>
      </c>
      <c r="G9888" t="s">
        <v>2331</v>
      </c>
      <c r="H9888">
        <v>2</v>
      </c>
      <c r="I9888">
        <v>80.45</v>
      </c>
      <c r="J9888" s="50">
        <v>160.9</v>
      </c>
      <c r="K9888" t="s">
        <v>1632</v>
      </c>
      <c r="M9888" t="s">
        <v>1624</v>
      </c>
      <c r="N9888">
        <v>42.46</v>
      </c>
      <c r="O9888" s="49">
        <v>45476</v>
      </c>
      <c r="P9888" s="50">
        <v>72.405000000000001</v>
      </c>
    </row>
    <row r="9889" spans="4:16" x14ac:dyDescent="0.2">
      <c r="D9889">
        <v>100005923</v>
      </c>
      <c r="E9889" s="49">
        <v>45410</v>
      </c>
      <c r="F9889" t="s">
        <v>6909</v>
      </c>
      <c r="G9889" t="s">
        <v>1893</v>
      </c>
      <c r="H9889">
        <v>6</v>
      </c>
      <c r="I9889">
        <v>57.67</v>
      </c>
      <c r="J9889" s="50">
        <v>346.02</v>
      </c>
      <c r="K9889" t="s">
        <v>1632</v>
      </c>
      <c r="M9889" t="s">
        <v>1629</v>
      </c>
      <c r="N9889">
        <v>30.44</v>
      </c>
      <c r="O9889" s="49">
        <v>45411</v>
      </c>
      <c r="P9889" s="50">
        <v>155.709</v>
      </c>
    </row>
    <row r="9890" spans="4:16" x14ac:dyDescent="0.2">
      <c r="D9890">
        <v>100005924</v>
      </c>
      <c r="E9890" s="49">
        <v>45644</v>
      </c>
      <c r="F9890" t="s">
        <v>2169</v>
      </c>
      <c r="G9890" t="s">
        <v>2343</v>
      </c>
      <c r="H9890">
        <v>3</v>
      </c>
      <c r="I9890">
        <v>17.510000000000002</v>
      </c>
      <c r="J9890" s="50">
        <v>52.53</v>
      </c>
      <c r="K9890" t="s">
        <v>1618</v>
      </c>
      <c r="M9890" t="s">
        <v>1621</v>
      </c>
      <c r="N9890">
        <v>9.24</v>
      </c>
      <c r="O9890" s="49">
        <v>45648</v>
      </c>
      <c r="P9890" s="50">
        <v>23.638500000000001</v>
      </c>
    </row>
    <row r="9891" spans="4:16" x14ac:dyDescent="0.2">
      <c r="D9891">
        <v>100005924</v>
      </c>
      <c r="E9891" s="49">
        <v>44902</v>
      </c>
      <c r="F9891" t="s">
        <v>2169</v>
      </c>
      <c r="G9891" t="s">
        <v>1924</v>
      </c>
      <c r="H9891">
        <v>9</v>
      </c>
      <c r="I9891">
        <v>47.08</v>
      </c>
      <c r="J9891" s="50">
        <v>423.72</v>
      </c>
      <c r="K9891" t="s">
        <v>1618</v>
      </c>
      <c r="M9891" t="s">
        <v>1619</v>
      </c>
      <c r="N9891">
        <v>24.85</v>
      </c>
      <c r="O9891" s="49">
        <v>44907</v>
      </c>
      <c r="P9891" s="50">
        <v>190.67400000000001</v>
      </c>
    </row>
    <row r="9892" spans="4:16" x14ac:dyDescent="0.2">
      <c r="D9892">
        <v>100005925</v>
      </c>
      <c r="E9892" s="49">
        <v>45652</v>
      </c>
      <c r="F9892" t="s">
        <v>6910</v>
      </c>
      <c r="G9892" t="s">
        <v>1730</v>
      </c>
      <c r="H9892">
        <v>6</v>
      </c>
      <c r="I9892">
        <v>40.82</v>
      </c>
      <c r="J9892" s="50">
        <v>244.92</v>
      </c>
      <c r="K9892" t="s">
        <v>1632</v>
      </c>
      <c r="M9892" t="s">
        <v>1627</v>
      </c>
      <c r="N9892">
        <v>21.54</v>
      </c>
      <c r="O9892" s="49">
        <v>45654</v>
      </c>
      <c r="P9892" s="50">
        <v>110.214</v>
      </c>
    </row>
    <row r="9893" spans="4:16" x14ac:dyDescent="0.2">
      <c r="D9893">
        <v>100005928</v>
      </c>
      <c r="E9893" s="49">
        <v>44433</v>
      </c>
      <c r="F9893" t="s">
        <v>6911</v>
      </c>
      <c r="G9893" t="s">
        <v>2240</v>
      </c>
      <c r="H9893">
        <v>1</v>
      </c>
      <c r="I9893">
        <v>98.1</v>
      </c>
      <c r="J9893" s="50">
        <v>98.1</v>
      </c>
      <c r="K9893" t="s">
        <v>1632</v>
      </c>
      <c r="M9893" t="s">
        <v>1629</v>
      </c>
      <c r="N9893">
        <v>51.77</v>
      </c>
      <c r="O9893" s="49">
        <v>44437</v>
      </c>
      <c r="P9893" s="50">
        <v>44.144999999999996</v>
      </c>
    </row>
    <row r="9894" spans="4:16" x14ac:dyDescent="0.2">
      <c r="D9894">
        <v>100005928</v>
      </c>
      <c r="E9894" s="49">
        <v>45248</v>
      </c>
      <c r="F9894" t="s">
        <v>6911</v>
      </c>
      <c r="G9894" t="s">
        <v>1885</v>
      </c>
      <c r="H9894">
        <v>5</v>
      </c>
      <c r="I9894">
        <v>74.31</v>
      </c>
      <c r="J9894" s="50">
        <v>371.55</v>
      </c>
      <c r="K9894" t="s">
        <v>1632</v>
      </c>
      <c r="M9894" t="s">
        <v>1627</v>
      </c>
      <c r="N9894">
        <v>39.22</v>
      </c>
      <c r="O9894" s="49">
        <v>45250</v>
      </c>
      <c r="P9894" s="50">
        <v>167.19750000000002</v>
      </c>
    </row>
    <row r="9895" spans="4:16" x14ac:dyDescent="0.2">
      <c r="D9895">
        <v>100005928</v>
      </c>
      <c r="E9895" s="49">
        <v>45346</v>
      </c>
      <c r="F9895" t="s">
        <v>6911</v>
      </c>
      <c r="G9895" t="s">
        <v>2132</v>
      </c>
      <c r="H9895">
        <v>9</v>
      </c>
      <c r="I9895">
        <v>114.95</v>
      </c>
      <c r="J9895" s="50">
        <v>1034.55</v>
      </c>
      <c r="K9895" t="s">
        <v>1632</v>
      </c>
      <c r="M9895" t="s">
        <v>1621</v>
      </c>
      <c r="N9895">
        <v>60.67</v>
      </c>
      <c r="O9895" s="49">
        <v>45349</v>
      </c>
      <c r="P9895" s="50">
        <v>465.54750000000001</v>
      </c>
    </row>
    <row r="9896" spans="4:16" x14ac:dyDescent="0.2">
      <c r="D9896">
        <v>100005929</v>
      </c>
      <c r="E9896" s="49">
        <v>45361</v>
      </c>
      <c r="F9896" t="s">
        <v>6912</v>
      </c>
      <c r="G9896" t="s">
        <v>1971</v>
      </c>
      <c r="H9896">
        <v>4</v>
      </c>
      <c r="I9896">
        <v>70.3</v>
      </c>
      <c r="J9896" s="50">
        <v>281.2</v>
      </c>
      <c r="K9896" t="s">
        <v>1632</v>
      </c>
      <c r="M9896" t="s">
        <v>1629</v>
      </c>
      <c r="N9896">
        <v>37.1</v>
      </c>
      <c r="O9896" s="49">
        <v>45362</v>
      </c>
      <c r="P9896" s="50">
        <v>126.53999999999999</v>
      </c>
    </row>
    <row r="9897" spans="4:16" x14ac:dyDescent="0.2">
      <c r="D9897">
        <v>100005929</v>
      </c>
      <c r="E9897" s="49">
        <v>44579</v>
      </c>
      <c r="F9897" t="s">
        <v>6912</v>
      </c>
      <c r="G9897" t="s">
        <v>1639</v>
      </c>
      <c r="H9897">
        <v>1</v>
      </c>
      <c r="I9897">
        <v>76.31</v>
      </c>
      <c r="J9897" s="50">
        <v>76.31</v>
      </c>
      <c r="K9897" t="s">
        <v>1632</v>
      </c>
      <c r="M9897" t="s">
        <v>1621</v>
      </c>
      <c r="N9897">
        <v>40.270000000000003</v>
      </c>
      <c r="O9897" s="49">
        <v>44581</v>
      </c>
      <c r="P9897" s="50">
        <v>34.339500000000001</v>
      </c>
    </row>
    <row r="9898" spans="4:16" x14ac:dyDescent="0.2">
      <c r="D9898">
        <v>100005930</v>
      </c>
      <c r="E9898" s="49">
        <v>45434</v>
      </c>
      <c r="F9898" t="s">
        <v>6913</v>
      </c>
      <c r="G9898" t="s">
        <v>1928</v>
      </c>
      <c r="H9898">
        <v>7</v>
      </c>
      <c r="I9898">
        <v>32.630000000000003</v>
      </c>
      <c r="J9898" s="50">
        <v>228.41</v>
      </c>
      <c r="K9898" t="s">
        <v>1618</v>
      </c>
      <c r="M9898" t="s">
        <v>1629</v>
      </c>
      <c r="N9898">
        <v>17.22</v>
      </c>
      <c r="O9898" s="49">
        <v>45438</v>
      </c>
      <c r="P9898" s="50">
        <v>102.78449999999999</v>
      </c>
    </row>
    <row r="9899" spans="4:16" x14ac:dyDescent="0.2">
      <c r="D9899">
        <v>100005930</v>
      </c>
      <c r="E9899" s="49">
        <v>45210</v>
      </c>
      <c r="F9899" t="s">
        <v>6913</v>
      </c>
      <c r="G9899" t="s">
        <v>2019</v>
      </c>
      <c r="H9899">
        <v>7</v>
      </c>
      <c r="I9899">
        <v>71.58</v>
      </c>
      <c r="J9899" s="50">
        <v>501.06</v>
      </c>
      <c r="K9899" t="s">
        <v>1618</v>
      </c>
      <c r="M9899" t="s">
        <v>1621</v>
      </c>
      <c r="N9899">
        <v>37.78</v>
      </c>
      <c r="O9899" s="49">
        <v>45214</v>
      </c>
      <c r="P9899" s="50">
        <v>225.477</v>
      </c>
    </row>
    <row r="9900" spans="4:16" x14ac:dyDescent="0.2">
      <c r="D9900">
        <v>100005931</v>
      </c>
      <c r="E9900" s="49">
        <v>44323</v>
      </c>
      <c r="F9900" t="s">
        <v>6914</v>
      </c>
      <c r="G9900" t="s">
        <v>2302</v>
      </c>
      <c r="H9900">
        <v>4</v>
      </c>
      <c r="I9900">
        <v>27.69</v>
      </c>
      <c r="J9900" s="50">
        <v>110.76</v>
      </c>
      <c r="K9900" t="s">
        <v>1632</v>
      </c>
      <c r="M9900" t="s">
        <v>1621</v>
      </c>
      <c r="N9900">
        <v>14.61</v>
      </c>
      <c r="O9900" s="49">
        <v>44325</v>
      </c>
      <c r="P9900" s="50">
        <v>49.842000000000006</v>
      </c>
    </row>
    <row r="9901" spans="4:16" x14ac:dyDescent="0.2">
      <c r="D9901">
        <v>100005931</v>
      </c>
      <c r="E9901" s="49">
        <v>45312</v>
      </c>
      <c r="F9901" t="s">
        <v>6914</v>
      </c>
      <c r="G9901" t="s">
        <v>1833</v>
      </c>
      <c r="H9901">
        <v>7</v>
      </c>
      <c r="I9901">
        <v>49.04</v>
      </c>
      <c r="J9901" s="50">
        <v>343.28</v>
      </c>
      <c r="K9901" t="s">
        <v>1632</v>
      </c>
      <c r="M9901" t="s">
        <v>1624</v>
      </c>
      <c r="N9901">
        <v>25.88</v>
      </c>
      <c r="O9901" s="49">
        <v>45317</v>
      </c>
      <c r="P9901" s="50">
        <v>154.476</v>
      </c>
    </row>
    <row r="9902" spans="4:16" x14ac:dyDescent="0.2">
      <c r="D9902">
        <v>100005931</v>
      </c>
      <c r="E9902" s="49">
        <v>45198</v>
      </c>
      <c r="F9902" t="s">
        <v>6914</v>
      </c>
      <c r="G9902" t="s">
        <v>1669</v>
      </c>
      <c r="H9902">
        <v>6</v>
      </c>
      <c r="I9902">
        <v>67.41</v>
      </c>
      <c r="J9902" s="50">
        <v>404.46</v>
      </c>
      <c r="K9902" t="s">
        <v>1632</v>
      </c>
      <c r="M9902" t="s">
        <v>1629</v>
      </c>
      <c r="N9902">
        <v>35.58</v>
      </c>
      <c r="O9902" s="49">
        <v>45202</v>
      </c>
      <c r="P9902" s="50">
        <v>182.00700000000001</v>
      </c>
    </row>
    <row r="9903" spans="4:16" x14ac:dyDescent="0.2">
      <c r="D9903">
        <v>100005931</v>
      </c>
      <c r="E9903" s="49">
        <v>44736</v>
      </c>
      <c r="F9903" t="s">
        <v>6914</v>
      </c>
      <c r="G9903" t="s">
        <v>1739</v>
      </c>
      <c r="H9903">
        <v>9</v>
      </c>
      <c r="I9903">
        <v>70.11</v>
      </c>
      <c r="J9903" s="50">
        <v>630.99</v>
      </c>
      <c r="K9903" t="s">
        <v>1632</v>
      </c>
      <c r="M9903" t="s">
        <v>1629</v>
      </c>
      <c r="N9903">
        <v>37</v>
      </c>
      <c r="O9903" s="49">
        <v>44740</v>
      </c>
      <c r="P9903" s="50">
        <v>283.94550000000004</v>
      </c>
    </row>
    <row r="9904" spans="4:16" x14ac:dyDescent="0.2">
      <c r="D9904">
        <v>100005931</v>
      </c>
      <c r="E9904" s="49">
        <v>45339</v>
      </c>
      <c r="F9904" t="s">
        <v>6914</v>
      </c>
      <c r="G9904" t="s">
        <v>1675</v>
      </c>
      <c r="H9904">
        <v>10</v>
      </c>
      <c r="I9904">
        <v>25.11</v>
      </c>
      <c r="J9904" s="50">
        <v>251.1</v>
      </c>
      <c r="K9904" t="s">
        <v>1632</v>
      </c>
      <c r="M9904" t="s">
        <v>1627</v>
      </c>
      <c r="N9904">
        <v>13.25</v>
      </c>
      <c r="O9904" s="49">
        <v>45340</v>
      </c>
      <c r="P9904" s="50">
        <v>112.995</v>
      </c>
    </row>
    <row r="9905" spans="4:16" x14ac:dyDescent="0.2">
      <c r="D9905">
        <v>100005931</v>
      </c>
      <c r="E9905" s="49">
        <v>44888</v>
      </c>
      <c r="F9905" t="s">
        <v>6914</v>
      </c>
      <c r="G9905" t="s">
        <v>1978</v>
      </c>
      <c r="H9905">
        <v>10</v>
      </c>
      <c r="I9905">
        <v>58.3</v>
      </c>
      <c r="J9905" s="50">
        <v>583</v>
      </c>
      <c r="K9905" t="s">
        <v>1632</v>
      </c>
      <c r="M9905" t="s">
        <v>1621</v>
      </c>
      <c r="N9905">
        <v>30.77</v>
      </c>
      <c r="O9905" s="49">
        <v>44890</v>
      </c>
      <c r="P9905" s="50">
        <v>262.35000000000002</v>
      </c>
    </row>
    <row r="9906" spans="4:16" x14ac:dyDescent="0.2">
      <c r="D9906">
        <v>100005931</v>
      </c>
      <c r="E9906" s="49">
        <v>45287</v>
      </c>
      <c r="F9906" t="s">
        <v>6914</v>
      </c>
      <c r="G9906" t="s">
        <v>2603</v>
      </c>
      <c r="H9906">
        <v>7</v>
      </c>
      <c r="I9906">
        <v>34.33</v>
      </c>
      <c r="J9906" s="50">
        <v>240.31</v>
      </c>
      <c r="K9906" t="s">
        <v>1632</v>
      </c>
      <c r="M9906" t="s">
        <v>1624</v>
      </c>
      <c r="N9906">
        <v>18.12</v>
      </c>
      <c r="O9906" s="49">
        <v>45291</v>
      </c>
      <c r="P9906" s="50">
        <v>108.1395</v>
      </c>
    </row>
    <row r="9907" spans="4:16" x14ac:dyDescent="0.2">
      <c r="D9907">
        <v>100005931</v>
      </c>
      <c r="E9907" s="49">
        <v>45381</v>
      </c>
      <c r="F9907" t="s">
        <v>6914</v>
      </c>
      <c r="G9907" t="s">
        <v>2016</v>
      </c>
      <c r="H9907">
        <v>9</v>
      </c>
      <c r="I9907">
        <v>80.36</v>
      </c>
      <c r="J9907" s="50">
        <v>723.24</v>
      </c>
      <c r="K9907" t="s">
        <v>1632</v>
      </c>
      <c r="M9907" t="s">
        <v>1624</v>
      </c>
      <c r="N9907">
        <v>42.41</v>
      </c>
      <c r="O9907" s="49">
        <v>45386</v>
      </c>
      <c r="P9907" s="50">
        <v>325.45800000000003</v>
      </c>
    </row>
    <row r="9908" spans="4:16" x14ac:dyDescent="0.2">
      <c r="D9908">
        <v>100005932</v>
      </c>
      <c r="E9908" s="49">
        <v>44676</v>
      </c>
      <c r="F9908" t="s">
        <v>6915</v>
      </c>
      <c r="G9908" t="s">
        <v>2348</v>
      </c>
      <c r="H9908">
        <v>7</v>
      </c>
      <c r="I9908">
        <v>37.92</v>
      </c>
      <c r="J9908" s="50">
        <v>265.44</v>
      </c>
      <c r="K9908" t="s">
        <v>1618</v>
      </c>
      <c r="M9908" t="s">
        <v>1621</v>
      </c>
      <c r="N9908">
        <v>20.010000000000002</v>
      </c>
      <c r="O9908" s="49">
        <v>44681</v>
      </c>
      <c r="P9908" s="50">
        <v>119.44800000000001</v>
      </c>
    </row>
    <row r="9909" spans="4:16" x14ac:dyDescent="0.2">
      <c r="D9909">
        <v>100005933</v>
      </c>
      <c r="E9909" s="49">
        <v>44611</v>
      </c>
      <c r="F9909" t="s">
        <v>6916</v>
      </c>
      <c r="G9909" t="s">
        <v>2706</v>
      </c>
      <c r="H9909">
        <v>2</v>
      </c>
      <c r="I9909">
        <v>76.47</v>
      </c>
      <c r="J9909" s="50">
        <v>152.94</v>
      </c>
      <c r="K9909" t="s">
        <v>1632</v>
      </c>
      <c r="M9909" t="s">
        <v>1624</v>
      </c>
      <c r="N9909">
        <v>40.36</v>
      </c>
      <c r="O9909" s="49">
        <v>44612</v>
      </c>
      <c r="P9909" s="50">
        <v>68.823000000000008</v>
      </c>
    </row>
    <row r="9910" spans="4:16" x14ac:dyDescent="0.2">
      <c r="D9910">
        <v>100005933</v>
      </c>
      <c r="E9910" s="49">
        <v>45080</v>
      </c>
      <c r="F9910" t="s">
        <v>6916</v>
      </c>
      <c r="G9910" t="s">
        <v>1945</v>
      </c>
      <c r="H9910">
        <v>1</v>
      </c>
      <c r="I9910">
        <v>88.42</v>
      </c>
      <c r="J9910" s="50">
        <v>88.42</v>
      </c>
      <c r="K9910" t="s">
        <v>1632</v>
      </c>
      <c r="M9910" t="s">
        <v>1624</v>
      </c>
      <c r="N9910">
        <v>46.67</v>
      </c>
      <c r="O9910" s="49">
        <v>45081</v>
      </c>
      <c r="P9910" s="50">
        <v>39.789000000000001</v>
      </c>
    </row>
    <row r="9911" spans="4:16" x14ac:dyDescent="0.2">
      <c r="D9911">
        <v>100005934</v>
      </c>
      <c r="E9911" s="49">
        <v>44276</v>
      </c>
      <c r="F9911" t="s">
        <v>6917</v>
      </c>
      <c r="G9911" t="s">
        <v>2217</v>
      </c>
      <c r="H9911">
        <v>1</v>
      </c>
      <c r="I9911">
        <v>111.26</v>
      </c>
      <c r="J9911" s="50">
        <v>111.26</v>
      </c>
      <c r="K9911" t="s">
        <v>1618</v>
      </c>
      <c r="M9911" t="s">
        <v>1619</v>
      </c>
      <c r="N9911">
        <v>58.72</v>
      </c>
      <c r="O9911" s="49">
        <v>44277</v>
      </c>
      <c r="P9911" s="50">
        <v>50.067</v>
      </c>
    </row>
    <row r="9912" spans="4:16" x14ac:dyDescent="0.2">
      <c r="D9912">
        <v>100005935</v>
      </c>
      <c r="E9912" s="49">
        <v>45138</v>
      </c>
      <c r="F9912" t="s">
        <v>6918</v>
      </c>
      <c r="G9912" t="s">
        <v>2074</v>
      </c>
      <c r="H9912">
        <v>4</v>
      </c>
      <c r="I9912">
        <v>108.46</v>
      </c>
      <c r="J9912" s="50">
        <v>433.84</v>
      </c>
      <c r="K9912" t="s">
        <v>1632</v>
      </c>
      <c r="L9912" t="s">
        <v>6919</v>
      </c>
      <c r="M9912" t="s">
        <v>1624</v>
      </c>
      <c r="N9912">
        <v>57.24</v>
      </c>
      <c r="O9912" s="49">
        <v>45140</v>
      </c>
      <c r="P9912" s="50">
        <v>195.22799999999998</v>
      </c>
    </row>
    <row r="9913" spans="4:16" x14ac:dyDescent="0.2">
      <c r="D9913">
        <v>100005936</v>
      </c>
      <c r="E9913" s="49">
        <v>44933</v>
      </c>
      <c r="F9913" t="s">
        <v>6920</v>
      </c>
      <c r="G9913" t="s">
        <v>1817</v>
      </c>
      <c r="H9913">
        <v>4</v>
      </c>
      <c r="I9913">
        <v>27.44</v>
      </c>
      <c r="J9913" s="50">
        <v>109.76</v>
      </c>
      <c r="K9913" t="s">
        <v>1618</v>
      </c>
      <c r="L9913" t="s">
        <v>4618</v>
      </c>
      <c r="M9913" t="s">
        <v>1619</v>
      </c>
      <c r="N9913">
        <v>14.48</v>
      </c>
      <c r="O9913" s="49">
        <v>44938</v>
      </c>
      <c r="P9913" s="50">
        <v>49.392000000000003</v>
      </c>
    </row>
    <row r="9914" spans="4:16" x14ac:dyDescent="0.2">
      <c r="D9914">
        <v>100005937</v>
      </c>
      <c r="E9914" s="49">
        <v>44646</v>
      </c>
      <c r="F9914" t="s">
        <v>6921</v>
      </c>
      <c r="G9914" t="s">
        <v>1693</v>
      </c>
      <c r="H9914">
        <v>7</v>
      </c>
      <c r="I9914">
        <v>108.59</v>
      </c>
      <c r="J9914" s="50">
        <v>760.13</v>
      </c>
      <c r="K9914" t="s">
        <v>1632</v>
      </c>
      <c r="M9914" t="s">
        <v>1627</v>
      </c>
      <c r="N9914">
        <v>57.31</v>
      </c>
      <c r="O9914" s="49">
        <v>44649</v>
      </c>
      <c r="P9914" s="50">
        <v>342.05849999999998</v>
      </c>
    </row>
    <row r="9915" spans="4:16" x14ac:dyDescent="0.2">
      <c r="D9915">
        <v>100005937</v>
      </c>
      <c r="E9915" s="49">
        <v>44639</v>
      </c>
      <c r="F9915" t="s">
        <v>6921</v>
      </c>
      <c r="G9915" t="s">
        <v>2204</v>
      </c>
      <c r="H9915">
        <v>5</v>
      </c>
      <c r="I9915">
        <v>78.28</v>
      </c>
      <c r="J9915" s="50">
        <v>391.4</v>
      </c>
      <c r="K9915" t="s">
        <v>1632</v>
      </c>
      <c r="M9915" t="s">
        <v>1619</v>
      </c>
      <c r="N9915">
        <v>41.31</v>
      </c>
      <c r="O9915" s="49">
        <v>44642</v>
      </c>
      <c r="P9915" s="50">
        <v>176.13</v>
      </c>
    </row>
    <row r="9916" spans="4:16" x14ac:dyDescent="0.2">
      <c r="D9916">
        <v>100005937</v>
      </c>
      <c r="E9916" s="49">
        <v>45399</v>
      </c>
      <c r="F9916" t="s">
        <v>6921</v>
      </c>
      <c r="G9916" t="s">
        <v>2331</v>
      </c>
      <c r="H9916">
        <v>7</v>
      </c>
      <c r="I9916">
        <v>47.38</v>
      </c>
      <c r="J9916" s="50">
        <v>331.66</v>
      </c>
      <c r="K9916" t="s">
        <v>1632</v>
      </c>
      <c r="M9916" t="s">
        <v>1619</v>
      </c>
      <c r="N9916">
        <v>25.01</v>
      </c>
      <c r="O9916" s="49">
        <v>45403</v>
      </c>
      <c r="P9916" s="50">
        <v>149.24700000000001</v>
      </c>
    </row>
    <row r="9917" spans="4:16" x14ac:dyDescent="0.2">
      <c r="D9917">
        <v>100005937</v>
      </c>
      <c r="E9917" s="49">
        <v>45068</v>
      </c>
      <c r="F9917" t="s">
        <v>6921</v>
      </c>
      <c r="G9917" t="s">
        <v>2207</v>
      </c>
      <c r="H9917">
        <v>10</v>
      </c>
      <c r="I9917">
        <v>13.01</v>
      </c>
      <c r="J9917" s="50">
        <v>130.1</v>
      </c>
      <c r="K9917" t="s">
        <v>1632</v>
      </c>
      <c r="M9917" t="s">
        <v>1627</v>
      </c>
      <c r="N9917">
        <v>6.87</v>
      </c>
      <c r="O9917" s="49">
        <v>45070</v>
      </c>
      <c r="P9917" s="50">
        <v>58.545000000000002</v>
      </c>
    </row>
    <row r="9918" spans="4:16" x14ac:dyDescent="0.2">
      <c r="D9918">
        <v>100005937</v>
      </c>
      <c r="E9918" s="49">
        <v>44465</v>
      </c>
      <c r="F9918" t="s">
        <v>6921</v>
      </c>
      <c r="G9918" t="s">
        <v>1658</v>
      </c>
      <c r="H9918">
        <v>5</v>
      </c>
      <c r="I9918">
        <v>23.4</v>
      </c>
      <c r="J9918" s="50">
        <v>117</v>
      </c>
      <c r="K9918" t="s">
        <v>1632</v>
      </c>
      <c r="M9918" t="s">
        <v>1624</v>
      </c>
      <c r="N9918">
        <v>12.35</v>
      </c>
      <c r="O9918" s="49">
        <v>44468</v>
      </c>
      <c r="P9918" s="50">
        <v>52.65</v>
      </c>
    </row>
    <row r="9919" spans="4:16" x14ac:dyDescent="0.2">
      <c r="D9919">
        <v>100005937</v>
      </c>
      <c r="E9919" s="49">
        <v>45123</v>
      </c>
      <c r="F9919" t="s">
        <v>6921</v>
      </c>
      <c r="G9919" t="s">
        <v>1720</v>
      </c>
      <c r="H9919">
        <v>5</v>
      </c>
      <c r="I9919">
        <v>77.239999999999995</v>
      </c>
      <c r="J9919" s="50">
        <v>386.2</v>
      </c>
      <c r="K9919" t="s">
        <v>1632</v>
      </c>
      <c r="M9919" t="s">
        <v>1621</v>
      </c>
      <c r="N9919">
        <v>40.770000000000003</v>
      </c>
      <c r="O9919" s="49">
        <v>45124</v>
      </c>
      <c r="P9919" s="50">
        <v>173.79</v>
      </c>
    </row>
    <row r="9920" spans="4:16" x14ac:dyDescent="0.2">
      <c r="D9920">
        <v>100005939</v>
      </c>
      <c r="E9920" s="49">
        <v>45489</v>
      </c>
      <c r="F9920" t="s">
        <v>6922</v>
      </c>
      <c r="G9920" t="s">
        <v>2232</v>
      </c>
      <c r="H9920">
        <v>5</v>
      </c>
      <c r="I9920">
        <v>88.86</v>
      </c>
      <c r="J9920" s="50">
        <v>444.3</v>
      </c>
      <c r="K9920" t="s">
        <v>1632</v>
      </c>
      <c r="M9920" t="s">
        <v>1629</v>
      </c>
      <c r="N9920">
        <v>46.9</v>
      </c>
      <c r="O9920" s="49">
        <v>45491</v>
      </c>
      <c r="P9920" s="50">
        <v>199.935</v>
      </c>
    </row>
    <row r="9921" spans="4:16" x14ac:dyDescent="0.2">
      <c r="D9921">
        <v>100005940</v>
      </c>
      <c r="E9921" s="49">
        <v>44382</v>
      </c>
      <c r="F9921" t="s">
        <v>6923</v>
      </c>
      <c r="G9921" t="s">
        <v>1731</v>
      </c>
      <c r="H9921">
        <v>10</v>
      </c>
      <c r="I9921">
        <v>14.45</v>
      </c>
      <c r="J9921" s="50">
        <v>144.5</v>
      </c>
      <c r="K9921" t="s">
        <v>1618</v>
      </c>
      <c r="M9921" t="s">
        <v>1629</v>
      </c>
      <c r="N9921">
        <v>7.63</v>
      </c>
      <c r="O9921" s="49">
        <v>44387</v>
      </c>
      <c r="P9921" s="50">
        <v>65.025000000000006</v>
      </c>
    </row>
    <row r="9922" spans="4:16" x14ac:dyDescent="0.2">
      <c r="D9922">
        <v>100005940</v>
      </c>
      <c r="E9922" s="49">
        <v>44747</v>
      </c>
      <c r="F9922" t="s">
        <v>6923</v>
      </c>
      <c r="G9922" t="s">
        <v>1874</v>
      </c>
      <c r="H9922">
        <v>3</v>
      </c>
      <c r="I9922">
        <v>53.37</v>
      </c>
      <c r="J9922" s="50">
        <v>160.11000000000001</v>
      </c>
      <c r="K9922" t="s">
        <v>1618</v>
      </c>
      <c r="M9922" t="s">
        <v>1624</v>
      </c>
      <c r="N9922">
        <v>28.17</v>
      </c>
      <c r="O9922" s="49">
        <v>44752</v>
      </c>
      <c r="P9922" s="50">
        <v>72.049500000000009</v>
      </c>
    </row>
    <row r="9923" spans="4:16" x14ac:dyDescent="0.2">
      <c r="D9923">
        <v>100005940</v>
      </c>
      <c r="E9923" s="49">
        <v>45087</v>
      </c>
      <c r="F9923" t="s">
        <v>6923</v>
      </c>
      <c r="G9923" t="s">
        <v>1937</v>
      </c>
      <c r="H9923">
        <v>4</v>
      </c>
      <c r="I9923">
        <v>61.54</v>
      </c>
      <c r="J9923" s="50">
        <v>246.16</v>
      </c>
      <c r="K9923" t="s">
        <v>1618</v>
      </c>
      <c r="M9923" t="s">
        <v>1619</v>
      </c>
      <c r="N9923">
        <v>32.479999999999997</v>
      </c>
      <c r="O9923" s="49">
        <v>45090</v>
      </c>
      <c r="P9923" s="50">
        <v>110.77200000000001</v>
      </c>
    </row>
    <row r="9924" spans="4:16" x14ac:dyDescent="0.2">
      <c r="D9924">
        <v>100005941</v>
      </c>
      <c r="E9924" s="49">
        <v>45559</v>
      </c>
      <c r="F9924" t="s">
        <v>6924</v>
      </c>
      <c r="G9924" t="s">
        <v>2348</v>
      </c>
      <c r="H9924">
        <v>5</v>
      </c>
      <c r="I9924">
        <v>116.13</v>
      </c>
      <c r="J9924" s="50">
        <v>580.65</v>
      </c>
      <c r="K9924" t="s">
        <v>1618</v>
      </c>
      <c r="M9924" t="s">
        <v>1627</v>
      </c>
      <c r="N9924">
        <v>61.29</v>
      </c>
      <c r="O9924" s="49">
        <v>45562</v>
      </c>
      <c r="P9924" s="50">
        <v>261.29250000000002</v>
      </c>
    </row>
    <row r="9925" spans="4:16" x14ac:dyDescent="0.2">
      <c r="D9925">
        <v>100005941</v>
      </c>
      <c r="E9925" s="49">
        <v>44972</v>
      </c>
      <c r="F9925" t="s">
        <v>6924</v>
      </c>
      <c r="G9925" t="s">
        <v>2074</v>
      </c>
      <c r="H9925">
        <v>1</v>
      </c>
      <c r="I9925">
        <v>110.27</v>
      </c>
      <c r="J9925" s="50">
        <v>110.27</v>
      </c>
      <c r="K9925" t="s">
        <v>1618</v>
      </c>
      <c r="M9925" t="s">
        <v>1627</v>
      </c>
      <c r="N9925">
        <v>58.2</v>
      </c>
      <c r="O9925" s="49">
        <v>44975</v>
      </c>
      <c r="P9925" s="50">
        <v>49.621499999999997</v>
      </c>
    </row>
    <row r="9926" spans="4:16" x14ac:dyDescent="0.2">
      <c r="D9926">
        <v>100005944</v>
      </c>
      <c r="E9926" s="49">
        <v>45472</v>
      </c>
      <c r="F9926" t="s">
        <v>6925</v>
      </c>
      <c r="G9926" t="s">
        <v>2603</v>
      </c>
      <c r="H9926">
        <v>4</v>
      </c>
      <c r="I9926">
        <v>64.67</v>
      </c>
      <c r="J9926" s="50">
        <v>258.68</v>
      </c>
      <c r="K9926" t="s">
        <v>1632</v>
      </c>
      <c r="M9926" t="s">
        <v>1629</v>
      </c>
      <c r="N9926">
        <v>34.130000000000003</v>
      </c>
      <c r="O9926" s="49">
        <v>45474</v>
      </c>
      <c r="P9926" s="50">
        <v>116.40600000000001</v>
      </c>
    </row>
    <row r="9927" spans="4:16" x14ac:dyDescent="0.2">
      <c r="D9927">
        <v>100005944</v>
      </c>
      <c r="E9927" s="49">
        <v>44930</v>
      </c>
      <c r="F9927" t="s">
        <v>6925</v>
      </c>
      <c r="G9927" t="s">
        <v>2093</v>
      </c>
      <c r="H9927">
        <v>4</v>
      </c>
      <c r="I9927">
        <v>83.04</v>
      </c>
      <c r="J9927" s="50">
        <v>332.16</v>
      </c>
      <c r="K9927" t="s">
        <v>1632</v>
      </c>
      <c r="M9927" t="s">
        <v>1629</v>
      </c>
      <c r="N9927">
        <v>43.83</v>
      </c>
      <c r="O9927" s="49">
        <v>44931</v>
      </c>
      <c r="P9927" s="50">
        <v>149.47200000000001</v>
      </c>
    </row>
    <row r="9928" spans="4:16" x14ac:dyDescent="0.2">
      <c r="D9928">
        <v>100005945</v>
      </c>
      <c r="E9928" s="49">
        <v>44907</v>
      </c>
      <c r="F9928" t="s">
        <v>6926</v>
      </c>
      <c r="G9928" t="s">
        <v>2387</v>
      </c>
      <c r="H9928">
        <v>1</v>
      </c>
      <c r="I9928">
        <v>64.37</v>
      </c>
      <c r="J9928" s="50">
        <v>64.37</v>
      </c>
      <c r="K9928" t="s">
        <v>1618</v>
      </c>
      <c r="M9928" t="s">
        <v>1621</v>
      </c>
      <c r="N9928">
        <v>33.97</v>
      </c>
      <c r="O9928" s="49">
        <v>44910</v>
      </c>
      <c r="P9928" s="50">
        <v>28.966500000000003</v>
      </c>
    </row>
    <row r="9929" spans="4:16" x14ac:dyDescent="0.2">
      <c r="D9929">
        <v>100005945</v>
      </c>
      <c r="E9929" s="49">
        <v>45164</v>
      </c>
      <c r="F9929" t="s">
        <v>6926</v>
      </c>
      <c r="G9929" t="s">
        <v>2112</v>
      </c>
      <c r="H9929">
        <v>10</v>
      </c>
      <c r="I9929">
        <v>93.13</v>
      </c>
      <c r="J9929" s="50">
        <v>931.3</v>
      </c>
      <c r="K9929" t="s">
        <v>1618</v>
      </c>
      <c r="M9929" t="s">
        <v>1629</v>
      </c>
      <c r="N9929">
        <v>49.15</v>
      </c>
      <c r="O9929" s="49">
        <v>45165</v>
      </c>
      <c r="P9929" s="50">
        <v>419.08499999999998</v>
      </c>
    </row>
    <row r="9930" spans="4:16" x14ac:dyDescent="0.2">
      <c r="D9930">
        <v>100005945</v>
      </c>
      <c r="E9930" s="49">
        <v>45012</v>
      </c>
      <c r="F9930" t="s">
        <v>6926</v>
      </c>
      <c r="G9930" t="s">
        <v>1866</v>
      </c>
      <c r="H9930">
        <v>2</v>
      </c>
      <c r="I9930">
        <v>82.05</v>
      </c>
      <c r="J9930" s="50">
        <v>164.1</v>
      </c>
      <c r="K9930" t="s">
        <v>1618</v>
      </c>
      <c r="M9930" t="s">
        <v>1624</v>
      </c>
      <c r="N9930">
        <v>43.3</v>
      </c>
      <c r="O9930" s="49">
        <v>45014</v>
      </c>
      <c r="P9930" s="50">
        <v>73.844999999999999</v>
      </c>
    </row>
    <row r="9931" spans="4:16" x14ac:dyDescent="0.2">
      <c r="D9931">
        <v>100005946</v>
      </c>
      <c r="E9931" s="49">
        <v>44980</v>
      </c>
      <c r="F9931" t="s">
        <v>6927</v>
      </c>
      <c r="G9931" t="s">
        <v>1677</v>
      </c>
      <c r="H9931">
        <v>3</v>
      </c>
      <c r="I9931">
        <v>13.48</v>
      </c>
      <c r="J9931" s="50">
        <v>40.44</v>
      </c>
      <c r="K9931" t="s">
        <v>1618</v>
      </c>
      <c r="M9931" t="s">
        <v>1621</v>
      </c>
      <c r="N9931">
        <v>7.11</v>
      </c>
      <c r="O9931" s="49">
        <v>44982</v>
      </c>
      <c r="P9931" s="50">
        <v>18.198</v>
      </c>
    </row>
    <row r="9932" spans="4:16" x14ac:dyDescent="0.2">
      <c r="D9932">
        <v>100005946</v>
      </c>
      <c r="E9932" s="49">
        <v>44732</v>
      </c>
      <c r="F9932" t="s">
        <v>6927</v>
      </c>
      <c r="G9932" t="s">
        <v>1723</v>
      </c>
      <c r="H9932">
        <v>4</v>
      </c>
      <c r="I9932">
        <v>100.21</v>
      </c>
      <c r="J9932" s="50">
        <v>400.84</v>
      </c>
      <c r="K9932" t="s">
        <v>1618</v>
      </c>
      <c r="M9932" t="s">
        <v>1624</v>
      </c>
      <c r="N9932">
        <v>52.89</v>
      </c>
      <c r="O9932" s="49">
        <v>44733</v>
      </c>
      <c r="P9932" s="50">
        <v>180.37799999999999</v>
      </c>
    </row>
    <row r="9933" spans="4:16" x14ac:dyDescent="0.2">
      <c r="D9933">
        <v>100005947</v>
      </c>
      <c r="E9933" s="49">
        <v>44937</v>
      </c>
      <c r="F9933" t="s">
        <v>6928</v>
      </c>
      <c r="G9933" t="s">
        <v>1785</v>
      </c>
      <c r="H9933">
        <v>9</v>
      </c>
      <c r="I9933">
        <v>21.66</v>
      </c>
      <c r="J9933" s="50">
        <v>194.94</v>
      </c>
      <c r="K9933" t="s">
        <v>1632</v>
      </c>
      <c r="L9933" t="s">
        <v>2053</v>
      </c>
      <c r="M9933" t="s">
        <v>1627</v>
      </c>
      <c r="N9933">
        <v>11.43</v>
      </c>
      <c r="O9933" s="49">
        <v>44941</v>
      </c>
      <c r="P9933" s="50">
        <v>87.722999999999999</v>
      </c>
    </row>
    <row r="9934" spans="4:16" x14ac:dyDescent="0.2">
      <c r="D9934">
        <v>100005948</v>
      </c>
      <c r="E9934" s="49">
        <v>45638</v>
      </c>
      <c r="F9934" t="s">
        <v>6929</v>
      </c>
      <c r="G9934" t="s">
        <v>2372</v>
      </c>
      <c r="H9934">
        <v>5</v>
      </c>
      <c r="I9934">
        <v>72.510000000000005</v>
      </c>
      <c r="J9934" s="50">
        <v>362.55</v>
      </c>
      <c r="K9934" t="s">
        <v>1618</v>
      </c>
      <c r="L9934" t="s">
        <v>2055</v>
      </c>
      <c r="M9934" t="s">
        <v>1627</v>
      </c>
      <c r="N9934">
        <v>38.270000000000003</v>
      </c>
      <c r="O9934" s="49">
        <v>45641</v>
      </c>
      <c r="P9934" s="50">
        <v>163.14750000000001</v>
      </c>
    </row>
    <row r="9935" spans="4:16" x14ac:dyDescent="0.2">
      <c r="D9935">
        <v>100005948</v>
      </c>
      <c r="E9935" s="49">
        <v>44355</v>
      </c>
      <c r="F9935" t="s">
        <v>6929</v>
      </c>
      <c r="G9935" t="s">
        <v>2096</v>
      </c>
      <c r="H9935">
        <v>6</v>
      </c>
      <c r="I9935">
        <v>34.06</v>
      </c>
      <c r="J9935" s="50">
        <v>204.36</v>
      </c>
      <c r="K9935" t="s">
        <v>1618</v>
      </c>
      <c r="L9935" t="s">
        <v>2055</v>
      </c>
      <c r="M9935" t="s">
        <v>1627</v>
      </c>
      <c r="N9935">
        <v>17.98</v>
      </c>
      <c r="O9935" s="49">
        <v>44358</v>
      </c>
      <c r="P9935" s="50">
        <v>91.962000000000003</v>
      </c>
    </row>
    <row r="9936" spans="4:16" x14ac:dyDescent="0.2">
      <c r="D9936">
        <v>100005949</v>
      </c>
      <c r="E9936" s="49">
        <v>44771</v>
      </c>
      <c r="F9936" t="s">
        <v>6930</v>
      </c>
      <c r="G9936" t="s">
        <v>1976</v>
      </c>
      <c r="H9936">
        <v>1</v>
      </c>
      <c r="I9936">
        <v>79.819999999999993</v>
      </c>
      <c r="J9936" s="50">
        <v>79.819999999999993</v>
      </c>
      <c r="K9936" t="s">
        <v>1632</v>
      </c>
      <c r="M9936" t="s">
        <v>1621</v>
      </c>
      <c r="N9936">
        <v>42.13</v>
      </c>
      <c r="O9936" s="49">
        <v>44772</v>
      </c>
      <c r="P9936" s="50">
        <v>35.918999999999997</v>
      </c>
    </row>
    <row r="9937" spans="4:16" x14ac:dyDescent="0.2">
      <c r="D9937">
        <v>100005949</v>
      </c>
      <c r="E9937" s="49">
        <v>44977</v>
      </c>
      <c r="F9937" t="s">
        <v>6930</v>
      </c>
      <c r="G9937" t="s">
        <v>1794</v>
      </c>
      <c r="H9937">
        <v>7</v>
      </c>
      <c r="I9937">
        <v>103.99</v>
      </c>
      <c r="J9937" s="50">
        <v>727.93</v>
      </c>
      <c r="K9937" t="s">
        <v>1632</v>
      </c>
      <c r="M9937" t="s">
        <v>1624</v>
      </c>
      <c r="N9937">
        <v>54.88</v>
      </c>
      <c r="O9937" s="49">
        <v>44981</v>
      </c>
      <c r="P9937" s="50">
        <v>327.56849999999997</v>
      </c>
    </row>
    <row r="9938" spans="4:16" x14ac:dyDescent="0.2">
      <c r="D9938">
        <v>100005949</v>
      </c>
      <c r="E9938" s="49">
        <v>44997</v>
      </c>
      <c r="F9938" t="s">
        <v>6930</v>
      </c>
      <c r="G9938" t="s">
        <v>1864</v>
      </c>
      <c r="H9938">
        <v>8</v>
      </c>
      <c r="I9938">
        <v>96.51</v>
      </c>
      <c r="J9938" s="50">
        <v>772.08</v>
      </c>
      <c r="K9938" t="s">
        <v>1632</v>
      </c>
      <c r="M9938" t="s">
        <v>1624</v>
      </c>
      <c r="N9938">
        <v>50.94</v>
      </c>
      <c r="O9938" s="49">
        <v>45001</v>
      </c>
      <c r="P9938" s="50">
        <v>347.43600000000004</v>
      </c>
    </row>
    <row r="9939" spans="4:16" x14ac:dyDescent="0.2">
      <c r="D9939">
        <v>100005949</v>
      </c>
      <c r="E9939" s="49">
        <v>45540</v>
      </c>
      <c r="F9939" t="s">
        <v>6930</v>
      </c>
      <c r="G9939" t="s">
        <v>2337</v>
      </c>
      <c r="H9939">
        <v>2</v>
      </c>
      <c r="I9939">
        <v>37.770000000000003</v>
      </c>
      <c r="J9939" s="50">
        <v>75.540000000000006</v>
      </c>
      <c r="K9939" t="s">
        <v>1632</v>
      </c>
      <c r="M9939" t="s">
        <v>1621</v>
      </c>
      <c r="N9939">
        <v>19.93</v>
      </c>
      <c r="O9939" s="49">
        <v>45542</v>
      </c>
      <c r="P9939" s="50">
        <v>33.993000000000002</v>
      </c>
    </row>
    <row r="9940" spans="4:16" x14ac:dyDescent="0.2">
      <c r="D9940">
        <v>100005951</v>
      </c>
      <c r="E9940" s="49">
        <v>45440</v>
      </c>
      <c r="F9940" t="s">
        <v>6931</v>
      </c>
      <c r="G9940" t="s">
        <v>2372</v>
      </c>
      <c r="H9940">
        <v>2</v>
      </c>
      <c r="I9940">
        <v>49.53</v>
      </c>
      <c r="J9940" s="50">
        <v>99.06</v>
      </c>
      <c r="K9940" t="s">
        <v>1618</v>
      </c>
      <c r="L9940" t="s">
        <v>1682</v>
      </c>
      <c r="M9940" t="s">
        <v>1624</v>
      </c>
      <c r="N9940">
        <v>26.14</v>
      </c>
      <c r="O9940" s="49">
        <v>45442</v>
      </c>
      <c r="P9940" s="50">
        <v>44.577000000000005</v>
      </c>
    </row>
    <row r="9941" spans="4:16" x14ac:dyDescent="0.2">
      <c r="D9941">
        <v>100005952</v>
      </c>
      <c r="E9941" s="49">
        <v>44303</v>
      </c>
      <c r="F9941" t="s">
        <v>6932</v>
      </c>
      <c r="G9941" t="s">
        <v>2613</v>
      </c>
      <c r="H9941">
        <v>2</v>
      </c>
      <c r="I9941">
        <v>21.44</v>
      </c>
      <c r="J9941" s="50">
        <v>42.88</v>
      </c>
      <c r="K9941" t="s">
        <v>1618</v>
      </c>
      <c r="M9941" t="s">
        <v>1629</v>
      </c>
      <c r="N9941">
        <v>11.32</v>
      </c>
      <c r="O9941" s="49">
        <v>44306</v>
      </c>
      <c r="P9941" s="50">
        <v>19.296000000000003</v>
      </c>
    </row>
    <row r="9942" spans="4:16" x14ac:dyDescent="0.2">
      <c r="D9942">
        <v>100005952</v>
      </c>
      <c r="E9942" s="49">
        <v>45134</v>
      </c>
      <c r="F9942" t="s">
        <v>6932</v>
      </c>
      <c r="G9942" t="s">
        <v>1707</v>
      </c>
      <c r="H9942">
        <v>9</v>
      </c>
      <c r="I9942">
        <v>29.42</v>
      </c>
      <c r="J9942" s="50">
        <v>264.77999999999997</v>
      </c>
      <c r="K9942" t="s">
        <v>1618</v>
      </c>
      <c r="M9942" t="s">
        <v>1624</v>
      </c>
      <c r="N9942">
        <v>15.53</v>
      </c>
      <c r="O9942" s="49">
        <v>45138</v>
      </c>
      <c r="P9942" s="50">
        <v>119.151</v>
      </c>
    </row>
    <row r="9943" spans="4:16" x14ac:dyDescent="0.2">
      <c r="D9943">
        <v>100005954</v>
      </c>
      <c r="E9943" s="49">
        <v>44365</v>
      </c>
      <c r="F9943" t="s">
        <v>6933</v>
      </c>
      <c r="G9943" t="s">
        <v>2574</v>
      </c>
      <c r="H9943">
        <v>10</v>
      </c>
      <c r="I9943">
        <v>50.4</v>
      </c>
      <c r="J9943" s="50">
        <v>504</v>
      </c>
      <c r="K9943" t="s">
        <v>1618</v>
      </c>
      <c r="M9943" t="s">
        <v>1627</v>
      </c>
      <c r="N9943">
        <v>26.6</v>
      </c>
      <c r="O9943" s="49">
        <v>44366</v>
      </c>
      <c r="P9943" s="50">
        <v>226.8</v>
      </c>
    </row>
    <row r="9944" spans="4:16" x14ac:dyDescent="0.2">
      <c r="D9944">
        <v>100005955</v>
      </c>
      <c r="E9944" s="49">
        <v>45469</v>
      </c>
      <c r="F9944" t="s">
        <v>6934</v>
      </c>
      <c r="G9944" t="s">
        <v>1971</v>
      </c>
      <c r="H9944">
        <v>4</v>
      </c>
      <c r="I9944">
        <v>40.22</v>
      </c>
      <c r="J9944" s="50">
        <v>160.88</v>
      </c>
      <c r="K9944" t="s">
        <v>1632</v>
      </c>
      <c r="M9944" t="s">
        <v>1624</v>
      </c>
      <c r="N9944">
        <v>21.23</v>
      </c>
      <c r="O9944" s="49">
        <v>45473</v>
      </c>
      <c r="P9944" s="50">
        <v>72.396000000000001</v>
      </c>
    </row>
    <row r="9945" spans="4:16" x14ac:dyDescent="0.2">
      <c r="D9945">
        <v>100005955</v>
      </c>
      <c r="E9945" s="49">
        <v>45102</v>
      </c>
      <c r="F9945" t="s">
        <v>6934</v>
      </c>
      <c r="G9945" t="s">
        <v>2068</v>
      </c>
      <c r="H9945">
        <v>8</v>
      </c>
      <c r="I9945">
        <v>70.58</v>
      </c>
      <c r="J9945" s="50">
        <v>564.64</v>
      </c>
      <c r="K9945" t="s">
        <v>1632</v>
      </c>
      <c r="M9945" t="s">
        <v>1627</v>
      </c>
      <c r="N9945">
        <v>37.25</v>
      </c>
      <c r="O9945" s="49">
        <v>45103</v>
      </c>
      <c r="P9945" s="50">
        <v>254.08799999999999</v>
      </c>
    </row>
    <row r="9946" spans="4:16" x14ac:dyDescent="0.2">
      <c r="D9946">
        <v>100005956</v>
      </c>
      <c r="E9946" s="49">
        <v>45263</v>
      </c>
      <c r="F9946" t="s">
        <v>6935</v>
      </c>
      <c r="G9946" t="s">
        <v>1802</v>
      </c>
      <c r="H9946">
        <v>6</v>
      </c>
      <c r="I9946">
        <v>62.48</v>
      </c>
      <c r="J9946" s="50">
        <v>374.88</v>
      </c>
      <c r="K9946" t="s">
        <v>1632</v>
      </c>
      <c r="M9946" t="s">
        <v>1627</v>
      </c>
      <c r="N9946">
        <v>32.979999999999997</v>
      </c>
      <c r="O9946" s="49">
        <v>45265</v>
      </c>
      <c r="P9946" s="50">
        <v>168.696</v>
      </c>
    </row>
    <row r="9947" spans="4:16" x14ac:dyDescent="0.2">
      <c r="D9947">
        <v>100005956</v>
      </c>
      <c r="E9947" s="49">
        <v>45136</v>
      </c>
      <c r="F9947" t="s">
        <v>6935</v>
      </c>
      <c r="G9947" t="s">
        <v>2182</v>
      </c>
      <c r="H9947">
        <v>5</v>
      </c>
      <c r="I9947">
        <v>37.97</v>
      </c>
      <c r="J9947" s="50">
        <v>189.85</v>
      </c>
      <c r="K9947" t="s">
        <v>1632</v>
      </c>
      <c r="M9947" t="s">
        <v>1619</v>
      </c>
      <c r="N9947">
        <v>20.04</v>
      </c>
      <c r="O9947" s="49">
        <v>45140</v>
      </c>
      <c r="P9947" s="50">
        <v>85.432500000000005</v>
      </c>
    </row>
    <row r="9948" spans="4:16" x14ac:dyDescent="0.2">
      <c r="D9948">
        <v>100005957</v>
      </c>
      <c r="E9948" s="49">
        <v>44828</v>
      </c>
      <c r="F9948" t="s">
        <v>6936</v>
      </c>
      <c r="G9948" t="s">
        <v>1874</v>
      </c>
      <c r="H9948">
        <v>9</v>
      </c>
      <c r="I9948">
        <v>106.53</v>
      </c>
      <c r="J9948" s="50">
        <v>958.77</v>
      </c>
      <c r="K9948" t="s">
        <v>1632</v>
      </c>
      <c r="M9948" t="s">
        <v>1621</v>
      </c>
      <c r="N9948">
        <v>56.22</v>
      </c>
      <c r="O9948" s="49">
        <v>44830</v>
      </c>
      <c r="P9948" s="50">
        <v>431.44650000000001</v>
      </c>
    </row>
    <row r="9949" spans="4:16" x14ac:dyDescent="0.2">
      <c r="D9949">
        <v>100005957</v>
      </c>
      <c r="E9949" s="49">
        <v>44221</v>
      </c>
      <c r="F9949" t="s">
        <v>6936</v>
      </c>
      <c r="G9949" t="s">
        <v>2194</v>
      </c>
      <c r="H9949">
        <v>6</v>
      </c>
      <c r="I9949">
        <v>101.97</v>
      </c>
      <c r="J9949" s="50">
        <v>611.81999999999994</v>
      </c>
      <c r="K9949" t="s">
        <v>1632</v>
      </c>
      <c r="M9949" t="s">
        <v>1619</v>
      </c>
      <c r="N9949">
        <v>53.82</v>
      </c>
      <c r="O9949" s="49">
        <v>44226</v>
      </c>
      <c r="P9949" s="50">
        <v>275.31899999999996</v>
      </c>
    </row>
    <row r="9950" spans="4:16" x14ac:dyDescent="0.2">
      <c r="D9950">
        <v>100005957</v>
      </c>
      <c r="E9950" s="49">
        <v>45548</v>
      </c>
      <c r="F9950" t="s">
        <v>6936</v>
      </c>
      <c r="G9950" t="s">
        <v>1956</v>
      </c>
      <c r="H9950">
        <v>1</v>
      </c>
      <c r="I9950">
        <v>50.17</v>
      </c>
      <c r="J9950" s="50">
        <v>50.17</v>
      </c>
      <c r="K9950" t="s">
        <v>1632</v>
      </c>
      <c r="M9950" t="s">
        <v>1624</v>
      </c>
      <c r="N9950">
        <v>26.48</v>
      </c>
      <c r="O9950" s="49">
        <v>45551</v>
      </c>
      <c r="P9950" s="50">
        <v>22.576500000000003</v>
      </c>
    </row>
    <row r="9951" spans="4:16" x14ac:dyDescent="0.2">
      <c r="D9951">
        <v>100005959</v>
      </c>
      <c r="E9951" s="49">
        <v>44250</v>
      </c>
      <c r="F9951" t="s">
        <v>6937</v>
      </c>
      <c r="G9951" t="s">
        <v>1868</v>
      </c>
      <c r="H9951">
        <v>2</v>
      </c>
      <c r="I9951">
        <v>11.54</v>
      </c>
      <c r="J9951" s="50">
        <v>23.08</v>
      </c>
      <c r="K9951" t="s">
        <v>1618</v>
      </c>
      <c r="M9951" t="s">
        <v>1621</v>
      </c>
      <c r="N9951">
        <v>6.09</v>
      </c>
      <c r="O9951" s="49">
        <v>44253</v>
      </c>
      <c r="P9951" s="50">
        <v>10.385999999999999</v>
      </c>
    </row>
    <row r="9952" spans="4:16" x14ac:dyDescent="0.2">
      <c r="D9952">
        <v>100005959</v>
      </c>
      <c r="E9952" s="49">
        <v>44743</v>
      </c>
      <c r="F9952" t="s">
        <v>6937</v>
      </c>
      <c r="G9952" t="s">
        <v>2194</v>
      </c>
      <c r="H9952">
        <v>8</v>
      </c>
      <c r="I9952">
        <v>13.04</v>
      </c>
      <c r="J9952" s="50">
        <v>104.32</v>
      </c>
      <c r="K9952" t="s">
        <v>1618</v>
      </c>
      <c r="M9952" t="s">
        <v>1624</v>
      </c>
      <c r="N9952">
        <v>6.88</v>
      </c>
      <c r="O9952" s="49">
        <v>44744</v>
      </c>
      <c r="P9952" s="50">
        <v>46.943999999999996</v>
      </c>
    </row>
    <row r="9953" spans="4:16" x14ac:dyDescent="0.2">
      <c r="D9953">
        <v>100005959</v>
      </c>
      <c r="E9953" s="49">
        <v>44761</v>
      </c>
      <c r="F9953" t="s">
        <v>6937</v>
      </c>
      <c r="G9953" t="s">
        <v>2062</v>
      </c>
      <c r="H9953">
        <v>1</v>
      </c>
      <c r="I9953">
        <v>56.91</v>
      </c>
      <c r="J9953" s="50">
        <v>56.91</v>
      </c>
      <c r="K9953" t="s">
        <v>1618</v>
      </c>
      <c r="M9953" t="s">
        <v>1624</v>
      </c>
      <c r="N9953">
        <v>30.04</v>
      </c>
      <c r="O9953" s="49">
        <v>44766</v>
      </c>
      <c r="P9953" s="50">
        <v>25.609500000000001</v>
      </c>
    </row>
    <row r="9954" spans="4:16" x14ac:dyDescent="0.2">
      <c r="D9954">
        <v>100005959</v>
      </c>
      <c r="E9954" s="49">
        <v>45037</v>
      </c>
      <c r="F9954" t="s">
        <v>6937</v>
      </c>
      <c r="G9954" t="s">
        <v>3075</v>
      </c>
      <c r="H9954">
        <v>5</v>
      </c>
      <c r="I9954">
        <v>110.64</v>
      </c>
      <c r="J9954" s="50">
        <v>553.20000000000005</v>
      </c>
      <c r="K9954" t="s">
        <v>1618</v>
      </c>
      <c r="M9954" t="s">
        <v>1621</v>
      </c>
      <c r="N9954">
        <v>58.39</v>
      </c>
      <c r="O9954" s="49">
        <v>45038</v>
      </c>
      <c r="P9954" s="50">
        <v>248.94000000000003</v>
      </c>
    </row>
    <row r="9955" spans="4:16" x14ac:dyDescent="0.2">
      <c r="D9955">
        <v>100005959</v>
      </c>
      <c r="E9955" s="49">
        <v>45540</v>
      </c>
      <c r="F9955" t="s">
        <v>6937</v>
      </c>
      <c r="G9955" t="s">
        <v>2357</v>
      </c>
      <c r="H9955">
        <v>5</v>
      </c>
      <c r="I9955">
        <v>85.01</v>
      </c>
      <c r="J9955" s="50">
        <v>425.05</v>
      </c>
      <c r="K9955" t="s">
        <v>1618</v>
      </c>
      <c r="M9955" t="s">
        <v>1619</v>
      </c>
      <c r="N9955">
        <v>44.87</v>
      </c>
      <c r="O9955" s="49">
        <v>45541</v>
      </c>
      <c r="P9955" s="50">
        <v>191.27250000000001</v>
      </c>
    </row>
    <row r="9956" spans="4:16" x14ac:dyDescent="0.2">
      <c r="D9956">
        <v>100005959</v>
      </c>
      <c r="E9956" s="49">
        <v>44222</v>
      </c>
      <c r="F9956" t="s">
        <v>6937</v>
      </c>
      <c r="G9956" t="s">
        <v>1691</v>
      </c>
      <c r="H9956">
        <v>4</v>
      </c>
      <c r="I9956">
        <v>27.26</v>
      </c>
      <c r="J9956" s="50">
        <v>109.04</v>
      </c>
      <c r="K9956" t="s">
        <v>1618</v>
      </c>
      <c r="M9956" t="s">
        <v>1619</v>
      </c>
      <c r="N9956">
        <v>14.39</v>
      </c>
      <c r="O9956" s="49">
        <v>44223</v>
      </c>
      <c r="P9956" s="50">
        <v>49.068000000000005</v>
      </c>
    </row>
    <row r="9957" spans="4:16" x14ac:dyDescent="0.2">
      <c r="D9957">
        <v>100005960</v>
      </c>
      <c r="E9957" s="49">
        <v>45166</v>
      </c>
      <c r="F9957" t="s">
        <v>6938</v>
      </c>
      <c r="G9957" t="s">
        <v>2098</v>
      </c>
      <c r="H9957">
        <v>2</v>
      </c>
      <c r="I9957">
        <v>46.55</v>
      </c>
      <c r="J9957" s="50">
        <v>93.1</v>
      </c>
      <c r="K9957" t="s">
        <v>1618</v>
      </c>
      <c r="M9957" t="s">
        <v>1619</v>
      </c>
      <c r="N9957">
        <v>24.57</v>
      </c>
      <c r="O9957" s="49">
        <v>45170</v>
      </c>
      <c r="P9957" s="50">
        <v>41.894999999999996</v>
      </c>
    </row>
    <row r="9958" spans="4:16" x14ac:dyDescent="0.2">
      <c r="D9958">
        <v>100005960</v>
      </c>
      <c r="E9958" s="49">
        <v>44749</v>
      </c>
      <c r="F9958" t="s">
        <v>6938</v>
      </c>
      <c r="G9958" t="s">
        <v>1720</v>
      </c>
      <c r="H9958">
        <v>10</v>
      </c>
      <c r="I9958">
        <v>96.62</v>
      </c>
      <c r="J9958" s="50">
        <v>966.2</v>
      </c>
      <c r="K9958" t="s">
        <v>1618</v>
      </c>
      <c r="M9958" t="s">
        <v>1619</v>
      </c>
      <c r="N9958">
        <v>50.99</v>
      </c>
      <c r="O9958" s="49">
        <v>44754</v>
      </c>
      <c r="P9958" s="50">
        <v>434.79</v>
      </c>
    </row>
    <row r="9959" spans="4:16" x14ac:dyDescent="0.2">
      <c r="D9959">
        <v>100005960</v>
      </c>
      <c r="E9959" s="49">
        <v>44783</v>
      </c>
      <c r="F9959" t="s">
        <v>6938</v>
      </c>
      <c r="G9959" t="s">
        <v>2038</v>
      </c>
      <c r="H9959">
        <v>4</v>
      </c>
      <c r="I9959">
        <v>86.65</v>
      </c>
      <c r="J9959" s="50">
        <v>346.6</v>
      </c>
      <c r="K9959" t="s">
        <v>1618</v>
      </c>
      <c r="M9959" t="s">
        <v>1621</v>
      </c>
      <c r="N9959">
        <v>45.73</v>
      </c>
      <c r="O9959" s="49">
        <v>44785</v>
      </c>
      <c r="P9959" s="50">
        <v>155.97000000000003</v>
      </c>
    </row>
    <row r="9960" spans="4:16" x14ac:dyDescent="0.2">
      <c r="D9960">
        <v>100005960</v>
      </c>
      <c r="E9960" s="49">
        <v>45437</v>
      </c>
      <c r="F9960" t="s">
        <v>6938</v>
      </c>
      <c r="G9960" t="s">
        <v>2331</v>
      </c>
      <c r="H9960">
        <v>3</v>
      </c>
      <c r="I9960">
        <v>50.55</v>
      </c>
      <c r="J9960" s="50">
        <v>151.65</v>
      </c>
      <c r="K9960" t="s">
        <v>1618</v>
      </c>
      <c r="M9960" t="s">
        <v>1624</v>
      </c>
      <c r="N9960">
        <v>26.68</v>
      </c>
      <c r="O9960" s="49">
        <v>45441</v>
      </c>
      <c r="P9960" s="50">
        <v>68.242500000000007</v>
      </c>
    </row>
    <row r="9961" spans="4:16" x14ac:dyDescent="0.2">
      <c r="D9961">
        <v>100005960</v>
      </c>
      <c r="E9961" s="49">
        <v>45305</v>
      </c>
      <c r="F9961" t="s">
        <v>6938</v>
      </c>
      <c r="G9961" t="s">
        <v>1642</v>
      </c>
      <c r="H9961">
        <v>6</v>
      </c>
      <c r="I9961">
        <v>115.17</v>
      </c>
      <c r="J9961" s="50">
        <v>691.02</v>
      </c>
      <c r="K9961" t="s">
        <v>1618</v>
      </c>
      <c r="M9961" t="s">
        <v>1629</v>
      </c>
      <c r="N9961">
        <v>60.78</v>
      </c>
      <c r="O9961" s="49">
        <v>45307</v>
      </c>
      <c r="P9961" s="50">
        <v>310.959</v>
      </c>
    </row>
    <row r="9962" spans="4:16" x14ac:dyDescent="0.2">
      <c r="D9962">
        <v>100005962</v>
      </c>
      <c r="E9962" s="49">
        <v>44403</v>
      </c>
      <c r="F9962" t="s">
        <v>3807</v>
      </c>
      <c r="G9962" t="s">
        <v>2447</v>
      </c>
      <c r="H9962">
        <v>8</v>
      </c>
      <c r="I9962">
        <v>35.18</v>
      </c>
      <c r="J9962" s="50">
        <v>281.44</v>
      </c>
      <c r="K9962" t="s">
        <v>1618</v>
      </c>
      <c r="M9962" t="s">
        <v>1629</v>
      </c>
      <c r="N9962">
        <v>18.57</v>
      </c>
      <c r="O9962" s="49">
        <v>44408</v>
      </c>
      <c r="P9962" s="50">
        <v>126.648</v>
      </c>
    </row>
    <row r="9963" spans="4:16" x14ac:dyDescent="0.2">
      <c r="D9963">
        <v>100005962</v>
      </c>
      <c r="E9963" s="49">
        <v>44772</v>
      </c>
      <c r="F9963" t="s">
        <v>3807</v>
      </c>
      <c r="G9963" t="s">
        <v>1901</v>
      </c>
      <c r="H9963">
        <v>3</v>
      </c>
      <c r="I9963">
        <v>27.99</v>
      </c>
      <c r="J9963" s="50">
        <v>83.97</v>
      </c>
      <c r="K9963" t="s">
        <v>1618</v>
      </c>
      <c r="M9963" t="s">
        <v>1627</v>
      </c>
      <c r="N9963">
        <v>14.77</v>
      </c>
      <c r="O9963" s="49">
        <v>44775</v>
      </c>
      <c r="P9963" s="50">
        <v>37.786500000000004</v>
      </c>
    </row>
    <row r="9964" spans="4:16" x14ac:dyDescent="0.2">
      <c r="D9964">
        <v>100005964</v>
      </c>
      <c r="E9964" s="49">
        <v>44622</v>
      </c>
      <c r="F9964" t="s">
        <v>6939</v>
      </c>
      <c r="G9964" t="s">
        <v>2116</v>
      </c>
      <c r="H9964">
        <v>1</v>
      </c>
      <c r="I9964">
        <v>73.790000000000006</v>
      </c>
      <c r="J9964" s="50">
        <v>73.790000000000006</v>
      </c>
      <c r="K9964" t="s">
        <v>1632</v>
      </c>
      <c r="L9964" t="s">
        <v>6896</v>
      </c>
      <c r="M9964" t="s">
        <v>1627</v>
      </c>
      <c r="N9964">
        <v>38.94</v>
      </c>
      <c r="O9964" s="49">
        <v>44627</v>
      </c>
      <c r="P9964" s="50">
        <v>33.205500000000001</v>
      </c>
    </row>
    <row r="9965" spans="4:16" x14ac:dyDescent="0.2">
      <c r="D9965">
        <v>100005966</v>
      </c>
      <c r="E9965" s="49">
        <v>44603</v>
      </c>
      <c r="F9965" t="s">
        <v>2441</v>
      </c>
      <c r="G9965" t="s">
        <v>1648</v>
      </c>
      <c r="H9965">
        <v>6</v>
      </c>
      <c r="I9965">
        <v>13.76</v>
      </c>
      <c r="J9965" s="50">
        <v>82.56</v>
      </c>
      <c r="K9965" t="s">
        <v>1618</v>
      </c>
      <c r="M9965" t="s">
        <v>1627</v>
      </c>
      <c r="N9965">
        <v>7.26</v>
      </c>
      <c r="O9965" s="49">
        <v>44608</v>
      </c>
      <c r="P9965" s="50">
        <v>37.152000000000001</v>
      </c>
    </row>
    <row r="9966" spans="4:16" x14ac:dyDescent="0.2">
      <c r="D9966">
        <v>100005967</v>
      </c>
      <c r="E9966" s="49">
        <v>44406</v>
      </c>
      <c r="F9966" t="s">
        <v>6940</v>
      </c>
      <c r="G9966" t="s">
        <v>2427</v>
      </c>
      <c r="H9966">
        <v>3</v>
      </c>
      <c r="I9966">
        <v>91.14</v>
      </c>
      <c r="J9966" s="50">
        <v>273.42</v>
      </c>
      <c r="K9966" t="s">
        <v>1618</v>
      </c>
      <c r="M9966" t="s">
        <v>1629</v>
      </c>
      <c r="N9966">
        <v>48.1</v>
      </c>
      <c r="O9966" s="49">
        <v>44408</v>
      </c>
      <c r="P9966" s="50">
        <v>123.03900000000002</v>
      </c>
    </row>
    <row r="9967" spans="4:16" x14ac:dyDescent="0.2">
      <c r="D9967">
        <v>100005969</v>
      </c>
      <c r="E9967" s="49">
        <v>44217</v>
      </c>
      <c r="F9967" t="s">
        <v>6941</v>
      </c>
      <c r="G9967" t="s">
        <v>1880</v>
      </c>
      <c r="H9967">
        <v>7</v>
      </c>
      <c r="I9967">
        <v>43.5</v>
      </c>
      <c r="J9967" s="50">
        <v>304.5</v>
      </c>
      <c r="K9967" t="s">
        <v>1618</v>
      </c>
      <c r="L9967" t="s">
        <v>1656</v>
      </c>
      <c r="M9967" t="s">
        <v>1627</v>
      </c>
      <c r="N9967">
        <v>22.96</v>
      </c>
      <c r="O9967" s="49">
        <v>44220</v>
      </c>
      <c r="P9967" s="50">
        <v>137.02500000000001</v>
      </c>
    </row>
    <row r="9968" spans="4:16" x14ac:dyDescent="0.2">
      <c r="D9968">
        <v>100005970</v>
      </c>
      <c r="E9968" s="49">
        <v>45588</v>
      </c>
      <c r="F9968" t="s">
        <v>6942</v>
      </c>
      <c r="G9968" t="s">
        <v>1785</v>
      </c>
      <c r="H9968">
        <v>1</v>
      </c>
      <c r="I9968">
        <v>85.32</v>
      </c>
      <c r="J9968" s="50">
        <v>85.32</v>
      </c>
      <c r="K9968" t="s">
        <v>1618</v>
      </c>
      <c r="M9968" t="s">
        <v>1629</v>
      </c>
      <c r="N9968">
        <v>45.03</v>
      </c>
      <c r="O9968" s="49">
        <v>45589</v>
      </c>
      <c r="P9968" s="50">
        <v>38.393999999999998</v>
      </c>
    </row>
    <row r="9969" spans="4:16" x14ac:dyDescent="0.2">
      <c r="D9969">
        <v>100005971</v>
      </c>
      <c r="E9969" s="49">
        <v>44985</v>
      </c>
      <c r="F9969" t="s">
        <v>6943</v>
      </c>
      <c r="G9969" t="s">
        <v>1641</v>
      </c>
      <c r="H9969">
        <v>8</v>
      </c>
      <c r="I9969">
        <v>93.71</v>
      </c>
      <c r="J9969" s="50">
        <v>749.68</v>
      </c>
      <c r="K9969" t="s">
        <v>1618</v>
      </c>
      <c r="L9969" t="s">
        <v>6944</v>
      </c>
      <c r="M9969" t="s">
        <v>1627</v>
      </c>
      <c r="N9969">
        <v>49.46</v>
      </c>
      <c r="O9969" s="49">
        <v>44988</v>
      </c>
      <c r="P9969" s="50">
        <v>337.35599999999999</v>
      </c>
    </row>
    <row r="9970" spans="4:16" x14ac:dyDescent="0.2">
      <c r="D9970">
        <v>100005971</v>
      </c>
      <c r="E9970" s="49">
        <v>45216</v>
      </c>
      <c r="F9970" t="s">
        <v>6943</v>
      </c>
      <c r="G9970" t="s">
        <v>1932</v>
      </c>
      <c r="H9970">
        <v>3</v>
      </c>
      <c r="I9970">
        <v>81.510000000000005</v>
      </c>
      <c r="J9970" s="50">
        <v>244.53</v>
      </c>
      <c r="K9970" t="s">
        <v>1618</v>
      </c>
      <c r="L9970" t="s">
        <v>6944</v>
      </c>
      <c r="M9970" t="s">
        <v>1627</v>
      </c>
      <c r="N9970">
        <v>43.02</v>
      </c>
      <c r="O9970" s="49">
        <v>45219</v>
      </c>
      <c r="P9970" s="50">
        <v>110.0385</v>
      </c>
    </row>
    <row r="9971" spans="4:16" x14ac:dyDescent="0.2">
      <c r="D9971">
        <v>100005971</v>
      </c>
      <c r="E9971" s="49">
        <v>44275</v>
      </c>
      <c r="F9971" t="s">
        <v>6943</v>
      </c>
      <c r="G9971" t="s">
        <v>1987</v>
      </c>
      <c r="H9971">
        <v>1</v>
      </c>
      <c r="I9971">
        <v>41.35</v>
      </c>
      <c r="J9971" s="50">
        <v>41.35</v>
      </c>
      <c r="K9971" t="s">
        <v>1618</v>
      </c>
      <c r="L9971" t="s">
        <v>6944</v>
      </c>
      <c r="M9971" t="s">
        <v>1619</v>
      </c>
      <c r="N9971">
        <v>21.82</v>
      </c>
      <c r="O9971" s="49">
        <v>44276</v>
      </c>
      <c r="P9971" s="50">
        <v>18.607500000000002</v>
      </c>
    </row>
    <row r="9972" spans="4:16" x14ac:dyDescent="0.2">
      <c r="D9972">
        <v>100005973</v>
      </c>
      <c r="E9972" s="49">
        <v>44623</v>
      </c>
      <c r="F9972" t="s">
        <v>6945</v>
      </c>
      <c r="G9972" t="s">
        <v>1743</v>
      </c>
      <c r="H9972">
        <v>9</v>
      </c>
      <c r="I9972">
        <v>27.65</v>
      </c>
      <c r="J9972" s="50">
        <v>248.85</v>
      </c>
      <c r="K9972" t="s">
        <v>1618</v>
      </c>
      <c r="M9972" t="s">
        <v>1629</v>
      </c>
      <c r="N9972">
        <v>14.59</v>
      </c>
      <c r="O9972" s="49">
        <v>44625</v>
      </c>
      <c r="P9972" s="50">
        <v>111.9825</v>
      </c>
    </row>
    <row r="9973" spans="4:16" x14ac:dyDescent="0.2">
      <c r="D9973">
        <v>100005974</v>
      </c>
      <c r="E9973" s="49">
        <v>44571</v>
      </c>
      <c r="F9973" t="s">
        <v>6946</v>
      </c>
      <c r="G9973" t="s">
        <v>1667</v>
      </c>
      <c r="H9973">
        <v>7</v>
      </c>
      <c r="I9973">
        <v>83.35</v>
      </c>
      <c r="J9973" s="50">
        <v>583.44999999999993</v>
      </c>
      <c r="K9973" t="s">
        <v>1618</v>
      </c>
      <c r="M9973" t="s">
        <v>1629</v>
      </c>
      <c r="N9973">
        <v>43.99</v>
      </c>
      <c r="O9973" s="49">
        <v>44576</v>
      </c>
      <c r="P9973" s="50">
        <v>262.55249999999995</v>
      </c>
    </row>
    <row r="9974" spans="4:16" x14ac:dyDescent="0.2">
      <c r="D9974">
        <v>100005975</v>
      </c>
      <c r="E9974" s="49">
        <v>44769</v>
      </c>
      <c r="F9974" t="s">
        <v>6947</v>
      </c>
      <c r="G9974" t="s">
        <v>1969</v>
      </c>
      <c r="H9974">
        <v>1</v>
      </c>
      <c r="I9974">
        <v>83.13</v>
      </c>
      <c r="J9974" s="50">
        <v>83.13</v>
      </c>
      <c r="K9974" t="s">
        <v>1632</v>
      </c>
      <c r="M9974" t="s">
        <v>1624</v>
      </c>
      <c r="N9974">
        <v>43.87</v>
      </c>
      <c r="O9974" s="49">
        <v>44773</v>
      </c>
      <c r="P9974" s="50">
        <v>37.408499999999997</v>
      </c>
    </row>
    <row r="9975" spans="4:16" x14ac:dyDescent="0.2">
      <c r="D9975">
        <v>100005975</v>
      </c>
      <c r="E9975" s="49">
        <v>45468</v>
      </c>
      <c r="F9975" t="s">
        <v>6947</v>
      </c>
      <c r="G9975" t="s">
        <v>1830</v>
      </c>
      <c r="H9975">
        <v>1</v>
      </c>
      <c r="I9975">
        <v>38.72</v>
      </c>
      <c r="J9975" s="50">
        <v>38.72</v>
      </c>
      <c r="K9975" t="s">
        <v>1632</v>
      </c>
      <c r="M9975" t="s">
        <v>1627</v>
      </c>
      <c r="N9975">
        <v>20.440000000000001</v>
      </c>
      <c r="O9975" s="49">
        <v>45473</v>
      </c>
      <c r="P9975" s="50">
        <v>17.423999999999999</v>
      </c>
    </row>
    <row r="9976" spans="4:16" x14ac:dyDescent="0.2">
      <c r="D9976">
        <v>100005976</v>
      </c>
      <c r="E9976" s="49">
        <v>44351</v>
      </c>
      <c r="F9976" t="s">
        <v>5062</v>
      </c>
      <c r="G9976" t="s">
        <v>2658</v>
      </c>
      <c r="H9976">
        <v>10</v>
      </c>
      <c r="I9976">
        <v>115.17</v>
      </c>
      <c r="J9976" s="50">
        <v>1151.7</v>
      </c>
      <c r="K9976" t="s">
        <v>1632</v>
      </c>
      <c r="M9976" t="s">
        <v>1629</v>
      </c>
      <c r="N9976">
        <v>60.78</v>
      </c>
      <c r="O9976" s="49">
        <v>44353</v>
      </c>
      <c r="P9976" s="50">
        <v>518.26499999999999</v>
      </c>
    </row>
    <row r="9977" spans="4:16" x14ac:dyDescent="0.2">
      <c r="D9977">
        <v>100005977</v>
      </c>
      <c r="E9977" s="49">
        <v>44410</v>
      </c>
      <c r="F9977" t="s">
        <v>6948</v>
      </c>
      <c r="G9977" t="s">
        <v>1700</v>
      </c>
      <c r="H9977">
        <v>1</v>
      </c>
      <c r="I9977">
        <v>68.33</v>
      </c>
      <c r="J9977" s="50">
        <v>68.33</v>
      </c>
      <c r="K9977" t="s">
        <v>1618</v>
      </c>
      <c r="L9977" t="s">
        <v>3370</v>
      </c>
      <c r="M9977" t="s">
        <v>1629</v>
      </c>
      <c r="N9977">
        <v>36.06</v>
      </c>
      <c r="O9977" s="49">
        <v>44413</v>
      </c>
      <c r="P9977" s="50">
        <v>30.7485</v>
      </c>
    </row>
    <row r="9978" spans="4:16" x14ac:dyDescent="0.2">
      <c r="D9978">
        <v>100005977</v>
      </c>
      <c r="E9978" s="49">
        <v>45307</v>
      </c>
      <c r="F9978" t="s">
        <v>6948</v>
      </c>
      <c r="G9978" t="s">
        <v>1705</v>
      </c>
      <c r="H9978">
        <v>6</v>
      </c>
      <c r="I9978">
        <v>38.93</v>
      </c>
      <c r="J9978" s="50">
        <v>233.58</v>
      </c>
      <c r="K9978" t="s">
        <v>1618</v>
      </c>
      <c r="L9978" t="s">
        <v>3370</v>
      </c>
      <c r="M9978" t="s">
        <v>1629</v>
      </c>
      <c r="N9978">
        <v>20.55</v>
      </c>
      <c r="O9978" s="49">
        <v>45311</v>
      </c>
      <c r="P9978" s="50">
        <v>105.111</v>
      </c>
    </row>
    <row r="9979" spans="4:16" x14ac:dyDescent="0.2">
      <c r="D9979">
        <v>100005977</v>
      </c>
      <c r="E9979" s="49">
        <v>44937</v>
      </c>
      <c r="F9979" t="s">
        <v>6948</v>
      </c>
      <c r="G9979" t="s">
        <v>2204</v>
      </c>
      <c r="H9979">
        <v>2</v>
      </c>
      <c r="I9979">
        <v>72.89</v>
      </c>
      <c r="J9979" s="50">
        <v>145.78</v>
      </c>
      <c r="K9979" t="s">
        <v>1618</v>
      </c>
      <c r="L9979" t="s">
        <v>3370</v>
      </c>
      <c r="M9979" t="s">
        <v>1629</v>
      </c>
      <c r="N9979">
        <v>38.47</v>
      </c>
      <c r="O9979" s="49">
        <v>44940</v>
      </c>
      <c r="P9979" s="50">
        <v>65.600999999999999</v>
      </c>
    </row>
    <row r="9980" spans="4:16" x14ac:dyDescent="0.2">
      <c r="D9980">
        <v>100005977</v>
      </c>
      <c r="E9980" s="49">
        <v>44946</v>
      </c>
      <c r="F9980" t="s">
        <v>6948</v>
      </c>
      <c r="G9980" t="s">
        <v>2373</v>
      </c>
      <c r="H9980">
        <v>1</v>
      </c>
      <c r="I9980">
        <v>52.71</v>
      </c>
      <c r="J9980" s="50">
        <v>52.71</v>
      </c>
      <c r="K9980" t="s">
        <v>1618</v>
      </c>
      <c r="L9980" t="s">
        <v>3370</v>
      </c>
      <c r="M9980" t="s">
        <v>1629</v>
      </c>
      <c r="N9980">
        <v>27.82</v>
      </c>
      <c r="O9980" s="49">
        <v>44950</v>
      </c>
      <c r="P9980" s="50">
        <v>23.7195</v>
      </c>
    </row>
    <row r="9981" spans="4:16" x14ac:dyDescent="0.2">
      <c r="D9981">
        <v>100005978</v>
      </c>
      <c r="E9981" s="49">
        <v>44300</v>
      </c>
      <c r="F9981" t="s">
        <v>6687</v>
      </c>
      <c r="G9981" t="s">
        <v>2065</v>
      </c>
      <c r="H9981">
        <v>5</v>
      </c>
      <c r="I9981">
        <v>35.93</v>
      </c>
      <c r="J9981" s="50">
        <v>179.65</v>
      </c>
      <c r="K9981" t="s">
        <v>1618</v>
      </c>
      <c r="L9981" t="s">
        <v>6949</v>
      </c>
      <c r="M9981" t="s">
        <v>1621</v>
      </c>
      <c r="N9981">
        <v>18.96</v>
      </c>
      <c r="O9981" s="49">
        <v>44301</v>
      </c>
      <c r="P9981" s="50">
        <v>80.842500000000001</v>
      </c>
    </row>
    <row r="9982" spans="4:16" x14ac:dyDescent="0.2">
      <c r="D9982">
        <v>100005979</v>
      </c>
      <c r="E9982" s="49">
        <v>45182</v>
      </c>
      <c r="F9982" t="s">
        <v>6950</v>
      </c>
      <c r="G9982" t="s">
        <v>1667</v>
      </c>
      <c r="H9982">
        <v>8</v>
      </c>
      <c r="I9982">
        <v>52.08</v>
      </c>
      <c r="J9982" s="50">
        <v>416.64</v>
      </c>
      <c r="K9982" t="s">
        <v>1632</v>
      </c>
      <c r="M9982" t="s">
        <v>1621</v>
      </c>
      <c r="N9982">
        <v>27.49</v>
      </c>
      <c r="O9982" s="49">
        <v>45186</v>
      </c>
      <c r="P9982" s="50">
        <v>187.488</v>
      </c>
    </row>
    <row r="9983" spans="4:16" x14ac:dyDescent="0.2">
      <c r="D9983">
        <v>100005979</v>
      </c>
      <c r="E9983" s="49">
        <v>45541</v>
      </c>
      <c r="F9983" t="s">
        <v>6950</v>
      </c>
      <c r="G9983" t="s">
        <v>1695</v>
      </c>
      <c r="H9983">
        <v>9</v>
      </c>
      <c r="I9983">
        <v>48.76</v>
      </c>
      <c r="J9983" s="50">
        <v>438.84</v>
      </c>
      <c r="K9983" t="s">
        <v>1632</v>
      </c>
      <c r="M9983" t="s">
        <v>1624</v>
      </c>
      <c r="N9983">
        <v>25.73</v>
      </c>
      <c r="O9983" s="49">
        <v>45545</v>
      </c>
      <c r="P9983" s="50">
        <v>197.47799999999998</v>
      </c>
    </row>
    <row r="9984" spans="4:16" x14ac:dyDescent="0.2">
      <c r="D9984">
        <v>100005979</v>
      </c>
      <c r="E9984" s="49">
        <v>45454</v>
      </c>
      <c r="F9984" t="s">
        <v>6950</v>
      </c>
      <c r="G9984" t="s">
        <v>1653</v>
      </c>
      <c r="H9984">
        <v>2</v>
      </c>
      <c r="I9984">
        <v>43.49</v>
      </c>
      <c r="J9984" s="50">
        <v>86.98</v>
      </c>
      <c r="K9984" t="s">
        <v>1632</v>
      </c>
      <c r="M9984" t="s">
        <v>1629</v>
      </c>
      <c r="N9984">
        <v>22.95</v>
      </c>
      <c r="O9984" s="49">
        <v>45456</v>
      </c>
      <c r="P9984" s="50">
        <v>39.141000000000005</v>
      </c>
    </row>
    <row r="9985" spans="4:16" x14ac:dyDescent="0.2">
      <c r="D9985">
        <v>100005979</v>
      </c>
      <c r="E9985" s="49">
        <v>45326</v>
      </c>
      <c r="F9985" t="s">
        <v>6950</v>
      </c>
      <c r="G9985" t="s">
        <v>1944</v>
      </c>
      <c r="H9985">
        <v>1</v>
      </c>
      <c r="I9985">
        <v>46.85</v>
      </c>
      <c r="J9985" s="50">
        <v>46.85</v>
      </c>
      <c r="K9985" t="s">
        <v>1632</v>
      </c>
      <c r="M9985" t="s">
        <v>1627</v>
      </c>
      <c r="N9985">
        <v>24.73</v>
      </c>
      <c r="O9985" s="49">
        <v>45330</v>
      </c>
      <c r="P9985" s="50">
        <v>21.0825</v>
      </c>
    </row>
    <row r="9986" spans="4:16" x14ac:dyDescent="0.2">
      <c r="D9986">
        <v>100005980</v>
      </c>
      <c r="E9986" s="49">
        <v>45244</v>
      </c>
      <c r="F9986" t="s">
        <v>6951</v>
      </c>
      <c r="G9986" t="s">
        <v>2007</v>
      </c>
      <c r="H9986">
        <v>4</v>
      </c>
      <c r="I9986">
        <v>18.23</v>
      </c>
      <c r="J9986" s="50">
        <v>72.92</v>
      </c>
      <c r="K9986" t="s">
        <v>1632</v>
      </c>
      <c r="M9986" t="s">
        <v>1619</v>
      </c>
      <c r="N9986">
        <v>9.6199999999999992</v>
      </c>
      <c r="O9986" s="49">
        <v>45248</v>
      </c>
      <c r="P9986" s="50">
        <v>32.814</v>
      </c>
    </row>
    <row r="9987" spans="4:16" x14ac:dyDescent="0.2">
      <c r="D9987">
        <v>100005981</v>
      </c>
      <c r="E9987" s="49">
        <v>44865</v>
      </c>
      <c r="F9987" t="s">
        <v>6952</v>
      </c>
      <c r="G9987" t="s">
        <v>2039</v>
      </c>
      <c r="H9987">
        <v>7</v>
      </c>
      <c r="I9987">
        <v>80.150000000000006</v>
      </c>
      <c r="J9987" s="50">
        <v>561.05000000000007</v>
      </c>
      <c r="K9987" t="s">
        <v>1618</v>
      </c>
      <c r="L9987" t="s">
        <v>4359</v>
      </c>
      <c r="M9987" t="s">
        <v>1629</v>
      </c>
      <c r="N9987">
        <v>42.3</v>
      </c>
      <c r="O9987" s="49">
        <v>44868</v>
      </c>
      <c r="P9987" s="50">
        <v>252.47250000000003</v>
      </c>
    </row>
    <row r="9988" spans="4:16" x14ac:dyDescent="0.2">
      <c r="D9988">
        <v>100005982</v>
      </c>
      <c r="E9988" s="49">
        <v>45402</v>
      </c>
      <c r="F9988" t="s">
        <v>6953</v>
      </c>
      <c r="G9988" t="s">
        <v>2427</v>
      </c>
      <c r="H9988">
        <v>1</v>
      </c>
      <c r="I9988">
        <v>108.38</v>
      </c>
      <c r="J9988" s="50">
        <v>108.38</v>
      </c>
      <c r="K9988" t="s">
        <v>1618</v>
      </c>
      <c r="M9988" t="s">
        <v>1621</v>
      </c>
      <c r="N9988">
        <v>57.2</v>
      </c>
      <c r="O9988" s="49">
        <v>45405</v>
      </c>
      <c r="P9988" s="50">
        <v>48.771000000000001</v>
      </c>
    </row>
    <row r="9989" spans="4:16" x14ac:dyDescent="0.2">
      <c r="D9989">
        <v>100005982</v>
      </c>
      <c r="E9989" s="49">
        <v>45124</v>
      </c>
      <c r="F9989" t="s">
        <v>6953</v>
      </c>
      <c r="G9989" t="s">
        <v>2125</v>
      </c>
      <c r="H9989">
        <v>4</v>
      </c>
      <c r="I9989">
        <v>57.4</v>
      </c>
      <c r="J9989" s="50">
        <v>229.6</v>
      </c>
      <c r="K9989" t="s">
        <v>1618</v>
      </c>
      <c r="M9989" t="s">
        <v>1619</v>
      </c>
      <c r="N9989">
        <v>30.29</v>
      </c>
      <c r="O9989" s="49">
        <v>45128</v>
      </c>
      <c r="P9989" s="50">
        <v>103.32</v>
      </c>
    </row>
    <row r="9990" spans="4:16" x14ac:dyDescent="0.2">
      <c r="D9990">
        <v>100005983</v>
      </c>
      <c r="E9990" s="49">
        <v>45186</v>
      </c>
      <c r="F9990" t="s">
        <v>6954</v>
      </c>
      <c r="G9990" t="s">
        <v>1901</v>
      </c>
      <c r="H9990">
        <v>6</v>
      </c>
      <c r="I9990">
        <v>52.07</v>
      </c>
      <c r="J9990" s="50">
        <v>312.42</v>
      </c>
      <c r="K9990" t="s">
        <v>1632</v>
      </c>
      <c r="M9990" t="s">
        <v>1624</v>
      </c>
      <c r="N9990">
        <v>27.48</v>
      </c>
      <c r="O9990" s="49">
        <v>45188</v>
      </c>
      <c r="P9990" s="50">
        <v>140.589</v>
      </c>
    </row>
    <row r="9991" spans="4:16" x14ac:dyDescent="0.2">
      <c r="D9991">
        <v>100005983</v>
      </c>
      <c r="E9991" s="49">
        <v>44973</v>
      </c>
      <c r="F9991" t="s">
        <v>6954</v>
      </c>
      <c r="G9991" t="s">
        <v>1895</v>
      </c>
      <c r="H9991">
        <v>1</v>
      </c>
      <c r="I9991">
        <v>49.2</v>
      </c>
      <c r="J9991" s="50">
        <v>49.2</v>
      </c>
      <c r="K9991" t="s">
        <v>1632</v>
      </c>
      <c r="M9991" t="s">
        <v>1627</v>
      </c>
      <c r="N9991">
        <v>25.97</v>
      </c>
      <c r="O9991" s="49">
        <v>44978</v>
      </c>
      <c r="P9991" s="50">
        <v>22.14</v>
      </c>
    </row>
    <row r="9992" spans="4:16" x14ac:dyDescent="0.2">
      <c r="D9992">
        <v>100005984</v>
      </c>
      <c r="E9992" s="49">
        <v>45580</v>
      </c>
      <c r="F9992" t="s">
        <v>6955</v>
      </c>
      <c r="G9992" t="s">
        <v>1799</v>
      </c>
      <c r="H9992">
        <v>8</v>
      </c>
      <c r="I9992">
        <v>118.08</v>
      </c>
      <c r="J9992" s="50">
        <v>944.64</v>
      </c>
      <c r="K9992" t="s">
        <v>1618</v>
      </c>
      <c r="M9992" t="s">
        <v>1629</v>
      </c>
      <c r="N9992">
        <v>62.32</v>
      </c>
      <c r="O9992" s="49">
        <v>45581</v>
      </c>
      <c r="P9992" s="50">
        <v>425.08800000000002</v>
      </c>
    </row>
    <row r="9993" spans="4:16" x14ac:dyDescent="0.2">
      <c r="D9993">
        <v>100005984</v>
      </c>
      <c r="E9993" s="49">
        <v>45347</v>
      </c>
      <c r="F9993" t="s">
        <v>6955</v>
      </c>
      <c r="G9993" t="s">
        <v>2150</v>
      </c>
      <c r="H9993">
        <v>7</v>
      </c>
      <c r="I9993">
        <v>74.09</v>
      </c>
      <c r="J9993" s="50">
        <v>518.63</v>
      </c>
      <c r="K9993" t="s">
        <v>1618</v>
      </c>
      <c r="M9993" t="s">
        <v>1629</v>
      </c>
      <c r="N9993">
        <v>39.1</v>
      </c>
      <c r="O9993" s="49">
        <v>45352</v>
      </c>
      <c r="P9993" s="50">
        <v>233.3835</v>
      </c>
    </row>
    <row r="9994" spans="4:16" x14ac:dyDescent="0.2">
      <c r="D9994">
        <v>100005985</v>
      </c>
      <c r="E9994" s="49">
        <v>44793</v>
      </c>
      <c r="F9994" t="s">
        <v>6956</v>
      </c>
      <c r="G9994" t="s">
        <v>1874</v>
      </c>
      <c r="H9994">
        <v>1</v>
      </c>
      <c r="I9994">
        <v>44.18</v>
      </c>
      <c r="J9994" s="50">
        <v>44.18</v>
      </c>
      <c r="K9994" t="s">
        <v>1632</v>
      </c>
      <c r="M9994" t="s">
        <v>1621</v>
      </c>
      <c r="N9994">
        <v>23.32</v>
      </c>
      <c r="O9994" s="49">
        <v>44797</v>
      </c>
      <c r="P9994" s="50">
        <v>19.881</v>
      </c>
    </row>
    <row r="9995" spans="4:16" x14ac:dyDescent="0.2">
      <c r="D9995">
        <v>100005985</v>
      </c>
      <c r="E9995" s="49">
        <v>45461</v>
      </c>
      <c r="F9995" t="s">
        <v>6956</v>
      </c>
      <c r="G9995" t="s">
        <v>2019</v>
      </c>
      <c r="H9995">
        <v>4</v>
      </c>
      <c r="I9995">
        <v>68.099999999999994</v>
      </c>
      <c r="J9995" s="50">
        <v>272.39999999999998</v>
      </c>
      <c r="K9995" t="s">
        <v>1632</v>
      </c>
      <c r="M9995" t="s">
        <v>1621</v>
      </c>
      <c r="N9995">
        <v>35.94</v>
      </c>
      <c r="O9995" s="49">
        <v>45466</v>
      </c>
      <c r="P9995" s="50">
        <v>122.58</v>
      </c>
    </row>
    <row r="9996" spans="4:16" x14ac:dyDescent="0.2">
      <c r="D9996">
        <v>100005986</v>
      </c>
      <c r="E9996" s="49">
        <v>44744</v>
      </c>
      <c r="F9996" t="s">
        <v>6957</v>
      </c>
      <c r="G9996" t="s">
        <v>1982</v>
      </c>
      <c r="H9996">
        <v>6</v>
      </c>
      <c r="I9996">
        <v>75.69</v>
      </c>
      <c r="J9996" s="50">
        <v>454.14</v>
      </c>
      <c r="K9996" t="s">
        <v>1618</v>
      </c>
      <c r="M9996" t="s">
        <v>1621</v>
      </c>
      <c r="N9996">
        <v>39.950000000000003</v>
      </c>
      <c r="O9996" s="49">
        <v>44748</v>
      </c>
      <c r="P9996" s="50">
        <v>204.363</v>
      </c>
    </row>
    <row r="9997" spans="4:16" x14ac:dyDescent="0.2">
      <c r="D9997">
        <v>100005986</v>
      </c>
      <c r="E9997" s="49">
        <v>44859</v>
      </c>
      <c r="F9997" t="s">
        <v>6957</v>
      </c>
      <c r="G9997" t="s">
        <v>1944</v>
      </c>
      <c r="H9997">
        <v>10</v>
      </c>
      <c r="I9997">
        <v>51.18</v>
      </c>
      <c r="J9997" s="50">
        <v>511.8</v>
      </c>
      <c r="K9997" t="s">
        <v>1618</v>
      </c>
      <c r="M9997" t="s">
        <v>1619</v>
      </c>
      <c r="N9997">
        <v>27.01</v>
      </c>
      <c r="O9997" s="49">
        <v>44864</v>
      </c>
      <c r="P9997" s="50">
        <v>230.31</v>
      </c>
    </row>
    <row r="9998" spans="4:16" x14ac:dyDescent="0.2">
      <c r="D9998">
        <v>100005986</v>
      </c>
      <c r="E9998" s="49">
        <v>45068</v>
      </c>
      <c r="F9998" t="s">
        <v>6957</v>
      </c>
      <c r="G9998" t="s">
        <v>2194</v>
      </c>
      <c r="H9998">
        <v>9</v>
      </c>
      <c r="I9998">
        <v>17.98</v>
      </c>
      <c r="J9998" s="50">
        <v>161.82</v>
      </c>
      <c r="K9998" t="s">
        <v>1618</v>
      </c>
      <c r="M9998" t="s">
        <v>1627</v>
      </c>
      <c r="N9998">
        <v>9.49</v>
      </c>
      <c r="O9998" s="49">
        <v>45071</v>
      </c>
      <c r="P9998" s="50">
        <v>72.819000000000003</v>
      </c>
    </row>
    <row r="9999" spans="4:16" x14ac:dyDescent="0.2">
      <c r="D9999">
        <v>100005986</v>
      </c>
      <c r="E9999" s="49">
        <v>45060</v>
      </c>
      <c r="F9999" t="s">
        <v>6957</v>
      </c>
      <c r="G9999" t="s">
        <v>2098</v>
      </c>
      <c r="H9999">
        <v>4</v>
      </c>
      <c r="I9999">
        <v>88.01</v>
      </c>
      <c r="J9999" s="50">
        <v>352.04</v>
      </c>
      <c r="K9999" t="s">
        <v>1618</v>
      </c>
      <c r="M9999" t="s">
        <v>1624</v>
      </c>
      <c r="N9999">
        <v>46.45</v>
      </c>
      <c r="O9999" s="49">
        <v>45064</v>
      </c>
      <c r="P9999" s="50">
        <v>158.41800000000001</v>
      </c>
    </row>
    <row r="10000" spans="4:16" x14ac:dyDescent="0.2">
      <c r="D10000">
        <v>100005987</v>
      </c>
      <c r="E10000" s="49">
        <v>44736</v>
      </c>
      <c r="F10000" t="s">
        <v>6958</v>
      </c>
      <c r="G10000" t="s">
        <v>1802</v>
      </c>
      <c r="H10000">
        <v>9</v>
      </c>
      <c r="I10000">
        <v>115.35</v>
      </c>
      <c r="J10000" s="50">
        <v>1038.1500000000001</v>
      </c>
      <c r="K10000" t="s">
        <v>1632</v>
      </c>
      <c r="M10000" t="s">
        <v>1629</v>
      </c>
      <c r="N10000">
        <v>60.88</v>
      </c>
      <c r="O10000" s="49">
        <v>44741</v>
      </c>
      <c r="P10000" s="50">
        <v>467.16750000000008</v>
      </c>
    </row>
    <row r="10001" spans="4:16" x14ac:dyDescent="0.2">
      <c r="D10001">
        <v>100005988</v>
      </c>
      <c r="E10001" s="49">
        <v>45632</v>
      </c>
      <c r="F10001" t="s">
        <v>6959</v>
      </c>
      <c r="G10001" t="s">
        <v>2574</v>
      </c>
      <c r="H10001">
        <v>1</v>
      </c>
      <c r="I10001">
        <v>31.51</v>
      </c>
      <c r="J10001" s="50">
        <v>31.51</v>
      </c>
      <c r="K10001" t="s">
        <v>1618</v>
      </c>
      <c r="M10001" t="s">
        <v>1624</v>
      </c>
      <c r="N10001">
        <v>16.63</v>
      </c>
      <c r="O10001" s="49">
        <v>45635</v>
      </c>
      <c r="P10001" s="50">
        <v>14.179500000000001</v>
      </c>
    </row>
    <row r="10002" spans="4:16" x14ac:dyDescent="0.2">
      <c r="D10002">
        <v>100005988</v>
      </c>
      <c r="E10002" s="49">
        <v>45496</v>
      </c>
      <c r="F10002" t="s">
        <v>6959</v>
      </c>
      <c r="G10002" t="s">
        <v>2217</v>
      </c>
      <c r="H10002">
        <v>8</v>
      </c>
      <c r="I10002">
        <v>113.52</v>
      </c>
      <c r="J10002" s="50">
        <v>908.16</v>
      </c>
      <c r="K10002" t="s">
        <v>1618</v>
      </c>
      <c r="M10002" t="s">
        <v>1629</v>
      </c>
      <c r="N10002">
        <v>59.91</v>
      </c>
      <c r="O10002" s="49">
        <v>45499</v>
      </c>
      <c r="P10002" s="50">
        <v>408.67199999999997</v>
      </c>
    </row>
    <row r="10003" spans="4:16" x14ac:dyDescent="0.2">
      <c r="D10003">
        <v>100005988</v>
      </c>
      <c r="E10003" s="49">
        <v>45153</v>
      </c>
      <c r="F10003" t="s">
        <v>6959</v>
      </c>
      <c r="G10003" t="s">
        <v>1844</v>
      </c>
      <c r="H10003">
        <v>8</v>
      </c>
      <c r="I10003">
        <v>106.47</v>
      </c>
      <c r="J10003" s="50">
        <v>851.76</v>
      </c>
      <c r="K10003" t="s">
        <v>1618</v>
      </c>
      <c r="M10003" t="s">
        <v>1624</v>
      </c>
      <c r="N10003">
        <v>56.19</v>
      </c>
      <c r="O10003" s="49">
        <v>45155</v>
      </c>
      <c r="P10003" s="50">
        <v>383.29200000000003</v>
      </c>
    </row>
    <row r="10004" spans="4:16" x14ac:dyDescent="0.2">
      <c r="D10004">
        <v>100005989</v>
      </c>
      <c r="E10004" s="49">
        <v>45504</v>
      </c>
      <c r="F10004" t="s">
        <v>6960</v>
      </c>
      <c r="G10004" t="s">
        <v>1853</v>
      </c>
      <c r="H10004">
        <v>1</v>
      </c>
      <c r="I10004">
        <v>80.11</v>
      </c>
      <c r="J10004" s="50">
        <v>80.11</v>
      </c>
      <c r="K10004" t="s">
        <v>1632</v>
      </c>
      <c r="M10004" t="s">
        <v>1619</v>
      </c>
      <c r="N10004">
        <v>42.28</v>
      </c>
      <c r="O10004" s="49">
        <v>45506</v>
      </c>
      <c r="P10004" s="50">
        <v>36.049500000000002</v>
      </c>
    </row>
    <row r="10005" spans="4:16" x14ac:dyDescent="0.2">
      <c r="D10005">
        <v>100005989</v>
      </c>
      <c r="E10005" s="49">
        <v>45375</v>
      </c>
      <c r="F10005" t="s">
        <v>6960</v>
      </c>
      <c r="G10005" t="s">
        <v>1639</v>
      </c>
      <c r="H10005">
        <v>5</v>
      </c>
      <c r="I10005">
        <v>106.02</v>
      </c>
      <c r="J10005" s="50">
        <v>530.1</v>
      </c>
      <c r="K10005" t="s">
        <v>1632</v>
      </c>
      <c r="M10005" t="s">
        <v>1621</v>
      </c>
      <c r="N10005">
        <v>55.95</v>
      </c>
      <c r="O10005" s="49">
        <v>45377</v>
      </c>
      <c r="P10005" s="50">
        <v>238.54500000000002</v>
      </c>
    </row>
    <row r="10006" spans="4:16" x14ac:dyDescent="0.2">
      <c r="D10006">
        <v>100005990</v>
      </c>
      <c r="E10006" s="49">
        <v>45007</v>
      </c>
      <c r="F10006" t="s">
        <v>6786</v>
      </c>
      <c r="G10006" t="s">
        <v>1937</v>
      </c>
      <c r="H10006">
        <v>3</v>
      </c>
      <c r="I10006">
        <v>92.33</v>
      </c>
      <c r="J10006" s="50">
        <v>276.99</v>
      </c>
      <c r="K10006" t="s">
        <v>1618</v>
      </c>
      <c r="L10006" t="s">
        <v>4318</v>
      </c>
      <c r="M10006" t="s">
        <v>1621</v>
      </c>
      <c r="N10006">
        <v>48.73</v>
      </c>
      <c r="O10006" s="49">
        <v>45011</v>
      </c>
      <c r="P10006" s="50">
        <v>124.64550000000001</v>
      </c>
    </row>
    <row r="10007" spans="4:16" x14ac:dyDescent="0.2">
      <c r="D10007">
        <v>100005990</v>
      </c>
      <c r="E10007" s="49">
        <v>45156</v>
      </c>
      <c r="F10007" t="s">
        <v>6786</v>
      </c>
      <c r="G10007" t="s">
        <v>1775</v>
      </c>
      <c r="H10007">
        <v>1</v>
      </c>
      <c r="I10007">
        <v>74.59</v>
      </c>
      <c r="J10007" s="50">
        <v>74.59</v>
      </c>
      <c r="K10007" t="s">
        <v>1618</v>
      </c>
      <c r="L10007" t="s">
        <v>4318</v>
      </c>
      <c r="M10007" t="s">
        <v>1619</v>
      </c>
      <c r="N10007">
        <v>39.369999999999997</v>
      </c>
      <c r="O10007" s="49">
        <v>45158</v>
      </c>
      <c r="P10007" s="50">
        <v>33.5655</v>
      </c>
    </row>
    <row r="10008" spans="4:16" x14ac:dyDescent="0.2">
      <c r="D10008">
        <v>100005991</v>
      </c>
      <c r="E10008" s="49">
        <v>44839</v>
      </c>
      <c r="F10008" t="s">
        <v>6961</v>
      </c>
      <c r="G10008" t="s">
        <v>1985</v>
      </c>
      <c r="H10008">
        <v>2</v>
      </c>
      <c r="I10008">
        <v>42.71</v>
      </c>
      <c r="J10008" s="50">
        <v>85.42</v>
      </c>
      <c r="K10008" t="s">
        <v>1632</v>
      </c>
      <c r="M10008" t="s">
        <v>1624</v>
      </c>
      <c r="N10008">
        <v>22.54</v>
      </c>
      <c r="O10008" s="49">
        <v>44842</v>
      </c>
      <c r="P10008" s="50">
        <v>38.439</v>
      </c>
    </row>
    <row r="10009" spans="4:16" x14ac:dyDescent="0.2">
      <c r="D10009">
        <v>100005994</v>
      </c>
      <c r="E10009" s="49">
        <v>45323</v>
      </c>
      <c r="F10009" t="s">
        <v>6962</v>
      </c>
      <c r="G10009" t="s">
        <v>2096</v>
      </c>
      <c r="H10009">
        <v>1</v>
      </c>
      <c r="I10009">
        <v>58.82</v>
      </c>
      <c r="J10009" s="50">
        <v>58.82</v>
      </c>
      <c r="K10009" t="s">
        <v>1632</v>
      </c>
      <c r="M10009" t="s">
        <v>1627</v>
      </c>
      <c r="N10009">
        <v>31.04</v>
      </c>
      <c r="O10009" s="49">
        <v>45325</v>
      </c>
      <c r="P10009" s="50">
        <v>26.469000000000001</v>
      </c>
    </row>
    <row r="10010" spans="4:16" x14ac:dyDescent="0.2">
      <c r="D10010">
        <v>100005994</v>
      </c>
      <c r="E10010" s="49">
        <v>44497</v>
      </c>
      <c r="F10010" t="s">
        <v>6962</v>
      </c>
      <c r="G10010" t="s">
        <v>1731</v>
      </c>
      <c r="H10010">
        <v>2</v>
      </c>
      <c r="I10010">
        <v>30.9</v>
      </c>
      <c r="J10010" s="50">
        <v>61.8</v>
      </c>
      <c r="K10010" t="s">
        <v>1632</v>
      </c>
      <c r="M10010" t="s">
        <v>1624</v>
      </c>
      <c r="N10010">
        <v>16.309999999999999</v>
      </c>
      <c r="O10010" s="49">
        <v>44501</v>
      </c>
      <c r="P10010" s="50">
        <v>27.81</v>
      </c>
    </row>
    <row r="10011" spans="4:16" x14ac:dyDescent="0.2">
      <c r="D10011">
        <v>100005995</v>
      </c>
      <c r="E10011" s="49">
        <v>45444</v>
      </c>
      <c r="F10011" t="s">
        <v>6963</v>
      </c>
      <c r="G10011" t="s">
        <v>2514</v>
      </c>
      <c r="H10011">
        <v>5</v>
      </c>
      <c r="I10011">
        <v>74.459999999999994</v>
      </c>
      <c r="J10011" s="50">
        <v>372.3</v>
      </c>
      <c r="K10011" t="s">
        <v>1632</v>
      </c>
      <c r="M10011" t="s">
        <v>1629</v>
      </c>
      <c r="N10011">
        <v>39.299999999999997</v>
      </c>
      <c r="O10011" s="49">
        <v>45449</v>
      </c>
      <c r="P10011" s="50">
        <v>167.535</v>
      </c>
    </row>
    <row r="10012" spans="4:16" x14ac:dyDescent="0.2">
      <c r="D10012">
        <v>100005995</v>
      </c>
      <c r="E10012" s="49">
        <v>44511</v>
      </c>
      <c r="F10012" t="s">
        <v>6963</v>
      </c>
      <c r="G10012" t="s">
        <v>1819</v>
      </c>
      <c r="H10012">
        <v>5</v>
      </c>
      <c r="I10012">
        <v>81.56</v>
      </c>
      <c r="J10012" s="50">
        <v>407.8</v>
      </c>
      <c r="K10012" t="s">
        <v>1632</v>
      </c>
      <c r="M10012" t="s">
        <v>1624</v>
      </c>
      <c r="N10012">
        <v>43.05</v>
      </c>
      <c r="O10012" s="49">
        <v>44516</v>
      </c>
      <c r="P10012" s="50">
        <v>183.51000000000002</v>
      </c>
    </row>
    <row r="10013" spans="4:16" x14ac:dyDescent="0.2">
      <c r="D10013">
        <v>100005998</v>
      </c>
      <c r="E10013" s="49">
        <v>44690</v>
      </c>
      <c r="F10013" t="s">
        <v>3553</v>
      </c>
      <c r="G10013" t="s">
        <v>1655</v>
      </c>
      <c r="H10013">
        <v>6</v>
      </c>
      <c r="I10013">
        <v>17.27</v>
      </c>
      <c r="J10013" s="50">
        <v>103.62</v>
      </c>
      <c r="K10013" t="s">
        <v>1618</v>
      </c>
      <c r="M10013" t="s">
        <v>1629</v>
      </c>
      <c r="N10013">
        <v>9.11</v>
      </c>
      <c r="O10013" s="49">
        <v>44695</v>
      </c>
      <c r="P10013" s="50">
        <v>46.629000000000005</v>
      </c>
    </row>
    <row r="10014" spans="4:16" x14ac:dyDescent="0.2">
      <c r="D10014">
        <v>100005998</v>
      </c>
      <c r="E10014" s="49">
        <v>44726</v>
      </c>
      <c r="F10014" t="s">
        <v>3553</v>
      </c>
      <c r="G10014" t="s">
        <v>2628</v>
      </c>
      <c r="H10014">
        <v>10</v>
      </c>
      <c r="I10014">
        <v>109.79</v>
      </c>
      <c r="J10014" s="50">
        <v>1097.9000000000001</v>
      </c>
      <c r="K10014" t="s">
        <v>1618</v>
      </c>
      <c r="M10014" t="s">
        <v>1629</v>
      </c>
      <c r="N10014">
        <v>57.94</v>
      </c>
      <c r="O10014" s="49">
        <v>44729</v>
      </c>
      <c r="P10014" s="50">
        <v>494.05500000000006</v>
      </c>
    </row>
    <row r="10015" spans="4:16" x14ac:dyDescent="0.2">
      <c r="D10015">
        <v>100005998</v>
      </c>
      <c r="E10015" s="49">
        <v>45511</v>
      </c>
      <c r="F10015" t="s">
        <v>3553</v>
      </c>
      <c r="G10015" t="s">
        <v>2628</v>
      </c>
      <c r="H10015">
        <v>2</v>
      </c>
      <c r="I10015">
        <v>93.79</v>
      </c>
      <c r="J10015" s="50">
        <v>187.58</v>
      </c>
      <c r="K10015" t="s">
        <v>1618</v>
      </c>
      <c r="M10015" t="s">
        <v>1619</v>
      </c>
      <c r="N10015">
        <v>49.5</v>
      </c>
      <c r="O10015" s="49">
        <v>45515</v>
      </c>
      <c r="P10015" s="50">
        <v>84.411000000000001</v>
      </c>
    </row>
    <row r="10016" spans="4:16" x14ac:dyDescent="0.2">
      <c r="D10016">
        <v>100005998</v>
      </c>
      <c r="E10016" s="49">
        <v>44962</v>
      </c>
      <c r="F10016" t="s">
        <v>3553</v>
      </c>
      <c r="G10016" t="s">
        <v>1947</v>
      </c>
      <c r="H10016">
        <v>4</v>
      </c>
      <c r="I10016">
        <v>24.68</v>
      </c>
      <c r="J10016" s="50">
        <v>98.72</v>
      </c>
      <c r="K10016" t="s">
        <v>1618</v>
      </c>
      <c r="M10016" t="s">
        <v>1624</v>
      </c>
      <c r="N10016">
        <v>13.03</v>
      </c>
      <c r="O10016" s="49">
        <v>44967</v>
      </c>
      <c r="P10016" s="50">
        <v>44.423999999999999</v>
      </c>
    </row>
    <row r="10017" spans="4:16" x14ac:dyDescent="0.2">
      <c r="D10017">
        <v>100005998</v>
      </c>
      <c r="E10017" s="49">
        <v>45556</v>
      </c>
      <c r="F10017" t="s">
        <v>3553</v>
      </c>
      <c r="G10017" t="s">
        <v>2553</v>
      </c>
      <c r="H10017">
        <v>10</v>
      </c>
      <c r="I10017">
        <v>58.15</v>
      </c>
      <c r="J10017" s="50">
        <v>581.5</v>
      </c>
      <c r="K10017" t="s">
        <v>1618</v>
      </c>
      <c r="M10017" t="s">
        <v>1621</v>
      </c>
      <c r="N10017">
        <v>30.69</v>
      </c>
      <c r="O10017" s="49">
        <v>45557</v>
      </c>
      <c r="P10017" s="50">
        <v>261.67500000000001</v>
      </c>
    </row>
    <row r="10018" spans="4:16" x14ac:dyDescent="0.2">
      <c r="D10018">
        <v>100005998</v>
      </c>
      <c r="E10018" s="49">
        <v>44692</v>
      </c>
      <c r="F10018" t="s">
        <v>3553</v>
      </c>
      <c r="G10018" t="s">
        <v>2116</v>
      </c>
      <c r="H10018">
        <v>2</v>
      </c>
      <c r="I10018">
        <v>59.02</v>
      </c>
      <c r="J10018" s="50">
        <v>118.04</v>
      </c>
      <c r="K10018" t="s">
        <v>1618</v>
      </c>
      <c r="M10018" t="s">
        <v>1629</v>
      </c>
      <c r="N10018">
        <v>31.15</v>
      </c>
      <c r="O10018" s="49">
        <v>44693</v>
      </c>
      <c r="P10018" s="50">
        <v>53.118000000000002</v>
      </c>
    </row>
    <row r="10019" spans="4:16" x14ac:dyDescent="0.2">
      <c r="D10019">
        <v>100005998</v>
      </c>
      <c r="E10019" s="49">
        <v>45346</v>
      </c>
      <c r="F10019" t="s">
        <v>3553</v>
      </c>
      <c r="G10019" t="s">
        <v>1901</v>
      </c>
      <c r="H10019">
        <v>9</v>
      </c>
      <c r="I10019">
        <v>88.97</v>
      </c>
      <c r="J10019" s="50">
        <v>800.73</v>
      </c>
      <c r="K10019" t="s">
        <v>1618</v>
      </c>
      <c r="M10019" t="s">
        <v>1621</v>
      </c>
      <c r="N10019">
        <v>46.96</v>
      </c>
      <c r="O10019" s="49">
        <v>45349</v>
      </c>
      <c r="P10019" s="50">
        <v>360.32850000000002</v>
      </c>
    </row>
    <row r="10020" spans="4:16" x14ac:dyDescent="0.2">
      <c r="D10020">
        <v>100005998</v>
      </c>
      <c r="E10020" s="49">
        <v>44340</v>
      </c>
      <c r="F10020" t="s">
        <v>3553</v>
      </c>
      <c r="G10020" t="s">
        <v>1623</v>
      </c>
      <c r="H10020">
        <v>9</v>
      </c>
      <c r="I10020">
        <v>29.31</v>
      </c>
      <c r="J10020" s="50">
        <v>263.79000000000002</v>
      </c>
      <c r="K10020" t="s">
        <v>1618</v>
      </c>
      <c r="M10020" t="s">
        <v>1624</v>
      </c>
      <c r="N10020">
        <v>15.47</v>
      </c>
      <c r="O10020" s="49">
        <v>44344</v>
      </c>
      <c r="P10020" s="50">
        <v>118.70550000000001</v>
      </c>
    </row>
    <row r="10021" spans="4:16" x14ac:dyDescent="0.2">
      <c r="D10021">
        <v>100005998</v>
      </c>
      <c r="E10021" s="49">
        <v>44990</v>
      </c>
      <c r="F10021" t="s">
        <v>3553</v>
      </c>
      <c r="G10021" t="s">
        <v>2182</v>
      </c>
      <c r="H10021">
        <v>7</v>
      </c>
      <c r="I10021">
        <v>32.71</v>
      </c>
      <c r="J10021" s="50">
        <v>228.97</v>
      </c>
      <c r="K10021" t="s">
        <v>1618</v>
      </c>
      <c r="M10021" t="s">
        <v>1627</v>
      </c>
      <c r="N10021">
        <v>17.260000000000002</v>
      </c>
      <c r="O10021" s="49">
        <v>44992</v>
      </c>
      <c r="P10021" s="50">
        <v>103.0365</v>
      </c>
    </row>
    <row r="10022" spans="4:16" x14ac:dyDescent="0.2">
      <c r="D10022">
        <v>100005999</v>
      </c>
      <c r="E10022" s="49">
        <v>45487</v>
      </c>
      <c r="F10022" t="s">
        <v>6964</v>
      </c>
      <c r="G10022" t="s">
        <v>1939</v>
      </c>
      <c r="H10022">
        <v>10</v>
      </c>
      <c r="I10022">
        <v>65.069999999999993</v>
      </c>
      <c r="J10022" s="50">
        <v>650.69999999999993</v>
      </c>
      <c r="K10022" t="s">
        <v>1618</v>
      </c>
      <c r="M10022" t="s">
        <v>1629</v>
      </c>
      <c r="N10022">
        <v>34.340000000000003</v>
      </c>
      <c r="O10022" s="49">
        <v>45491</v>
      </c>
      <c r="P10022" s="50">
        <v>292.815</v>
      </c>
    </row>
    <row r="10023" spans="4:16" x14ac:dyDescent="0.2">
      <c r="D10023">
        <v>100005999</v>
      </c>
      <c r="E10023" s="49">
        <v>45050</v>
      </c>
      <c r="F10023" t="s">
        <v>6964</v>
      </c>
      <c r="G10023" t="s">
        <v>2240</v>
      </c>
      <c r="H10023">
        <v>10</v>
      </c>
      <c r="I10023">
        <v>46.83</v>
      </c>
      <c r="J10023" s="50">
        <v>468.3</v>
      </c>
      <c r="K10023" t="s">
        <v>1618</v>
      </c>
      <c r="M10023" t="s">
        <v>1629</v>
      </c>
      <c r="N10023">
        <v>24.72</v>
      </c>
      <c r="O10023" s="49">
        <v>45053</v>
      </c>
      <c r="P10023" s="50">
        <v>210.73500000000001</v>
      </c>
    </row>
    <row r="10024" spans="4:16" x14ac:dyDescent="0.2">
      <c r="D10024">
        <v>100005999</v>
      </c>
      <c r="E10024" s="49">
        <v>45467</v>
      </c>
      <c r="F10024" t="s">
        <v>6964</v>
      </c>
      <c r="G10024" t="s">
        <v>2057</v>
      </c>
      <c r="H10024">
        <v>6</v>
      </c>
      <c r="I10024">
        <v>111.4</v>
      </c>
      <c r="J10024" s="50">
        <v>668.40000000000009</v>
      </c>
      <c r="K10024" t="s">
        <v>1618</v>
      </c>
      <c r="M10024" t="s">
        <v>1621</v>
      </c>
      <c r="N10024">
        <v>58.79</v>
      </c>
      <c r="O10024" s="49">
        <v>45472</v>
      </c>
      <c r="P10024" s="50">
        <v>300.78000000000003</v>
      </c>
    </row>
    <row r="10025" spans="4:16" x14ac:dyDescent="0.2">
      <c r="D10025">
        <v>100005999</v>
      </c>
      <c r="E10025" s="49">
        <v>44197</v>
      </c>
      <c r="F10025" t="s">
        <v>6964</v>
      </c>
      <c r="G10025" t="s">
        <v>2192</v>
      </c>
      <c r="H10025">
        <v>7</v>
      </c>
      <c r="I10025">
        <v>10.19</v>
      </c>
      <c r="J10025" s="50">
        <v>71.33</v>
      </c>
      <c r="K10025" t="s">
        <v>1618</v>
      </c>
      <c r="M10025" t="s">
        <v>1621</v>
      </c>
      <c r="N10025">
        <v>5.38</v>
      </c>
      <c r="O10025" s="49">
        <v>44202</v>
      </c>
      <c r="P10025" s="50">
        <v>32.098500000000001</v>
      </c>
    </row>
    <row r="10026" spans="4:16" x14ac:dyDescent="0.2">
      <c r="D10026">
        <v>100005999</v>
      </c>
      <c r="E10026" s="49">
        <v>45289</v>
      </c>
      <c r="F10026" t="s">
        <v>6964</v>
      </c>
      <c r="G10026" t="s">
        <v>2198</v>
      </c>
      <c r="H10026">
        <v>6</v>
      </c>
      <c r="I10026">
        <v>111.43</v>
      </c>
      <c r="J10026" s="50">
        <v>668.58</v>
      </c>
      <c r="K10026" t="s">
        <v>1618</v>
      </c>
      <c r="M10026" t="s">
        <v>1619</v>
      </c>
      <c r="N10026">
        <v>58.81</v>
      </c>
      <c r="O10026" s="49">
        <v>45293</v>
      </c>
      <c r="P10026" s="50">
        <v>300.86100000000005</v>
      </c>
    </row>
    <row r="10027" spans="4:16" x14ac:dyDescent="0.2">
      <c r="D10027">
        <v>100005999</v>
      </c>
      <c r="E10027" s="49">
        <v>44813</v>
      </c>
      <c r="F10027" t="s">
        <v>6964</v>
      </c>
      <c r="G10027" t="s">
        <v>1807</v>
      </c>
      <c r="H10027">
        <v>1</v>
      </c>
      <c r="I10027">
        <v>88.31</v>
      </c>
      <c r="J10027" s="50">
        <v>88.31</v>
      </c>
      <c r="K10027" t="s">
        <v>1618</v>
      </c>
      <c r="M10027" t="s">
        <v>1624</v>
      </c>
      <c r="N10027">
        <v>46.61</v>
      </c>
      <c r="O10027" s="49">
        <v>44815</v>
      </c>
      <c r="P10027" s="50">
        <v>39.7395</v>
      </c>
    </row>
    <row r="10028" spans="4:16" x14ac:dyDescent="0.2">
      <c r="D10028">
        <v>100005999</v>
      </c>
      <c r="E10028" s="49">
        <v>45090</v>
      </c>
      <c r="F10028" t="s">
        <v>6964</v>
      </c>
      <c r="G10028" t="s">
        <v>1950</v>
      </c>
      <c r="H10028">
        <v>10</v>
      </c>
      <c r="I10028">
        <v>88.91</v>
      </c>
      <c r="J10028" s="50">
        <v>889.09999999999991</v>
      </c>
      <c r="K10028" t="s">
        <v>1618</v>
      </c>
      <c r="M10028" t="s">
        <v>1629</v>
      </c>
      <c r="N10028">
        <v>46.92</v>
      </c>
      <c r="O10028" s="49">
        <v>45091</v>
      </c>
      <c r="P10028" s="50">
        <v>400.09499999999997</v>
      </c>
    </row>
    <row r="10029" spans="4:16" x14ac:dyDescent="0.2">
      <c r="D10029">
        <v>100005999</v>
      </c>
      <c r="E10029" s="49">
        <v>44580</v>
      </c>
      <c r="F10029" t="s">
        <v>6964</v>
      </c>
      <c r="G10029" t="s">
        <v>2161</v>
      </c>
      <c r="H10029">
        <v>3</v>
      </c>
      <c r="I10029">
        <v>57.4</v>
      </c>
      <c r="J10029" s="50">
        <v>172.2</v>
      </c>
      <c r="K10029" t="s">
        <v>1618</v>
      </c>
      <c r="M10029" t="s">
        <v>1627</v>
      </c>
      <c r="N10029">
        <v>30.29</v>
      </c>
      <c r="O10029" s="49">
        <v>44582</v>
      </c>
      <c r="P10029" s="50">
        <v>77.489999999999995</v>
      </c>
    </row>
    <row r="10030" spans="4:16" x14ac:dyDescent="0.2">
      <c r="D10030">
        <v>100006000</v>
      </c>
      <c r="E10030" s="49">
        <v>45378</v>
      </c>
      <c r="F10030" t="s">
        <v>6081</v>
      </c>
      <c r="G10030" t="s">
        <v>2465</v>
      </c>
      <c r="H10030">
        <v>8</v>
      </c>
      <c r="I10030">
        <v>103.42</v>
      </c>
      <c r="J10030" s="50">
        <v>827.36</v>
      </c>
      <c r="K10030" t="s">
        <v>1632</v>
      </c>
      <c r="L10030" t="s">
        <v>4988</v>
      </c>
      <c r="M10030" t="s">
        <v>1627</v>
      </c>
      <c r="N10030">
        <v>54.58</v>
      </c>
      <c r="O10030" s="49">
        <v>45383</v>
      </c>
      <c r="P10030" s="50">
        <v>372.31200000000001</v>
      </c>
    </row>
    <row r="10031" spans="4:16" x14ac:dyDescent="0.2">
      <c r="D10031">
        <v>100006001</v>
      </c>
      <c r="E10031" s="49">
        <v>44663</v>
      </c>
      <c r="F10031" t="s">
        <v>6965</v>
      </c>
      <c r="G10031" t="s">
        <v>1650</v>
      </c>
      <c r="H10031">
        <v>3</v>
      </c>
      <c r="I10031">
        <v>12.03</v>
      </c>
      <c r="J10031" s="50">
        <v>36.090000000000003</v>
      </c>
      <c r="K10031" t="s">
        <v>1632</v>
      </c>
      <c r="M10031" t="s">
        <v>1627</v>
      </c>
      <c r="N10031">
        <v>6.35</v>
      </c>
      <c r="O10031" s="49">
        <v>44667</v>
      </c>
      <c r="P10031" s="50">
        <v>16.240500000000001</v>
      </c>
    </row>
    <row r="10032" spans="4:16" x14ac:dyDescent="0.2">
      <c r="D10032">
        <v>100006003</v>
      </c>
      <c r="E10032" s="49">
        <v>45611</v>
      </c>
      <c r="F10032" t="s">
        <v>6966</v>
      </c>
      <c r="G10032" t="s">
        <v>2416</v>
      </c>
      <c r="H10032">
        <v>7</v>
      </c>
      <c r="I10032">
        <v>108.32</v>
      </c>
      <c r="J10032" s="50">
        <v>758.24</v>
      </c>
      <c r="K10032" t="s">
        <v>1618</v>
      </c>
      <c r="M10032" t="s">
        <v>1627</v>
      </c>
      <c r="N10032">
        <v>57.17</v>
      </c>
      <c r="O10032" s="49">
        <v>45615</v>
      </c>
      <c r="P10032" s="50">
        <v>341.20800000000003</v>
      </c>
    </row>
    <row r="10033" spans="4:16" x14ac:dyDescent="0.2">
      <c r="D10033">
        <v>100006004</v>
      </c>
      <c r="E10033" s="49">
        <v>44256</v>
      </c>
      <c r="F10033" t="s">
        <v>6967</v>
      </c>
      <c r="G10033" t="s">
        <v>1686</v>
      </c>
      <c r="H10033">
        <v>1</v>
      </c>
      <c r="I10033">
        <v>44.61</v>
      </c>
      <c r="J10033" s="50">
        <v>44.61</v>
      </c>
      <c r="K10033" t="s">
        <v>1618</v>
      </c>
      <c r="L10033" t="s">
        <v>6528</v>
      </c>
      <c r="M10033" t="s">
        <v>1621</v>
      </c>
      <c r="N10033">
        <v>23.54</v>
      </c>
      <c r="O10033" s="49">
        <v>44258</v>
      </c>
      <c r="P10033" s="50">
        <v>20.0745</v>
      </c>
    </row>
    <row r="10034" spans="4:16" x14ac:dyDescent="0.2">
      <c r="D10034">
        <v>100006004</v>
      </c>
      <c r="E10034" s="49">
        <v>44306</v>
      </c>
      <c r="F10034" t="s">
        <v>6967</v>
      </c>
      <c r="G10034" t="s">
        <v>1799</v>
      </c>
      <c r="H10034">
        <v>7</v>
      </c>
      <c r="I10034">
        <v>113.16</v>
      </c>
      <c r="J10034" s="50">
        <v>792.12</v>
      </c>
      <c r="K10034" t="s">
        <v>1618</v>
      </c>
      <c r="L10034" t="s">
        <v>6528</v>
      </c>
      <c r="M10034" t="s">
        <v>1621</v>
      </c>
      <c r="N10034">
        <v>59.72</v>
      </c>
      <c r="O10034" s="49">
        <v>44311</v>
      </c>
      <c r="P10034" s="50">
        <v>356.45400000000001</v>
      </c>
    </row>
    <row r="10035" spans="4:16" x14ac:dyDescent="0.2">
      <c r="D10035">
        <v>100006005</v>
      </c>
      <c r="E10035" s="49">
        <v>45264</v>
      </c>
      <c r="F10035" t="s">
        <v>6968</v>
      </c>
      <c r="G10035" t="s">
        <v>1895</v>
      </c>
      <c r="H10035">
        <v>4</v>
      </c>
      <c r="I10035">
        <v>46.95</v>
      </c>
      <c r="J10035" s="50">
        <v>187.8</v>
      </c>
      <c r="K10035" t="s">
        <v>1632</v>
      </c>
      <c r="M10035" t="s">
        <v>1619</v>
      </c>
      <c r="N10035">
        <v>24.78</v>
      </c>
      <c r="O10035" s="49">
        <v>45265</v>
      </c>
      <c r="P10035" s="50">
        <v>84.51</v>
      </c>
    </row>
    <row r="10036" spans="4:16" x14ac:dyDescent="0.2">
      <c r="D10036">
        <v>100006005</v>
      </c>
      <c r="E10036" s="49">
        <v>44829</v>
      </c>
      <c r="F10036" t="s">
        <v>6968</v>
      </c>
      <c r="G10036" t="s">
        <v>1834</v>
      </c>
      <c r="H10036">
        <v>5</v>
      </c>
      <c r="I10036">
        <v>100.08</v>
      </c>
      <c r="J10036" s="50">
        <v>500.4</v>
      </c>
      <c r="K10036" t="s">
        <v>1632</v>
      </c>
      <c r="M10036" t="s">
        <v>1629</v>
      </c>
      <c r="N10036">
        <v>52.82</v>
      </c>
      <c r="O10036" s="49">
        <v>44830</v>
      </c>
      <c r="P10036" s="50">
        <v>225.18</v>
      </c>
    </row>
    <row r="10037" spans="4:16" x14ac:dyDescent="0.2">
      <c r="D10037">
        <v>100006005</v>
      </c>
      <c r="E10037" s="49">
        <v>44673</v>
      </c>
      <c r="F10037" t="s">
        <v>6968</v>
      </c>
      <c r="G10037" t="s">
        <v>2420</v>
      </c>
      <c r="H10037">
        <v>4</v>
      </c>
      <c r="I10037">
        <v>75.53</v>
      </c>
      <c r="J10037" s="50">
        <v>302.12</v>
      </c>
      <c r="K10037" t="s">
        <v>1632</v>
      </c>
      <c r="M10037" t="s">
        <v>1624</v>
      </c>
      <c r="N10037">
        <v>39.86</v>
      </c>
      <c r="O10037" s="49">
        <v>44675</v>
      </c>
      <c r="P10037" s="50">
        <v>135.95400000000001</v>
      </c>
    </row>
    <row r="10038" spans="4:16" x14ac:dyDescent="0.2">
      <c r="D10038">
        <v>100006006</v>
      </c>
      <c r="E10038" s="49">
        <v>45330</v>
      </c>
      <c r="F10038" t="s">
        <v>6969</v>
      </c>
      <c r="G10038" t="s">
        <v>1636</v>
      </c>
      <c r="H10038">
        <v>6</v>
      </c>
      <c r="I10038">
        <v>66.75</v>
      </c>
      <c r="J10038" s="50">
        <v>400.5</v>
      </c>
      <c r="K10038" t="s">
        <v>1632</v>
      </c>
      <c r="L10038" t="s">
        <v>2711</v>
      </c>
      <c r="M10038" t="s">
        <v>1629</v>
      </c>
      <c r="N10038">
        <v>35.229999999999997</v>
      </c>
      <c r="O10038" s="49">
        <v>45331</v>
      </c>
      <c r="P10038" s="50">
        <v>180.22499999999999</v>
      </c>
    </row>
    <row r="10039" spans="4:16" x14ac:dyDescent="0.2">
      <c r="D10039">
        <v>100006006</v>
      </c>
      <c r="E10039" s="49">
        <v>44875</v>
      </c>
      <c r="F10039" t="s">
        <v>6969</v>
      </c>
      <c r="G10039" t="s">
        <v>1975</v>
      </c>
      <c r="H10039">
        <v>3</v>
      </c>
      <c r="I10039">
        <v>119.49</v>
      </c>
      <c r="J10039" s="50">
        <v>358.47</v>
      </c>
      <c r="K10039" t="s">
        <v>1632</v>
      </c>
      <c r="L10039" t="s">
        <v>2711</v>
      </c>
      <c r="M10039" t="s">
        <v>1621</v>
      </c>
      <c r="N10039">
        <v>63.06</v>
      </c>
      <c r="O10039" s="49">
        <v>44878</v>
      </c>
      <c r="P10039" s="50">
        <v>161.31150000000002</v>
      </c>
    </row>
    <row r="10040" spans="4:16" x14ac:dyDescent="0.2">
      <c r="D10040">
        <v>100006007</v>
      </c>
      <c r="E10040" s="49">
        <v>44696</v>
      </c>
      <c r="F10040" t="s">
        <v>6970</v>
      </c>
      <c r="G10040" t="s">
        <v>2125</v>
      </c>
      <c r="H10040">
        <v>3</v>
      </c>
      <c r="I10040">
        <v>13.72</v>
      </c>
      <c r="J10040" s="50">
        <v>41.16</v>
      </c>
      <c r="K10040" t="s">
        <v>1618</v>
      </c>
      <c r="M10040" t="s">
        <v>1619</v>
      </c>
      <c r="N10040">
        <v>7.24</v>
      </c>
      <c r="O10040" s="49">
        <v>44699</v>
      </c>
      <c r="P10040" s="50">
        <v>18.521999999999998</v>
      </c>
    </row>
    <row r="10041" spans="4:16" x14ac:dyDescent="0.2">
      <c r="D10041">
        <v>100006007</v>
      </c>
      <c r="E10041" s="49">
        <v>44317</v>
      </c>
      <c r="F10041" t="s">
        <v>6970</v>
      </c>
      <c r="G10041" t="s">
        <v>2198</v>
      </c>
      <c r="H10041">
        <v>6</v>
      </c>
      <c r="I10041">
        <v>27.8</v>
      </c>
      <c r="J10041" s="50">
        <v>166.8</v>
      </c>
      <c r="K10041" t="s">
        <v>1618</v>
      </c>
      <c r="M10041" t="s">
        <v>1624</v>
      </c>
      <c r="N10041">
        <v>14.67</v>
      </c>
      <c r="O10041" s="49">
        <v>44322</v>
      </c>
      <c r="P10041" s="50">
        <v>75.06</v>
      </c>
    </row>
    <row r="10042" spans="4:16" x14ac:dyDescent="0.2">
      <c r="D10042">
        <v>100006007</v>
      </c>
      <c r="E10042" s="49">
        <v>44850</v>
      </c>
      <c r="F10042" t="s">
        <v>6970</v>
      </c>
      <c r="G10042" t="s">
        <v>2174</v>
      </c>
      <c r="H10042">
        <v>9</v>
      </c>
      <c r="I10042">
        <v>31.97</v>
      </c>
      <c r="J10042" s="50">
        <v>287.73</v>
      </c>
      <c r="K10042" t="s">
        <v>1618</v>
      </c>
      <c r="M10042" t="s">
        <v>1627</v>
      </c>
      <c r="N10042">
        <v>16.87</v>
      </c>
      <c r="O10042" s="49">
        <v>44852</v>
      </c>
      <c r="P10042" s="50">
        <v>129.47850000000003</v>
      </c>
    </row>
    <row r="10043" spans="4:16" x14ac:dyDescent="0.2">
      <c r="D10043">
        <v>100006008</v>
      </c>
      <c r="E10043" s="49">
        <v>45500</v>
      </c>
      <c r="F10043" t="s">
        <v>6971</v>
      </c>
      <c r="G10043" t="s">
        <v>2603</v>
      </c>
      <c r="H10043">
        <v>1</v>
      </c>
      <c r="I10043">
        <v>95.67</v>
      </c>
      <c r="J10043" s="50">
        <v>95.67</v>
      </c>
      <c r="K10043" t="s">
        <v>1632</v>
      </c>
      <c r="L10043" t="s">
        <v>5383</v>
      </c>
      <c r="M10043" t="s">
        <v>1627</v>
      </c>
      <c r="N10043">
        <v>50.49</v>
      </c>
      <c r="O10043" s="49">
        <v>45505</v>
      </c>
      <c r="P10043" s="50">
        <v>43.051500000000004</v>
      </c>
    </row>
    <row r="10044" spans="4:16" x14ac:dyDescent="0.2">
      <c r="D10044">
        <v>100006008</v>
      </c>
      <c r="E10044" s="49">
        <v>44673</v>
      </c>
      <c r="F10044" t="s">
        <v>6971</v>
      </c>
      <c r="G10044" t="s">
        <v>2065</v>
      </c>
      <c r="H10044">
        <v>8</v>
      </c>
      <c r="I10044">
        <v>24.64</v>
      </c>
      <c r="J10044" s="50">
        <v>197.12</v>
      </c>
      <c r="K10044" t="s">
        <v>1632</v>
      </c>
      <c r="L10044" t="s">
        <v>5383</v>
      </c>
      <c r="M10044" t="s">
        <v>1627</v>
      </c>
      <c r="N10044">
        <v>13</v>
      </c>
      <c r="O10044" s="49">
        <v>44677</v>
      </c>
      <c r="P10044" s="50">
        <v>88.704000000000008</v>
      </c>
    </row>
    <row r="10045" spans="4:16" x14ac:dyDescent="0.2">
      <c r="D10045">
        <v>100006012</v>
      </c>
      <c r="E10045" s="49">
        <v>45598</v>
      </c>
      <c r="F10045" t="s">
        <v>6972</v>
      </c>
      <c r="G10045" t="s">
        <v>1812</v>
      </c>
      <c r="H10045">
        <v>8</v>
      </c>
      <c r="I10045">
        <v>11.41</v>
      </c>
      <c r="J10045" s="50">
        <v>91.28</v>
      </c>
      <c r="K10045" t="s">
        <v>1632</v>
      </c>
      <c r="L10045" t="s">
        <v>3840</v>
      </c>
      <c r="M10045" t="s">
        <v>1624</v>
      </c>
      <c r="N10045">
        <v>6.02</v>
      </c>
      <c r="O10045" s="49">
        <v>45602</v>
      </c>
      <c r="P10045" s="50">
        <v>41.076000000000001</v>
      </c>
    </row>
    <row r="10046" spans="4:16" x14ac:dyDescent="0.2">
      <c r="D10046">
        <v>100006012</v>
      </c>
      <c r="E10046" s="49">
        <v>44919</v>
      </c>
      <c r="F10046" t="s">
        <v>6972</v>
      </c>
      <c r="G10046" t="s">
        <v>1709</v>
      </c>
      <c r="H10046">
        <v>6</v>
      </c>
      <c r="I10046">
        <v>96.16</v>
      </c>
      <c r="J10046" s="50">
        <v>576.96</v>
      </c>
      <c r="K10046" t="s">
        <v>1632</v>
      </c>
      <c r="L10046" t="s">
        <v>3840</v>
      </c>
      <c r="M10046" t="s">
        <v>1627</v>
      </c>
      <c r="N10046">
        <v>50.75</v>
      </c>
      <c r="O10046" s="49">
        <v>44921</v>
      </c>
      <c r="P10046" s="50">
        <v>259.63200000000001</v>
      </c>
    </row>
    <row r="10047" spans="4:16" x14ac:dyDescent="0.2">
      <c r="D10047">
        <v>100006014</v>
      </c>
      <c r="E10047" s="49">
        <v>44448</v>
      </c>
      <c r="F10047" t="s">
        <v>6973</v>
      </c>
      <c r="G10047" t="s">
        <v>2060</v>
      </c>
      <c r="H10047">
        <v>5</v>
      </c>
      <c r="I10047">
        <v>63.15</v>
      </c>
      <c r="J10047" s="50">
        <v>315.75</v>
      </c>
      <c r="K10047" t="s">
        <v>1632</v>
      </c>
      <c r="M10047" t="s">
        <v>1627</v>
      </c>
      <c r="N10047">
        <v>33.33</v>
      </c>
      <c r="O10047" s="49">
        <v>44451</v>
      </c>
      <c r="P10047" s="50">
        <v>142.08750000000001</v>
      </c>
    </row>
    <row r="10048" spans="4:16" x14ac:dyDescent="0.2">
      <c r="D10048">
        <v>100006015</v>
      </c>
      <c r="E10048" s="49">
        <v>44227</v>
      </c>
      <c r="F10048" t="s">
        <v>6974</v>
      </c>
      <c r="G10048" t="s">
        <v>2658</v>
      </c>
      <c r="H10048">
        <v>1</v>
      </c>
      <c r="I10048">
        <v>94.48</v>
      </c>
      <c r="J10048" s="50">
        <v>94.48</v>
      </c>
      <c r="K10048" t="s">
        <v>1632</v>
      </c>
      <c r="L10048" t="s">
        <v>2081</v>
      </c>
      <c r="M10048" t="s">
        <v>1629</v>
      </c>
      <c r="N10048">
        <v>49.86</v>
      </c>
      <c r="O10048" s="49">
        <v>44229</v>
      </c>
      <c r="P10048" s="50">
        <v>42.516000000000005</v>
      </c>
    </row>
    <row r="10049" spans="4:16" x14ac:dyDescent="0.2">
      <c r="D10049">
        <v>100006016</v>
      </c>
      <c r="E10049" s="49">
        <v>45539</v>
      </c>
      <c r="F10049" t="s">
        <v>6975</v>
      </c>
      <c r="G10049" t="s">
        <v>1760</v>
      </c>
      <c r="H10049">
        <v>1</v>
      </c>
      <c r="I10049">
        <v>69.680000000000007</v>
      </c>
      <c r="J10049" s="50">
        <v>69.680000000000007</v>
      </c>
      <c r="K10049" t="s">
        <v>1618</v>
      </c>
      <c r="M10049" t="s">
        <v>1621</v>
      </c>
      <c r="N10049">
        <v>36.78</v>
      </c>
      <c r="O10049" s="49">
        <v>45542</v>
      </c>
      <c r="P10049" s="50">
        <v>31.356000000000005</v>
      </c>
    </row>
    <row r="10050" spans="4:16" x14ac:dyDescent="0.2">
      <c r="D10050">
        <v>100006017</v>
      </c>
      <c r="E10050" s="49">
        <v>44744</v>
      </c>
      <c r="F10050" t="s">
        <v>6976</v>
      </c>
      <c r="G10050" t="s">
        <v>1815</v>
      </c>
      <c r="H10050">
        <v>10</v>
      </c>
      <c r="I10050">
        <v>73.5</v>
      </c>
      <c r="J10050" s="50">
        <v>735</v>
      </c>
      <c r="K10050" t="s">
        <v>1618</v>
      </c>
      <c r="M10050" t="s">
        <v>1629</v>
      </c>
      <c r="N10050">
        <v>38.79</v>
      </c>
      <c r="O10050" s="49">
        <v>44746</v>
      </c>
      <c r="P10050" s="50">
        <v>330.75</v>
      </c>
    </row>
    <row r="10051" spans="4:16" x14ac:dyDescent="0.2">
      <c r="D10051">
        <v>100006017</v>
      </c>
      <c r="E10051" s="49">
        <v>44757</v>
      </c>
      <c r="F10051" t="s">
        <v>6976</v>
      </c>
      <c r="G10051" t="s">
        <v>1851</v>
      </c>
      <c r="H10051">
        <v>2</v>
      </c>
      <c r="I10051">
        <v>43.52</v>
      </c>
      <c r="J10051" s="50">
        <v>87.04</v>
      </c>
      <c r="K10051" t="s">
        <v>1618</v>
      </c>
      <c r="M10051" t="s">
        <v>1629</v>
      </c>
      <c r="N10051">
        <v>22.97</v>
      </c>
      <c r="O10051" s="49">
        <v>44758</v>
      </c>
      <c r="P10051" s="50">
        <v>39.168000000000006</v>
      </c>
    </row>
    <row r="10052" spans="4:16" x14ac:dyDescent="0.2">
      <c r="D10052">
        <v>100006017</v>
      </c>
      <c r="E10052" s="49">
        <v>44465</v>
      </c>
      <c r="F10052" t="s">
        <v>6976</v>
      </c>
      <c r="G10052" t="s">
        <v>1973</v>
      </c>
      <c r="H10052">
        <v>3</v>
      </c>
      <c r="I10052">
        <v>79.290000000000006</v>
      </c>
      <c r="J10052" s="50">
        <v>237.87</v>
      </c>
      <c r="K10052" t="s">
        <v>1618</v>
      </c>
      <c r="M10052" t="s">
        <v>1627</v>
      </c>
      <c r="N10052">
        <v>41.85</v>
      </c>
      <c r="O10052" s="49">
        <v>44470</v>
      </c>
      <c r="P10052" s="50">
        <v>107.0415</v>
      </c>
    </row>
    <row r="10053" spans="4:16" x14ac:dyDescent="0.2">
      <c r="D10053">
        <v>100006017</v>
      </c>
      <c r="E10053" s="49">
        <v>45533</v>
      </c>
      <c r="F10053" t="s">
        <v>6976</v>
      </c>
      <c r="G10053" t="s">
        <v>1695</v>
      </c>
      <c r="H10053">
        <v>9</v>
      </c>
      <c r="I10053">
        <v>119.88</v>
      </c>
      <c r="J10053" s="50">
        <v>1078.92</v>
      </c>
      <c r="K10053" t="s">
        <v>1618</v>
      </c>
      <c r="M10053" t="s">
        <v>1621</v>
      </c>
      <c r="N10053">
        <v>63.27</v>
      </c>
      <c r="O10053" s="49">
        <v>45537</v>
      </c>
      <c r="P10053" s="50">
        <v>485.51400000000007</v>
      </c>
    </row>
    <row r="10054" spans="4:16" x14ac:dyDescent="0.2">
      <c r="D10054">
        <v>100006018</v>
      </c>
      <c r="E10054" s="49">
        <v>44847</v>
      </c>
      <c r="F10054" t="s">
        <v>6977</v>
      </c>
      <c r="G10054" t="s">
        <v>2068</v>
      </c>
      <c r="H10054">
        <v>5</v>
      </c>
      <c r="I10054">
        <v>52.83</v>
      </c>
      <c r="J10054" s="50">
        <v>264.14999999999998</v>
      </c>
      <c r="K10054" t="s">
        <v>1618</v>
      </c>
      <c r="M10054" t="s">
        <v>1624</v>
      </c>
      <c r="N10054">
        <v>27.88</v>
      </c>
      <c r="O10054" s="49">
        <v>44850</v>
      </c>
      <c r="P10054" s="50">
        <v>118.86749999999999</v>
      </c>
    </row>
    <row r="10055" spans="4:16" x14ac:dyDescent="0.2">
      <c r="D10055">
        <v>100006020</v>
      </c>
      <c r="E10055" s="49">
        <v>45457</v>
      </c>
      <c r="F10055" t="s">
        <v>6978</v>
      </c>
      <c r="G10055" t="s">
        <v>1637</v>
      </c>
      <c r="H10055">
        <v>3</v>
      </c>
      <c r="I10055">
        <v>68.28</v>
      </c>
      <c r="J10055" s="50">
        <v>204.84</v>
      </c>
      <c r="K10055" t="s">
        <v>1618</v>
      </c>
      <c r="M10055" t="s">
        <v>1627</v>
      </c>
      <c r="N10055">
        <v>36.04</v>
      </c>
      <c r="O10055" s="49">
        <v>45459</v>
      </c>
      <c r="P10055" s="50">
        <v>92.177999999999997</v>
      </c>
    </row>
    <row r="10056" spans="4:16" x14ac:dyDescent="0.2">
      <c r="D10056">
        <v>100006020</v>
      </c>
      <c r="E10056" s="49">
        <v>44478</v>
      </c>
      <c r="F10056" t="s">
        <v>6978</v>
      </c>
      <c r="G10056" t="s">
        <v>1754</v>
      </c>
      <c r="H10056">
        <v>6</v>
      </c>
      <c r="I10056">
        <v>16.38</v>
      </c>
      <c r="J10056" s="50">
        <v>98.28</v>
      </c>
      <c r="K10056" t="s">
        <v>1618</v>
      </c>
      <c r="M10056" t="s">
        <v>1624</v>
      </c>
      <c r="N10056">
        <v>8.64</v>
      </c>
      <c r="O10056" s="49">
        <v>44481</v>
      </c>
      <c r="P10056" s="50">
        <v>44.225999999999999</v>
      </c>
    </row>
    <row r="10057" spans="4:16" x14ac:dyDescent="0.2">
      <c r="D10057">
        <v>100006022</v>
      </c>
      <c r="E10057" s="49">
        <v>44345</v>
      </c>
      <c r="F10057" t="s">
        <v>6835</v>
      </c>
      <c r="G10057" t="s">
        <v>2706</v>
      </c>
      <c r="H10057">
        <v>4</v>
      </c>
      <c r="I10057">
        <v>104.74</v>
      </c>
      <c r="J10057" s="50">
        <v>418.96</v>
      </c>
      <c r="K10057" t="s">
        <v>1632</v>
      </c>
      <c r="M10057" t="s">
        <v>1627</v>
      </c>
      <c r="N10057">
        <v>55.28</v>
      </c>
      <c r="O10057" s="49">
        <v>44349</v>
      </c>
      <c r="P10057" s="50">
        <v>188.53199999999998</v>
      </c>
    </row>
    <row r="10058" spans="4:16" x14ac:dyDescent="0.2">
      <c r="D10058">
        <v>100006022</v>
      </c>
      <c r="E10058" s="49">
        <v>45351</v>
      </c>
      <c r="F10058" t="s">
        <v>6835</v>
      </c>
      <c r="G10058" t="s">
        <v>2050</v>
      </c>
      <c r="H10058">
        <v>7</v>
      </c>
      <c r="I10058">
        <v>86.52</v>
      </c>
      <c r="J10058" s="50">
        <v>605.64</v>
      </c>
      <c r="K10058" t="s">
        <v>1632</v>
      </c>
      <c r="M10058" t="s">
        <v>1619</v>
      </c>
      <c r="N10058">
        <v>45.66</v>
      </c>
      <c r="O10058" s="49">
        <v>45356</v>
      </c>
      <c r="P10058" s="50">
        <v>272.53800000000001</v>
      </c>
    </row>
    <row r="10059" spans="4:16" x14ac:dyDescent="0.2">
      <c r="D10059">
        <v>100006022</v>
      </c>
      <c r="E10059" s="49">
        <v>45023</v>
      </c>
      <c r="F10059" t="s">
        <v>6835</v>
      </c>
      <c r="G10059" t="s">
        <v>1856</v>
      </c>
      <c r="H10059">
        <v>2</v>
      </c>
      <c r="I10059">
        <v>85.95</v>
      </c>
      <c r="J10059" s="50">
        <v>171.9</v>
      </c>
      <c r="K10059" t="s">
        <v>1632</v>
      </c>
      <c r="M10059" t="s">
        <v>1621</v>
      </c>
      <c r="N10059">
        <v>45.36</v>
      </c>
      <c r="O10059" s="49">
        <v>45026</v>
      </c>
      <c r="P10059" s="50">
        <v>77.355000000000004</v>
      </c>
    </row>
    <row r="10060" spans="4:16" x14ac:dyDescent="0.2">
      <c r="D10060">
        <v>100006022</v>
      </c>
      <c r="E10060" s="49">
        <v>45052</v>
      </c>
      <c r="F10060" t="s">
        <v>6835</v>
      </c>
      <c r="G10060" t="s">
        <v>1842</v>
      </c>
      <c r="H10060">
        <v>2</v>
      </c>
      <c r="I10060">
        <v>29.88</v>
      </c>
      <c r="J10060" s="50">
        <v>59.76</v>
      </c>
      <c r="K10060" t="s">
        <v>1632</v>
      </c>
      <c r="M10060" t="s">
        <v>1627</v>
      </c>
      <c r="N10060">
        <v>15.77</v>
      </c>
      <c r="O10060" s="49">
        <v>45054</v>
      </c>
      <c r="P10060" s="50">
        <v>26.891999999999999</v>
      </c>
    </row>
    <row r="10061" spans="4:16" x14ac:dyDescent="0.2">
      <c r="D10061">
        <v>100006022</v>
      </c>
      <c r="E10061" s="49">
        <v>44309</v>
      </c>
      <c r="F10061" t="s">
        <v>6835</v>
      </c>
      <c r="G10061" t="s">
        <v>1631</v>
      </c>
      <c r="H10061">
        <v>5</v>
      </c>
      <c r="I10061">
        <v>90.84</v>
      </c>
      <c r="J10061" s="50">
        <v>454.2</v>
      </c>
      <c r="K10061" t="s">
        <v>1632</v>
      </c>
      <c r="M10061" t="s">
        <v>1619</v>
      </c>
      <c r="N10061">
        <v>47.94</v>
      </c>
      <c r="O10061" s="49">
        <v>44311</v>
      </c>
      <c r="P10061" s="50">
        <v>204.39</v>
      </c>
    </row>
    <row r="10062" spans="4:16" x14ac:dyDescent="0.2">
      <c r="D10062">
        <v>100006022</v>
      </c>
      <c r="E10062" s="49">
        <v>44774</v>
      </c>
      <c r="F10062" t="s">
        <v>6835</v>
      </c>
      <c r="G10062" t="s">
        <v>1945</v>
      </c>
      <c r="H10062">
        <v>7</v>
      </c>
      <c r="I10062">
        <v>31.83</v>
      </c>
      <c r="J10062" s="50">
        <v>222.81</v>
      </c>
      <c r="K10062" t="s">
        <v>1632</v>
      </c>
      <c r="M10062" t="s">
        <v>1629</v>
      </c>
      <c r="N10062">
        <v>16.8</v>
      </c>
      <c r="O10062" s="49">
        <v>44778</v>
      </c>
      <c r="P10062" s="50">
        <v>100.2645</v>
      </c>
    </row>
    <row r="10063" spans="4:16" x14ac:dyDescent="0.2">
      <c r="D10063">
        <v>100006022</v>
      </c>
      <c r="E10063" s="49">
        <v>45097</v>
      </c>
      <c r="F10063" t="s">
        <v>6835</v>
      </c>
      <c r="G10063" t="s">
        <v>1828</v>
      </c>
      <c r="H10063">
        <v>10</v>
      </c>
      <c r="I10063">
        <v>68.94</v>
      </c>
      <c r="J10063" s="50">
        <v>689.4</v>
      </c>
      <c r="K10063" t="s">
        <v>1632</v>
      </c>
      <c r="M10063" t="s">
        <v>1624</v>
      </c>
      <c r="N10063">
        <v>36.380000000000003</v>
      </c>
      <c r="O10063" s="49">
        <v>45102</v>
      </c>
      <c r="P10063" s="50">
        <v>310.23</v>
      </c>
    </row>
    <row r="10064" spans="4:16" x14ac:dyDescent="0.2">
      <c r="D10064">
        <v>100006022</v>
      </c>
      <c r="E10064" s="49">
        <v>44378</v>
      </c>
      <c r="F10064" t="s">
        <v>6835</v>
      </c>
      <c r="G10064" t="s">
        <v>2068</v>
      </c>
      <c r="H10064">
        <v>7</v>
      </c>
      <c r="I10064">
        <v>112.95</v>
      </c>
      <c r="J10064" s="50">
        <v>790.65</v>
      </c>
      <c r="K10064" t="s">
        <v>1632</v>
      </c>
      <c r="M10064" t="s">
        <v>1619</v>
      </c>
      <c r="N10064">
        <v>59.61</v>
      </c>
      <c r="O10064" s="49">
        <v>44381</v>
      </c>
      <c r="P10064" s="50">
        <v>355.79250000000002</v>
      </c>
    </row>
    <row r="10065" spans="4:16" x14ac:dyDescent="0.2">
      <c r="D10065">
        <v>100006022</v>
      </c>
      <c r="E10065" s="49">
        <v>44725</v>
      </c>
      <c r="F10065" t="s">
        <v>6835</v>
      </c>
      <c r="G10065" t="s">
        <v>1922</v>
      </c>
      <c r="H10065">
        <v>2</v>
      </c>
      <c r="I10065">
        <v>55.43</v>
      </c>
      <c r="J10065" s="50">
        <v>110.86</v>
      </c>
      <c r="K10065" t="s">
        <v>1632</v>
      </c>
      <c r="M10065" t="s">
        <v>1627</v>
      </c>
      <c r="N10065">
        <v>29.25</v>
      </c>
      <c r="O10065" s="49">
        <v>44727</v>
      </c>
      <c r="P10065" s="50">
        <v>49.887</v>
      </c>
    </row>
    <row r="10066" spans="4:16" x14ac:dyDescent="0.2">
      <c r="D10066">
        <v>100006022</v>
      </c>
      <c r="E10066" s="49">
        <v>44346</v>
      </c>
      <c r="F10066" t="s">
        <v>6835</v>
      </c>
      <c r="G10066" t="s">
        <v>1743</v>
      </c>
      <c r="H10066">
        <v>9</v>
      </c>
      <c r="I10066">
        <v>56.57</v>
      </c>
      <c r="J10066" s="50">
        <v>509.13</v>
      </c>
      <c r="K10066" t="s">
        <v>1632</v>
      </c>
      <c r="M10066" t="s">
        <v>1624</v>
      </c>
      <c r="N10066">
        <v>29.86</v>
      </c>
      <c r="O10066" s="49">
        <v>44351</v>
      </c>
      <c r="P10066" s="50">
        <v>229.10849999999999</v>
      </c>
    </row>
    <row r="10067" spans="4:16" x14ac:dyDescent="0.2">
      <c r="D10067">
        <v>100006022</v>
      </c>
      <c r="E10067" s="49">
        <v>45446</v>
      </c>
      <c r="F10067" t="s">
        <v>6835</v>
      </c>
      <c r="G10067" t="s">
        <v>1973</v>
      </c>
      <c r="H10067">
        <v>3</v>
      </c>
      <c r="I10067">
        <v>95.93</v>
      </c>
      <c r="J10067" s="50">
        <v>287.79000000000002</v>
      </c>
      <c r="K10067" t="s">
        <v>1632</v>
      </c>
      <c r="M10067" t="s">
        <v>1624</v>
      </c>
      <c r="N10067">
        <v>50.63</v>
      </c>
      <c r="O10067" s="49">
        <v>45449</v>
      </c>
      <c r="P10067" s="50">
        <v>129.50550000000001</v>
      </c>
    </row>
    <row r="10068" spans="4:16" x14ac:dyDescent="0.2">
      <c r="D10068">
        <v>100006022</v>
      </c>
      <c r="E10068" s="49">
        <v>45101</v>
      </c>
      <c r="F10068" t="s">
        <v>6835</v>
      </c>
      <c r="G10068" t="s">
        <v>1817</v>
      </c>
      <c r="H10068">
        <v>8</v>
      </c>
      <c r="I10068">
        <v>52.26</v>
      </c>
      <c r="J10068" s="50">
        <v>418.08</v>
      </c>
      <c r="K10068" t="s">
        <v>1632</v>
      </c>
      <c r="M10068" t="s">
        <v>1621</v>
      </c>
      <c r="N10068">
        <v>27.58</v>
      </c>
      <c r="O10068" s="49">
        <v>45103</v>
      </c>
      <c r="P10068" s="50">
        <v>188.136</v>
      </c>
    </row>
    <row r="10069" spans="4:16" x14ac:dyDescent="0.2">
      <c r="D10069">
        <v>100006023</v>
      </c>
      <c r="E10069" s="49">
        <v>44932</v>
      </c>
      <c r="F10069" t="s">
        <v>6979</v>
      </c>
      <c r="G10069" t="s">
        <v>1739</v>
      </c>
      <c r="H10069">
        <v>4</v>
      </c>
      <c r="I10069">
        <v>25.41</v>
      </c>
      <c r="J10069" s="50">
        <v>101.64</v>
      </c>
      <c r="K10069" t="s">
        <v>1632</v>
      </c>
      <c r="M10069" t="s">
        <v>1627</v>
      </c>
      <c r="N10069">
        <v>13.41</v>
      </c>
      <c r="O10069" s="49">
        <v>44936</v>
      </c>
      <c r="P10069" s="50">
        <v>45.738</v>
      </c>
    </row>
    <row r="10070" spans="4:16" x14ac:dyDescent="0.2">
      <c r="D10070">
        <v>100006023</v>
      </c>
      <c r="E10070" s="49">
        <v>45097</v>
      </c>
      <c r="F10070" t="s">
        <v>6979</v>
      </c>
      <c r="G10070" t="s">
        <v>1902</v>
      </c>
      <c r="H10070">
        <v>9</v>
      </c>
      <c r="I10070">
        <v>33.909999999999997</v>
      </c>
      <c r="J10070" s="50">
        <v>305.18999999999988</v>
      </c>
      <c r="K10070" t="s">
        <v>1632</v>
      </c>
      <c r="M10070" t="s">
        <v>1624</v>
      </c>
      <c r="N10070">
        <v>17.899999999999999</v>
      </c>
      <c r="O10070" s="49">
        <v>45100</v>
      </c>
      <c r="P10070" s="50">
        <v>137.33549999999994</v>
      </c>
    </row>
    <row r="10071" spans="4:16" x14ac:dyDescent="0.2">
      <c r="D10071">
        <v>100006023</v>
      </c>
      <c r="E10071" s="49">
        <v>44575</v>
      </c>
      <c r="F10071" t="s">
        <v>6979</v>
      </c>
      <c r="G10071" t="s">
        <v>1969</v>
      </c>
      <c r="H10071">
        <v>2</v>
      </c>
      <c r="I10071">
        <v>21.9</v>
      </c>
      <c r="J10071" s="50">
        <v>43.8</v>
      </c>
      <c r="K10071" t="s">
        <v>1632</v>
      </c>
      <c r="M10071" t="s">
        <v>1624</v>
      </c>
      <c r="N10071">
        <v>11.56</v>
      </c>
      <c r="O10071" s="49">
        <v>44577</v>
      </c>
      <c r="P10071" s="50">
        <v>19.71</v>
      </c>
    </row>
    <row r="10072" spans="4:16" x14ac:dyDescent="0.2">
      <c r="D10072">
        <v>100006024</v>
      </c>
      <c r="E10072" s="49">
        <v>44810</v>
      </c>
      <c r="F10072" t="s">
        <v>6980</v>
      </c>
      <c r="G10072" t="s">
        <v>1844</v>
      </c>
      <c r="H10072">
        <v>7</v>
      </c>
      <c r="I10072">
        <v>66.760000000000005</v>
      </c>
      <c r="J10072" s="50">
        <v>467.32000000000011</v>
      </c>
      <c r="K10072" t="s">
        <v>1632</v>
      </c>
      <c r="M10072" t="s">
        <v>1621</v>
      </c>
      <c r="N10072">
        <v>35.229999999999997</v>
      </c>
      <c r="O10072" s="49">
        <v>44814</v>
      </c>
      <c r="P10072" s="50">
        <v>210.29400000000004</v>
      </c>
    </row>
    <row r="10073" spans="4:16" x14ac:dyDescent="0.2">
      <c r="D10073">
        <v>100006024</v>
      </c>
      <c r="E10073" s="49">
        <v>44757</v>
      </c>
      <c r="F10073" t="s">
        <v>6980</v>
      </c>
      <c r="G10073" t="s">
        <v>2071</v>
      </c>
      <c r="H10073">
        <v>3</v>
      </c>
      <c r="I10073">
        <v>26.68</v>
      </c>
      <c r="J10073" s="50">
        <v>80.039999999999992</v>
      </c>
      <c r="K10073" t="s">
        <v>1632</v>
      </c>
      <c r="M10073" t="s">
        <v>1619</v>
      </c>
      <c r="N10073">
        <v>14.08</v>
      </c>
      <c r="O10073" s="49">
        <v>44762</v>
      </c>
      <c r="P10073" s="50">
        <v>36.018000000000001</v>
      </c>
    </row>
    <row r="10074" spans="4:16" x14ac:dyDescent="0.2">
      <c r="D10074">
        <v>100006026</v>
      </c>
      <c r="E10074" s="49">
        <v>44521</v>
      </c>
      <c r="F10074" t="s">
        <v>6981</v>
      </c>
      <c r="G10074" t="s">
        <v>1782</v>
      </c>
      <c r="H10074">
        <v>6</v>
      </c>
      <c r="I10074">
        <v>50.04</v>
      </c>
      <c r="J10074" s="50">
        <v>300.24</v>
      </c>
      <c r="K10074" t="s">
        <v>1632</v>
      </c>
      <c r="M10074" t="s">
        <v>1627</v>
      </c>
      <c r="N10074">
        <v>26.41</v>
      </c>
      <c r="O10074" s="49">
        <v>44526</v>
      </c>
      <c r="P10074" s="50">
        <v>135.108</v>
      </c>
    </row>
    <row r="10075" spans="4:16" x14ac:dyDescent="0.2">
      <c r="D10075">
        <v>100006026</v>
      </c>
      <c r="E10075" s="49">
        <v>44931</v>
      </c>
      <c r="F10075" t="s">
        <v>6981</v>
      </c>
      <c r="G10075" t="s">
        <v>2658</v>
      </c>
      <c r="H10075">
        <v>7</v>
      </c>
      <c r="I10075">
        <v>119.67</v>
      </c>
      <c r="J10075" s="50">
        <v>837.69</v>
      </c>
      <c r="K10075" t="s">
        <v>1632</v>
      </c>
      <c r="M10075" t="s">
        <v>1627</v>
      </c>
      <c r="N10075">
        <v>63.16</v>
      </c>
      <c r="O10075" s="49">
        <v>44932</v>
      </c>
      <c r="P10075" s="50">
        <v>376.96050000000002</v>
      </c>
    </row>
    <row r="10076" spans="4:16" x14ac:dyDescent="0.2">
      <c r="D10076">
        <v>100006027</v>
      </c>
      <c r="E10076" s="49">
        <v>44375</v>
      </c>
      <c r="F10076" t="s">
        <v>6982</v>
      </c>
      <c r="G10076" t="s">
        <v>1820</v>
      </c>
      <c r="H10076">
        <v>5</v>
      </c>
      <c r="I10076">
        <v>32.75</v>
      </c>
      <c r="J10076" s="50">
        <v>163.75</v>
      </c>
      <c r="K10076" t="s">
        <v>1618</v>
      </c>
      <c r="M10076" t="s">
        <v>1629</v>
      </c>
      <c r="N10076">
        <v>17.28</v>
      </c>
      <c r="O10076" s="49">
        <v>44376</v>
      </c>
      <c r="P10076" s="50">
        <v>73.6875</v>
      </c>
    </row>
    <row r="10077" spans="4:16" x14ac:dyDescent="0.2">
      <c r="D10077">
        <v>100006028</v>
      </c>
      <c r="E10077" s="49">
        <v>45343</v>
      </c>
      <c r="F10077" t="s">
        <v>6983</v>
      </c>
      <c r="G10077" t="s">
        <v>2151</v>
      </c>
      <c r="H10077">
        <v>3</v>
      </c>
      <c r="I10077">
        <v>31.35</v>
      </c>
      <c r="J10077" s="50">
        <v>94.050000000000011</v>
      </c>
      <c r="K10077" t="s">
        <v>1618</v>
      </c>
      <c r="M10077" t="s">
        <v>1624</v>
      </c>
      <c r="N10077">
        <v>16.55</v>
      </c>
      <c r="O10077" s="49">
        <v>45345</v>
      </c>
      <c r="P10077" s="50">
        <v>42.322500000000005</v>
      </c>
    </row>
    <row r="10078" spans="4:16" x14ac:dyDescent="0.2">
      <c r="D10078">
        <v>100006029</v>
      </c>
      <c r="E10078" s="49">
        <v>44412</v>
      </c>
      <c r="F10078" t="s">
        <v>6984</v>
      </c>
      <c r="G10078" t="s">
        <v>1669</v>
      </c>
      <c r="H10078">
        <v>8</v>
      </c>
      <c r="I10078">
        <v>33.92</v>
      </c>
      <c r="J10078" s="50">
        <v>271.36</v>
      </c>
      <c r="K10078" t="s">
        <v>1618</v>
      </c>
      <c r="M10078" t="s">
        <v>1629</v>
      </c>
      <c r="N10078">
        <v>17.899999999999999</v>
      </c>
      <c r="O10078" s="49">
        <v>44417</v>
      </c>
      <c r="P10078" s="50">
        <v>122.11200000000001</v>
      </c>
    </row>
    <row r="10079" spans="4:16" x14ac:dyDescent="0.2">
      <c r="D10079">
        <v>100006029</v>
      </c>
      <c r="E10079" s="49">
        <v>45631</v>
      </c>
      <c r="F10079" t="s">
        <v>6984</v>
      </c>
      <c r="G10079" t="s">
        <v>1719</v>
      </c>
      <c r="H10079">
        <v>9</v>
      </c>
      <c r="I10079">
        <v>87.91</v>
      </c>
      <c r="J10079" s="50">
        <v>791.18999999999994</v>
      </c>
      <c r="K10079" t="s">
        <v>1618</v>
      </c>
      <c r="M10079" t="s">
        <v>1624</v>
      </c>
      <c r="N10079">
        <v>46.4</v>
      </c>
      <c r="O10079" s="49">
        <v>45634</v>
      </c>
      <c r="P10079" s="50">
        <v>356.03549999999996</v>
      </c>
    </row>
    <row r="10080" spans="4:16" x14ac:dyDescent="0.2">
      <c r="D10080">
        <v>100006029</v>
      </c>
      <c r="E10080" s="49">
        <v>45650</v>
      </c>
      <c r="F10080" t="s">
        <v>6984</v>
      </c>
      <c r="G10080" t="s">
        <v>2733</v>
      </c>
      <c r="H10080">
        <v>7</v>
      </c>
      <c r="I10080">
        <v>94.86</v>
      </c>
      <c r="J10080" s="50">
        <v>664.02</v>
      </c>
      <c r="K10080" t="s">
        <v>1618</v>
      </c>
      <c r="M10080" t="s">
        <v>1629</v>
      </c>
      <c r="N10080">
        <v>50.06</v>
      </c>
      <c r="O10080" s="49">
        <v>45651</v>
      </c>
      <c r="P10080" s="50">
        <v>298.80900000000003</v>
      </c>
    </row>
    <row r="10081" spans="4:16" x14ac:dyDescent="0.2">
      <c r="D10081">
        <v>100006029</v>
      </c>
      <c r="E10081" s="49">
        <v>45182</v>
      </c>
      <c r="F10081" t="s">
        <v>6984</v>
      </c>
      <c r="G10081" t="s">
        <v>2766</v>
      </c>
      <c r="H10081">
        <v>5</v>
      </c>
      <c r="I10081">
        <v>82.57</v>
      </c>
      <c r="J10081" s="50">
        <v>412.85</v>
      </c>
      <c r="K10081" t="s">
        <v>1618</v>
      </c>
      <c r="M10081" t="s">
        <v>1629</v>
      </c>
      <c r="N10081">
        <v>43.58</v>
      </c>
      <c r="O10081" s="49">
        <v>45185</v>
      </c>
      <c r="P10081" s="50">
        <v>185.78250000000003</v>
      </c>
    </row>
    <row r="10082" spans="4:16" x14ac:dyDescent="0.2">
      <c r="D10082">
        <v>100006031</v>
      </c>
      <c r="E10082" s="49">
        <v>44530</v>
      </c>
      <c r="F10082" t="s">
        <v>6985</v>
      </c>
      <c r="G10082" t="s">
        <v>2088</v>
      </c>
      <c r="H10082">
        <v>4</v>
      </c>
      <c r="I10082">
        <v>78.28</v>
      </c>
      <c r="J10082" s="50">
        <v>313.12</v>
      </c>
      <c r="K10082" t="s">
        <v>1632</v>
      </c>
      <c r="M10082" t="s">
        <v>1619</v>
      </c>
      <c r="N10082">
        <v>41.31</v>
      </c>
      <c r="O10082" s="49">
        <v>44532</v>
      </c>
      <c r="P10082" s="50">
        <v>140.904</v>
      </c>
    </row>
    <row r="10083" spans="4:16" x14ac:dyDescent="0.2">
      <c r="D10083">
        <v>100006034</v>
      </c>
      <c r="E10083" s="49">
        <v>45611</v>
      </c>
      <c r="F10083" t="s">
        <v>5768</v>
      </c>
      <c r="G10083" t="s">
        <v>2603</v>
      </c>
      <c r="H10083">
        <v>9</v>
      </c>
      <c r="I10083">
        <v>74.650000000000006</v>
      </c>
      <c r="J10083" s="50">
        <v>671.85</v>
      </c>
      <c r="K10083" t="s">
        <v>1618</v>
      </c>
      <c r="M10083" t="s">
        <v>1619</v>
      </c>
      <c r="N10083">
        <v>39.4</v>
      </c>
      <c r="O10083" s="49">
        <v>45616</v>
      </c>
      <c r="P10083" s="50">
        <v>302.33250000000004</v>
      </c>
    </row>
    <row r="10084" spans="4:16" x14ac:dyDescent="0.2">
      <c r="D10084">
        <v>100006034</v>
      </c>
      <c r="E10084" s="49">
        <v>44212</v>
      </c>
      <c r="F10084" t="s">
        <v>5768</v>
      </c>
      <c r="G10084" t="s">
        <v>1830</v>
      </c>
      <c r="H10084">
        <v>3</v>
      </c>
      <c r="I10084">
        <v>10.4</v>
      </c>
      <c r="J10084" s="50">
        <v>31.2</v>
      </c>
      <c r="K10084" t="s">
        <v>1618</v>
      </c>
      <c r="M10084" t="s">
        <v>1627</v>
      </c>
      <c r="N10084">
        <v>5.49</v>
      </c>
      <c r="O10084" s="49">
        <v>44215</v>
      </c>
      <c r="P10084" s="50">
        <v>14.04</v>
      </c>
    </row>
    <row r="10085" spans="4:16" x14ac:dyDescent="0.2">
      <c r="D10085">
        <v>100006035</v>
      </c>
      <c r="E10085" s="49">
        <v>45607</v>
      </c>
      <c r="F10085" t="s">
        <v>6986</v>
      </c>
      <c r="G10085" t="s">
        <v>2232</v>
      </c>
      <c r="H10085">
        <v>10</v>
      </c>
      <c r="I10085">
        <v>40.090000000000003</v>
      </c>
      <c r="J10085" s="50">
        <v>400.9</v>
      </c>
      <c r="K10085" t="s">
        <v>1632</v>
      </c>
      <c r="L10085" t="s">
        <v>2755</v>
      </c>
      <c r="M10085" t="s">
        <v>1627</v>
      </c>
      <c r="N10085">
        <v>21.16</v>
      </c>
      <c r="O10085" s="49">
        <v>45612</v>
      </c>
      <c r="P10085" s="50">
        <v>180.405</v>
      </c>
    </row>
    <row r="10086" spans="4:16" x14ac:dyDescent="0.2">
      <c r="D10086">
        <v>100006035</v>
      </c>
      <c r="E10086" s="49">
        <v>44643</v>
      </c>
      <c r="F10086" t="s">
        <v>6986</v>
      </c>
      <c r="G10086" t="s">
        <v>2613</v>
      </c>
      <c r="H10086">
        <v>8</v>
      </c>
      <c r="I10086">
        <v>52.2</v>
      </c>
      <c r="J10086" s="50">
        <v>417.6</v>
      </c>
      <c r="K10086" t="s">
        <v>1632</v>
      </c>
      <c r="L10086" t="s">
        <v>2755</v>
      </c>
      <c r="M10086" t="s">
        <v>1629</v>
      </c>
      <c r="N10086">
        <v>27.55</v>
      </c>
      <c r="O10086" s="49">
        <v>44648</v>
      </c>
      <c r="P10086" s="50">
        <v>187.92000000000002</v>
      </c>
    </row>
    <row r="10087" spans="4:16" x14ac:dyDescent="0.2">
      <c r="D10087">
        <v>100006036</v>
      </c>
      <c r="E10087" s="49">
        <v>44470</v>
      </c>
      <c r="F10087" t="s">
        <v>6987</v>
      </c>
      <c r="G10087" t="s">
        <v>1975</v>
      </c>
      <c r="H10087">
        <v>1</v>
      </c>
      <c r="I10087">
        <v>39.68</v>
      </c>
      <c r="J10087" s="50">
        <v>39.68</v>
      </c>
      <c r="K10087" t="s">
        <v>1632</v>
      </c>
      <c r="M10087" t="s">
        <v>1624</v>
      </c>
      <c r="N10087">
        <v>20.94</v>
      </c>
      <c r="O10087" s="49">
        <v>44473</v>
      </c>
      <c r="P10087" s="50">
        <v>17.856000000000002</v>
      </c>
    </row>
    <row r="10088" spans="4:16" x14ac:dyDescent="0.2">
      <c r="D10088">
        <v>100006036</v>
      </c>
      <c r="E10088" s="49">
        <v>44818</v>
      </c>
      <c r="F10088" t="s">
        <v>6987</v>
      </c>
      <c r="G10088" t="s">
        <v>2574</v>
      </c>
      <c r="H10088">
        <v>2</v>
      </c>
      <c r="I10088">
        <v>62.34</v>
      </c>
      <c r="J10088" s="50">
        <v>124.68</v>
      </c>
      <c r="K10088" t="s">
        <v>1632</v>
      </c>
      <c r="M10088" t="s">
        <v>1629</v>
      </c>
      <c r="N10088">
        <v>32.9</v>
      </c>
      <c r="O10088" s="49">
        <v>44823</v>
      </c>
      <c r="P10088" s="50">
        <v>56.106000000000002</v>
      </c>
    </row>
    <row r="10089" spans="4:16" x14ac:dyDescent="0.2">
      <c r="D10089">
        <v>100006036</v>
      </c>
      <c r="E10089" s="49">
        <v>44606</v>
      </c>
      <c r="F10089" t="s">
        <v>6987</v>
      </c>
      <c r="G10089" t="s">
        <v>1794</v>
      </c>
      <c r="H10089">
        <v>8</v>
      </c>
      <c r="I10089">
        <v>85.39</v>
      </c>
      <c r="J10089" s="50">
        <v>683.12</v>
      </c>
      <c r="K10089" t="s">
        <v>1632</v>
      </c>
      <c r="M10089" t="s">
        <v>1621</v>
      </c>
      <c r="N10089">
        <v>45.07</v>
      </c>
      <c r="O10089" s="49">
        <v>44611</v>
      </c>
      <c r="P10089" s="50">
        <v>307.404</v>
      </c>
    </row>
    <row r="10090" spans="4:16" x14ac:dyDescent="0.2">
      <c r="D10090">
        <v>100006037</v>
      </c>
      <c r="E10090" s="49">
        <v>45006</v>
      </c>
      <c r="F10090" t="s">
        <v>6988</v>
      </c>
      <c r="G10090" t="s">
        <v>2069</v>
      </c>
      <c r="H10090">
        <v>3</v>
      </c>
      <c r="I10090">
        <v>69.680000000000007</v>
      </c>
      <c r="J10090" s="50">
        <v>209.04</v>
      </c>
      <c r="K10090" t="s">
        <v>1632</v>
      </c>
      <c r="M10090" t="s">
        <v>1624</v>
      </c>
      <c r="N10090">
        <v>36.78</v>
      </c>
      <c r="O10090" s="49">
        <v>45009</v>
      </c>
      <c r="P10090" s="50">
        <v>94.067999999999998</v>
      </c>
    </row>
    <row r="10091" spans="4:16" x14ac:dyDescent="0.2">
      <c r="D10091">
        <v>100006037</v>
      </c>
      <c r="E10091" s="49">
        <v>44830</v>
      </c>
      <c r="F10091" t="s">
        <v>6988</v>
      </c>
      <c r="G10091" t="s">
        <v>2418</v>
      </c>
      <c r="H10091">
        <v>8</v>
      </c>
      <c r="I10091">
        <v>84.67</v>
      </c>
      <c r="J10091" s="50">
        <v>677.36</v>
      </c>
      <c r="K10091" t="s">
        <v>1632</v>
      </c>
      <c r="M10091" t="s">
        <v>1619</v>
      </c>
      <c r="N10091">
        <v>44.69</v>
      </c>
      <c r="O10091" s="49">
        <v>44832</v>
      </c>
      <c r="P10091" s="50">
        <v>304.81200000000001</v>
      </c>
    </row>
    <row r="10092" spans="4:16" x14ac:dyDescent="0.2">
      <c r="D10092">
        <v>100006038</v>
      </c>
      <c r="E10092" s="49">
        <v>44444</v>
      </c>
      <c r="F10092" t="s">
        <v>6989</v>
      </c>
      <c r="G10092" t="s">
        <v>1985</v>
      </c>
      <c r="H10092">
        <v>10</v>
      </c>
      <c r="I10092">
        <v>40.729999999999997</v>
      </c>
      <c r="J10092" s="50">
        <v>407.3</v>
      </c>
      <c r="K10092" t="s">
        <v>1632</v>
      </c>
      <c r="M10092" t="s">
        <v>1619</v>
      </c>
      <c r="N10092">
        <v>21.5</v>
      </c>
      <c r="O10092" s="49">
        <v>44445</v>
      </c>
      <c r="P10092" s="50">
        <v>183.285</v>
      </c>
    </row>
    <row r="10093" spans="4:16" x14ac:dyDescent="0.2">
      <c r="D10093">
        <v>100006038</v>
      </c>
      <c r="E10093" s="49">
        <v>45613</v>
      </c>
      <c r="F10093" t="s">
        <v>6989</v>
      </c>
      <c r="G10093" t="s">
        <v>1783</v>
      </c>
      <c r="H10093">
        <v>7</v>
      </c>
      <c r="I10093">
        <v>56.29</v>
      </c>
      <c r="J10093" s="50">
        <v>394.03</v>
      </c>
      <c r="K10093" t="s">
        <v>1632</v>
      </c>
      <c r="M10093" t="s">
        <v>1621</v>
      </c>
      <c r="N10093">
        <v>29.71</v>
      </c>
      <c r="O10093" s="49">
        <v>45617</v>
      </c>
      <c r="P10093" s="50">
        <v>177.3135</v>
      </c>
    </row>
    <row r="10094" spans="4:16" x14ac:dyDescent="0.2">
      <c r="D10094">
        <v>100006038</v>
      </c>
      <c r="E10094" s="49">
        <v>44464</v>
      </c>
      <c r="F10094" t="s">
        <v>6989</v>
      </c>
      <c r="G10094" t="s">
        <v>2101</v>
      </c>
      <c r="H10094">
        <v>6</v>
      </c>
      <c r="I10094">
        <v>31.86</v>
      </c>
      <c r="J10094" s="50">
        <v>191.16</v>
      </c>
      <c r="K10094" t="s">
        <v>1632</v>
      </c>
      <c r="M10094" t="s">
        <v>1619</v>
      </c>
      <c r="N10094">
        <v>16.809999999999999</v>
      </c>
      <c r="O10094" s="49">
        <v>44469</v>
      </c>
      <c r="P10094" s="50">
        <v>86.022000000000006</v>
      </c>
    </row>
    <row r="10095" spans="4:16" x14ac:dyDescent="0.2">
      <c r="D10095">
        <v>100006038</v>
      </c>
      <c r="E10095" s="49">
        <v>44479</v>
      </c>
      <c r="F10095" t="s">
        <v>6989</v>
      </c>
      <c r="G10095" t="s">
        <v>2076</v>
      </c>
      <c r="H10095">
        <v>9</v>
      </c>
      <c r="I10095">
        <v>108.35</v>
      </c>
      <c r="J10095" s="50">
        <v>975.15</v>
      </c>
      <c r="K10095" t="s">
        <v>1632</v>
      </c>
      <c r="M10095" t="s">
        <v>1624</v>
      </c>
      <c r="N10095">
        <v>57.18</v>
      </c>
      <c r="O10095" s="49">
        <v>44484</v>
      </c>
      <c r="P10095" s="50">
        <v>438.8175</v>
      </c>
    </row>
    <row r="10096" spans="4:16" x14ac:dyDescent="0.2">
      <c r="D10096">
        <v>100006039</v>
      </c>
      <c r="E10096" s="49">
        <v>45551</v>
      </c>
      <c r="F10096" t="s">
        <v>6990</v>
      </c>
      <c r="G10096" t="s">
        <v>2158</v>
      </c>
      <c r="H10096">
        <v>10</v>
      </c>
      <c r="I10096">
        <v>56.49</v>
      </c>
      <c r="J10096" s="50">
        <v>564.9</v>
      </c>
      <c r="K10096" t="s">
        <v>1618</v>
      </c>
      <c r="M10096" t="s">
        <v>1629</v>
      </c>
      <c r="N10096">
        <v>29.81</v>
      </c>
      <c r="O10096" s="49">
        <v>45554</v>
      </c>
      <c r="P10096" s="50">
        <v>254.20499999999998</v>
      </c>
    </row>
    <row r="10097" spans="4:16" x14ac:dyDescent="0.2">
      <c r="D10097">
        <v>100006040</v>
      </c>
      <c r="E10097" s="49">
        <v>44628</v>
      </c>
      <c r="F10097" t="s">
        <v>6991</v>
      </c>
      <c r="G10097" t="s">
        <v>2194</v>
      </c>
      <c r="H10097">
        <v>3</v>
      </c>
      <c r="I10097">
        <v>54.47</v>
      </c>
      <c r="J10097" s="50">
        <v>163.41</v>
      </c>
      <c r="K10097" t="s">
        <v>1632</v>
      </c>
      <c r="M10097" t="s">
        <v>1624</v>
      </c>
      <c r="N10097">
        <v>28.75</v>
      </c>
      <c r="O10097" s="49">
        <v>44631</v>
      </c>
      <c r="P10097" s="50">
        <v>73.534499999999994</v>
      </c>
    </row>
    <row r="10098" spans="4:16" x14ac:dyDescent="0.2">
      <c r="D10098">
        <v>100006040</v>
      </c>
      <c r="E10098" s="49">
        <v>44685</v>
      </c>
      <c r="F10098" t="s">
        <v>6991</v>
      </c>
      <c r="G10098" t="s">
        <v>2041</v>
      </c>
      <c r="H10098">
        <v>10</v>
      </c>
      <c r="I10098">
        <v>26.43</v>
      </c>
      <c r="J10098" s="50">
        <v>264.3</v>
      </c>
      <c r="K10098" t="s">
        <v>1632</v>
      </c>
      <c r="M10098" t="s">
        <v>1629</v>
      </c>
      <c r="N10098">
        <v>13.95</v>
      </c>
      <c r="O10098" s="49">
        <v>44687</v>
      </c>
      <c r="P10098" s="50">
        <v>118.935</v>
      </c>
    </row>
    <row r="10099" spans="4:16" x14ac:dyDescent="0.2">
      <c r="D10099">
        <v>100006040</v>
      </c>
      <c r="E10099" s="49">
        <v>45459</v>
      </c>
      <c r="F10099" t="s">
        <v>6991</v>
      </c>
      <c r="G10099" t="s">
        <v>1709</v>
      </c>
      <c r="H10099">
        <v>8</v>
      </c>
      <c r="I10099">
        <v>100.55</v>
      </c>
      <c r="J10099" s="50">
        <v>804.4</v>
      </c>
      <c r="K10099" t="s">
        <v>1632</v>
      </c>
      <c r="M10099" t="s">
        <v>1621</v>
      </c>
      <c r="N10099">
        <v>53.07</v>
      </c>
      <c r="O10099" s="49">
        <v>45463</v>
      </c>
      <c r="P10099" s="50">
        <v>361.98</v>
      </c>
    </row>
    <row r="10100" spans="4:16" x14ac:dyDescent="0.2">
      <c r="D10100">
        <v>100006041</v>
      </c>
      <c r="E10100" s="49">
        <v>45515</v>
      </c>
      <c r="F10100" t="s">
        <v>6992</v>
      </c>
      <c r="G10100" t="s">
        <v>1902</v>
      </c>
      <c r="H10100">
        <v>2</v>
      </c>
      <c r="I10100">
        <v>105.04</v>
      </c>
      <c r="J10100" s="50">
        <v>210.08</v>
      </c>
      <c r="K10100" t="s">
        <v>1618</v>
      </c>
      <c r="L10100" t="s">
        <v>5519</v>
      </c>
      <c r="M10100" t="s">
        <v>1621</v>
      </c>
      <c r="N10100">
        <v>55.44</v>
      </c>
      <c r="O10100" s="49">
        <v>45518</v>
      </c>
      <c r="P10100" s="50">
        <v>94.536000000000001</v>
      </c>
    </row>
    <row r="10101" spans="4:16" x14ac:dyDescent="0.2">
      <c r="D10101">
        <v>100006041</v>
      </c>
      <c r="E10101" s="49">
        <v>44835</v>
      </c>
      <c r="F10101" t="s">
        <v>6992</v>
      </c>
      <c r="G10101" t="s">
        <v>1973</v>
      </c>
      <c r="H10101">
        <v>2</v>
      </c>
      <c r="I10101">
        <v>79.53</v>
      </c>
      <c r="J10101" s="50">
        <v>159.06</v>
      </c>
      <c r="K10101" t="s">
        <v>1618</v>
      </c>
      <c r="L10101" t="s">
        <v>5519</v>
      </c>
      <c r="M10101" t="s">
        <v>1624</v>
      </c>
      <c r="N10101">
        <v>41.97</v>
      </c>
      <c r="O10101" s="49">
        <v>44839</v>
      </c>
      <c r="P10101" s="50">
        <v>71.576999999999998</v>
      </c>
    </row>
    <row r="10102" spans="4:16" x14ac:dyDescent="0.2">
      <c r="D10102">
        <v>100006041</v>
      </c>
      <c r="E10102" s="49">
        <v>44823</v>
      </c>
      <c r="F10102" t="s">
        <v>6992</v>
      </c>
      <c r="G10102" t="s">
        <v>1827</v>
      </c>
      <c r="H10102">
        <v>6</v>
      </c>
      <c r="I10102">
        <v>93.92</v>
      </c>
      <c r="J10102" s="50">
        <v>563.52</v>
      </c>
      <c r="K10102" t="s">
        <v>1618</v>
      </c>
      <c r="L10102" t="s">
        <v>5519</v>
      </c>
      <c r="M10102" t="s">
        <v>1621</v>
      </c>
      <c r="N10102">
        <v>49.57</v>
      </c>
      <c r="O10102" s="49">
        <v>44827</v>
      </c>
      <c r="P10102" s="50">
        <v>253.584</v>
      </c>
    </row>
    <row r="10103" spans="4:16" x14ac:dyDescent="0.2">
      <c r="D10103">
        <v>100006042</v>
      </c>
      <c r="E10103" s="49">
        <v>45194</v>
      </c>
      <c r="F10103" t="s">
        <v>6993</v>
      </c>
      <c r="G10103" t="s">
        <v>2733</v>
      </c>
      <c r="H10103">
        <v>1</v>
      </c>
      <c r="I10103">
        <v>79.459999999999994</v>
      </c>
      <c r="J10103" s="50">
        <v>79.459999999999994</v>
      </c>
      <c r="K10103" t="s">
        <v>1632</v>
      </c>
      <c r="M10103" t="s">
        <v>1619</v>
      </c>
      <c r="N10103">
        <v>41.94</v>
      </c>
      <c r="O10103" s="49">
        <v>45196</v>
      </c>
      <c r="P10103" s="50">
        <v>35.756999999999998</v>
      </c>
    </row>
    <row r="10104" spans="4:16" x14ac:dyDescent="0.2">
      <c r="D10104">
        <v>100006043</v>
      </c>
      <c r="E10104" s="49">
        <v>45055</v>
      </c>
      <c r="F10104" t="s">
        <v>6994</v>
      </c>
      <c r="G10104" t="s">
        <v>2745</v>
      </c>
      <c r="H10104">
        <v>8</v>
      </c>
      <c r="I10104">
        <v>105.65</v>
      </c>
      <c r="J10104" s="50">
        <v>845.2</v>
      </c>
      <c r="K10104" t="s">
        <v>1618</v>
      </c>
      <c r="M10104" t="s">
        <v>1627</v>
      </c>
      <c r="N10104">
        <v>55.76</v>
      </c>
      <c r="O10104" s="49">
        <v>45059</v>
      </c>
      <c r="P10104" s="50">
        <v>380.34000000000003</v>
      </c>
    </row>
    <row r="10105" spans="4:16" x14ac:dyDescent="0.2">
      <c r="D10105">
        <v>100006044</v>
      </c>
      <c r="E10105" s="49">
        <v>45173</v>
      </c>
      <c r="F10105" t="s">
        <v>6995</v>
      </c>
      <c r="G10105" t="s">
        <v>1646</v>
      </c>
      <c r="H10105">
        <v>4</v>
      </c>
      <c r="I10105">
        <v>11.23</v>
      </c>
      <c r="J10105" s="50">
        <v>44.92</v>
      </c>
      <c r="K10105" t="s">
        <v>1618</v>
      </c>
      <c r="M10105" t="s">
        <v>1619</v>
      </c>
      <c r="N10105">
        <v>5.93</v>
      </c>
      <c r="O10105" s="49">
        <v>45178</v>
      </c>
      <c r="P10105" s="50">
        <v>20.214000000000002</v>
      </c>
    </row>
    <row r="10106" spans="4:16" x14ac:dyDescent="0.2">
      <c r="D10106">
        <v>100006044</v>
      </c>
      <c r="E10106" s="49">
        <v>44470</v>
      </c>
      <c r="F10106" t="s">
        <v>6995</v>
      </c>
      <c r="G10106" t="s">
        <v>2387</v>
      </c>
      <c r="H10106">
        <v>6</v>
      </c>
      <c r="I10106">
        <v>93.95</v>
      </c>
      <c r="J10106" s="50">
        <v>563.70000000000005</v>
      </c>
      <c r="K10106" t="s">
        <v>1618</v>
      </c>
      <c r="M10106" t="s">
        <v>1624</v>
      </c>
      <c r="N10106">
        <v>49.58</v>
      </c>
      <c r="O10106" s="49">
        <v>44475</v>
      </c>
      <c r="P10106" s="50">
        <v>253.66500000000002</v>
      </c>
    </row>
    <row r="10107" spans="4:16" x14ac:dyDescent="0.2">
      <c r="D10107">
        <v>100006045</v>
      </c>
      <c r="E10107" s="49">
        <v>45028</v>
      </c>
      <c r="F10107" t="s">
        <v>6996</v>
      </c>
      <c r="G10107" t="s">
        <v>2074</v>
      </c>
      <c r="H10107">
        <v>7</v>
      </c>
      <c r="I10107">
        <v>69.58</v>
      </c>
      <c r="J10107" s="50">
        <v>487.06</v>
      </c>
      <c r="K10107" t="s">
        <v>1618</v>
      </c>
      <c r="M10107" t="s">
        <v>1627</v>
      </c>
      <c r="N10107">
        <v>36.72</v>
      </c>
      <c r="O10107" s="49">
        <v>45033</v>
      </c>
      <c r="P10107" s="50">
        <v>219.17699999999999</v>
      </c>
    </row>
    <row r="10108" spans="4:16" x14ac:dyDescent="0.2">
      <c r="D10108">
        <v>100006046</v>
      </c>
      <c r="E10108" s="49">
        <v>45151</v>
      </c>
      <c r="F10108" t="s">
        <v>6997</v>
      </c>
      <c r="G10108" t="s">
        <v>1820</v>
      </c>
      <c r="H10108">
        <v>3</v>
      </c>
      <c r="I10108">
        <v>26.2</v>
      </c>
      <c r="J10108" s="50">
        <v>78.599999999999994</v>
      </c>
      <c r="K10108" t="s">
        <v>1632</v>
      </c>
      <c r="M10108" t="s">
        <v>1629</v>
      </c>
      <c r="N10108">
        <v>13.83</v>
      </c>
      <c r="O10108" s="49">
        <v>45152</v>
      </c>
      <c r="P10108" s="50">
        <v>35.369999999999997</v>
      </c>
    </row>
    <row r="10109" spans="4:16" x14ac:dyDescent="0.2">
      <c r="D10109">
        <v>100006047</v>
      </c>
      <c r="E10109" s="49">
        <v>44370</v>
      </c>
      <c r="F10109" t="s">
        <v>6998</v>
      </c>
      <c r="G10109" t="s">
        <v>1748</v>
      </c>
      <c r="H10109">
        <v>9</v>
      </c>
      <c r="I10109">
        <v>111.57</v>
      </c>
      <c r="J10109" s="50">
        <v>1004.13</v>
      </c>
      <c r="K10109" t="s">
        <v>1632</v>
      </c>
      <c r="M10109" t="s">
        <v>1627</v>
      </c>
      <c r="N10109">
        <v>58.88</v>
      </c>
      <c r="O10109" s="49">
        <v>44375</v>
      </c>
      <c r="P10109" s="50">
        <v>451.85849999999999</v>
      </c>
    </row>
    <row r="10110" spans="4:16" x14ac:dyDescent="0.2">
      <c r="D10110">
        <v>100006048</v>
      </c>
      <c r="E10110" s="49">
        <v>45185</v>
      </c>
      <c r="F10110" t="s">
        <v>6999</v>
      </c>
      <c r="G10110" t="s">
        <v>1913</v>
      </c>
      <c r="H10110">
        <v>5</v>
      </c>
      <c r="I10110">
        <v>55.23</v>
      </c>
      <c r="J10110" s="50">
        <v>276.14999999999998</v>
      </c>
      <c r="K10110" t="s">
        <v>1632</v>
      </c>
      <c r="M10110" t="s">
        <v>1624</v>
      </c>
      <c r="N10110">
        <v>29.15</v>
      </c>
      <c r="O10110" s="49">
        <v>45187</v>
      </c>
      <c r="P10110" s="50">
        <v>124.2675</v>
      </c>
    </row>
    <row r="10111" spans="4:16" x14ac:dyDescent="0.2">
      <c r="D10111">
        <v>100006049</v>
      </c>
      <c r="E10111" s="49">
        <v>45251</v>
      </c>
      <c r="F10111" t="s">
        <v>7000</v>
      </c>
      <c r="G10111" t="s">
        <v>1765</v>
      </c>
      <c r="H10111">
        <v>1</v>
      </c>
      <c r="I10111">
        <v>48.7</v>
      </c>
      <c r="J10111" s="50">
        <v>48.7</v>
      </c>
      <c r="K10111" t="s">
        <v>1618</v>
      </c>
      <c r="L10111" t="s">
        <v>7001</v>
      </c>
      <c r="M10111" t="s">
        <v>1619</v>
      </c>
      <c r="N10111">
        <v>25.7</v>
      </c>
      <c r="O10111" s="49">
        <v>45252</v>
      </c>
      <c r="P10111" s="50">
        <v>21.915000000000003</v>
      </c>
    </row>
    <row r="10112" spans="4:16" x14ac:dyDescent="0.2">
      <c r="D10112">
        <v>100006051</v>
      </c>
      <c r="E10112" s="49">
        <v>44581</v>
      </c>
      <c r="F10112" t="s">
        <v>7002</v>
      </c>
      <c r="G10112" t="s">
        <v>1700</v>
      </c>
      <c r="H10112">
        <v>3</v>
      </c>
      <c r="I10112">
        <v>39.39</v>
      </c>
      <c r="J10112" s="50">
        <v>118.17</v>
      </c>
      <c r="K10112" t="s">
        <v>1618</v>
      </c>
      <c r="M10112" t="s">
        <v>1629</v>
      </c>
      <c r="N10112">
        <v>20.79</v>
      </c>
      <c r="O10112" s="49">
        <v>44585</v>
      </c>
      <c r="P10112" s="50">
        <v>53.176500000000004</v>
      </c>
    </row>
    <row r="10113" spans="4:16" x14ac:dyDescent="0.2">
      <c r="D10113">
        <v>100006052</v>
      </c>
      <c r="E10113" s="49">
        <v>44250</v>
      </c>
      <c r="F10113" t="s">
        <v>3471</v>
      </c>
      <c r="G10113" t="s">
        <v>2628</v>
      </c>
      <c r="H10113">
        <v>2</v>
      </c>
      <c r="I10113">
        <v>50.38</v>
      </c>
      <c r="J10113" s="50">
        <v>100.76</v>
      </c>
      <c r="K10113" t="s">
        <v>1618</v>
      </c>
      <c r="M10113" t="s">
        <v>1619</v>
      </c>
      <c r="N10113">
        <v>26.59</v>
      </c>
      <c r="O10113" s="49">
        <v>44255</v>
      </c>
      <c r="P10113" s="50">
        <v>45.342000000000006</v>
      </c>
    </row>
    <row r="10114" spans="4:16" x14ac:dyDescent="0.2">
      <c r="D10114">
        <v>100006053</v>
      </c>
      <c r="E10114" s="49">
        <v>44951</v>
      </c>
      <c r="F10114" t="s">
        <v>1816</v>
      </c>
      <c r="G10114" t="s">
        <v>1751</v>
      </c>
      <c r="H10114">
        <v>8</v>
      </c>
      <c r="I10114">
        <v>87.56</v>
      </c>
      <c r="J10114" s="50">
        <v>700.48</v>
      </c>
      <c r="K10114" t="s">
        <v>1632</v>
      </c>
      <c r="L10114" t="s">
        <v>2882</v>
      </c>
      <c r="M10114" t="s">
        <v>1627</v>
      </c>
      <c r="N10114">
        <v>46.21</v>
      </c>
      <c r="O10114" s="49">
        <v>44955</v>
      </c>
      <c r="P10114" s="50">
        <v>315.21600000000001</v>
      </c>
    </row>
    <row r="10115" spans="4:16" x14ac:dyDescent="0.2">
      <c r="D10115">
        <v>100006053</v>
      </c>
      <c r="E10115" s="49">
        <v>44604</v>
      </c>
      <c r="F10115" t="s">
        <v>1816</v>
      </c>
      <c r="G10115" t="s">
        <v>2213</v>
      </c>
      <c r="H10115">
        <v>9</v>
      </c>
      <c r="I10115">
        <v>110.8</v>
      </c>
      <c r="J10115" s="50">
        <v>997.19999999999993</v>
      </c>
      <c r="K10115" t="s">
        <v>1632</v>
      </c>
      <c r="L10115" t="s">
        <v>2882</v>
      </c>
      <c r="M10115" t="s">
        <v>1624</v>
      </c>
      <c r="N10115">
        <v>58.48</v>
      </c>
      <c r="O10115" s="49">
        <v>44608</v>
      </c>
      <c r="P10115" s="50">
        <v>448.73999999999995</v>
      </c>
    </row>
    <row r="10116" spans="4:16" x14ac:dyDescent="0.2">
      <c r="D10116">
        <v>100006055</v>
      </c>
      <c r="E10116" s="49">
        <v>45550</v>
      </c>
      <c r="F10116" t="s">
        <v>7003</v>
      </c>
      <c r="G10116" t="s">
        <v>1760</v>
      </c>
      <c r="H10116">
        <v>6</v>
      </c>
      <c r="I10116">
        <v>51.98</v>
      </c>
      <c r="J10116" s="50">
        <v>311.88</v>
      </c>
      <c r="K10116" t="s">
        <v>1618</v>
      </c>
      <c r="L10116" t="s">
        <v>4753</v>
      </c>
      <c r="M10116" t="s">
        <v>1627</v>
      </c>
      <c r="N10116">
        <v>27.43</v>
      </c>
      <c r="O10116" s="49">
        <v>45551</v>
      </c>
      <c r="P10116" s="50">
        <v>140.346</v>
      </c>
    </row>
    <row r="10117" spans="4:16" x14ac:dyDescent="0.2">
      <c r="D10117">
        <v>100006057</v>
      </c>
      <c r="E10117" s="49">
        <v>44839</v>
      </c>
      <c r="F10117" t="s">
        <v>6796</v>
      </c>
      <c r="G10117" t="s">
        <v>1825</v>
      </c>
      <c r="H10117">
        <v>6</v>
      </c>
      <c r="I10117">
        <v>50.82</v>
      </c>
      <c r="J10117" s="50">
        <v>304.92</v>
      </c>
      <c r="K10117" t="s">
        <v>1618</v>
      </c>
      <c r="M10117" t="s">
        <v>1619</v>
      </c>
      <c r="N10117">
        <v>26.82</v>
      </c>
      <c r="O10117" s="49">
        <v>44840</v>
      </c>
      <c r="P10117" s="50">
        <v>137.214</v>
      </c>
    </row>
    <row r="10118" spans="4:16" x14ac:dyDescent="0.2">
      <c r="D10118">
        <v>100006057</v>
      </c>
      <c r="E10118" s="49">
        <v>44987</v>
      </c>
      <c r="F10118" t="s">
        <v>6796</v>
      </c>
      <c r="G10118" t="s">
        <v>1729</v>
      </c>
      <c r="H10118">
        <v>8</v>
      </c>
      <c r="I10118">
        <v>42.91</v>
      </c>
      <c r="J10118" s="50">
        <v>343.28</v>
      </c>
      <c r="K10118" t="s">
        <v>1618</v>
      </c>
      <c r="M10118" t="s">
        <v>1624</v>
      </c>
      <c r="N10118">
        <v>22.65</v>
      </c>
      <c r="O10118" s="49">
        <v>44990</v>
      </c>
      <c r="P10118" s="50">
        <v>154.476</v>
      </c>
    </row>
    <row r="10119" spans="4:16" x14ac:dyDescent="0.2">
      <c r="D10119">
        <v>100006057</v>
      </c>
      <c r="E10119" s="49">
        <v>45318</v>
      </c>
      <c r="F10119" t="s">
        <v>6796</v>
      </c>
      <c r="G10119" t="s">
        <v>2147</v>
      </c>
      <c r="H10119">
        <v>7</v>
      </c>
      <c r="I10119">
        <v>75.02</v>
      </c>
      <c r="J10119" s="50">
        <v>525.14</v>
      </c>
      <c r="K10119" t="s">
        <v>1618</v>
      </c>
      <c r="M10119" t="s">
        <v>1624</v>
      </c>
      <c r="N10119">
        <v>39.590000000000003</v>
      </c>
      <c r="O10119" s="49">
        <v>45320</v>
      </c>
      <c r="P10119" s="50">
        <v>236.31299999999999</v>
      </c>
    </row>
    <row r="10120" spans="4:16" x14ac:dyDescent="0.2">
      <c r="D10120">
        <v>100006057</v>
      </c>
      <c r="E10120" s="49">
        <v>44815</v>
      </c>
      <c r="F10120" t="s">
        <v>6796</v>
      </c>
      <c r="G10120" t="s">
        <v>1980</v>
      </c>
      <c r="H10120">
        <v>9</v>
      </c>
      <c r="I10120">
        <v>14.93</v>
      </c>
      <c r="J10120" s="50">
        <v>134.37</v>
      </c>
      <c r="K10120" t="s">
        <v>1618</v>
      </c>
      <c r="M10120" t="s">
        <v>1621</v>
      </c>
      <c r="N10120">
        <v>7.88</v>
      </c>
      <c r="O10120" s="49">
        <v>44819</v>
      </c>
      <c r="P10120" s="50">
        <v>60.466500000000003</v>
      </c>
    </row>
    <row r="10121" spans="4:16" x14ac:dyDescent="0.2">
      <c r="D10121">
        <v>100006058</v>
      </c>
      <c r="E10121" s="49">
        <v>45181</v>
      </c>
      <c r="F10121" t="s">
        <v>7004</v>
      </c>
      <c r="G10121" t="s">
        <v>1737</v>
      </c>
      <c r="H10121">
        <v>7</v>
      </c>
      <c r="I10121">
        <v>95.21</v>
      </c>
      <c r="J10121" s="50">
        <v>666.46999999999991</v>
      </c>
      <c r="K10121" t="s">
        <v>1618</v>
      </c>
      <c r="M10121" t="s">
        <v>1629</v>
      </c>
      <c r="N10121">
        <v>50.25</v>
      </c>
      <c r="O10121" s="49">
        <v>45183</v>
      </c>
      <c r="P10121" s="50">
        <v>299.91149999999999</v>
      </c>
    </row>
    <row r="10122" spans="4:16" x14ac:dyDescent="0.2">
      <c r="D10122">
        <v>100006058</v>
      </c>
      <c r="E10122" s="49">
        <v>45429</v>
      </c>
      <c r="F10122" t="s">
        <v>7004</v>
      </c>
      <c r="G10122" t="s">
        <v>1827</v>
      </c>
      <c r="H10122">
        <v>6</v>
      </c>
      <c r="I10122">
        <v>91.58</v>
      </c>
      <c r="J10122" s="50">
        <v>549.48</v>
      </c>
      <c r="K10122" t="s">
        <v>1618</v>
      </c>
      <c r="M10122" t="s">
        <v>1624</v>
      </c>
      <c r="N10122">
        <v>48.33</v>
      </c>
      <c r="O10122" s="49">
        <v>45430</v>
      </c>
      <c r="P10122" s="50">
        <v>247.26600000000002</v>
      </c>
    </row>
    <row r="10123" spans="4:16" x14ac:dyDescent="0.2">
      <c r="D10123">
        <v>100006058</v>
      </c>
      <c r="E10123" s="49">
        <v>44804</v>
      </c>
      <c r="F10123" t="s">
        <v>7004</v>
      </c>
      <c r="G10123" t="s">
        <v>1642</v>
      </c>
      <c r="H10123">
        <v>4</v>
      </c>
      <c r="I10123">
        <v>39.35</v>
      </c>
      <c r="J10123" s="50">
        <v>157.4</v>
      </c>
      <c r="K10123" t="s">
        <v>1618</v>
      </c>
      <c r="M10123" t="s">
        <v>1619</v>
      </c>
      <c r="N10123">
        <v>20.77</v>
      </c>
      <c r="O10123" s="49">
        <v>44809</v>
      </c>
      <c r="P10123" s="50">
        <v>70.83</v>
      </c>
    </row>
    <row r="10124" spans="4:16" x14ac:dyDescent="0.2">
      <c r="D10124">
        <v>100006059</v>
      </c>
      <c r="E10124" s="49">
        <v>45657</v>
      </c>
      <c r="F10124" t="s">
        <v>7005</v>
      </c>
      <c r="G10124" t="s">
        <v>2348</v>
      </c>
      <c r="H10124">
        <v>1</v>
      </c>
      <c r="I10124">
        <v>112.71</v>
      </c>
      <c r="J10124" s="50">
        <v>112.71</v>
      </c>
      <c r="K10124" t="s">
        <v>1632</v>
      </c>
      <c r="M10124" t="s">
        <v>1621</v>
      </c>
      <c r="N10124">
        <v>59.49</v>
      </c>
      <c r="O10124" s="49">
        <v>45660</v>
      </c>
      <c r="P10124" s="50">
        <v>50.719499999999996</v>
      </c>
    </row>
    <row r="10125" spans="4:16" x14ac:dyDescent="0.2">
      <c r="D10125">
        <v>100006059</v>
      </c>
      <c r="E10125" s="49">
        <v>44455</v>
      </c>
      <c r="F10125" t="s">
        <v>7005</v>
      </c>
      <c r="G10125" t="s">
        <v>2261</v>
      </c>
      <c r="H10125">
        <v>8</v>
      </c>
      <c r="I10125">
        <v>17.09</v>
      </c>
      <c r="J10125" s="50">
        <v>136.72</v>
      </c>
      <c r="K10125" t="s">
        <v>1632</v>
      </c>
      <c r="M10125" t="s">
        <v>1619</v>
      </c>
      <c r="N10125">
        <v>9.02</v>
      </c>
      <c r="O10125" s="49">
        <v>44460</v>
      </c>
      <c r="P10125" s="50">
        <v>61.524000000000001</v>
      </c>
    </row>
    <row r="10126" spans="4:16" x14ac:dyDescent="0.2">
      <c r="D10126">
        <v>100006059</v>
      </c>
      <c r="E10126" s="49">
        <v>45379</v>
      </c>
      <c r="F10126" t="s">
        <v>7005</v>
      </c>
      <c r="G10126" t="s">
        <v>1650</v>
      </c>
      <c r="H10126">
        <v>5</v>
      </c>
      <c r="I10126">
        <v>47.52</v>
      </c>
      <c r="J10126" s="50">
        <v>237.6</v>
      </c>
      <c r="K10126" t="s">
        <v>1632</v>
      </c>
      <c r="M10126" t="s">
        <v>1619</v>
      </c>
      <c r="N10126">
        <v>25.08</v>
      </c>
      <c r="O10126" s="49">
        <v>45383</v>
      </c>
      <c r="P10126" s="50">
        <v>106.92</v>
      </c>
    </row>
    <row r="10127" spans="4:16" x14ac:dyDescent="0.2">
      <c r="D10127">
        <v>100006059</v>
      </c>
      <c r="E10127" s="49">
        <v>45597</v>
      </c>
      <c r="F10127" t="s">
        <v>7005</v>
      </c>
      <c r="G10127" t="s">
        <v>2136</v>
      </c>
      <c r="H10127">
        <v>10</v>
      </c>
      <c r="I10127">
        <v>64.31</v>
      </c>
      <c r="J10127" s="50">
        <v>643.1</v>
      </c>
      <c r="K10127" t="s">
        <v>1632</v>
      </c>
      <c r="M10127" t="s">
        <v>1629</v>
      </c>
      <c r="N10127">
        <v>33.94</v>
      </c>
      <c r="O10127" s="49">
        <v>45598</v>
      </c>
      <c r="P10127" s="50">
        <v>289.39500000000004</v>
      </c>
    </row>
    <row r="10128" spans="4:16" x14ac:dyDescent="0.2">
      <c r="D10128">
        <v>100006060</v>
      </c>
      <c r="E10128" s="49">
        <v>45527</v>
      </c>
      <c r="F10128" t="s">
        <v>7006</v>
      </c>
      <c r="G10128" t="s">
        <v>2380</v>
      </c>
      <c r="H10128">
        <v>1</v>
      </c>
      <c r="I10128">
        <v>50</v>
      </c>
      <c r="J10128" s="50">
        <v>50</v>
      </c>
      <c r="K10128" t="s">
        <v>1618</v>
      </c>
      <c r="M10128" t="s">
        <v>1619</v>
      </c>
      <c r="N10128">
        <v>26.39</v>
      </c>
      <c r="O10128" s="49">
        <v>45532</v>
      </c>
      <c r="P10128" s="50">
        <v>22.5</v>
      </c>
    </row>
    <row r="10129" spans="4:16" x14ac:dyDescent="0.2">
      <c r="D10129">
        <v>100006060</v>
      </c>
      <c r="E10129" s="49">
        <v>44875</v>
      </c>
      <c r="F10129" t="s">
        <v>7006</v>
      </c>
      <c r="G10129" t="s">
        <v>1918</v>
      </c>
      <c r="H10129">
        <v>3</v>
      </c>
      <c r="I10129">
        <v>94.16</v>
      </c>
      <c r="J10129" s="50">
        <v>282.48</v>
      </c>
      <c r="K10129" t="s">
        <v>1618</v>
      </c>
      <c r="M10129" t="s">
        <v>1619</v>
      </c>
      <c r="N10129">
        <v>49.7</v>
      </c>
      <c r="O10129" s="49">
        <v>44879</v>
      </c>
      <c r="P10129" s="50">
        <v>127.11600000000001</v>
      </c>
    </row>
    <row r="10130" spans="4:16" x14ac:dyDescent="0.2">
      <c r="D10130">
        <v>100006060</v>
      </c>
      <c r="E10130" s="49">
        <v>45443</v>
      </c>
      <c r="F10130" t="s">
        <v>7006</v>
      </c>
      <c r="G10130" t="s">
        <v>2112</v>
      </c>
      <c r="H10130">
        <v>10</v>
      </c>
      <c r="I10130">
        <v>17.93</v>
      </c>
      <c r="J10130" s="50">
        <v>179.3</v>
      </c>
      <c r="K10130" t="s">
        <v>1618</v>
      </c>
      <c r="M10130" t="s">
        <v>1629</v>
      </c>
      <c r="N10130">
        <v>9.4600000000000009</v>
      </c>
      <c r="O10130" s="49">
        <v>45446</v>
      </c>
      <c r="P10130" s="50">
        <v>80.685000000000002</v>
      </c>
    </row>
    <row r="10131" spans="4:16" x14ac:dyDescent="0.2">
      <c r="D10131">
        <v>100006060</v>
      </c>
      <c r="E10131" s="49">
        <v>45528</v>
      </c>
      <c r="F10131" t="s">
        <v>7006</v>
      </c>
      <c r="G10131" t="s">
        <v>2328</v>
      </c>
      <c r="H10131">
        <v>1</v>
      </c>
      <c r="I10131">
        <v>114.84</v>
      </c>
      <c r="J10131" s="50">
        <v>114.84</v>
      </c>
      <c r="K10131" t="s">
        <v>1618</v>
      </c>
      <c r="M10131" t="s">
        <v>1627</v>
      </c>
      <c r="N10131">
        <v>60.61</v>
      </c>
      <c r="O10131" s="49">
        <v>45531</v>
      </c>
      <c r="P10131" s="50">
        <v>51.678000000000004</v>
      </c>
    </row>
    <row r="10132" spans="4:16" x14ac:dyDescent="0.2">
      <c r="D10132">
        <v>100006062</v>
      </c>
      <c r="E10132" s="49">
        <v>44502</v>
      </c>
      <c r="F10132" t="s">
        <v>7007</v>
      </c>
      <c r="G10132" t="s">
        <v>2485</v>
      </c>
      <c r="H10132">
        <v>9</v>
      </c>
      <c r="I10132">
        <v>89.57</v>
      </c>
      <c r="J10132" s="50">
        <v>806.12999999999988</v>
      </c>
      <c r="K10132" t="s">
        <v>1618</v>
      </c>
      <c r="M10132" t="s">
        <v>1619</v>
      </c>
      <c r="N10132">
        <v>47.27</v>
      </c>
      <c r="O10132" s="49">
        <v>44504</v>
      </c>
      <c r="P10132" s="50">
        <v>362.75849999999997</v>
      </c>
    </row>
    <row r="10133" spans="4:16" x14ac:dyDescent="0.2">
      <c r="D10133">
        <v>100006063</v>
      </c>
      <c r="E10133" s="49">
        <v>45557</v>
      </c>
      <c r="F10133" t="s">
        <v>7008</v>
      </c>
      <c r="G10133" t="s">
        <v>2574</v>
      </c>
      <c r="H10133">
        <v>4</v>
      </c>
      <c r="I10133">
        <v>52.47</v>
      </c>
      <c r="J10133" s="50">
        <v>209.88</v>
      </c>
      <c r="K10133" t="s">
        <v>1632</v>
      </c>
      <c r="M10133" t="s">
        <v>1621</v>
      </c>
      <c r="N10133">
        <v>27.69</v>
      </c>
      <c r="O10133" s="49">
        <v>45559</v>
      </c>
      <c r="P10133" s="50">
        <v>94.445999999999998</v>
      </c>
    </row>
    <row r="10134" spans="4:16" x14ac:dyDescent="0.2">
      <c r="D10134">
        <v>100006063</v>
      </c>
      <c r="E10134" s="49">
        <v>45115</v>
      </c>
      <c r="F10134" t="s">
        <v>7008</v>
      </c>
      <c r="G10134" t="s">
        <v>2416</v>
      </c>
      <c r="H10134">
        <v>4</v>
      </c>
      <c r="I10134">
        <v>67.25</v>
      </c>
      <c r="J10134" s="50">
        <v>269</v>
      </c>
      <c r="K10134" t="s">
        <v>1632</v>
      </c>
      <c r="M10134" t="s">
        <v>1624</v>
      </c>
      <c r="N10134">
        <v>35.49</v>
      </c>
      <c r="O10134" s="49">
        <v>45119</v>
      </c>
      <c r="P10134" s="50">
        <v>121.05</v>
      </c>
    </row>
    <row r="10135" spans="4:16" x14ac:dyDescent="0.2">
      <c r="D10135">
        <v>100006063</v>
      </c>
      <c r="E10135" s="49">
        <v>45131</v>
      </c>
      <c r="F10135" t="s">
        <v>7008</v>
      </c>
      <c r="G10135" t="s">
        <v>1969</v>
      </c>
      <c r="H10135">
        <v>10</v>
      </c>
      <c r="I10135">
        <v>70.569999999999993</v>
      </c>
      <c r="J10135" s="50">
        <v>705.69999999999993</v>
      </c>
      <c r="K10135" t="s">
        <v>1632</v>
      </c>
      <c r="M10135" t="s">
        <v>1627</v>
      </c>
      <c r="N10135">
        <v>37.25</v>
      </c>
      <c r="O10135" s="49">
        <v>45136</v>
      </c>
      <c r="P10135" s="50">
        <v>317.565</v>
      </c>
    </row>
    <row r="10136" spans="4:16" x14ac:dyDescent="0.2">
      <c r="D10136">
        <v>100006063</v>
      </c>
      <c r="E10136" s="49">
        <v>45553</v>
      </c>
      <c r="F10136" t="s">
        <v>7008</v>
      </c>
      <c r="G10136" t="s">
        <v>1834</v>
      </c>
      <c r="H10136">
        <v>1</v>
      </c>
      <c r="I10136">
        <v>86.03</v>
      </c>
      <c r="J10136" s="50">
        <v>86.03</v>
      </c>
      <c r="K10136" t="s">
        <v>1632</v>
      </c>
      <c r="M10136" t="s">
        <v>1627</v>
      </c>
      <c r="N10136">
        <v>45.4</v>
      </c>
      <c r="O10136" s="49">
        <v>45558</v>
      </c>
      <c r="P10136" s="50">
        <v>38.713500000000003</v>
      </c>
    </row>
    <row r="10137" spans="4:16" x14ac:dyDescent="0.2">
      <c r="D10137">
        <v>100006063</v>
      </c>
      <c r="E10137" s="49">
        <v>45404</v>
      </c>
      <c r="F10137" t="s">
        <v>7008</v>
      </c>
      <c r="G10137" t="s">
        <v>2071</v>
      </c>
      <c r="H10137">
        <v>9</v>
      </c>
      <c r="I10137">
        <v>15.98</v>
      </c>
      <c r="J10137" s="50">
        <v>143.82</v>
      </c>
      <c r="K10137" t="s">
        <v>1632</v>
      </c>
      <c r="M10137" t="s">
        <v>1627</v>
      </c>
      <c r="N10137">
        <v>8.43</v>
      </c>
      <c r="O10137" s="49">
        <v>45407</v>
      </c>
      <c r="P10137" s="50">
        <v>64.718999999999994</v>
      </c>
    </row>
    <row r="10138" spans="4:16" x14ac:dyDescent="0.2">
      <c r="D10138">
        <v>100006063</v>
      </c>
      <c r="E10138" s="49">
        <v>45330</v>
      </c>
      <c r="F10138" t="s">
        <v>7008</v>
      </c>
      <c r="G10138" t="s">
        <v>1785</v>
      </c>
      <c r="H10138">
        <v>3</v>
      </c>
      <c r="I10138">
        <v>39.47</v>
      </c>
      <c r="J10138" s="50">
        <v>118.41</v>
      </c>
      <c r="K10138" t="s">
        <v>1632</v>
      </c>
      <c r="M10138" t="s">
        <v>1619</v>
      </c>
      <c r="N10138">
        <v>20.83</v>
      </c>
      <c r="O10138" s="49">
        <v>45331</v>
      </c>
      <c r="P10138" s="50">
        <v>53.284500000000001</v>
      </c>
    </row>
    <row r="10139" spans="4:16" x14ac:dyDescent="0.2">
      <c r="D10139">
        <v>100006063</v>
      </c>
      <c r="E10139" s="49">
        <v>44295</v>
      </c>
      <c r="F10139" t="s">
        <v>7008</v>
      </c>
      <c r="G10139" t="s">
        <v>1833</v>
      </c>
      <c r="H10139">
        <v>7</v>
      </c>
      <c r="I10139">
        <v>92.48</v>
      </c>
      <c r="J10139" s="50">
        <v>647.36</v>
      </c>
      <c r="K10139" t="s">
        <v>1632</v>
      </c>
      <c r="M10139" t="s">
        <v>1624</v>
      </c>
      <c r="N10139">
        <v>48.81</v>
      </c>
      <c r="O10139" s="49">
        <v>44300</v>
      </c>
      <c r="P10139" s="50">
        <v>291.31200000000001</v>
      </c>
    </row>
    <row r="10140" spans="4:16" x14ac:dyDescent="0.2">
      <c r="D10140">
        <v>100006063</v>
      </c>
      <c r="E10140" s="49">
        <v>45505</v>
      </c>
      <c r="F10140" t="s">
        <v>7008</v>
      </c>
      <c r="G10140" t="s">
        <v>2393</v>
      </c>
      <c r="H10140">
        <v>7</v>
      </c>
      <c r="I10140">
        <v>48.6</v>
      </c>
      <c r="J10140" s="50">
        <v>340.2</v>
      </c>
      <c r="K10140" t="s">
        <v>1632</v>
      </c>
      <c r="M10140" t="s">
        <v>1619</v>
      </c>
      <c r="N10140">
        <v>25.65</v>
      </c>
      <c r="O10140" s="49">
        <v>45507</v>
      </c>
      <c r="P10140" s="50">
        <v>153.09</v>
      </c>
    </row>
    <row r="10141" spans="4:16" x14ac:dyDescent="0.2">
      <c r="D10141">
        <v>100006063</v>
      </c>
      <c r="E10141" s="49">
        <v>45576</v>
      </c>
      <c r="F10141" t="s">
        <v>7008</v>
      </c>
      <c r="G10141" t="s">
        <v>1902</v>
      </c>
      <c r="H10141">
        <v>8</v>
      </c>
      <c r="I10141">
        <v>80.34</v>
      </c>
      <c r="J10141" s="50">
        <v>642.72</v>
      </c>
      <c r="K10141" t="s">
        <v>1632</v>
      </c>
      <c r="M10141" t="s">
        <v>1629</v>
      </c>
      <c r="N10141">
        <v>42.4</v>
      </c>
      <c r="O10141" s="49">
        <v>45577</v>
      </c>
      <c r="P10141" s="50">
        <v>289.22400000000005</v>
      </c>
    </row>
    <row r="10142" spans="4:16" x14ac:dyDescent="0.2">
      <c r="D10142">
        <v>100006063</v>
      </c>
      <c r="E10142" s="49">
        <v>44592</v>
      </c>
      <c r="F10142" t="s">
        <v>7008</v>
      </c>
      <c r="G10142" t="s">
        <v>2168</v>
      </c>
      <c r="H10142">
        <v>4</v>
      </c>
      <c r="I10142">
        <v>50.15</v>
      </c>
      <c r="J10142" s="50">
        <v>200.6</v>
      </c>
      <c r="K10142" t="s">
        <v>1632</v>
      </c>
      <c r="M10142" t="s">
        <v>1624</v>
      </c>
      <c r="N10142">
        <v>26.47</v>
      </c>
      <c r="O10142" s="49">
        <v>44596</v>
      </c>
      <c r="P10142" s="50">
        <v>90.27</v>
      </c>
    </row>
    <row r="10143" spans="4:16" x14ac:dyDescent="0.2">
      <c r="D10143">
        <v>100006063</v>
      </c>
      <c r="E10143" s="49">
        <v>45548</v>
      </c>
      <c r="F10143" t="s">
        <v>7008</v>
      </c>
      <c r="G10143" t="s">
        <v>2041</v>
      </c>
      <c r="H10143">
        <v>2</v>
      </c>
      <c r="I10143">
        <v>32.92</v>
      </c>
      <c r="J10143" s="50">
        <v>65.84</v>
      </c>
      <c r="K10143" t="s">
        <v>1632</v>
      </c>
      <c r="M10143" t="s">
        <v>1627</v>
      </c>
      <c r="N10143">
        <v>17.37</v>
      </c>
      <c r="O10143" s="49">
        <v>45549</v>
      </c>
      <c r="P10143" s="50">
        <v>29.628000000000004</v>
      </c>
    </row>
    <row r="10144" spans="4:16" x14ac:dyDescent="0.2">
      <c r="D10144">
        <v>100006063</v>
      </c>
      <c r="E10144" s="49">
        <v>45131</v>
      </c>
      <c r="F10144" t="s">
        <v>7008</v>
      </c>
      <c r="G10144" t="s">
        <v>1765</v>
      </c>
      <c r="H10144">
        <v>10</v>
      </c>
      <c r="I10144">
        <v>60.19</v>
      </c>
      <c r="J10144" s="50">
        <v>601.9</v>
      </c>
      <c r="K10144" t="s">
        <v>1632</v>
      </c>
      <c r="M10144" t="s">
        <v>1629</v>
      </c>
      <c r="N10144">
        <v>31.77</v>
      </c>
      <c r="O10144" s="49">
        <v>45132</v>
      </c>
      <c r="P10144" s="50">
        <v>270.85500000000002</v>
      </c>
    </row>
    <row r="10145" spans="4:16" x14ac:dyDescent="0.2">
      <c r="D10145">
        <v>100006063</v>
      </c>
      <c r="E10145" s="49">
        <v>44710</v>
      </c>
      <c r="F10145" t="s">
        <v>7008</v>
      </c>
      <c r="G10145" t="s">
        <v>2096</v>
      </c>
      <c r="H10145">
        <v>2</v>
      </c>
      <c r="I10145">
        <v>112.24</v>
      </c>
      <c r="J10145" s="50">
        <v>224.48</v>
      </c>
      <c r="K10145" t="s">
        <v>1632</v>
      </c>
      <c r="M10145" t="s">
        <v>1621</v>
      </c>
      <c r="N10145">
        <v>59.24</v>
      </c>
      <c r="O10145" s="49">
        <v>44712</v>
      </c>
      <c r="P10145" s="50">
        <v>101.01599999999999</v>
      </c>
    </row>
    <row r="10146" spans="4:16" x14ac:dyDescent="0.2">
      <c r="D10146">
        <v>100006064</v>
      </c>
      <c r="E10146" s="49">
        <v>45465</v>
      </c>
      <c r="F10146" t="s">
        <v>7009</v>
      </c>
      <c r="G10146" t="s">
        <v>1834</v>
      </c>
      <c r="H10146">
        <v>6</v>
      </c>
      <c r="I10146">
        <v>64.11</v>
      </c>
      <c r="J10146" s="50">
        <v>384.66</v>
      </c>
      <c r="K10146" t="s">
        <v>1618</v>
      </c>
      <c r="M10146" t="s">
        <v>1619</v>
      </c>
      <c r="N10146">
        <v>33.840000000000003</v>
      </c>
      <c r="O10146" s="49">
        <v>45466</v>
      </c>
      <c r="P10146" s="50">
        <v>173.09700000000001</v>
      </c>
    </row>
    <row r="10147" spans="4:16" x14ac:dyDescent="0.2">
      <c r="D10147">
        <v>100006065</v>
      </c>
      <c r="E10147" s="49">
        <v>45302</v>
      </c>
      <c r="F10147" t="s">
        <v>7010</v>
      </c>
      <c r="G10147" t="s">
        <v>1681</v>
      </c>
      <c r="H10147">
        <v>5</v>
      </c>
      <c r="I10147">
        <v>16.87</v>
      </c>
      <c r="J10147" s="50">
        <v>84.350000000000009</v>
      </c>
      <c r="K10147" t="s">
        <v>1618</v>
      </c>
      <c r="M10147" t="s">
        <v>1629</v>
      </c>
      <c r="N10147">
        <v>8.9</v>
      </c>
      <c r="O10147" s="49">
        <v>45306</v>
      </c>
      <c r="P10147" s="50">
        <v>37.957500000000003</v>
      </c>
    </row>
    <row r="10148" spans="4:16" x14ac:dyDescent="0.2">
      <c r="D10148">
        <v>100006066</v>
      </c>
      <c r="E10148" s="49">
        <v>45185</v>
      </c>
      <c r="F10148" t="s">
        <v>7011</v>
      </c>
      <c r="G10148" t="s">
        <v>1648</v>
      </c>
      <c r="H10148">
        <v>5</v>
      </c>
      <c r="I10148">
        <v>47.39</v>
      </c>
      <c r="J10148" s="50">
        <v>236.95</v>
      </c>
      <c r="K10148" t="s">
        <v>1618</v>
      </c>
      <c r="M10148" t="s">
        <v>1627</v>
      </c>
      <c r="N10148">
        <v>25.01</v>
      </c>
      <c r="O10148" s="49">
        <v>45190</v>
      </c>
      <c r="P10148" s="50">
        <v>106.6275</v>
      </c>
    </row>
    <row r="10149" spans="4:16" x14ac:dyDescent="0.2">
      <c r="D10149">
        <v>100006067</v>
      </c>
      <c r="E10149" s="49">
        <v>44765</v>
      </c>
      <c r="F10149" t="s">
        <v>7012</v>
      </c>
      <c r="G10149" t="s">
        <v>2028</v>
      </c>
      <c r="H10149">
        <v>6</v>
      </c>
      <c r="I10149">
        <v>99.19</v>
      </c>
      <c r="J10149" s="50">
        <v>595.14</v>
      </c>
      <c r="K10149" t="s">
        <v>1618</v>
      </c>
      <c r="M10149" t="s">
        <v>1627</v>
      </c>
      <c r="N10149">
        <v>52.35</v>
      </c>
      <c r="O10149" s="49">
        <v>44768</v>
      </c>
      <c r="P10149" s="50">
        <v>267.81299999999999</v>
      </c>
    </row>
    <row r="10150" spans="4:16" x14ac:dyDescent="0.2">
      <c r="D10150">
        <v>100006067</v>
      </c>
      <c r="E10150" s="49">
        <v>44620</v>
      </c>
      <c r="F10150" t="s">
        <v>7012</v>
      </c>
      <c r="G10150" t="s">
        <v>2136</v>
      </c>
      <c r="H10150">
        <v>10</v>
      </c>
      <c r="I10150">
        <v>37.44</v>
      </c>
      <c r="J10150" s="50">
        <v>374.4</v>
      </c>
      <c r="K10150" t="s">
        <v>1618</v>
      </c>
      <c r="M10150" t="s">
        <v>1619</v>
      </c>
      <c r="N10150">
        <v>19.760000000000002</v>
      </c>
      <c r="O10150" s="49">
        <v>44623</v>
      </c>
      <c r="P10150" s="50">
        <v>168.48</v>
      </c>
    </row>
    <row r="10151" spans="4:16" x14ac:dyDescent="0.2">
      <c r="D10151">
        <v>100006067</v>
      </c>
      <c r="E10151" s="49">
        <v>45210</v>
      </c>
      <c r="F10151" t="s">
        <v>7012</v>
      </c>
      <c r="G10151" t="s">
        <v>2016</v>
      </c>
      <c r="H10151">
        <v>1</v>
      </c>
      <c r="I10151">
        <v>63.86</v>
      </c>
      <c r="J10151" s="50">
        <v>63.86</v>
      </c>
      <c r="K10151" t="s">
        <v>1618</v>
      </c>
      <c r="M10151" t="s">
        <v>1621</v>
      </c>
      <c r="N10151">
        <v>33.700000000000003</v>
      </c>
      <c r="O10151" s="49">
        <v>45215</v>
      </c>
      <c r="P10151" s="50">
        <v>28.737000000000002</v>
      </c>
    </row>
    <row r="10152" spans="4:16" x14ac:dyDescent="0.2">
      <c r="D10152">
        <v>100006068</v>
      </c>
      <c r="E10152" s="49">
        <v>44777</v>
      </c>
      <c r="F10152" t="s">
        <v>7013</v>
      </c>
      <c r="G10152" t="s">
        <v>1943</v>
      </c>
      <c r="H10152">
        <v>8</v>
      </c>
      <c r="I10152">
        <v>113.13</v>
      </c>
      <c r="J10152" s="50">
        <v>905.04</v>
      </c>
      <c r="K10152" t="s">
        <v>1618</v>
      </c>
      <c r="M10152" t="s">
        <v>1619</v>
      </c>
      <c r="N10152">
        <v>59.71</v>
      </c>
      <c r="O10152" s="49">
        <v>44778</v>
      </c>
      <c r="P10152" s="50">
        <v>407.26799999999997</v>
      </c>
    </row>
    <row r="10153" spans="4:16" x14ac:dyDescent="0.2">
      <c r="D10153">
        <v>100006068</v>
      </c>
      <c r="E10153" s="49">
        <v>44276</v>
      </c>
      <c r="F10153" t="s">
        <v>7013</v>
      </c>
      <c r="G10153" t="s">
        <v>1752</v>
      </c>
      <c r="H10153">
        <v>4</v>
      </c>
      <c r="I10153">
        <v>87.03</v>
      </c>
      <c r="J10153" s="50">
        <v>348.12</v>
      </c>
      <c r="K10153" t="s">
        <v>1618</v>
      </c>
      <c r="M10153" t="s">
        <v>1621</v>
      </c>
      <c r="N10153">
        <v>45.93</v>
      </c>
      <c r="O10153" s="49">
        <v>44277</v>
      </c>
      <c r="P10153" s="50">
        <v>156.654</v>
      </c>
    </row>
    <row r="10154" spans="4:16" x14ac:dyDescent="0.2">
      <c r="D10154">
        <v>100006069</v>
      </c>
      <c r="E10154" s="49">
        <v>45639</v>
      </c>
      <c r="F10154" t="s">
        <v>7014</v>
      </c>
      <c r="G10154" t="s">
        <v>1937</v>
      </c>
      <c r="H10154">
        <v>3</v>
      </c>
      <c r="I10154">
        <v>39.520000000000003</v>
      </c>
      <c r="J10154" s="50">
        <v>118.56</v>
      </c>
      <c r="K10154" t="s">
        <v>1618</v>
      </c>
      <c r="M10154" t="s">
        <v>1627</v>
      </c>
      <c r="N10154">
        <v>20.86</v>
      </c>
      <c r="O10154" s="49">
        <v>45643</v>
      </c>
      <c r="P10154" s="50">
        <v>53.352000000000004</v>
      </c>
    </row>
    <row r="10155" spans="4:16" x14ac:dyDescent="0.2">
      <c r="D10155">
        <v>100006070</v>
      </c>
      <c r="E10155" s="49">
        <v>45338</v>
      </c>
      <c r="F10155" t="s">
        <v>7015</v>
      </c>
      <c r="G10155" t="s">
        <v>1929</v>
      </c>
      <c r="H10155">
        <v>2</v>
      </c>
      <c r="I10155">
        <v>70.67</v>
      </c>
      <c r="J10155" s="50">
        <v>141.34</v>
      </c>
      <c r="K10155" t="s">
        <v>1618</v>
      </c>
      <c r="M10155" t="s">
        <v>1629</v>
      </c>
      <c r="N10155">
        <v>37.299999999999997</v>
      </c>
      <c r="O10155" s="49">
        <v>45343</v>
      </c>
      <c r="P10155" s="50">
        <v>63.603000000000002</v>
      </c>
    </row>
    <row r="10156" spans="4:16" x14ac:dyDescent="0.2">
      <c r="D10156">
        <v>100006071</v>
      </c>
      <c r="E10156" s="49">
        <v>44908</v>
      </c>
      <c r="F10156" t="s">
        <v>7016</v>
      </c>
      <c r="G10156" t="s">
        <v>2431</v>
      </c>
      <c r="H10156">
        <v>7</v>
      </c>
      <c r="I10156">
        <v>39.08</v>
      </c>
      <c r="J10156" s="50">
        <v>273.56</v>
      </c>
      <c r="K10156" t="s">
        <v>1618</v>
      </c>
      <c r="L10156" t="s">
        <v>4202</v>
      </c>
      <c r="M10156" t="s">
        <v>1619</v>
      </c>
      <c r="N10156">
        <v>20.63</v>
      </c>
      <c r="O10156" s="49">
        <v>44913</v>
      </c>
      <c r="P10156" s="50">
        <v>123.102</v>
      </c>
    </row>
    <row r="10157" spans="4:16" x14ac:dyDescent="0.2">
      <c r="D10157">
        <v>100006072</v>
      </c>
      <c r="E10157" s="49">
        <v>45170</v>
      </c>
      <c r="F10157" t="s">
        <v>7017</v>
      </c>
      <c r="G10157" t="s">
        <v>2628</v>
      </c>
      <c r="H10157">
        <v>4</v>
      </c>
      <c r="I10157">
        <v>35.61</v>
      </c>
      <c r="J10157" s="50">
        <v>142.44</v>
      </c>
      <c r="K10157" t="s">
        <v>1618</v>
      </c>
      <c r="M10157" t="s">
        <v>1619</v>
      </c>
      <c r="N10157">
        <v>18.79</v>
      </c>
      <c r="O10157" s="49">
        <v>45174</v>
      </c>
      <c r="P10157" s="50">
        <v>64.097999999999999</v>
      </c>
    </row>
    <row r="10158" spans="4:16" x14ac:dyDescent="0.2">
      <c r="D10158">
        <v>100006072</v>
      </c>
      <c r="E10158" s="49">
        <v>44748</v>
      </c>
      <c r="F10158" t="s">
        <v>7017</v>
      </c>
      <c r="G10158" t="s">
        <v>2163</v>
      </c>
      <c r="H10158">
        <v>1</v>
      </c>
      <c r="I10158">
        <v>79.05</v>
      </c>
      <c r="J10158" s="50">
        <v>79.05</v>
      </c>
      <c r="K10158" t="s">
        <v>1618</v>
      </c>
      <c r="M10158" t="s">
        <v>1627</v>
      </c>
      <c r="N10158">
        <v>41.72</v>
      </c>
      <c r="O10158" s="49">
        <v>44752</v>
      </c>
      <c r="P10158" s="50">
        <v>35.572499999999998</v>
      </c>
    </row>
    <row r="10159" spans="4:16" x14ac:dyDescent="0.2">
      <c r="D10159">
        <v>100006072</v>
      </c>
      <c r="E10159" s="49">
        <v>44460</v>
      </c>
      <c r="F10159" t="s">
        <v>7017</v>
      </c>
      <c r="G10159" t="s">
        <v>1834</v>
      </c>
      <c r="H10159">
        <v>1</v>
      </c>
      <c r="I10159">
        <v>74.459999999999994</v>
      </c>
      <c r="J10159" s="50">
        <v>74.459999999999994</v>
      </c>
      <c r="K10159" t="s">
        <v>1618</v>
      </c>
      <c r="M10159" t="s">
        <v>1627</v>
      </c>
      <c r="N10159">
        <v>39.299999999999997</v>
      </c>
      <c r="O10159" s="49">
        <v>44462</v>
      </c>
      <c r="P10159" s="50">
        <v>33.506999999999998</v>
      </c>
    </row>
    <row r="10160" spans="4:16" x14ac:dyDescent="0.2">
      <c r="D10160">
        <v>100006075</v>
      </c>
      <c r="E10160" s="49">
        <v>45296</v>
      </c>
      <c r="F10160" t="s">
        <v>4889</v>
      </c>
      <c r="G10160" t="s">
        <v>2420</v>
      </c>
      <c r="H10160">
        <v>6</v>
      </c>
      <c r="I10160">
        <v>87.77</v>
      </c>
      <c r="J10160" s="50">
        <v>526.62</v>
      </c>
      <c r="K10160" t="s">
        <v>1618</v>
      </c>
      <c r="M10160" t="s">
        <v>1621</v>
      </c>
      <c r="N10160">
        <v>46.32</v>
      </c>
      <c r="O10160" s="49">
        <v>45297</v>
      </c>
      <c r="P10160" s="50">
        <v>236.97900000000001</v>
      </c>
    </row>
    <row r="10161" spans="4:16" x14ac:dyDescent="0.2">
      <c r="D10161">
        <v>100006075</v>
      </c>
      <c r="E10161" s="49">
        <v>44341</v>
      </c>
      <c r="F10161" t="s">
        <v>4889</v>
      </c>
      <c r="G10161" t="s">
        <v>2210</v>
      </c>
      <c r="H10161">
        <v>2</v>
      </c>
      <c r="I10161">
        <v>46.49</v>
      </c>
      <c r="J10161" s="50">
        <v>92.98</v>
      </c>
      <c r="K10161" t="s">
        <v>1618</v>
      </c>
      <c r="M10161" t="s">
        <v>1619</v>
      </c>
      <c r="N10161">
        <v>24.54</v>
      </c>
      <c r="O10161" s="49">
        <v>44343</v>
      </c>
      <c r="P10161" s="50">
        <v>41.841000000000001</v>
      </c>
    </row>
    <row r="10162" spans="4:16" x14ac:dyDescent="0.2">
      <c r="D10162">
        <v>100006076</v>
      </c>
      <c r="E10162" s="49">
        <v>45453</v>
      </c>
      <c r="F10162" t="s">
        <v>7003</v>
      </c>
      <c r="G10162" t="s">
        <v>1910</v>
      </c>
      <c r="H10162">
        <v>5</v>
      </c>
      <c r="I10162">
        <v>69.97</v>
      </c>
      <c r="J10162" s="50">
        <v>349.85</v>
      </c>
      <c r="K10162" t="s">
        <v>1618</v>
      </c>
      <c r="M10162" t="s">
        <v>1627</v>
      </c>
      <c r="N10162">
        <v>36.93</v>
      </c>
      <c r="O10162" s="49">
        <v>45456</v>
      </c>
      <c r="P10162" s="50">
        <v>157.4325</v>
      </c>
    </row>
    <row r="10163" spans="4:16" x14ac:dyDescent="0.2">
      <c r="D10163">
        <v>100006077</v>
      </c>
      <c r="E10163" s="49">
        <v>45023</v>
      </c>
      <c r="F10163" t="s">
        <v>7018</v>
      </c>
      <c r="G10163" t="s">
        <v>2698</v>
      </c>
      <c r="H10163">
        <v>8</v>
      </c>
      <c r="I10163">
        <v>48.33</v>
      </c>
      <c r="J10163" s="50">
        <v>386.64</v>
      </c>
      <c r="K10163" t="s">
        <v>1632</v>
      </c>
      <c r="M10163" t="s">
        <v>1627</v>
      </c>
      <c r="N10163">
        <v>25.51</v>
      </c>
      <c r="O10163" s="49">
        <v>45026</v>
      </c>
      <c r="P10163" s="50">
        <v>173.988</v>
      </c>
    </row>
    <row r="10164" spans="4:16" x14ac:dyDescent="0.2">
      <c r="D10164">
        <v>100006079</v>
      </c>
      <c r="E10164" s="49">
        <v>45260</v>
      </c>
      <c r="F10164" t="s">
        <v>7019</v>
      </c>
      <c r="G10164" t="s">
        <v>2024</v>
      </c>
      <c r="H10164">
        <v>3</v>
      </c>
      <c r="I10164">
        <v>108.96</v>
      </c>
      <c r="J10164" s="50">
        <v>326.88</v>
      </c>
      <c r="K10164" t="s">
        <v>1618</v>
      </c>
      <c r="M10164" t="s">
        <v>1624</v>
      </c>
      <c r="N10164">
        <v>57.51</v>
      </c>
      <c r="O10164" s="49">
        <v>45261</v>
      </c>
      <c r="P10164" s="50">
        <v>147.096</v>
      </c>
    </row>
    <row r="10165" spans="4:16" x14ac:dyDescent="0.2">
      <c r="D10165">
        <v>100006079</v>
      </c>
      <c r="E10165" s="49">
        <v>44708</v>
      </c>
      <c r="F10165" t="s">
        <v>7019</v>
      </c>
      <c r="G10165" t="s">
        <v>1696</v>
      </c>
      <c r="H10165">
        <v>10</v>
      </c>
      <c r="I10165">
        <v>94.75</v>
      </c>
      <c r="J10165" s="50">
        <v>947.5</v>
      </c>
      <c r="K10165" t="s">
        <v>1618</v>
      </c>
      <c r="M10165" t="s">
        <v>1619</v>
      </c>
      <c r="N10165">
        <v>50.01</v>
      </c>
      <c r="O10165" s="49">
        <v>44711</v>
      </c>
      <c r="P10165" s="50">
        <v>426.375</v>
      </c>
    </row>
    <row r="10166" spans="4:16" x14ac:dyDescent="0.2">
      <c r="D10166">
        <v>100006080</v>
      </c>
      <c r="E10166" s="49">
        <v>45076</v>
      </c>
      <c r="F10166" t="s">
        <v>7020</v>
      </c>
      <c r="G10166" t="s">
        <v>1918</v>
      </c>
      <c r="H10166">
        <v>1</v>
      </c>
      <c r="I10166">
        <v>100.31</v>
      </c>
      <c r="J10166" s="50">
        <v>100.31</v>
      </c>
      <c r="K10166" t="s">
        <v>1618</v>
      </c>
      <c r="M10166" t="s">
        <v>1621</v>
      </c>
      <c r="N10166">
        <v>52.94</v>
      </c>
      <c r="O10166" s="49">
        <v>45077</v>
      </c>
      <c r="P10166" s="50">
        <v>45.139500000000005</v>
      </c>
    </row>
    <row r="10167" spans="4:16" x14ac:dyDescent="0.2">
      <c r="D10167">
        <v>100006081</v>
      </c>
      <c r="E10167" s="49">
        <v>45553</v>
      </c>
      <c r="F10167" t="s">
        <v>7021</v>
      </c>
      <c r="G10167" t="s">
        <v>1634</v>
      </c>
      <c r="H10167">
        <v>5</v>
      </c>
      <c r="I10167">
        <v>109.07</v>
      </c>
      <c r="J10167" s="50">
        <v>545.34999999999991</v>
      </c>
      <c r="K10167" t="s">
        <v>1618</v>
      </c>
      <c r="L10167" t="s">
        <v>2091</v>
      </c>
      <c r="M10167" t="s">
        <v>1621</v>
      </c>
      <c r="N10167">
        <v>57.56</v>
      </c>
      <c r="O10167" s="49">
        <v>45555</v>
      </c>
      <c r="P10167" s="50">
        <v>245.40749999999997</v>
      </c>
    </row>
    <row r="10168" spans="4:16" x14ac:dyDescent="0.2">
      <c r="D10168">
        <v>100006082</v>
      </c>
      <c r="E10168" s="49">
        <v>45610</v>
      </c>
      <c r="F10168" t="s">
        <v>7022</v>
      </c>
      <c r="G10168" t="s">
        <v>1855</v>
      </c>
      <c r="H10168">
        <v>8</v>
      </c>
      <c r="I10168">
        <v>101.94</v>
      </c>
      <c r="J10168" s="50">
        <v>815.52</v>
      </c>
      <c r="K10168" t="s">
        <v>1618</v>
      </c>
      <c r="M10168" t="s">
        <v>1621</v>
      </c>
      <c r="N10168">
        <v>53.8</v>
      </c>
      <c r="O10168" s="49">
        <v>45614</v>
      </c>
      <c r="P10168" s="50">
        <v>366.98399999999998</v>
      </c>
    </row>
    <row r="10169" spans="4:16" x14ac:dyDescent="0.2">
      <c r="D10169">
        <v>100006082</v>
      </c>
      <c r="E10169" s="49">
        <v>44633</v>
      </c>
      <c r="F10169" t="s">
        <v>7022</v>
      </c>
      <c r="G10169" t="s">
        <v>2130</v>
      </c>
      <c r="H10169">
        <v>3</v>
      </c>
      <c r="I10169">
        <v>76.569999999999993</v>
      </c>
      <c r="J10169" s="50">
        <v>229.71</v>
      </c>
      <c r="K10169" t="s">
        <v>1618</v>
      </c>
      <c r="M10169" t="s">
        <v>1619</v>
      </c>
      <c r="N10169">
        <v>40.409999999999997</v>
      </c>
      <c r="O10169" s="49">
        <v>44638</v>
      </c>
      <c r="P10169" s="50">
        <v>103.3695</v>
      </c>
    </row>
    <row r="10170" spans="4:16" x14ac:dyDescent="0.2">
      <c r="D10170">
        <v>100006083</v>
      </c>
      <c r="E10170" s="49">
        <v>45647</v>
      </c>
      <c r="F10170" t="s">
        <v>7023</v>
      </c>
      <c r="G10170" t="s">
        <v>1958</v>
      </c>
      <c r="H10170">
        <v>2</v>
      </c>
      <c r="I10170">
        <v>74.5</v>
      </c>
      <c r="J10170" s="50">
        <v>149</v>
      </c>
      <c r="K10170" t="s">
        <v>1618</v>
      </c>
      <c r="M10170" t="s">
        <v>1619</v>
      </c>
      <c r="N10170">
        <v>39.32</v>
      </c>
      <c r="O10170" s="49">
        <v>45649</v>
      </c>
      <c r="P10170" s="50">
        <v>67.05</v>
      </c>
    </row>
    <row r="10171" spans="4:16" x14ac:dyDescent="0.2">
      <c r="D10171">
        <v>100006084</v>
      </c>
      <c r="E10171" s="49">
        <v>45314</v>
      </c>
      <c r="F10171" t="s">
        <v>7024</v>
      </c>
      <c r="G10171" t="s">
        <v>1693</v>
      </c>
      <c r="H10171">
        <v>8</v>
      </c>
      <c r="I10171">
        <v>48.83</v>
      </c>
      <c r="J10171" s="50">
        <v>390.64</v>
      </c>
      <c r="K10171" t="s">
        <v>1618</v>
      </c>
      <c r="L10171" t="s">
        <v>3862</v>
      </c>
      <c r="M10171" t="s">
        <v>1629</v>
      </c>
      <c r="N10171">
        <v>25.77</v>
      </c>
      <c r="O10171" s="49">
        <v>45319</v>
      </c>
      <c r="P10171" s="50">
        <v>175.78800000000001</v>
      </c>
    </row>
    <row r="10172" spans="4:16" x14ac:dyDescent="0.2">
      <c r="D10172">
        <v>100006085</v>
      </c>
      <c r="E10172" s="49">
        <v>45486</v>
      </c>
      <c r="F10172" t="s">
        <v>7025</v>
      </c>
      <c r="G10172" t="s">
        <v>1704</v>
      </c>
      <c r="H10172">
        <v>8</v>
      </c>
      <c r="I10172">
        <v>30.78</v>
      </c>
      <c r="J10172" s="50">
        <v>246.24</v>
      </c>
      <c r="K10172" t="s">
        <v>1618</v>
      </c>
      <c r="M10172" t="s">
        <v>1621</v>
      </c>
      <c r="N10172">
        <v>16.239999999999998</v>
      </c>
      <c r="O10172" s="49">
        <v>45488</v>
      </c>
      <c r="P10172" s="50">
        <v>110.80800000000001</v>
      </c>
    </row>
    <row r="10173" spans="4:16" x14ac:dyDescent="0.2">
      <c r="D10173">
        <v>100006086</v>
      </c>
      <c r="E10173" s="49">
        <v>45425</v>
      </c>
      <c r="F10173" t="s">
        <v>7026</v>
      </c>
      <c r="G10173" t="s">
        <v>1980</v>
      </c>
      <c r="H10173">
        <v>2</v>
      </c>
      <c r="I10173">
        <v>82.09</v>
      </c>
      <c r="J10173" s="50">
        <v>164.18</v>
      </c>
      <c r="K10173" t="s">
        <v>1618</v>
      </c>
      <c r="M10173" t="s">
        <v>1621</v>
      </c>
      <c r="N10173">
        <v>43.32</v>
      </c>
      <c r="O10173" s="49">
        <v>45429</v>
      </c>
      <c r="P10173" s="50">
        <v>73.881</v>
      </c>
    </row>
    <row r="10174" spans="4:16" x14ac:dyDescent="0.2">
      <c r="D10174">
        <v>100006087</v>
      </c>
      <c r="E10174" s="49">
        <v>44854</v>
      </c>
      <c r="F10174" t="s">
        <v>7027</v>
      </c>
      <c r="G10174" t="s">
        <v>1679</v>
      </c>
      <c r="H10174">
        <v>5</v>
      </c>
      <c r="I10174">
        <v>52.93</v>
      </c>
      <c r="J10174" s="50">
        <v>264.64999999999998</v>
      </c>
      <c r="K10174" t="s">
        <v>1632</v>
      </c>
      <c r="L10174" t="s">
        <v>2674</v>
      </c>
      <c r="M10174" t="s">
        <v>1621</v>
      </c>
      <c r="N10174">
        <v>27.94</v>
      </c>
      <c r="O10174" s="49">
        <v>44859</v>
      </c>
      <c r="P10174" s="50">
        <v>119.09249999999999</v>
      </c>
    </row>
    <row r="10175" spans="4:16" x14ac:dyDescent="0.2">
      <c r="D10175">
        <v>100006087</v>
      </c>
      <c r="E10175" s="49">
        <v>44994</v>
      </c>
      <c r="F10175" t="s">
        <v>7027</v>
      </c>
      <c r="G10175" t="s">
        <v>1707</v>
      </c>
      <c r="H10175">
        <v>7</v>
      </c>
      <c r="I10175">
        <v>81.34</v>
      </c>
      <c r="J10175" s="50">
        <v>569.38</v>
      </c>
      <c r="K10175" t="s">
        <v>1632</v>
      </c>
      <c r="L10175" t="s">
        <v>2674</v>
      </c>
      <c r="M10175" t="s">
        <v>1619</v>
      </c>
      <c r="N10175">
        <v>42.93</v>
      </c>
      <c r="O10175" s="49">
        <v>44995</v>
      </c>
      <c r="P10175" s="50">
        <v>256.221</v>
      </c>
    </row>
    <row r="10176" spans="4:16" x14ac:dyDescent="0.2">
      <c r="D10176">
        <v>100006088</v>
      </c>
      <c r="E10176" s="49">
        <v>45253</v>
      </c>
      <c r="F10176" t="s">
        <v>7028</v>
      </c>
      <c r="G10176" t="s">
        <v>2155</v>
      </c>
      <c r="H10176">
        <v>8</v>
      </c>
      <c r="I10176">
        <v>91.37</v>
      </c>
      <c r="J10176" s="50">
        <v>730.96</v>
      </c>
      <c r="K10176" t="s">
        <v>1632</v>
      </c>
      <c r="M10176" t="s">
        <v>1624</v>
      </c>
      <c r="N10176">
        <v>48.22</v>
      </c>
      <c r="O10176" s="49">
        <v>45254</v>
      </c>
      <c r="P10176" s="50">
        <v>328.93200000000002</v>
      </c>
    </row>
    <row r="10177" spans="4:16" x14ac:dyDescent="0.2">
      <c r="D10177">
        <v>100006089</v>
      </c>
      <c r="E10177" s="49">
        <v>45407</v>
      </c>
      <c r="F10177" t="s">
        <v>7029</v>
      </c>
      <c r="G10177" t="s">
        <v>1661</v>
      </c>
      <c r="H10177">
        <v>2</v>
      </c>
      <c r="I10177">
        <v>89.43</v>
      </c>
      <c r="J10177" s="50">
        <v>178.86</v>
      </c>
      <c r="K10177" t="s">
        <v>1618</v>
      </c>
      <c r="M10177" t="s">
        <v>1627</v>
      </c>
      <c r="N10177">
        <v>47.2</v>
      </c>
      <c r="O10177" s="49">
        <v>45409</v>
      </c>
      <c r="P10177" s="50">
        <v>80.487000000000009</v>
      </c>
    </row>
    <row r="10178" spans="4:16" x14ac:dyDescent="0.2">
      <c r="D10178">
        <v>100006091</v>
      </c>
      <c r="E10178" s="49">
        <v>44819</v>
      </c>
      <c r="F10178" t="s">
        <v>7030</v>
      </c>
      <c r="G10178" t="s">
        <v>2375</v>
      </c>
      <c r="H10178">
        <v>4</v>
      </c>
      <c r="I10178">
        <v>69.040000000000006</v>
      </c>
      <c r="J10178" s="50">
        <v>276.16000000000003</v>
      </c>
      <c r="K10178" t="s">
        <v>1632</v>
      </c>
      <c r="L10178" t="s">
        <v>5927</v>
      </c>
      <c r="M10178" t="s">
        <v>1629</v>
      </c>
      <c r="N10178">
        <v>36.44</v>
      </c>
      <c r="O10178" s="49">
        <v>44821</v>
      </c>
      <c r="P10178" s="50">
        <v>124.27200000000002</v>
      </c>
    </row>
    <row r="10179" spans="4:16" x14ac:dyDescent="0.2">
      <c r="D10179">
        <v>100006091</v>
      </c>
      <c r="E10179" s="49">
        <v>44658</v>
      </c>
      <c r="F10179" t="s">
        <v>7030</v>
      </c>
      <c r="G10179" t="s">
        <v>2142</v>
      </c>
      <c r="H10179">
        <v>7</v>
      </c>
      <c r="I10179">
        <v>70.42</v>
      </c>
      <c r="J10179" s="50">
        <v>492.94</v>
      </c>
      <c r="K10179" t="s">
        <v>1632</v>
      </c>
      <c r="L10179" t="s">
        <v>5927</v>
      </c>
      <c r="M10179" t="s">
        <v>1619</v>
      </c>
      <c r="N10179">
        <v>37.17</v>
      </c>
      <c r="O10179" s="49">
        <v>44662</v>
      </c>
      <c r="P10179" s="50">
        <v>221.82300000000001</v>
      </c>
    </row>
    <row r="10180" spans="4:16" x14ac:dyDescent="0.2">
      <c r="D10180">
        <v>100006093</v>
      </c>
      <c r="E10180" s="49">
        <v>45631</v>
      </c>
      <c r="F10180" t="s">
        <v>6303</v>
      </c>
      <c r="G10180" t="s">
        <v>2480</v>
      </c>
      <c r="H10180">
        <v>6</v>
      </c>
      <c r="I10180">
        <v>60.42</v>
      </c>
      <c r="J10180" s="50">
        <v>362.52</v>
      </c>
      <c r="K10180" t="s">
        <v>1618</v>
      </c>
      <c r="M10180" t="s">
        <v>1619</v>
      </c>
      <c r="N10180">
        <v>31.89</v>
      </c>
      <c r="O10180" s="49">
        <v>45634</v>
      </c>
      <c r="P10180" s="50">
        <v>163.13399999999999</v>
      </c>
    </row>
    <row r="10181" spans="4:16" x14ac:dyDescent="0.2">
      <c r="D10181">
        <v>100006093</v>
      </c>
      <c r="E10181" s="49">
        <v>45521</v>
      </c>
      <c r="F10181" t="s">
        <v>6303</v>
      </c>
      <c r="G10181" t="s">
        <v>1719</v>
      </c>
      <c r="H10181">
        <v>2</v>
      </c>
      <c r="I10181">
        <v>50.93</v>
      </c>
      <c r="J10181" s="50">
        <v>101.86</v>
      </c>
      <c r="K10181" t="s">
        <v>1618</v>
      </c>
      <c r="M10181" t="s">
        <v>1629</v>
      </c>
      <c r="N10181">
        <v>26.88</v>
      </c>
      <c r="O10181" s="49">
        <v>45522</v>
      </c>
      <c r="P10181" s="50">
        <v>45.837000000000003</v>
      </c>
    </row>
    <row r="10182" spans="4:16" x14ac:dyDescent="0.2">
      <c r="D10182">
        <v>100006093</v>
      </c>
      <c r="E10182" s="49">
        <v>44588</v>
      </c>
      <c r="F10182" t="s">
        <v>6303</v>
      </c>
      <c r="G10182" t="s">
        <v>2050</v>
      </c>
      <c r="H10182">
        <v>1</v>
      </c>
      <c r="I10182">
        <v>76.47</v>
      </c>
      <c r="J10182" s="50">
        <v>76.47</v>
      </c>
      <c r="K10182" t="s">
        <v>1618</v>
      </c>
      <c r="M10182" t="s">
        <v>1627</v>
      </c>
      <c r="N10182">
        <v>40.36</v>
      </c>
      <c r="O10182" s="49">
        <v>44592</v>
      </c>
      <c r="P10182" s="50">
        <v>34.411500000000004</v>
      </c>
    </row>
    <row r="10183" spans="4:16" x14ac:dyDescent="0.2">
      <c r="D10183">
        <v>100006093</v>
      </c>
      <c r="E10183" s="49">
        <v>44821</v>
      </c>
      <c r="F10183" t="s">
        <v>6303</v>
      </c>
      <c r="G10183" t="s">
        <v>2291</v>
      </c>
      <c r="H10183">
        <v>6</v>
      </c>
      <c r="I10183">
        <v>108.63</v>
      </c>
      <c r="J10183" s="50">
        <v>651.78</v>
      </c>
      <c r="K10183" t="s">
        <v>1618</v>
      </c>
      <c r="M10183" t="s">
        <v>1629</v>
      </c>
      <c r="N10183">
        <v>57.33</v>
      </c>
      <c r="O10183" s="49">
        <v>44822</v>
      </c>
      <c r="P10183" s="50">
        <v>293.30099999999999</v>
      </c>
    </row>
    <row r="10184" spans="4:16" x14ac:dyDescent="0.2">
      <c r="D10184">
        <v>100006093</v>
      </c>
      <c r="E10184" s="49">
        <v>44479</v>
      </c>
      <c r="F10184" t="s">
        <v>6303</v>
      </c>
      <c r="G10184" t="s">
        <v>1975</v>
      </c>
      <c r="H10184">
        <v>8</v>
      </c>
      <c r="I10184">
        <v>17.96</v>
      </c>
      <c r="J10184" s="50">
        <v>143.68</v>
      </c>
      <c r="K10184" t="s">
        <v>1618</v>
      </c>
      <c r="M10184" t="s">
        <v>1621</v>
      </c>
      <c r="N10184">
        <v>9.48</v>
      </c>
      <c r="O10184" s="49">
        <v>44481</v>
      </c>
      <c r="P10184" s="50">
        <v>64.656000000000006</v>
      </c>
    </row>
    <row r="10185" spans="4:16" x14ac:dyDescent="0.2">
      <c r="D10185">
        <v>100006093</v>
      </c>
      <c r="E10185" s="49">
        <v>45306</v>
      </c>
      <c r="F10185" t="s">
        <v>6303</v>
      </c>
      <c r="G10185" t="s">
        <v>1729</v>
      </c>
      <c r="H10185">
        <v>7</v>
      </c>
      <c r="I10185">
        <v>59.88</v>
      </c>
      <c r="J10185" s="50">
        <v>419.16</v>
      </c>
      <c r="K10185" t="s">
        <v>1618</v>
      </c>
      <c r="M10185" t="s">
        <v>1629</v>
      </c>
      <c r="N10185">
        <v>31.6</v>
      </c>
      <c r="O10185" s="49">
        <v>45307</v>
      </c>
      <c r="P10185" s="50">
        <v>188.62200000000001</v>
      </c>
    </row>
    <row r="10186" spans="4:16" x14ac:dyDescent="0.2">
      <c r="D10186">
        <v>100006093</v>
      </c>
      <c r="E10186" s="49">
        <v>45458</v>
      </c>
      <c r="F10186" t="s">
        <v>6303</v>
      </c>
      <c r="G10186" t="s">
        <v>2346</v>
      </c>
      <c r="H10186">
        <v>7</v>
      </c>
      <c r="I10186">
        <v>48.69</v>
      </c>
      <c r="J10186" s="50">
        <v>340.83</v>
      </c>
      <c r="K10186" t="s">
        <v>1618</v>
      </c>
      <c r="M10186" t="s">
        <v>1619</v>
      </c>
      <c r="N10186">
        <v>25.7</v>
      </c>
      <c r="O10186" s="49">
        <v>45462</v>
      </c>
      <c r="P10186" s="50">
        <v>153.37350000000001</v>
      </c>
    </row>
    <row r="10187" spans="4:16" x14ac:dyDescent="0.2">
      <c r="D10187">
        <v>100006094</v>
      </c>
      <c r="E10187" s="49">
        <v>45538</v>
      </c>
      <c r="F10187" t="s">
        <v>7031</v>
      </c>
      <c r="G10187" t="s">
        <v>2613</v>
      </c>
      <c r="H10187">
        <v>6</v>
      </c>
      <c r="I10187">
        <v>49.69</v>
      </c>
      <c r="J10187" s="50">
        <v>298.14</v>
      </c>
      <c r="K10187" t="s">
        <v>1632</v>
      </c>
      <c r="M10187" t="s">
        <v>1629</v>
      </c>
      <c r="N10187">
        <v>26.23</v>
      </c>
      <c r="O10187" s="49">
        <v>45541</v>
      </c>
      <c r="P10187" s="50">
        <v>134.16300000000001</v>
      </c>
    </row>
    <row r="10188" spans="4:16" x14ac:dyDescent="0.2">
      <c r="D10188">
        <v>100006096</v>
      </c>
      <c r="E10188" s="49">
        <v>44619</v>
      </c>
      <c r="F10188" t="s">
        <v>7032</v>
      </c>
      <c r="G10188" t="s">
        <v>3075</v>
      </c>
      <c r="H10188">
        <v>4</v>
      </c>
      <c r="I10188">
        <v>108.86</v>
      </c>
      <c r="J10188" s="50">
        <v>435.44</v>
      </c>
      <c r="K10188" t="s">
        <v>1618</v>
      </c>
      <c r="M10188" t="s">
        <v>1624</v>
      </c>
      <c r="N10188">
        <v>57.45</v>
      </c>
      <c r="O10188" s="49">
        <v>44621</v>
      </c>
      <c r="P10188" s="50">
        <v>195.94800000000001</v>
      </c>
    </row>
    <row r="10189" spans="4:16" x14ac:dyDescent="0.2">
      <c r="D10189">
        <v>100006097</v>
      </c>
      <c r="E10189" s="49">
        <v>44634</v>
      </c>
      <c r="F10189" t="s">
        <v>7033</v>
      </c>
      <c r="G10189" t="s">
        <v>1768</v>
      </c>
      <c r="H10189">
        <v>9</v>
      </c>
      <c r="I10189">
        <v>77.2</v>
      </c>
      <c r="J10189" s="50">
        <v>694.80000000000007</v>
      </c>
      <c r="K10189" t="s">
        <v>1618</v>
      </c>
      <c r="M10189" t="s">
        <v>1627</v>
      </c>
      <c r="N10189">
        <v>40.74</v>
      </c>
      <c r="O10189" s="49">
        <v>44635</v>
      </c>
      <c r="P10189" s="50">
        <v>312.66000000000003</v>
      </c>
    </row>
    <row r="10190" spans="4:16" x14ac:dyDescent="0.2">
      <c r="D10190">
        <v>100006100</v>
      </c>
      <c r="E10190" s="49">
        <v>45656</v>
      </c>
      <c r="F10190" t="s">
        <v>2304</v>
      </c>
      <c r="G10190" t="s">
        <v>2033</v>
      </c>
      <c r="H10190">
        <v>2</v>
      </c>
      <c r="I10190">
        <v>11.65</v>
      </c>
      <c r="J10190" s="50">
        <v>23.3</v>
      </c>
      <c r="K10190" t="s">
        <v>1618</v>
      </c>
      <c r="M10190" t="s">
        <v>1619</v>
      </c>
      <c r="N10190">
        <v>6.15</v>
      </c>
      <c r="O10190" s="49">
        <v>45659</v>
      </c>
      <c r="P10190" s="50">
        <v>10.485000000000001</v>
      </c>
    </row>
    <row r="10191" spans="4:16" x14ac:dyDescent="0.2">
      <c r="D10191">
        <v>100006100</v>
      </c>
      <c r="E10191" s="49">
        <v>44377</v>
      </c>
      <c r="F10191" t="s">
        <v>2304</v>
      </c>
      <c r="G10191" t="s">
        <v>2007</v>
      </c>
      <c r="H10191">
        <v>6</v>
      </c>
      <c r="I10191">
        <v>82.94</v>
      </c>
      <c r="J10191" s="50">
        <v>497.64</v>
      </c>
      <c r="K10191" t="s">
        <v>1618</v>
      </c>
      <c r="M10191" t="s">
        <v>1629</v>
      </c>
      <c r="N10191">
        <v>43.77</v>
      </c>
      <c r="O10191" s="49">
        <v>44378</v>
      </c>
      <c r="P10191" s="50">
        <v>223.93799999999999</v>
      </c>
    </row>
    <row r="10192" spans="4:16" x14ac:dyDescent="0.2">
      <c r="D10192">
        <v>100006100</v>
      </c>
      <c r="E10192" s="49">
        <v>44562</v>
      </c>
      <c r="F10192" t="s">
        <v>2304</v>
      </c>
      <c r="G10192" t="s">
        <v>1639</v>
      </c>
      <c r="H10192">
        <v>1</v>
      </c>
      <c r="I10192">
        <v>26.91</v>
      </c>
      <c r="J10192" s="50">
        <v>26.91</v>
      </c>
      <c r="K10192" t="s">
        <v>1618</v>
      </c>
      <c r="M10192" t="s">
        <v>1627</v>
      </c>
      <c r="N10192">
        <v>14.2</v>
      </c>
      <c r="O10192" s="49">
        <v>44563</v>
      </c>
      <c r="P10192" s="50">
        <v>12.109500000000001</v>
      </c>
    </row>
    <row r="10193" spans="4:16" x14ac:dyDescent="0.2">
      <c r="D10193">
        <v>100006100</v>
      </c>
      <c r="E10193" s="49">
        <v>44577</v>
      </c>
      <c r="F10193" t="s">
        <v>2304</v>
      </c>
      <c r="G10193" t="s">
        <v>1634</v>
      </c>
      <c r="H10193">
        <v>10</v>
      </c>
      <c r="I10193">
        <v>80.489999999999995</v>
      </c>
      <c r="J10193" s="50">
        <v>804.9</v>
      </c>
      <c r="K10193" t="s">
        <v>1618</v>
      </c>
      <c r="M10193" t="s">
        <v>1619</v>
      </c>
      <c r="N10193">
        <v>42.48</v>
      </c>
      <c r="O10193" s="49">
        <v>44581</v>
      </c>
      <c r="P10193" s="50">
        <v>362.20499999999998</v>
      </c>
    </row>
    <row r="10194" spans="4:16" x14ac:dyDescent="0.2">
      <c r="D10194">
        <v>100006103</v>
      </c>
      <c r="E10194" s="49">
        <v>44832</v>
      </c>
      <c r="F10194" t="s">
        <v>4054</v>
      </c>
      <c r="G10194" t="s">
        <v>1971</v>
      </c>
      <c r="H10194">
        <v>9</v>
      </c>
      <c r="I10194">
        <v>91.91</v>
      </c>
      <c r="J10194" s="50">
        <v>827.18999999999994</v>
      </c>
      <c r="K10194" t="s">
        <v>1632</v>
      </c>
      <c r="M10194" t="s">
        <v>1621</v>
      </c>
      <c r="N10194">
        <v>48.51</v>
      </c>
      <c r="O10194" s="49">
        <v>44835</v>
      </c>
      <c r="P10194" s="50">
        <v>372.2355</v>
      </c>
    </row>
    <row r="10195" spans="4:16" x14ac:dyDescent="0.2">
      <c r="D10195">
        <v>100006104</v>
      </c>
      <c r="E10195" s="49">
        <v>45005</v>
      </c>
      <c r="F10195" t="s">
        <v>7034</v>
      </c>
      <c r="G10195" t="s">
        <v>1872</v>
      </c>
      <c r="H10195">
        <v>7</v>
      </c>
      <c r="I10195">
        <v>71.56</v>
      </c>
      <c r="J10195" s="50">
        <v>500.92</v>
      </c>
      <c r="K10195" t="s">
        <v>1618</v>
      </c>
      <c r="L10195" t="s">
        <v>7035</v>
      </c>
      <c r="M10195" t="s">
        <v>1624</v>
      </c>
      <c r="N10195">
        <v>37.770000000000003</v>
      </c>
      <c r="O10195" s="49">
        <v>45010</v>
      </c>
      <c r="P10195" s="50">
        <v>225.41400000000002</v>
      </c>
    </row>
    <row r="10196" spans="4:16" x14ac:dyDescent="0.2">
      <c r="D10196">
        <v>100006105</v>
      </c>
      <c r="E10196" s="49">
        <v>44658</v>
      </c>
      <c r="F10196" t="s">
        <v>7036</v>
      </c>
      <c r="G10196" t="s">
        <v>2613</v>
      </c>
      <c r="H10196">
        <v>2</v>
      </c>
      <c r="I10196">
        <v>94.62</v>
      </c>
      <c r="J10196" s="50">
        <v>189.24</v>
      </c>
      <c r="K10196" t="s">
        <v>1618</v>
      </c>
      <c r="M10196" t="s">
        <v>1629</v>
      </c>
      <c r="N10196">
        <v>49.94</v>
      </c>
      <c r="O10196" s="49">
        <v>44660</v>
      </c>
      <c r="P10196" s="50">
        <v>85.158000000000001</v>
      </c>
    </row>
    <row r="10197" spans="4:16" x14ac:dyDescent="0.2">
      <c r="D10197">
        <v>100006105</v>
      </c>
      <c r="E10197" s="49">
        <v>44841</v>
      </c>
      <c r="F10197" t="s">
        <v>7036</v>
      </c>
      <c r="G10197" t="s">
        <v>1667</v>
      </c>
      <c r="H10197">
        <v>6</v>
      </c>
      <c r="I10197">
        <v>46.36</v>
      </c>
      <c r="J10197" s="50">
        <v>278.16000000000003</v>
      </c>
      <c r="K10197" t="s">
        <v>1618</v>
      </c>
      <c r="M10197" t="s">
        <v>1621</v>
      </c>
      <c r="N10197">
        <v>24.47</v>
      </c>
      <c r="O10197" s="49">
        <v>44844</v>
      </c>
      <c r="P10197" s="50">
        <v>125.17200000000001</v>
      </c>
    </row>
    <row r="10198" spans="4:16" x14ac:dyDescent="0.2">
      <c r="D10198">
        <v>100006105</v>
      </c>
      <c r="E10198" s="49">
        <v>44434</v>
      </c>
      <c r="F10198" t="s">
        <v>7036</v>
      </c>
      <c r="G10198" t="s">
        <v>2047</v>
      </c>
      <c r="H10198">
        <v>10</v>
      </c>
      <c r="I10198">
        <v>107.43</v>
      </c>
      <c r="J10198" s="50">
        <v>1074.3</v>
      </c>
      <c r="K10198" t="s">
        <v>1618</v>
      </c>
      <c r="M10198" t="s">
        <v>1624</v>
      </c>
      <c r="N10198">
        <v>56.7</v>
      </c>
      <c r="O10198" s="49">
        <v>44435</v>
      </c>
      <c r="P10198" s="50">
        <v>483.435</v>
      </c>
    </row>
    <row r="10199" spans="4:16" x14ac:dyDescent="0.2">
      <c r="D10199">
        <v>100006105</v>
      </c>
      <c r="E10199" s="49">
        <v>45429</v>
      </c>
      <c r="F10199" t="s">
        <v>7036</v>
      </c>
      <c r="G10199" t="s">
        <v>1783</v>
      </c>
      <c r="H10199">
        <v>1</v>
      </c>
      <c r="I10199">
        <v>28.21</v>
      </c>
      <c r="J10199" s="50">
        <v>28.21</v>
      </c>
      <c r="K10199" t="s">
        <v>1618</v>
      </c>
      <c r="M10199" t="s">
        <v>1619</v>
      </c>
      <c r="N10199">
        <v>14.89</v>
      </c>
      <c r="O10199" s="49">
        <v>45434</v>
      </c>
      <c r="P10199" s="50">
        <v>12.694500000000001</v>
      </c>
    </row>
    <row r="10200" spans="4:16" x14ac:dyDescent="0.2">
      <c r="D10200">
        <v>100006106</v>
      </c>
      <c r="E10200" s="49">
        <v>44911</v>
      </c>
      <c r="F10200" t="s">
        <v>7037</v>
      </c>
      <c r="G10200" t="s">
        <v>1941</v>
      </c>
      <c r="H10200">
        <v>5</v>
      </c>
      <c r="I10200">
        <v>82.92</v>
      </c>
      <c r="J10200" s="50">
        <v>414.6</v>
      </c>
      <c r="K10200" t="s">
        <v>1618</v>
      </c>
      <c r="M10200" t="s">
        <v>1624</v>
      </c>
      <c r="N10200">
        <v>43.76</v>
      </c>
      <c r="O10200" s="49">
        <v>44912</v>
      </c>
      <c r="P10200" s="50">
        <v>186.57000000000002</v>
      </c>
    </row>
    <row r="10201" spans="4:16" x14ac:dyDescent="0.2">
      <c r="D10201">
        <v>100006107</v>
      </c>
      <c r="E10201" s="49">
        <v>45411</v>
      </c>
      <c r="F10201" t="s">
        <v>7038</v>
      </c>
      <c r="G10201" t="s">
        <v>1819</v>
      </c>
      <c r="H10201">
        <v>5</v>
      </c>
      <c r="I10201">
        <v>23.82</v>
      </c>
      <c r="J10201" s="50">
        <v>119.1</v>
      </c>
      <c r="K10201" t="s">
        <v>1632</v>
      </c>
      <c r="M10201" t="s">
        <v>1619</v>
      </c>
      <c r="N10201">
        <v>12.57</v>
      </c>
      <c r="O10201" s="49">
        <v>45416</v>
      </c>
      <c r="P10201" s="50">
        <v>53.594999999999999</v>
      </c>
    </row>
    <row r="10202" spans="4:16" x14ac:dyDescent="0.2">
      <c r="D10202">
        <v>100006108</v>
      </c>
      <c r="E10202" s="49">
        <v>44918</v>
      </c>
      <c r="F10202" t="s">
        <v>7039</v>
      </c>
      <c r="G10202" t="s">
        <v>2134</v>
      </c>
      <c r="H10202">
        <v>7</v>
      </c>
      <c r="I10202">
        <v>99.06</v>
      </c>
      <c r="J10202" s="50">
        <v>693.42000000000007</v>
      </c>
      <c r="K10202" t="s">
        <v>1632</v>
      </c>
      <c r="M10202" t="s">
        <v>1627</v>
      </c>
      <c r="N10202">
        <v>52.28</v>
      </c>
      <c r="O10202" s="49">
        <v>44922</v>
      </c>
      <c r="P10202" s="50">
        <v>312.03900000000004</v>
      </c>
    </row>
    <row r="10203" spans="4:16" x14ac:dyDescent="0.2">
      <c r="D10203">
        <v>100006109</v>
      </c>
      <c r="E10203" s="49">
        <v>45230</v>
      </c>
      <c r="F10203" t="s">
        <v>7040</v>
      </c>
      <c r="G10203" t="s">
        <v>1775</v>
      </c>
      <c r="H10203">
        <v>8</v>
      </c>
      <c r="I10203">
        <v>73.260000000000005</v>
      </c>
      <c r="J10203" s="50">
        <v>586.08000000000004</v>
      </c>
      <c r="K10203" t="s">
        <v>1632</v>
      </c>
      <c r="M10203" t="s">
        <v>1629</v>
      </c>
      <c r="N10203">
        <v>38.659999999999997</v>
      </c>
      <c r="O10203" s="49">
        <v>45235</v>
      </c>
      <c r="P10203" s="50">
        <v>263.73600000000005</v>
      </c>
    </row>
    <row r="10204" spans="4:16" x14ac:dyDescent="0.2">
      <c r="D10204">
        <v>100006110</v>
      </c>
      <c r="E10204" s="49">
        <v>44280</v>
      </c>
      <c r="F10204" t="s">
        <v>7041</v>
      </c>
      <c r="G10204" t="s">
        <v>1975</v>
      </c>
      <c r="H10204">
        <v>5</v>
      </c>
      <c r="I10204">
        <v>117.01</v>
      </c>
      <c r="J10204" s="50">
        <v>585.05000000000007</v>
      </c>
      <c r="K10204" t="s">
        <v>1632</v>
      </c>
      <c r="M10204" t="s">
        <v>1621</v>
      </c>
      <c r="N10204">
        <v>61.75</v>
      </c>
      <c r="O10204" s="49">
        <v>44284</v>
      </c>
      <c r="P10204" s="50">
        <v>263.27250000000004</v>
      </c>
    </row>
    <row r="10205" spans="4:16" x14ac:dyDescent="0.2">
      <c r="D10205">
        <v>100006111</v>
      </c>
      <c r="E10205" s="49">
        <v>44261</v>
      </c>
      <c r="F10205" t="s">
        <v>7042</v>
      </c>
      <c r="G10205" t="s">
        <v>2485</v>
      </c>
      <c r="H10205">
        <v>2</v>
      </c>
      <c r="I10205">
        <v>105.58</v>
      </c>
      <c r="J10205" s="50">
        <v>211.16</v>
      </c>
      <c r="K10205" t="s">
        <v>1632</v>
      </c>
      <c r="L10205" t="s">
        <v>7043</v>
      </c>
      <c r="M10205" t="s">
        <v>1627</v>
      </c>
      <c r="N10205">
        <v>55.72</v>
      </c>
      <c r="O10205" s="49">
        <v>44265</v>
      </c>
      <c r="P10205" s="50">
        <v>95.022000000000006</v>
      </c>
    </row>
    <row r="10206" spans="4:16" x14ac:dyDescent="0.2">
      <c r="D10206">
        <v>100006111</v>
      </c>
      <c r="E10206" s="49">
        <v>45384</v>
      </c>
      <c r="F10206" t="s">
        <v>7042</v>
      </c>
      <c r="G10206" t="s">
        <v>2071</v>
      </c>
      <c r="H10206">
        <v>8</v>
      </c>
      <c r="I10206">
        <v>49.09</v>
      </c>
      <c r="J10206" s="50">
        <v>392.72</v>
      </c>
      <c r="K10206" t="s">
        <v>1632</v>
      </c>
      <c r="L10206" t="s">
        <v>7043</v>
      </c>
      <c r="M10206" t="s">
        <v>1621</v>
      </c>
      <c r="N10206">
        <v>25.91</v>
      </c>
      <c r="O10206" s="49">
        <v>45388</v>
      </c>
      <c r="P10206" s="50">
        <v>176.72400000000002</v>
      </c>
    </row>
    <row r="10207" spans="4:16" x14ac:dyDescent="0.2">
      <c r="D10207">
        <v>100006113</v>
      </c>
      <c r="E10207" s="49">
        <v>44765</v>
      </c>
      <c r="F10207" t="s">
        <v>7044</v>
      </c>
      <c r="G10207" t="s">
        <v>1956</v>
      </c>
      <c r="H10207">
        <v>1</v>
      </c>
      <c r="I10207">
        <v>107.2</v>
      </c>
      <c r="J10207" s="50">
        <v>107.2</v>
      </c>
      <c r="K10207" t="s">
        <v>1632</v>
      </c>
      <c r="M10207" t="s">
        <v>1629</v>
      </c>
      <c r="N10207">
        <v>56.58</v>
      </c>
      <c r="O10207" s="49">
        <v>44768</v>
      </c>
      <c r="P10207" s="50">
        <v>48.24</v>
      </c>
    </row>
    <row r="10208" spans="4:16" x14ac:dyDescent="0.2">
      <c r="D10208">
        <v>100006113</v>
      </c>
      <c r="E10208" s="49">
        <v>44832</v>
      </c>
      <c r="F10208" t="s">
        <v>7044</v>
      </c>
      <c r="G10208" t="s">
        <v>2112</v>
      </c>
      <c r="H10208">
        <v>9</v>
      </c>
      <c r="I10208">
        <v>118.69</v>
      </c>
      <c r="J10208" s="50">
        <v>1068.21</v>
      </c>
      <c r="K10208" t="s">
        <v>1632</v>
      </c>
      <c r="M10208" t="s">
        <v>1621</v>
      </c>
      <c r="N10208">
        <v>62.64</v>
      </c>
      <c r="O10208" s="49">
        <v>44836</v>
      </c>
      <c r="P10208" s="50">
        <v>480.69450000000001</v>
      </c>
    </row>
    <row r="10209" spans="4:16" x14ac:dyDescent="0.2">
      <c r="D10209">
        <v>100006113</v>
      </c>
      <c r="E10209" s="49">
        <v>44785</v>
      </c>
      <c r="F10209" t="s">
        <v>7044</v>
      </c>
      <c r="G10209" t="s">
        <v>1980</v>
      </c>
      <c r="H10209">
        <v>10</v>
      </c>
      <c r="I10209">
        <v>79.16</v>
      </c>
      <c r="J10209" s="50">
        <v>791.59999999999991</v>
      </c>
      <c r="K10209" t="s">
        <v>1632</v>
      </c>
      <c r="M10209" t="s">
        <v>1621</v>
      </c>
      <c r="N10209">
        <v>41.78</v>
      </c>
      <c r="O10209" s="49">
        <v>44787</v>
      </c>
      <c r="P10209" s="50">
        <v>356.21999999999997</v>
      </c>
    </row>
    <row r="10210" spans="4:16" x14ac:dyDescent="0.2">
      <c r="D10210">
        <v>100006113</v>
      </c>
      <c r="E10210" s="49">
        <v>45203</v>
      </c>
      <c r="F10210" t="s">
        <v>7044</v>
      </c>
      <c r="G10210" t="s">
        <v>1807</v>
      </c>
      <c r="H10210">
        <v>9</v>
      </c>
      <c r="I10210">
        <v>47.11</v>
      </c>
      <c r="J10210" s="50">
        <v>423.99</v>
      </c>
      <c r="K10210" t="s">
        <v>1632</v>
      </c>
      <c r="M10210" t="s">
        <v>1627</v>
      </c>
      <c r="N10210">
        <v>24.86</v>
      </c>
      <c r="O10210" s="49">
        <v>45204</v>
      </c>
      <c r="P10210" s="50">
        <v>190.7955</v>
      </c>
    </row>
    <row r="10211" spans="4:16" x14ac:dyDescent="0.2">
      <c r="D10211">
        <v>100006114</v>
      </c>
      <c r="E10211" s="49">
        <v>44801</v>
      </c>
      <c r="F10211" t="s">
        <v>7045</v>
      </c>
      <c r="G10211" t="s">
        <v>3075</v>
      </c>
      <c r="H10211">
        <v>10</v>
      </c>
      <c r="I10211">
        <v>31.24</v>
      </c>
      <c r="J10211" s="50">
        <v>312.39999999999998</v>
      </c>
      <c r="K10211" t="s">
        <v>1618</v>
      </c>
      <c r="M10211" t="s">
        <v>1629</v>
      </c>
      <c r="N10211">
        <v>16.489999999999998</v>
      </c>
      <c r="O10211" s="49">
        <v>44804</v>
      </c>
      <c r="P10211" s="50">
        <v>140.57999999999998</v>
      </c>
    </row>
    <row r="10212" spans="4:16" x14ac:dyDescent="0.2">
      <c r="D10212">
        <v>100006114</v>
      </c>
      <c r="E10212" s="49">
        <v>44989</v>
      </c>
      <c r="F10212" t="s">
        <v>7045</v>
      </c>
      <c r="G10212" t="s">
        <v>1686</v>
      </c>
      <c r="H10212">
        <v>4</v>
      </c>
      <c r="I10212">
        <v>42.62</v>
      </c>
      <c r="J10212" s="50">
        <v>170.48</v>
      </c>
      <c r="K10212" t="s">
        <v>1618</v>
      </c>
      <c r="M10212" t="s">
        <v>1619</v>
      </c>
      <c r="N10212">
        <v>22.49</v>
      </c>
      <c r="O10212" s="49">
        <v>44994</v>
      </c>
      <c r="P10212" s="50">
        <v>76.715999999999994</v>
      </c>
    </row>
    <row r="10213" spans="4:16" x14ac:dyDescent="0.2">
      <c r="D10213">
        <v>100006114</v>
      </c>
      <c r="E10213" s="49">
        <v>45222</v>
      </c>
      <c r="F10213" t="s">
        <v>7045</v>
      </c>
      <c r="G10213" t="s">
        <v>2125</v>
      </c>
      <c r="H10213">
        <v>1</v>
      </c>
      <c r="I10213">
        <v>10.78</v>
      </c>
      <c r="J10213" s="50">
        <v>10.78</v>
      </c>
      <c r="K10213" t="s">
        <v>1618</v>
      </c>
      <c r="M10213" t="s">
        <v>1619</v>
      </c>
      <c r="N10213">
        <v>5.69</v>
      </c>
      <c r="O10213" s="49">
        <v>45225</v>
      </c>
      <c r="P10213" s="50">
        <v>4.851</v>
      </c>
    </row>
    <row r="10214" spans="4:16" x14ac:dyDescent="0.2">
      <c r="D10214">
        <v>100006115</v>
      </c>
      <c r="E10214" s="49">
        <v>45205</v>
      </c>
      <c r="F10214" t="s">
        <v>7046</v>
      </c>
      <c r="G10214" t="s">
        <v>1628</v>
      </c>
      <c r="H10214">
        <v>8</v>
      </c>
      <c r="I10214">
        <v>43</v>
      </c>
      <c r="J10214" s="50">
        <v>344</v>
      </c>
      <c r="K10214" t="s">
        <v>1632</v>
      </c>
      <c r="M10214" t="s">
        <v>1627</v>
      </c>
      <c r="N10214">
        <v>22.69</v>
      </c>
      <c r="O10214" s="49">
        <v>45206</v>
      </c>
      <c r="P10214" s="50">
        <v>154.80000000000001</v>
      </c>
    </row>
    <row r="10215" spans="4:16" x14ac:dyDescent="0.2">
      <c r="D10215">
        <v>100006116</v>
      </c>
      <c r="E10215" s="49">
        <v>44401</v>
      </c>
      <c r="F10215" t="s">
        <v>7047</v>
      </c>
      <c r="G10215" t="s">
        <v>1913</v>
      </c>
      <c r="H10215">
        <v>2</v>
      </c>
      <c r="I10215">
        <v>33.71</v>
      </c>
      <c r="J10215" s="50">
        <v>67.42</v>
      </c>
      <c r="K10215" t="s">
        <v>1632</v>
      </c>
      <c r="M10215" t="s">
        <v>1624</v>
      </c>
      <c r="N10215">
        <v>17.79</v>
      </c>
      <c r="O10215" s="49">
        <v>44404</v>
      </c>
      <c r="P10215" s="50">
        <v>30.339000000000002</v>
      </c>
    </row>
    <row r="10216" spans="4:16" x14ac:dyDescent="0.2">
      <c r="D10216">
        <v>100006117</v>
      </c>
      <c r="E10216" s="49">
        <v>44630</v>
      </c>
      <c r="F10216" t="s">
        <v>7048</v>
      </c>
      <c r="G10216" t="s">
        <v>1707</v>
      </c>
      <c r="H10216">
        <v>10</v>
      </c>
      <c r="I10216">
        <v>96.68</v>
      </c>
      <c r="J10216" s="50">
        <v>966.80000000000007</v>
      </c>
      <c r="K10216" t="s">
        <v>1632</v>
      </c>
      <c r="M10216" t="s">
        <v>1624</v>
      </c>
      <c r="N10216">
        <v>51.03</v>
      </c>
      <c r="O10216" s="49">
        <v>44634</v>
      </c>
      <c r="P10216" s="50">
        <v>435.06000000000006</v>
      </c>
    </row>
    <row r="10217" spans="4:16" x14ac:dyDescent="0.2">
      <c r="D10217">
        <v>100006117</v>
      </c>
      <c r="E10217" s="49">
        <v>44429</v>
      </c>
      <c r="F10217" t="s">
        <v>7048</v>
      </c>
      <c r="G10217" t="s">
        <v>1770</v>
      </c>
      <c r="H10217">
        <v>3</v>
      </c>
      <c r="I10217">
        <v>65.91</v>
      </c>
      <c r="J10217" s="50">
        <v>197.73</v>
      </c>
      <c r="K10217" t="s">
        <v>1632</v>
      </c>
      <c r="M10217" t="s">
        <v>1624</v>
      </c>
      <c r="N10217">
        <v>34.79</v>
      </c>
      <c r="O10217" s="49">
        <v>44434</v>
      </c>
      <c r="P10217" s="50">
        <v>88.978499999999997</v>
      </c>
    </row>
    <row r="10218" spans="4:16" x14ac:dyDescent="0.2">
      <c r="D10218">
        <v>100006117</v>
      </c>
      <c r="E10218" s="49">
        <v>45176</v>
      </c>
      <c r="F10218" t="s">
        <v>7048</v>
      </c>
      <c r="G10218" t="s">
        <v>1671</v>
      </c>
      <c r="H10218">
        <v>4</v>
      </c>
      <c r="I10218">
        <v>116.39</v>
      </c>
      <c r="J10218" s="50">
        <v>465.56</v>
      </c>
      <c r="K10218" t="s">
        <v>1632</v>
      </c>
      <c r="M10218" t="s">
        <v>1621</v>
      </c>
      <c r="N10218">
        <v>61.43</v>
      </c>
      <c r="O10218" s="49">
        <v>45177</v>
      </c>
      <c r="P10218" s="50">
        <v>209.50200000000001</v>
      </c>
    </row>
    <row r="10219" spans="4:16" x14ac:dyDescent="0.2">
      <c r="D10219">
        <v>100006118</v>
      </c>
      <c r="E10219" s="49">
        <v>45231</v>
      </c>
      <c r="F10219" t="s">
        <v>7049</v>
      </c>
      <c r="G10219" t="s">
        <v>1953</v>
      </c>
      <c r="H10219">
        <v>9</v>
      </c>
      <c r="I10219">
        <v>87.94</v>
      </c>
      <c r="J10219" s="50">
        <v>791.46</v>
      </c>
      <c r="K10219" t="s">
        <v>1618</v>
      </c>
      <c r="M10219" t="s">
        <v>1624</v>
      </c>
      <c r="N10219">
        <v>46.41</v>
      </c>
      <c r="O10219" s="49">
        <v>45233</v>
      </c>
      <c r="P10219" s="50">
        <v>356.15700000000004</v>
      </c>
    </row>
    <row r="10220" spans="4:16" x14ac:dyDescent="0.2">
      <c r="D10220">
        <v>100006118</v>
      </c>
      <c r="E10220" s="49">
        <v>45081</v>
      </c>
      <c r="F10220" t="s">
        <v>7049</v>
      </c>
      <c r="G10220" t="s">
        <v>1874</v>
      </c>
      <c r="H10220">
        <v>10</v>
      </c>
      <c r="I10220">
        <v>60.11</v>
      </c>
      <c r="J10220" s="50">
        <v>601.1</v>
      </c>
      <c r="K10220" t="s">
        <v>1618</v>
      </c>
      <c r="M10220" t="s">
        <v>1629</v>
      </c>
      <c r="N10220">
        <v>31.72</v>
      </c>
      <c r="O10220" s="49">
        <v>45083</v>
      </c>
      <c r="P10220" s="50">
        <v>270.495</v>
      </c>
    </row>
    <row r="10221" spans="4:16" x14ac:dyDescent="0.2">
      <c r="D10221">
        <v>100006119</v>
      </c>
      <c r="E10221" s="49">
        <v>44922</v>
      </c>
      <c r="F10221" t="s">
        <v>7050</v>
      </c>
      <c r="G10221" t="s">
        <v>2344</v>
      </c>
      <c r="H10221">
        <v>1</v>
      </c>
      <c r="I10221">
        <v>63.85</v>
      </c>
      <c r="J10221" s="50">
        <v>63.85</v>
      </c>
      <c r="K10221" t="s">
        <v>1632</v>
      </c>
      <c r="M10221" t="s">
        <v>1621</v>
      </c>
      <c r="N10221">
        <v>33.700000000000003</v>
      </c>
      <c r="O10221" s="49">
        <v>44923</v>
      </c>
      <c r="P10221" s="50">
        <v>28.732500000000002</v>
      </c>
    </row>
    <row r="10222" spans="4:16" x14ac:dyDescent="0.2">
      <c r="D10222">
        <v>100006119</v>
      </c>
      <c r="E10222" s="49">
        <v>44309</v>
      </c>
      <c r="F10222" t="s">
        <v>7050</v>
      </c>
      <c r="G10222" t="s">
        <v>2465</v>
      </c>
      <c r="H10222">
        <v>8</v>
      </c>
      <c r="I10222">
        <v>19.809999999999999</v>
      </c>
      <c r="J10222" s="50">
        <v>158.47999999999999</v>
      </c>
      <c r="K10222" t="s">
        <v>1632</v>
      </c>
      <c r="M10222" t="s">
        <v>1624</v>
      </c>
      <c r="N10222">
        <v>10.46</v>
      </c>
      <c r="O10222" s="49">
        <v>44311</v>
      </c>
      <c r="P10222" s="50">
        <v>71.316000000000003</v>
      </c>
    </row>
    <row r="10223" spans="4:16" x14ac:dyDescent="0.2">
      <c r="D10223">
        <v>100006119</v>
      </c>
      <c r="E10223" s="49">
        <v>44668</v>
      </c>
      <c r="F10223" t="s">
        <v>7050</v>
      </c>
      <c r="G10223" t="s">
        <v>2323</v>
      </c>
      <c r="H10223">
        <v>3</v>
      </c>
      <c r="I10223">
        <v>73.22</v>
      </c>
      <c r="J10223" s="50">
        <v>219.66</v>
      </c>
      <c r="K10223" t="s">
        <v>1632</v>
      </c>
      <c r="M10223" t="s">
        <v>1624</v>
      </c>
      <c r="N10223">
        <v>38.64</v>
      </c>
      <c r="O10223" s="49">
        <v>44673</v>
      </c>
      <c r="P10223" s="50">
        <v>98.846999999999994</v>
      </c>
    </row>
    <row r="10224" spans="4:16" x14ac:dyDescent="0.2">
      <c r="D10224">
        <v>100006119</v>
      </c>
      <c r="E10224" s="49">
        <v>45278</v>
      </c>
      <c r="F10224" t="s">
        <v>7050</v>
      </c>
      <c r="G10224" t="s">
        <v>2093</v>
      </c>
      <c r="H10224">
        <v>6</v>
      </c>
      <c r="I10224">
        <v>87.57</v>
      </c>
      <c r="J10224" s="50">
        <v>525.41999999999996</v>
      </c>
      <c r="K10224" t="s">
        <v>1632</v>
      </c>
      <c r="M10224" t="s">
        <v>1629</v>
      </c>
      <c r="N10224">
        <v>46.22</v>
      </c>
      <c r="O10224" s="49">
        <v>45279</v>
      </c>
      <c r="P10224" s="50">
        <v>236.43899999999999</v>
      </c>
    </row>
    <row r="10225" spans="4:16" x14ac:dyDescent="0.2">
      <c r="D10225">
        <v>100006121</v>
      </c>
      <c r="E10225" s="49">
        <v>44671</v>
      </c>
      <c r="F10225" t="s">
        <v>7051</v>
      </c>
      <c r="G10225" t="s">
        <v>1838</v>
      </c>
      <c r="H10225">
        <v>7</v>
      </c>
      <c r="I10225">
        <v>46.28</v>
      </c>
      <c r="J10225" s="50">
        <v>323.95999999999998</v>
      </c>
      <c r="K10225" t="s">
        <v>1618</v>
      </c>
      <c r="M10225" t="s">
        <v>1619</v>
      </c>
      <c r="N10225">
        <v>24.43</v>
      </c>
      <c r="O10225" s="49">
        <v>44672</v>
      </c>
      <c r="P10225" s="50">
        <v>145.78199999999998</v>
      </c>
    </row>
    <row r="10226" spans="4:16" x14ac:dyDescent="0.2">
      <c r="D10226">
        <v>100006121</v>
      </c>
      <c r="E10226" s="49">
        <v>45043</v>
      </c>
      <c r="F10226" t="s">
        <v>7051</v>
      </c>
      <c r="G10226" t="s">
        <v>1715</v>
      </c>
      <c r="H10226">
        <v>2</v>
      </c>
      <c r="I10226">
        <v>18.11</v>
      </c>
      <c r="J10226" s="50">
        <v>36.22</v>
      </c>
      <c r="K10226" t="s">
        <v>1618</v>
      </c>
      <c r="M10226" t="s">
        <v>1621</v>
      </c>
      <c r="N10226">
        <v>9.56</v>
      </c>
      <c r="O10226" s="49">
        <v>45045</v>
      </c>
      <c r="P10226" s="50">
        <v>16.298999999999999</v>
      </c>
    </row>
    <row r="10227" spans="4:16" x14ac:dyDescent="0.2">
      <c r="D10227">
        <v>100006124</v>
      </c>
      <c r="E10227" s="49">
        <v>45424</v>
      </c>
      <c r="F10227" t="s">
        <v>7052</v>
      </c>
      <c r="G10227" t="s">
        <v>1617</v>
      </c>
      <c r="H10227">
        <v>6</v>
      </c>
      <c r="I10227">
        <v>61.29</v>
      </c>
      <c r="J10227" s="50">
        <v>367.74</v>
      </c>
      <c r="K10227" t="s">
        <v>1618</v>
      </c>
      <c r="M10227" t="s">
        <v>1621</v>
      </c>
      <c r="N10227">
        <v>32.35</v>
      </c>
      <c r="O10227" s="49">
        <v>45427</v>
      </c>
      <c r="P10227" s="50">
        <v>165.483</v>
      </c>
    </row>
    <row r="10228" spans="4:16" x14ac:dyDescent="0.2">
      <c r="D10228">
        <v>100006125</v>
      </c>
      <c r="E10228" s="49">
        <v>44241</v>
      </c>
      <c r="F10228" t="s">
        <v>7053</v>
      </c>
      <c r="G10228" t="s">
        <v>1877</v>
      </c>
      <c r="H10228">
        <v>4</v>
      </c>
      <c r="I10228">
        <v>99.92</v>
      </c>
      <c r="J10228" s="50">
        <v>399.68</v>
      </c>
      <c r="K10228" t="s">
        <v>1632</v>
      </c>
      <c r="M10228" t="s">
        <v>1621</v>
      </c>
      <c r="N10228">
        <v>52.74</v>
      </c>
      <c r="O10228" s="49">
        <v>44244</v>
      </c>
      <c r="P10228" s="50">
        <v>179.85599999999999</v>
      </c>
    </row>
    <row r="10229" spans="4:16" x14ac:dyDescent="0.2">
      <c r="D10229">
        <v>100006126</v>
      </c>
      <c r="E10229" s="49">
        <v>45069</v>
      </c>
      <c r="F10229" t="s">
        <v>7054</v>
      </c>
      <c r="G10229" t="s">
        <v>1844</v>
      </c>
      <c r="H10229">
        <v>8</v>
      </c>
      <c r="I10229">
        <v>45.67</v>
      </c>
      <c r="J10229" s="50">
        <v>365.36</v>
      </c>
      <c r="K10229" t="s">
        <v>1618</v>
      </c>
      <c r="L10229" t="s">
        <v>5354</v>
      </c>
      <c r="M10229" t="s">
        <v>1627</v>
      </c>
      <c r="N10229">
        <v>24.1</v>
      </c>
      <c r="O10229" s="49">
        <v>45073</v>
      </c>
      <c r="P10229" s="50">
        <v>164.41200000000001</v>
      </c>
    </row>
    <row r="10230" spans="4:16" x14ac:dyDescent="0.2">
      <c r="D10230">
        <v>100006127</v>
      </c>
      <c r="E10230" s="49">
        <v>44524</v>
      </c>
      <c r="F10230" t="s">
        <v>7055</v>
      </c>
      <c r="G10230" t="s">
        <v>2242</v>
      </c>
      <c r="H10230">
        <v>2</v>
      </c>
      <c r="I10230">
        <v>98.53</v>
      </c>
      <c r="J10230" s="50">
        <v>197.06</v>
      </c>
      <c r="K10230" t="s">
        <v>1618</v>
      </c>
      <c r="L10230" t="s">
        <v>7056</v>
      </c>
      <c r="M10230" t="s">
        <v>1621</v>
      </c>
      <c r="N10230">
        <v>52</v>
      </c>
      <c r="O10230" s="49">
        <v>44529</v>
      </c>
      <c r="P10230" s="50">
        <v>88.677000000000007</v>
      </c>
    </row>
    <row r="10231" spans="4:16" x14ac:dyDescent="0.2">
      <c r="D10231">
        <v>100006127</v>
      </c>
      <c r="E10231" s="49">
        <v>45195</v>
      </c>
      <c r="F10231" t="s">
        <v>7055</v>
      </c>
      <c r="G10231" t="s">
        <v>1955</v>
      </c>
      <c r="H10231">
        <v>3</v>
      </c>
      <c r="I10231">
        <v>39.909999999999997</v>
      </c>
      <c r="J10231" s="50">
        <v>119.73</v>
      </c>
      <c r="K10231" t="s">
        <v>1618</v>
      </c>
      <c r="L10231" t="s">
        <v>7056</v>
      </c>
      <c r="M10231" t="s">
        <v>1624</v>
      </c>
      <c r="N10231">
        <v>21.06</v>
      </c>
      <c r="O10231" s="49">
        <v>45196</v>
      </c>
      <c r="P10231" s="50">
        <v>53.878500000000003</v>
      </c>
    </row>
    <row r="10232" spans="4:16" x14ac:dyDescent="0.2">
      <c r="D10232">
        <v>100006127</v>
      </c>
      <c r="E10232" s="49">
        <v>45031</v>
      </c>
      <c r="F10232" t="s">
        <v>7055</v>
      </c>
      <c r="G10232" t="s">
        <v>1642</v>
      </c>
      <c r="H10232">
        <v>8</v>
      </c>
      <c r="I10232">
        <v>33.53</v>
      </c>
      <c r="J10232" s="50">
        <v>268.24</v>
      </c>
      <c r="K10232" t="s">
        <v>1618</v>
      </c>
      <c r="L10232" t="s">
        <v>7056</v>
      </c>
      <c r="M10232" t="s">
        <v>1629</v>
      </c>
      <c r="N10232">
        <v>17.7</v>
      </c>
      <c r="O10232" s="49">
        <v>45034</v>
      </c>
      <c r="P10232" s="50">
        <v>120.70800000000001</v>
      </c>
    </row>
    <row r="10233" spans="4:16" x14ac:dyDescent="0.2">
      <c r="D10233">
        <v>100006127</v>
      </c>
      <c r="E10233" s="49">
        <v>44876</v>
      </c>
      <c r="F10233" t="s">
        <v>7055</v>
      </c>
      <c r="G10233" t="s">
        <v>1651</v>
      </c>
      <c r="H10233">
        <v>3</v>
      </c>
      <c r="I10233">
        <v>52.42</v>
      </c>
      <c r="J10233" s="50">
        <v>157.26</v>
      </c>
      <c r="K10233" t="s">
        <v>1618</v>
      </c>
      <c r="L10233" t="s">
        <v>7056</v>
      </c>
      <c r="M10233" t="s">
        <v>1629</v>
      </c>
      <c r="N10233">
        <v>27.67</v>
      </c>
      <c r="O10233" s="49">
        <v>44877</v>
      </c>
      <c r="P10233" s="50">
        <v>70.766999999999996</v>
      </c>
    </row>
    <row r="10234" spans="4:16" x14ac:dyDescent="0.2">
      <c r="D10234">
        <v>100006128</v>
      </c>
      <c r="E10234" s="49">
        <v>45233</v>
      </c>
      <c r="F10234" t="s">
        <v>7057</v>
      </c>
      <c r="G10234" t="s">
        <v>1812</v>
      </c>
      <c r="H10234">
        <v>9</v>
      </c>
      <c r="I10234">
        <v>53.6</v>
      </c>
      <c r="J10234" s="50">
        <v>482.4</v>
      </c>
      <c r="K10234" t="s">
        <v>1632</v>
      </c>
      <c r="M10234" t="s">
        <v>1621</v>
      </c>
      <c r="N10234">
        <v>28.29</v>
      </c>
      <c r="O10234" s="49">
        <v>45235</v>
      </c>
      <c r="P10234" s="50">
        <v>217.07999999999998</v>
      </c>
    </row>
    <row r="10235" spans="4:16" x14ac:dyDescent="0.2">
      <c r="D10235">
        <v>100006129</v>
      </c>
      <c r="E10235" s="49">
        <v>45526</v>
      </c>
      <c r="F10235" t="s">
        <v>7058</v>
      </c>
      <c r="G10235" t="s">
        <v>1833</v>
      </c>
      <c r="H10235">
        <v>3</v>
      </c>
      <c r="I10235">
        <v>92.45</v>
      </c>
      <c r="J10235" s="50">
        <v>277.35000000000002</v>
      </c>
      <c r="K10235" t="s">
        <v>1632</v>
      </c>
      <c r="M10235" t="s">
        <v>1621</v>
      </c>
      <c r="N10235">
        <v>48.79</v>
      </c>
      <c r="O10235" s="49">
        <v>45531</v>
      </c>
      <c r="P10235" s="50">
        <v>124.80750000000002</v>
      </c>
    </row>
    <row r="10236" spans="4:16" x14ac:dyDescent="0.2">
      <c r="D10236">
        <v>100006129</v>
      </c>
      <c r="E10236" s="49">
        <v>44352</v>
      </c>
      <c r="F10236" t="s">
        <v>7058</v>
      </c>
      <c r="G10236" t="s">
        <v>1765</v>
      </c>
      <c r="H10236">
        <v>1</v>
      </c>
      <c r="I10236">
        <v>26.12</v>
      </c>
      <c r="J10236" s="50">
        <v>26.12</v>
      </c>
      <c r="K10236" t="s">
        <v>1632</v>
      </c>
      <c r="M10236" t="s">
        <v>1624</v>
      </c>
      <c r="N10236">
        <v>13.79</v>
      </c>
      <c r="O10236" s="49">
        <v>44355</v>
      </c>
      <c r="P10236" s="50">
        <v>11.754000000000001</v>
      </c>
    </row>
    <row r="10237" spans="4:16" x14ac:dyDescent="0.2">
      <c r="D10237">
        <v>100006129</v>
      </c>
      <c r="E10237" s="49">
        <v>44849</v>
      </c>
      <c r="F10237" t="s">
        <v>7058</v>
      </c>
      <c r="G10237" t="s">
        <v>2330</v>
      </c>
      <c r="H10237">
        <v>2</v>
      </c>
      <c r="I10237">
        <v>110.09</v>
      </c>
      <c r="J10237" s="50">
        <v>220.18</v>
      </c>
      <c r="K10237" t="s">
        <v>1632</v>
      </c>
      <c r="M10237" t="s">
        <v>1624</v>
      </c>
      <c r="N10237">
        <v>58.1</v>
      </c>
      <c r="O10237" s="49">
        <v>44850</v>
      </c>
      <c r="P10237" s="50">
        <v>99.081000000000003</v>
      </c>
    </row>
    <row r="10238" spans="4:16" x14ac:dyDescent="0.2">
      <c r="D10238">
        <v>100006129</v>
      </c>
      <c r="E10238" s="49">
        <v>45171</v>
      </c>
      <c r="F10238" t="s">
        <v>7058</v>
      </c>
      <c r="G10238" t="s">
        <v>2050</v>
      </c>
      <c r="H10238">
        <v>5</v>
      </c>
      <c r="I10238">
        <v>73.989999999999995</v>
      </c>
      <c r="J10238" s="50">
        <v>369.95</v>
      </c>
      <c r="K10238" t="s">
        <v>1632</v>
      </c>
      <c r="M10238" t="s">
        <v>1629</v>
      </c>
      <c r="N10238">
        <v>39.049999999999997</v>
      </c>
      <c r="O10238" s="49">
        <v>45175</v>
      </c>
      <c r="P10238" s="50">
        <v>166.47749999999999</v>
      </c>
    </row>
    <row r="10239" spans="4:16" x14ac:dyDescent="0.2">
      <c r="D10239">
        <v>100006132</v>
      </c>
      <c r="E10239" s="49">
        <v>44767</v>
      </c>
      <c r="F10239" t="s">
        <v>7059</v>
      </c>
      <c r="G10239" t="s">
        <v>2344</v>
      </c>
      <c r="H10239">
        <v>4</v>
      </c>
      <c r="I10239">
        <v>30.99</v>
      </c>
      <c r="J10239" s="50">
        <v>123.96</v>
      </c>
      <c r="K10239" t="s">
        <v>1632</v>
      </c>
      <c r="M10239" t="s">
        <v>1629</v>
      </c>
      <c r="N10239">
        <v>16.36</v>
      </c>
      <c r="O10239" s="49">
        <v>44768</v>
      </c>
      <c r="P10239" s="50">
        <v>55.781999999999996</v>
      </c>
    </row>
    <row r="10240" spans="4:16" x14ac:dyDescent="0.2">
      <c r="D10240">
        <v>100006132</v>
      </c>
      <c r="E10240" s="49">
        <v>45096</v>
      </c>
      <c r="F10240" t="s">
        <v>7059</v>
      </c>
      <c r="G10240" t="s">
        <v>1756</v>
      </c>
      <c r="H10240">
        <v>9</v>
      </c>
      <c r="I10240">
        <v>34.68</v>
      </c>
      <c r="J10240" s="50">
        <v>312.12</v>
      </c>
      <c r="K10240" t="s">
        <v>1632</v>
      </c>
      <c r="M10240" t="s">
        <v>1621</v>
      </c>
      <c r="N10240">
        <v>18.3</v>
      </c>
      <c r="O10240" s="49">
        <v>45099</v>
      </c>
      <c r="P10240" s="50">
        <v>140.45400000000001</v>
      </c>
    </row>
    <row r="10241" spans="4:16" x14ac:dyDescent="0.2">
      <c r="D10241">
        <v>100006134</v>
      </c>
      <c r="E10241" s="49">
        <v>44630</v>
      </c>
      <c r="F10241" t="s">
        <v>7060</v>
      </c>
      <c r="G10241" t="s">
        <v>1916</v>
      </c>
      <c r="H10241">
        <v>10</v>
      </c>
      <c r="I10241">
        <v>39.65</v>
      </c>
      <c r="J10241" s="50">
        <v>396.5</v>
      </c>
      <c r="K10241" t="s">
        <v>1632</v>
      </c>
      <c r="M10241" t="s">
        <v>1627</v>
      </c>
      <c r="N10241">
        <v>20.93</v>
      </c>
      <c r="O10241" s="49">
        <v>44632</v>
      </c>
      <c r="P10241" s="50">
        <v>178.42500000000001</v>
      </c>
    </row>
    <row r="10242" spans="4:16" x14ac:dyDescent="0.2">
      <c r="D10242">
        <v>100006137</v>
      </c>
      <c r="E10242" s="49">
        <v>45504</v>
      </c>
      <c r="F10242" t="s">
        <v>7061</v>
      </c>
      <c r="G10242" t="s">
        <v>2048</v>
      </c>
      <c r="H10242">
        <v>1</v>
      </c>
      <c r="I10242">
        <v>18.38</v>
      </c>
      <c r="J10242" s="50">
        <v>18.38</v>
      </c>
      <c r="K10242" t="s">
        <v>1632</v>
      </c>
      <c r="L10242" t="s">
        <v>3826</v>
      </c>
      <c r="M10242" t="s">
        <v>1621</v>
      </c>
      <c r="N10242">
        <v>9.6999999999999993</v>
      </c>
      <c r="O10242" s="49">
        <v>45505</v>
      </c>
      <c r="P10242" s="50">
        <v>8.270999999999999</v>
      </c>
    </row>
    <row r="10243" spans="4:16" x14ac:dyDescent="0.2">
      <c r="D10243">
        <v>100006138</v>
      </c>
      <c r="E10243" s="49">
        <v>44359</v>
      </c>
      <c r="F10243" t="s">
        <v>7062</v>
      </c>
      <c r="G10243" t="s">
        <v>1856</v>
      </c>
      <c r="H10243">
        <v>2</v>
      </c>
      <c r="I10243">
        <v>30.15</v>
      </c>
      <c r="J10243" s="50">
        <v>60.3</v>
      </c>
      <c r="K10243" t="s">
        <v>1618</v>
      </c>
      <c r="M10243" t="s">
        <v>1627</v>
      </c>
      <c r="N10243">
        <v>15.91</v>
      </c>
      <c r="O10243" s="49">
        <v>44362</v>
      </c>
      <c r="P10243" s="50">
        <v>27.134999999999998</v>
      </c>
    </row>
    <row r="10244" spans="4:16" x14ac:dyDescent="0.2">
      <c r="D10244">
        <v>100006138</v>
      </c>
      <c r="E10244" s="49">
        <v>44361</v>
      </c>
      <c r="F10244" t="s">
        <v>7062</v>
      </c>
      <c r="G10244" t="s">
        <v>2301</v>
      </c>
      <c r="H10244">
        <v>1</v>
      </c>
      <c r="I10244">
        <v>114.81</v>
      </c>
      <c r="J10244" s="50">
        <v>114.81</v>
      </c>
      <c r="K10244" t="s">
        <v>1618</v>
      </c>
      <c r="M10244" t="s">
        <v>1629</v>
      </c>
      <c r="N10244">
        <v>60.59</v>
      </c>
      <c r="O10244" s="49">
        <v>44362</v>
      </c>
      <c r="P10244" s="50">
        <v>51.664500000000004</v>
      </c>
    </row>
    <row r="10245" spans="4:16" x14ac:dyDescent="0.2">
      <c r="D10245">
        <v>100006138</v>
      </c>
      <c r="E10245" s="49">
        <v>44427</v>
      </c>
      <c r="F10245" t="s">
        <v>7062</v>
      </c>
      <c r="G10245" t="s">
        <v>1736</v>
      </c>
      <c r="H10245">
        <v>6</v>
      </c>
      <c r="I10245">
        <v>80.03</v>
      </c>
      <c r="J10245" s="50">
        <v>480.18</v>
      </c>
      <c r="K10245" t="s">
        <v>1618</v>
      </c>
      <c r="M10245" t="s">
        <v>1619</v>
      </c>
      <c r="N10245">
        <v>42.24</v>
      </c>
      <c r="O10245" s="49">
        <v>44429</v>
      </c>
      <c r="P10245" s="50">
        <v>216.08100000000002</v>
      </c>
    </row>
    <row r="10246" spans="4:16" x14ac:dyDescent="0.2">
      <c r="D10246">
        <v>100006139</v>
      </c>
      <c r="E10246" s="49">
        <v>45071</v>
      </c>
      <c r="F10246" t="s">
        <v>5559</v>
      </c>
      <c r="G10246" t="s">
        <v>1699</v>
      </c>
      <c r="H10246">
        <v>6</v>
      </c>
      <c r="I10246">
        <v>36.75</v>
      </c>
      <c r="J10246" s="50">
        <v>220.5</v>
      </c>
      <c r="K10246" t="s">
        <v>1618</v>
      </c>
      <c r="M10246" t="s">
        <v>1624</v>
      </c>
      <c r="N10246">
        <v>19.399999999999999</v>
      </c>
      <c r="O10246" s="49">
        <v>45076</v>
      </c>
      <c r="P10246" s="50">
        <v>99.225000000000009</v>
      </c>
    </row>
    <row r="10247" spans="4:16" x14ac:dyDescent="0.2">
      <c r="D10247">
        <v>100006139</v>
      </c>
      <c r="E10247" s="49">
        <v>44266</v>
      </c>
      <c r="F10247" t="s">
        <v>5559</v>
      </c>
      <c r="G10247" t="s">
        <v>2112</v>
      </c>
      <c r="H10247">
        <v>4</v>
      </c>
      <c r="I10247">
        <v>45.23</v>
      </c>
      <c r="J10247" s="50">
        <v>180.92</v>
      </c>
      <c r="K10247" t="s">
        <v>1618</v>
      </c>
      <c r="M10247" t="s">
        <v>1619</v>
      </c>
      <c r="N10247">
        <v>23.87</v>
      </c>
      <c r="O10247" s="49">
        <v>44271</v>
      </c>
      <c r="P10247" s="50">
        <v>81.414000000000001</v>
      </c>
    </row>
    <row r="10248" spans="4:16" x14ac:dyDescent="0.2">
      <c r="D10248">
        <v>100006139</v>
      </c>
      <c r="E10248" s="49">
        <v>45221</v>
      </c>
      <c r="F10248" t="s">
        <v>5559</v>
      </c>
      <c r="G10248" t="s">
        <v>2004</v>
      </c>
      <c r="H10248">
        <v>1</v>
      </c>
      <c r="I10248">
        <v>116</v>
      </c>
      <c r="J10248" s="50">
        <v>116</v>
      </c>
      <c r="K10248" t="s">
        <v>1618</v>
      </c>
      <c r="M10248" t="s">
        <v>1621</v>
      </c>
      <c r="N10248">
        <v>61.22</v>
      </c>
      <c r="O10248" s="49">
        <v>45224</v>
      </c>
      <c r="P10248" s="50">
        <v>52.2</v>
      </c>
    </row>
    <row r="10249" spans="4:16" x14ac:dyDescent="0.2">
      <c r="D10249">
        <v>100006139</v>
      </c>
      <c r="E10249" s="49">
        <v>44913</v>
      </c>
      <c r="F10249" t="s">
        <v>5559</v>
      </c>
      <c r="G10249" t="s">
        <v>1767</v>
      </c>
      <c r="H10249">
        <v>4</v>
      </c>
      <c r="I10249">
        <v>42.79</v>
      </c>
      <c r="J10249" s="50">
        <v>171.16</v>
      </c>
      <c r="K10249" t="s">
        <v>1618</v>
      </c>
      <c r="M10249" t="s">
        <v>1624</v>
      </c>
      <c r="N10249">
        <v>22.58</v>
      </c>
      <c r="O10249" s="49">
        <v>44916</v>
      </c>
      <c r="P10249" s="50">
        <v>77.022000000000006</v>
      </c>
    </row>
    <row r="10250" spans="4:16" x14ac:dyDescent="0.2">
      <c r="D10250">
        <v>100006141</v>
      </c>
      <c r="E10250" s="49">
        <v>44305</v>
      </c>
      <c r="F10250" t="s">
        <v>7063</v>
      </c>
      <c r="G10250" t="s">
        <v>1653</v>
      </c>
      <c r="H10250">
        <v>7</v>
      </c>
      <c r="I10250">
        <v>84.45</v>
      </c>
      <c r="J10250" s="50">
        <v>591.15</v>
      </c>
      <c r="K10250" t="s">
        <v>1632</v>
      </c>
      <c r="M10250" t="s">
        <v>1619</v>
      </c>
      <c r="N10250">
        <v>44.57</v>
      </c>
      <c r="O10250" s="49">
        <v>44309</v>
      </c>
      <c r="P10250" s="50">
        <v>266.01749999999998</v>
      </c>
    </row>
    <row r="10251" spans="4:16" x14ac:dyDescent="0.2">
      <c r="D10251">
        <v>100006142</v>
      </c>
      <c r="E10251" s="49">
        <v>44574</v>
      </c>
      <c r="F10251" t="s">
        <v>7064</v>
      </c>
      <c r="G10251" t="s">
        <v>1623</v>
      </c>
      <c r="H10251">
        <v>1</v>
      </c>
      <c r="I10251">
        <v>31.12</v>
      </c>
      <c r="J10251" s="50">
        <v>31.12</v>
      </c>
      <c r="K10251" t="s">
        <v>1632</v>
      </c>
      <c r="M10251" t="s">
        <v>1629</v>
      </c>
      <c r="N10251">
        <v>16.420000000000002</v>
      </c>
      <c r="O10251" s="49">
        <v>44576</v>
      </c>
      <c r="P10251" s="50">
        <v>14.004000000000001</v>
      </c>
    </row>
    <row r="10252" spans="4:16" x14ac:dyDescent="0.2">
      <c r="D10252">
        <v>100006142</v>
      </c>
      <c r="E10252" s="49">
        <v>44285</v>
      </c>
      <c r="F10252" t="s">
        <v>7064</v>
      </c>
      <c r="G10252" t="s">
        <v>1687</v>
      </c>
      <c r="H10252">
        <v>3</v>
      </c>
      <c r="I10252">
        <v>11.3</v>
      </c>
      <c r="J10252" s="50">
        <v>33.900000000000013</v>
      </c>
      <c r="K10252" t="s">
        <v>1632</v>
      </c>
      <c r="M10252" t="s">
        <v>1624</v>
      </c>
      <c r="N10252">
        <v>5.96</v>
      </c>
      <c r="O10252" s="49">
        <v>44287</v>
      </c>
      <c r="P10252" s="50">
        <v>15.255000000000006</v>
      </c>
    </row>
    <row r="10253" spans="4:16" x14ac:dyDescent="0.2">
      <c r="D10253">
        <v>100006143</v>
      </c>
      <c r="E10253" s="49">
        <v>44470</v>
      </c>
      <c r="F10253" t="s">
        <v>7065</v>
      </c>
      <c r="G10253" t="s">
        <v>2155</v>
      </c>
      <c r="H10253">
        <v>6</v>
      </c>
      <c r="I10253">
        <v>77.09</v>
      </c>
      <c r="J10253" s="50">
        <v>462.54</v>
      </c>
      <c r="K10253" t="s">
        <v>1618</v>
      </c>
      <c r="M10253" t="s">
        <v>1627</v>
      </c>
      <c r="N10253">
        <v>40.69</v>
      </c>
      <c r="O10253" s="49">
        <v>44471</v>
      </c>
      <c r="P10253" s="50">
        <v>208.143</v>
      </c>
    </row>
    <row r="10254" spans="4:16" x14ac:dyDescent="0.2">
      <c r="D10254">
        <v>100006143</v>
      </c>
      <c r="E10254" s="49">
        <v>45124</v>
      </c>
      <c r="F10254" t="s">
        <v>7065</v>
      </c>
      <c r="G10254" t="s">
        <v>2465</v>
      </c>
      <c r="H10254">
        <v>2</v>
      </c>
      <c r="I10254">
        <v>59.35</v>
      </c>
      <c r="J10254" s="50">
        <v>118.7</v>
      </c>
      <c r="K10254" t="s">
        <v>1618</v>
      </c>
      <c r="M10254" t="s">
        <v>1624</v>
      </c>
      <c r="N10254">
        <v>31.32</v>
      </c>
      <c r="O10254" s="49">
        <v>45128</v>
      </c>
      <c r="P10254" s="50">
        <v>53.414999999999999</v>
      </c>
    </row>
    <row r="10255" spans="4:16" x14ac:dyDescent="0.2">
      <c r="D10255">
        <v>100006143</v>
      </c>
      <c r="E10255" s="49">
        <v>44524</v>
      </c>
      <c r="F10255" t="s">
        <v>7065</v>
      </c>
      <c r="G10255" t="s">
        <v>1737</v>
      </c>
      <c r="H10255">
        <v>4</v>
      </c>
      <c r="I10255">
        <v>42.77</v>
      </c>
      <c r="J10255" s="50">
        <v>171.08</v>
      </c>
      <c r="K10255" t="s">
        <v>1618</v>
      </c>
      <c r="M10255" t="s">
        <v>1629</v>
      </c>
      <c r="N10255">
        <v>22.57</v>
      </c>
      <c r="O10255" s="49">
        <v>44527</v>
      </c>
      <c r="P10255" s="50">
        <v>76.986000000000004</v>
      </c>
    </row>
    <row r="10256" spans="4:16" x14ac:dyDescent="0.2">
      <c r="D10256">
        <v>100006143</v>
      </c>
      <c r="E10256" s="49">
        <v>45288</v>
      </c>
      <c r="F10256" t="s">
        <v>7065</v>
      </c>
      <c r="G10256" t="s">
        <v>1749</v>
      </c>
      <c r="H10256">
        <v>7</v>
      </c>
      <c r="I10256">
        <v>34.479999999999997</v>
      </c>
      <c r="J10256" s="50">
        <v>241.36</v>
      </c>
      <c r="K10256" t="s">
        <v>1618</v>
      </c>
      <c r="M10256" t="s">
        <v>1627</v>
      </c>
      <c r="N10256">
        <v>18.2</v>
      </c>
      <c r="O10256" s="49">
        <v>45293</v>
      </c>
      <c r="P10256" s="50">
        <v>108.61200000000001</v>
      </c>
    </row>
    <row r="10257" spans="4:16" x14ac:dyDescent="0.2">
      <c r="D10257">
        <v>100006144</v>
      </c>
      <c r="E10257" s="49">
        <v>44308</v>
      </c>
      <c r="F10257" t="s">
        <v>5327</v>
      </c>
      <c r="G10257" t="s">
        <v>1794</v>
      </c>
      <c r="H10257">
        <v>10</v>
      </c>
      <c r="I10257">
        <v>93.32</v>
      </c>
      <c r="J10257" s="50">
        <v>933.19999999999993</v>
      </c>
      <c r="K10257" t="s">
        <v>1632</v>
      </c>
      <c r="M10257" t="s">
        <v>1624</v>
      </c>
      <c r="N10257">
        <v>49.25</v>
      </c>
      <c r="O10257" s="49">
        <v>44312</v>
      </c>
      <c r="P10257" s="50">
        <v>419.94</v>
      </c>
    </row>
    <row r="10258" spans="4:16" x14ac:dyDescent="0.2">
      <c r="D10258">
        <v>100006144</v>
      </c>
      <c r="E10258" s="49">
        <v>45460</v>
      </c>
      <c r="F10258" t="s">
        <v>5327</v>
      </c>
      <c r="G10258" t="s">
        <v>2005</v>
      </c>
      <c r="H10258">
        <v>7</v>
      </c>
      <c r="I10258">
        <v>86.3</v>
      </c>
      <c r="J10258" s="50">
        <v>604.1</v>
      </c>
      <c r="K10258" t="s">
        <v>1632</v>
      </c>
      <c r="M10258" t="s">
        <v>1629</v>
      </c>
      <c r="N10258">
        <v>45.55</v>
      </c>
      <c r="O10258" s="49">
        <v>45461</v>
      </c>
      <c r="P10258" s="50">
        <v>271.84500000000003</v>
      </c>
    </row>
    <row r="10259" spans="4:16" x14ac:dyDescent="0.2">
      <c r="D10259">
        <v>100006144</v>
      </c>
      <c r="E10259" s="49">
        <v>44367</v>
      </c>
      <c r="F10259" t="s">
        <v>5327</v>
      </c>
      <c r="G10259" t="s">
        <v>2142</v>
      </c>
      <c r="H10259">
        <v>2</v>
      </c>
      <c r="I10259">
        <v>41.19</v>
      </c>
      <c r="J10259" s="50">
        <v>82.38</v>
      </c>
      <c r="K10259" t="s">
        <v>1632</v>
      </c>
      <c r="M10259" t="s">
        <v>1627</v>
      </c>
      <c r="N10259">
        <v>21.74</v>
      </c>
      <c r="O10259" s="49">
        <v>44369</v>
      </c>
      <c r="P10259" s="50">
        <v>37.070999999999998</v>
      </c>
    </row>
    <row r="10260" spans="4:16" x14ac:dyDescent="0.2">
      <c r="D10260">
        <v>100006144</v>
      </c>
      <c r="E10260" s="49">
        <v>44492</v>
      </c>
      <c r="F10260" t="s">
        <v>5327</v>
      </c>
      <c r="G10260" t="s">
        <v>1922</v>
      </c>
      <c r="H10260">
        <v>7</v>
      </c>
      <c r="I10260">
        <v>55.8</v>
      </c>
      <c r="J10260" s="50">
        <v>390.6</v>
      </c>
      <c r="K10260" t="s">
        <v>1632</v>
      </c>
      <c r="M10260" t="s">
        <v>1629</v>
      </c>
      <c r="N10260">
        <v>29.45</v>
      </c>
      <c r="O10260" s="49">
        <v>44494</v>
      </c>
      <c r="P10260" s="50">
        <v>175.77</v>
      </c>
    </row>
    <row r="10261" spans="4:16" x14ac:dyDescent="0.2">
      <c r="D10261">
        <v>100006144</v>
      </c>
      <c r="E10261" s="49">
        <v>44322</v>
      </c>
      <c r="F10261" t="s">
        <v>5327</v>
      </c>
      <c r="G10261" t="s">
        <v>2017</v>
      </c>
      <c r="H10261">
        <v>5</v>
      </c>
      <c r="I10261">
        <v>44.17</v>
      </c>
      <c r="J10261" s="50">
        <v>220.85</v>
      </c>
      <c r="K10261" t="s">
        <v>1632</v>
      </c>
      <c r="M10261" t="s">
        <v>1619</v>
      </c>
      <c r="N10261">
        <v>23.31</v>
      </c>
      <c r="O10261" s="49">
        <v>44324</v>
      </c>
      <c r="P10261" s="50">
        <v>99.382499999999993</v>
      </c>
    </row>
    <row r="10262" spans="4:16" x14ac:dyDescent="0.2">
      <c r="D10262">
        <v>100006144</v>
      </c>
      <c r="E10262" s="49">
        <v>44233</v>
      </c>
      <c r="F10262" t="s">
        <v>5327</v>
      </c>
      <c r="G10262" t="s">
        <v>2348</v>
      </c>
      <c r="H10262">
        <v>6</v>
      </c>
      <c r="I10262">
        <v>104.69</v>
      </c>
      <c r="J10262" s="50">
        <v>628.14</v>
      </c>
      <c r="K10262" t="s">
        <v>1632</v>
      </c>
      <c r="M10262" t="s">
        <v>1619</v>
      </c>
      <c r="N10262">
        <v>55.25</v>
      </c>
      <c r="O10262" s="49">
        <v>44237</v>
      </c>
      <c r="P10262" s="50">
        <v>282.66300000000001</v>
      </c>
    </row>
    <row r="10263" spans="4:16" x14ac:dyDescent="0.2">
      <c r="D10263">
        <v>100006146</v>
      </c>
      <c r="E10263" s="49">
        <v>44976</v>
      </c>
      <c r="F10263" t="s">
        <v>7066</v>
      </c>
      <c r="G10263" t="s">
        <v>2041</v>
      </c>
      <c r="H10263">
        <v>9</v>
      </c>
      <c r="I10263">
        <v>79.03</v>
      </c>
      <c r="J10263" s="50">
        <v>711.27</v>
      </c>
      <c r="K10263" t="s">
        <v>1618</v>
      </c>
      <c r="M10263" t="s">
        <v>1624</v>
      </c>
      <c r="N10263">
        <v>41.71</v>
      </c>
      <c r="O10263" s="49">
        <v>44981</v>
      </c>
      <c r="P10263" s="50">
        <v>320.07150000000001</v>
      </c>
    </row>
    <row r="10264" spans="4:16" x14ac:dyDescent="0.2">
      <c r="D10264">
        <v>100006146</v>
      </c>
      <c r="E10264" s="49">
        <v>45531</v>
      </c>
      <c r="F10264" t="s">
        <v>7066</v>
      </c>
      <c r="G10264" t="s">
        <v>2028</v>
      </c>
      <c r="H10264">
        <v>3</v>
      </c>
      <c r="I10264">
        <v>113.77</v>
      </c>
      <c r="J10264" s="50">
        <v>341.31</v>
      </c>
      <c r="K10264" t="s">
        <v>1618</v>
      </c>
      <c r="M10264" t="s">
        <v>1621</v>
      </c>
      <c r="N10264">
        <v>60.04</v>
      </c>
      <c r="O10264" s="49">
        <v>45532</v>
      </c>
      <c r="P10264" s="50">
        <v>153.58950000000002</v>
      </c>
    </row>
    <row r="10265" spans="4:16" x14ac:dyDescent="0.2">
      <c r="D10265">
        <v>100006146</v>
      </c>
      <c r="E10265" s="49">
        <v>44852</v>
      </c>
      <c r="F10265" t="s">
        <v>7066</v>
      </c>
      <c r="G10265" t="s">
        <v>1639</v>
      </c>
      <c r="H10265">
        <v>5</v>
      </c>
      <c r="I10265">
        <v>46.22</v>
      </c>
      <c r="J10265" s="50">
        <v>231.1</v>
      </c>
      <c r="K10265" t="s">
        <v>1618</v>
      </c>
      <c r="M10265" t="s">
        <v>1627</v>
      </c>
      <c r="N10265">
        <v>24.39</v>
      </c>
      <c r="O10265" s="49">
        <v>44857</v>
      </c>
      <c r="P10265" s="50">
        <v>103.995</v>
      </c>
    </row>
    <row r="10266" spans="4:16" x14ac:dyDescent="0.2">
      <c r="D10266">
        <v>100006146</v>
      </c>
      <c r="E10266" s="49">
        <v>44316</v>
      </c>
      <c r="F10266" t="s">
        <v>7066</v>
      </c>
      <c r="G10266" t="s">
        <v>2484</v>
      </c>
      <c r="H10266">
        <v>5</v>
      </c>
      <c r="I10266">
        <v>94.43</v>
      </c>
      <c r="J10266" s="50">
        <v>472.15</v>
      </c>
      <c r="K10266" t="s">
        <v>1618</v>
      </c>
      <c r="M10266" t="s">
        <v>1621</v>
      </c>
      <c r="N10266">
        <v>49.84</v>
      </c>
      <c r="O10266" s="49">
        <v>44321</v>
      </c>
      <c r="P10266" s="50">
        <v>212.4675</v>
      </c>
    </row>
    <row r="10267" spans="4:16" x14ac:dyDescent="0.2">
      <c r="D10267">
        <v>100006146</v>
      </c>
      <c r="E10267" s="49">
        <v>44493</v>
      </c>
      <c r="F10267" t="s">
        <v>7066</v>
      </c>
      <c r="G10267" t="s">
        <v>1857</v>
      </c>
      <c r="H10267">
        <v>5</v>
      </c>
      <c r="I10267">
        <v>16.97</v>
      </c>
      <c r="J10267" s="50">
        <v>84.85</v>
      </c>
      <c r="K10267" t="s">
        <v>1618</v>
      </c>
      <c r="M10267" t="s">
        <v>1629</v>
      </c>
      <c r="N10267">
        <v>8.9600000000000009</v>
      </c>
      <c r="O10267" s="49">
        <v>44497</v>
      </c>
      <c r="P10267" s="50">
        <v>38.182499999999997</v>
      </c>
    </row>
    <row r="10268" spans="4:16" x14ac:dyDescent="0.2">
      <c r="D10268">
        <v>100006146</v>
      </c>
      <c r="E10268" s="49">
        <v>45202</v>
      </c>
      <c r="F10268" t="s">
        <v>7066</v>
      </c>
      <c r="G10268" t="s">
        <v>1958</v>
      </c>
      <c r="H10268">
        <v>2</v>
      </c>
      <c r="I10268">
        <v>57.71</v>
      </c>
      <c r="J10268" s="50">
        <v>115.42</v>
      </c>
      <c r="K10268" t="s">
        <v>1618</v>
      </c>
      <c r="M10268" t="s">
        <v>1624</v>
      </c>
      <c r="N10268">
        <v>30.46</v>
      </c>
      <c r="O10268" s="49">
        <v>45207</v>
      </c>
      <c r="P10268" s="50">
        <v>51.939</v>
      </c>
    </row>
    <row r="10269" spans="4:16" x14ac:dyDescent="0.2">
      <c r="D10269">
        <v>100006148</v>
      </c>
      <c r="E10269" s="49">
        <v>45275</v>
      </c>
      <c r="F10269" t="s">
        <v>7067</v>
      </c>
      <c r="G10269" t="s">
        <v>2065</v>
      </c>
      <c r="H10269">
        <v>6</v>
      </c>
      <c r="I10269">
        <v>56.69</v>
      </c>
      <c r="J10269" s="50">
        <v>340.14</v>
      </c>
      <c r="K10269" t="s">
        <v>1618</v>
      </c>
      <c r="M10269" t="s">
        <v>1627</v>
      </c>
      <c r="N10269">
        <v>29.92</v>
      </c>
      <c r="O10269" s="49">
        <v>45280</v>
      </c>
      <c r="P10269" s="50">
        <v>153.06299999999999</v>
      </c>
    </row>
    <row r="10270" spans="4:16" x14ac:dyDescent="0.2">
      <c r="D10270">
        <v>100006149</v>
      </c>
      <c r="E10270" s="49">
        <v>45170</v>
      </c>
      <c r="F10270" t="s">
        <v>7068</v>
      </c>
      <c r="G10270" t="s">
        <v>2344</v>
      </c>
      <c r="H10270">
        <v>10</v>
      </c>
      <c r="I10270">
        <v>62.86</v>
      </c>
      <c r="J10270" s="50">
        <v>628.6</v>
      </c>
      <c r="K10270" t="s">
        <v>1618</v>
      </c>
      <c r="M10270" t="s">
        <v>1621</v>
      </c>
      <c r="N10270">
        <v>33.18</v>
      </c>
      <c r="O10270" s="49">
        <v>45172</v>
      </c>
      <c r="P10270" s="50">
        <v>282.87</v>
      </c>
    </row>
    <row r="10271" spans="4:16" x14ac:dyDescent="0.2">
      <c r="D10271">
        <v>100006149</v>
      </c>
      <c r="E10271" s="49">
        <v>44580</v>
      </c>
      <c r="F10271" t="s">
        <v>7068</v>
      </c>
      <c r="G10271" t="s">
        <v>2078</v>
      </c>
      <c r="H10271">
        <v>9</v>
      </c>
      <c r="I10271">
        <v>39.06</v>
      </c>
      <c r="J10271" s="50">
        <v>351.54</v>
      </c>
      <c r="K10271" t="s">
        <v>1618</v>
      </c>
      <c r="M10271" t="s">
        <v>1627</v>
      </c>
      <c r="N10271">
        <v>20.61</v>
      </c>
      <c r="O10271" s="49">
        <v>44582</v>
      </c>
      <c r="P10271" s="50">
        <v>158.19300000000001</v>
      </c>
    </row>
    <row r="10272" spans="4:16" x14ac:dyDescent="0.2">
      <c r="D10272">
        <v>100006149</v>
      </c>
      <c r="E10272" s="49">
        <v>44410</v>
      </c>
      <c r="F10272" t="s">
        <v>7068</v>
      </c>
      <c r="G10272" t="s">
        <v>2263</v>
      </c>
      <c r="H10272">
        <v>9</v>
      </c>
      <c r="I10272">
        <v>20.75</v>
      </c>
      <c r="J10272" s="50">
        <v>186.75</v>
      </c>
      <c r="K10272" t="s">
        <v>1618</v>
      </c>
      <c r="M10272" t="s">
        <v>1627</v>
      </c>
      <c r="N10272">
        <v>10.95</v>
      </c>
      <c r="O10272" s="49">
        <v>44412</v>
      </c>
      <c r="P10272" s="50">
        <v>84.037500000000009</v>
      </c>
    </row>
    <row r="10273" spans="4:16" x14ac:dyDescent="0.2">
      <c r="D10273">
        <v>100006152</v>
      </c>
      <c r="E10273" s="49">
        <v>44426</v>
      </c>
      <c r="F10273" t="s">
        <v>7069</v>
      </c>
      <c r="G10273" t="s">
        <v>1901</v>
      </c>
      <c r="H10273">
        <v>8</v>
      </c>
      <c r="I10273">
        <v>51.19</v>
      </c>
      <c r="J10273" s="50">
        <v>409.52</v>
      </c>
      <c r="K10273" t="s">
        <v>1632</v>
      </c>
      <c r="M10273" t="s">
        <v>1627</v>
      </c>
      <c r="N10273">
        <v>27.02</v>
      </c>
      <c r="O10273" s="49">
        <v>44428</v>
      </c>
      <c r="P10273" s="50">
        <v>184.28399999999999</v>
      </c>
    </row>
    <row r="10274" spans="4:16" x14ac:dyDescent="0.2">
      <c r="D10274">
        <v>100006154</v>
      </c>
      <c r="E10274" s="49">
        <v>44757</v>
      </c>
      <c r="F10274" t="s">
        <v>7070</v>
      </c>
      <c r="G10274" t="s">
        <v>2111</v>
      </c>
      <c r="H10274">
        <v>8</v>
      </c>
      <c r="I10274">
        <v>38.840000000000003</v>
      </c>
      <c r="J10274" s="50">
        <v>310.72000000000003</v>
      </c>
      <c r="K10274" t="s">
        <v>1632</v>
      </c>
      <c r="L10274" t="s">
        <v>2214</v>
      </c>
      <c r="M10274" t="s">
        <v>1629</v>
      </c>
      <c r="N10274">
        <v>20.5</v>
      </c>
      <c r="O10274" s="49">
        <v>44761</v>
      </c>
      <c r="P10274" s="50">
        <v>139.82400000000001</v>
      </c>
    </row>
    <row r="10275" spans="4:16" x14ac:dyDescent="0.2">
      <c r="D10275">
        <v>100006155</v>
      </c>
      <c r="E10275" s="49">
        <v>44922</v>
      </c>
      <c r="F10275" t="s">
        <v>7071</v>
      </c>
      <c r="G10275" t="s">
        <v>2088</v>
      </c>
      <c r="H10275">
        <v>2</v>
      </c>
      <c r="I10275">
        <v>110.4</v>
      </c>
      <c r="J10275" s="50">
        <v>220.8</v>
      </c>
      <c r="K10275" t="s">
        <v>1618</v>
      </c>
      <c r="M10275" t="s">
        <v>1624</v>
      </c>
      <c r="N10275">
        <v>58.27</v>
      </c>
      <c r="O10275" s="49">
        <v>44923</v>
      </c>
      <c r="P10275" s="50">
        <v>99.360000000000014</v>
      </c>
    </row>
    <row r="10276" spans="4:16" x14ac:dyDescent="0.2">
      <c r="D10276">
        <v>100006156</v>
      </c>
      <c r="E10276" s="49">
        <v>45161</v>
      </c>
      <c r="F10276" t="s">
        <v>7072</v>
      </c>
      <c r="G10276" t="s">
        <v>2698</v>
      </c>
      <c r="H10276">
        <v>6</v>
      </c>
      <c r="I10276">
        <v>66.900000000000006</v>
      </c>
      <c r="J10276" s="50">
        <v>401.4</v>
      </c>
      <c r="K10276" t="s">
        <v>1618</v>
      </c>
      <c r="M10276" t="s">
        <v>1627</v>
      </c>
      <c r="N10276">
        <v>35.31</v>
      </c>
      <c r="O10276" s="49">
        <v>45162</v>
      </c>
      <c r="P10276" s="50">
        <v>180.63</v>
      </c>
    </row>
    <row r="10277" spans="4:16" x14ac:dyDescent="0.2">
      <c r="D10277">
        <v>100006156</v>
      </c>
      <c r="E10277" s="49">
        <v>44832</v>
      </c>
      <c r="F10277" t="s">
        <v>7072</v>
      </c>
      <c r="G10277" t="s">
        <v>2207</v>
      </c>
      <c r="H10277">
        <v>2</v>
      </c>
      <c r="I10277">
        <v>73.05</v>
      </c>
      <c r="J10277" s="50">
        <v>146.1</v>
      </c>
      <c r="K10277" t="s">
        <v>1618</v>
      </c>
      <c r="M10277" t="s">
        <v>1619</v>
      </c>
      <c r="N10277">
        <v>38.549999999999997</v>
      </c>
      <c r="O10277" s="49">
        <v>44833</v>
      </c>
      <c r="P10277" s="50">
        <v>65.745000000000005</v>
      </c>
    </row>
    <row r="10278" spans="4:16" x14ac:dyDescent="0.2">
      <c r="D10278">
        <v>100006156</v>
      </c>
      <c r="E10278" s="49">
        <v>45600</v>
      </c>
      <c r="F10278" t="s">
        <v>7072</v>
      </c>
      <c r="G10278" t="s">
        <v>1901</v>
      </c>
      <c r="H10278">
        <v>6</v>
      </c>
      <c r="I10278">
        <v>78.36</v>
      </c>
      <c r="J10278" s="50">
        <v>470.16</v>
      </c>
      <c r="K10278" t="s">
        <v>1618</v>
      </c>
      <c r="M10278" t="s">
        <v>1619</v>
      </c>
      <c r="N10278">
        <v>41.36</v>
      </c>
      <c r="O10278" s="49">
        <v>45601</v>
      </c>
      <c r="P10278" s="50">
        <v>211.572</v>
      </c>
    </row>
    <row r="10279" spans="4:16" x14ac:dyDescent="0.2">
      <c r="D10279">
        <v>100006156</v>
      </c>
      <c r="E10279" s="49">
        <v>45164</v>
      </c>
      <c r="F10279" t="s">
        <v>7072</v>
      </c>
      <c r="G10279" t="s">
        <v>2346</v>
      </c>
      <c r="H10279">
        <v>9</v>
      </c>
      <c r="I10279">
        <v>22.74</v>
      </c>
      <c r="J10279" s="50">
        <v>204.66</v>
      </c>
      <c r="K10279" t="s">
        <v>1618</v>
      </c>
      <c r="M10279" t="s">
        <v>1629</v>
      </c>
      <c r="N10279">
        <v>12</v>
      </c>
      <c r="O10279" s="49">
        <v>45165</v>
      </c>
      <c r="P10279" s="50">
        <v>92.096999999999994</v>
      </c>
    </row>
    <row r="10280" spans="4:16" x14ac:dyDescent="0.2">
      <c r="D10280">
        <v>100006157</v>
      </c>
      <c r="E10280" s="49">
        <v>44524</v>
      </c>
      <c r="F10280" t="s">
        <v>7073</v>
      </c>
      <c r="G10280" t="s">
        <v>1980</v>
      </c>
      <c r="H10280">
        <v>4</v>
      </c>
      <c r="I10280">
        <v>70.36</v>
      </c>
      <c r="J10280" s="50">
        <v>281.44</v>
      </c>
      <c r="K10280" t="s">
        <v>1618</v>
      </c>
      <c r="M10280" t="s">
        <v>1627</v>
      </c>
      <c r="N10280">
        <v>37.130000000000003</v>
      </c>
      <c r="O10280" s="49">
        <v>44525</v>
      </c>
      <c r="P10280" s="50">
        <v>126.648</v>
      </c>
    </row>
    <row r="10281" spans="4:16" x14ac:dyDescent="0.2">
      <c r="D10281">
        <v>100006158</v>
      </c>
      <c r="E10281" s="49">
        <v>44763</v>
      </c>
      <c r="F10281" t="s">
        <v>7074</v>
      </c>
      <c r="G10281" t="s">
        <v>2581</v>
      </c>
      <c r="H10281">
        <v>10</v>
      </c>
      <c r="I10281">
        <v>102.72</v>
      </c>
      <c r="J10281" s="50">
        <v>1027.2</v>
      </c>
      <c r="K10281" t="s">
        <v>1618</v>
      </c>
      <c r="M10281" t="s">
        <v>1627</v>
      </c>
      <c r="N10281">
        <v>54.21</v>
      </c>
      <c r="O10281" s="49">
        <v>44766</v>
      </c>
      <c r="P10281" s="50">
        <v>462.24</v>
      </c>
    </row>
    <row r="10282" spans="4:16" x14ac:dyDescent="0.2">
      <c r="D10282">
        <v>100006158</v>
      </c>
      <c r="E10282" s="49">
        <v>45351</v>
      </c>
      <c r="F10282" t="s">
        <v>7074</v>
      </c>
      <c r="G10282" t="s">
        <v>2261</v>
      </c>
      <c r="H10282">
        <v>1</v>
      </c>
      <c r="I10282">
        <v>105.74</v>
      </c>
      <c r="J10282" s="50">
        <v>105.74</v>
      </c>
      <c r="K10282" t="s">
        <v>1618</v>
      </c>
      <c r="M10282" t="s">
        <v>1627</v>
      </c>
      <c r="N10282">
        <v>55.81</v>
      </c>
      <c r="O10282" s="49">
        <v>45356</v>
      </c>
      <c r="P10282" s="50">
        <v>47.582999999999998</v>
      </c>
    </row>
    <row r="10283" spans="4:16" x14ac:dyDescent="0.2">
      <c r="D10283">
        <v>100006159</v>
      </c>
      <c r="E10283" s="49">
        <v>44216</v>
      </c>
      <c r="F10283" t="s">
        <v>7075</v>
      </c>
      <c r="G10283" t="s">
        <v>2230</v>
      </c>
      <c r="H10283">
        <v>9</v>
      </c>
      <c r="I10283">
        <v>40.24</v>
      </c>
      <c r="J10283" s="50">
        <v>362.16</v>
      </c>
      <c r="K10283" t="s">
        <v>1618</v>
      </c>
      <c r="M10283" t="s">
        <v>1624</v>
      </c>
      <c r="N10283">
        <v>21.24</v>
      </c>
      <c r="O10283" s="49">
        <v>44217</v>
      </c>
      <c r="P10283" s="50">
        <v>162.97200000000001</v>
      </c>
    </row>
    <row r="10284" spans="4:16" x14ac:dyDescent="0.2">
      <c r="D10284">
        <v>100006160</v>
      </c>
      <c r="E10284" s="49">
        <v>45101</v>
      </c>
      <c r="F10284" t="s">
        <v>7076</v>
      </c>
      <c r="G10284" t="s">
        <v>2138</v>
      </c>
      <c r="H10284">
        <v>8</v>
      </c>
      <c r="I10284">
        <v>115.81</v>
      </c>
      <c r="J10284" s="50">
        <v>926.48</v>
      </c>
      <c r="K10284" t="s">
        <v>1618</v>
      </c>
      <c r="M10284" t="s">
        <v>1619</v>
      </c>
      <c r="N10284">
        <v>61.12</v>
      </c>
      <c r="O10284" s="49">
        <v>45102</v>
      </c>
      <c r="P10284" s="50">
        <v>416.916</v>
      </c>
    </row>
    <row r="10285" spans="4:16" x14ac:dyDescent="0.2">
      <c r="D10285">
        <v>100006161</v>
      </c>
      <c r="E10285" s="49">
        <v>44933</v>
      </c>
      <c r="F10285" t="s">
        <v>7077</v>
      </c>
      <c r="G10285" t="s">
        <v>1819</v>
      </c>
      <c r="H10285">
        <v>4</v>
      </c>
      <c r="I10285">
        <v>33</v>
      </c>
      <c r="J10285" s="50">
        <v>132</v>
      </c>
      <c r="K10285" t="s">
        <v>1632</v>
      </c>
      <c r="M10285" t="s">
        <v>1629</v>
      </c>
      <c r="N10285">
        <v>17.420000000000002</v>
      </c>
      <c r="O10285" s="49">
        <v>44936</v>
      </c>
      <c r="P10285" s="50">
        <v>59.4</v>
      </c>
    </row>
    <row r="10286" spans="4:16" x14ac:dyDescent="0.2">
      <c r="D10286">
        <v>100006161</v>
      </c>
      <c r="E10286" s="49">
        <v>44233</v>
      </c>
      <c r="F10286" t="s">
        <v>7077</v>
      </c>
      <c r="G10286" t="s">
        <v>1864</v>
      </c>
      <c r="H10286">
        <v>3</v>
      </c>
      <c r="I10286">
        <v>117.62</v>
      </c>
      <c r="J10286" s="50">
        <v>352.86</v>
      </c>
      <c r="K10286" t="s">
        <v>1632</v>
      </c>
      <c r="M10286" t="s">
        <v>1624</v>
      </c>
      <c r="N10286">
        <v>62.08</v>
      </c>
      <c r="O10286" s="49">
        <v>44238</v>
      </c>
      <c r="P10286" s="50">
        <v>158.78700000000001</v>
      </c>
    </row>
    <row r="10287" spans="4:16" x14ac:dyDescent="0.2">
      <c r="D10287">
        <v>100006162</v>
      </c>
      <c r="E10287" s="49">
        <v>45511</v>
      </c>
      <c r="F10287" t="s">
        <v>7078</v>
      </c>
      <c r="G10287" t="s">
        <v>2328</v>
      </c>
      <c r="H10287">
        <v>9</v>
      </c>
      <c r="I10287">
        <v>43.58</v>
      </c>
      <c r="J10287" s="50">
        <v>392.22</v>
      </c>
      <c r="K10287" t="s">
        <v>1618</v>
      </c>
      <c r="M10287" t="s">
        <v>1627</v>
      </c>
      <c r="N10287">
        <v>23</v>
      </c>
      <c r="O10287" s="49">
        <v>45515</v>
      </c>
      <c r="P10287" s="50">
        <v>176.49900000000002</v>
      </c>
    </row>
    <row r="10288" spans="4:16" x14ac:dyDescent="0.2">
      <c r="D10288">
        <v>100006162</v>
      </c>
      <c r="E10288" s="49">
        <v>45555</v>
      </c>
      <c r="F10288" t="s">
        <v>7078</v>
      </c>
      <c r="G10288" t="s">
        <v>2305</v>
      </c>
      <c r="H10288">
        <v>5</v>
      </c>
      <c r="I10288">
        <v>78.89</v>
      </c>
      <c r="J10288" s="50">
        <v>394.45</v>
      </c>
      <c r="K10288" t="s">
        <v>1618</v>
      </c>
      <c r="M10288" t="s">
        <v>1621</v>
      </c>
      <c r="N10288">
        <v>41.64</v>
      </c>
      <c r="O10288" s="49">
        <v>45558</v>
      </c>
      <c r="P10288" s="50">
        <v>177.5025</v>
      </c>
    </row>
    <row r="10289" spans="4:16" x14ac:dyDescent="0.2">
      <c r="D10289">
        <v>100006162</v>
      </c>
      <c r="E10289" s="49">
        <v>44370</v>
      </c>
      <c r="F10289" t="s">
        <v>7078</v>
      </c>
      <c r="G10289" t="s">
        <v>1785</v>
      </c>
      <c r="H10289">
        <v>8</v>
      </c>
      <c r="I10289">
        <v>57.16</v>
      </c>
      <c r="J10289" s="50">
        <v>457.28</v>
      </c>
      <c r="K10289" t="s">
        <v>1618</v>
      </c>
      <c r="M10289" t="s">
        <v>1619</v>
      </c>
      <c r="N10289">
        <v>30.17</v>
      </c>
      <c r="O10289" s="49">
        <v>44375</v>
      </c>
      <c r="P10289" s="50">
        <v>205.77599999999998</v>
      </c>
    </row>
    <row r="10290" spans="4:16" x14ac:dyDescent="0.2">
      <c r="D10290">
        <v>100006162</v>
      </c>
      <c r="E10290" s="49">
        <v>45043</v>
      </c>
      <c r="F10290" t="s">
        <v>7078</v>
      </c>
      <c r="G10290" t="s">
        <v>3075</v>
      </c>
      <c r="H10290">
        <v>3</v>
      </c>
      <c r="I10290">
        <v>38.83</v>
      </c>
      <c r="J10290" s="50">
        <v>116.49</v>
      </c>
      <c r="K10290" t="s">
        <v>1618</v>
      </c>
      <c r="M10290" t="s">
        <v>1624</v>
      </c>
      <c r="N10290">
        <v>20.49</v>
      </c>
      <c r="O10290" s="49">
        <v>45048</v>
      </c>
      <c r="P10290" s="50">
        <v>52.420499999999997</v>
      </c>
    </row>
    <row r="10291" spans="4:16" x14ac:dyDescent="0.2">
      <c r="D10291">
        <v>100006162</v>
      </c>
      <c r="E10291" s="49">
        <v>44205</v>
      </c>
      <c r="F10291" t="s">
        <v>7078</v>
      </c>
      <c r="G10291" t="s">
        <v>2485</v>
      </c>
      <c r="H10291">
        <v>4</v>
      </c>
      <c r="I10291">
        <v>32.68</v>
      </c>
      <c r="J10291" s="50">
        <v>130.72</v>
      </c>
      <c r="K10291" t="s">
        <v>1618</v>
      </c>
      <c r="M10291" t="s">
        <v>1624</v>
      </c>
      <c r="N10291">
        <v>17.25</v>
      </c>
      <c r="O10291" s="49">
        <v>44207</v>
      </c>
      <c r="P10291" s="50">
        <v>58.823999999999998</v>
      </c>
    </row>
    <row r="10292" spans="4:16" x14ac:dyDescent="0.2">
      <c r="D10292">
        <v>100006163</v>
      </c>
      <c r="E10292" s="49">
        <v>44378</v>
      </c>
      <c r="F10292" t="s">
        <v>7079</v>
      </c>
      <c r="G10292" t="s">
        <v>2004</v>
      </c>
      <c r="H10292">
        <v>5</v>
      </c>
      <c r="I10292">
        <v>24.51</v>
      </c>
      <c r="J10292" s="50">
        <v>122.55</v>
      </c>
      <c r="K10292" t="s">
        <v>1618</v>
      </c>
      <c r="M10292" t="s">
        <v>1624</v>
      </c>
      <c r="N10292">
        <v>12.94</v>
      </c>
      <c r="O10292" s="49">
        <v>44379</v>
      </c>
      <c r="P10292" s="50">
        <v>55.147500000000001</v>
      </c>
    </row>
    <row r="10293" spans="4:16" x14ac:dyDescent="0.2">
      <c r="D10293">
        <v>100006164</v>
      </c>
      <c r="E10293" s="49">
        <v>45396</v>
      </c>
      <c r="F10293" t="s">
        <v>7080</v>
      </c>
      <c r="G10293" t="s">
        <v>1652</v>
      </c>
      <c r="H10293">
        <v>5</v>
      </c>
      <c r="I10293">
        <v>39.130000000000003</v>
      </c>
      <c r="J10293" s="50">
        <v>195.65</v>
      </c>
      <c r="K10293" t="s">
        <v>1632</v>
      </c>
      <c r="L10293" t="s">
        <v>7081</v>
      </c>
      <c r="M10293" t="s">
        <v>1621</v>
      </c>
      <c r="N10293">
        <v>20.65</v>
      </c>
      <c r="O10293" s="49">
        <v>45401</v>
      </c>
      <c r="P10293" s="50">
        <v>88.042500000000004</v>
      </c>
    </row>
    <row r="10294" spans="4:16" x14ac:dyDescent="0.2">
      <c r="D10294">
        <v>100006165</v>
      </c>
      <c r="E10294" s="49">
        <v>45562</v>
      </c>
      <c r="F10294" t="s">
        <v>7082</v>
      </c>
      <c r="G10294" t="s">
        <v>2086</v>
      </c>
      <c r="H10294">
        <v>5</v>
      </c>
      <c r="I10294">
        <v>32.619999999999997</v>
      </c>
      <c r="J10294" s="50">
        <v>163.1</v>
      </c>
      <c r="K10294" t="s">
        <v>1618</v>
      </c>
      <c r="M10294" t="s">
        <v>1627</v>
      </c>
      <c r="N10294">
        <v>17.22</v>
      </c>
      <c r="O10294" s="49">
        <v>45564</v>
      </c>
      <c r="P10294" s="50">
        <v>73.394999999999996</v>
      </c>
    </row>
    <row r="10295" spans="4:16" x14ac:dyDescent="0.2">
      <c r="D10295">
        <v>100006166</v>
      </c>
      <c r="E10295" s="49">
        <v>44667</v>
      </c>
      <c r="F10295" t="s">
        <v>7083</v>
      </c>
      <c r="G10295" t="s">
        <v>1681</v>
      </c>
      <c r="H10295">
        <v>7</v>
      </c>
      <c r="I10295">
        <v>53.98</v>
      </c>
      <c r="J10295" s="50">
        <v>377.86</v>
      </c>
      <c r="K10295" t="s">
        <v>1632</v>
      </c>
      <c r="M10295" t="s">
        <v>1624</v>
      </c>
      <c r="N10295">
        <v>28.49</v>
      </c>
      <c r="O10295" s="49">
        <v>44671</v>
      </c>
      <c r="P10295" s="50">
        <v>170.03700000000001</v>
      </c>
    </row>
    <row r="10296" spans="4:16" x14ac:dyDescent="0.2">
      <c r="D10296">
        <v>100006166</v>
      </c>
      <c r="E10296" s="49">
        <v>44692</v>
      </c>
      <c r="F10296" t="s">
        <v>7083</v>
      </c>
      <c r="G10296" t="s">
        <v>1882</v>
      </c>
      <c r="H10296">
        <v>9</v>
      </c>
      <c r="I10296">
        <v>63.87</v>
      </c>
      <c r="J10296" s="50">
        <v>574.82999999999993</v>
      </c>
      <c r="K10296" t="s">
        <v>1632</v>
      </c>
      <c r="M10296" t="s">
        <v>1624</v>
      </c>
      <c r="N10296">
        <v>33.71</v>
      </c>
      <c r="O10296" s="49">
        <v>44693</v>
      </c>
      <c r="P10296" s="50">
        <v>258.67349999999999</v>
      </c>
    </row>
    <row r="10297" spans="4:16" x14ac:dyDescent="0.2">
      <c r="D10297">
        <v>100006167</v>
      </c>
      <c r="E10297" s="49">
        <v>45442</v>
      </c>
      <c r="F10297" t="s">
        <v>7084</v>
      </c>
      <c r="G10297" t="s">
        <v>1736</v>
      </c>
      <c r="H10297">
        <v>4</v>
      </c>
      <c r="I10297">
        <v>63.2</v>
      </c>
      <c r="J10297" s="50">
        <v>252.8</v>
      </c>
      <c r="K10297" t="s">
        <v>1618</v>
      </c>
      <c r="L10297" t="s">
        <v>5472</v>
      </c>
      <c r="M10297" t="s">
        <v>1627</v>
      </c>
      <c r="N10297">
        <v>33.36</v>
      </c>
      <c r="O10297" s="49">
        <v>45444</v>
      </c>
      <c r="P10297" s="50">
        <v>113.76</v>
      </c>
    </row>
    <row r="10298" spans="4:16" x14ac:dyDescent="0.2">
      <c r="D10298">
        <v>100006168</v>
      </c>
      <c r="E10298" s="49">
        <v>45165</v>
      </c>
      <c r="F10298" t="s">
        <v>7085</v>
      </c>
      <c r="G10298" t="s">
        <v>2301</v>
      </c>
      <c r="H10298">
        <v>1</v>
      </c>
      <c r="I10298">
        <v>43.42</v>
      </c>
      <c r="J10298" s="50">
        <v>43.42</v>
      </c>
      <c r="K10298" t="s">
        <v>1632</v>
      </c>
      <c r="M10298" t="s">
        <v>1624</v>
      </c>
      <c r="N10298">
        <v>22.92</v>
      </c>
      <c r="O10298" s="49">
        <v>45170</v>
      </c>
      <c r="P10298" s="50">
        <v>19.539000000000001</v>
      </c>
    </row>
    <row r="10299" spans="4:16" x14ac:dyDescent="0.2">
      <c r="D10299">
        <v>100006168</v>
      </c>
      <c r="E10299" s="49">
        <v>45189</v>
      </c>
      <c r="F10299" t="s">
        <v>7085</v>
      </c>
      <c r="G10299" t="s">
        <v>2093</v>
      </c>
      <c r="H10299">
        <v>9</v>
      </c>
      <c r="I10299">
        <v>75.89</v>
      </c>
      <c r="J10299" s="50">
        <v>683.01</v>
      </c>
      <c r="K10299" t="s">
        <v>1632</v>
      </c>
      <c r="M10299" t="s">
        <v>1621</v>
      </c>
      <c r="N10299">
        <v>40.049999999999997</v>
      </c>
      <c r="O10299" s="49">
        <v>45192</v>
      </c>
      <c r="P10299" s="50">
        <v>307.35450000000003</v>
      </c>
    </row>
    <row r="10300" spans="4:16" x14ac:dyDescent="0.2">
      <c r="D10300">
        <v>100006168</v>
      </c>
      <c r="E10300" s="49">
        <v>45126</v>
      </c>
      <c r="F10300" t="s">
        <v>7085</v>
      </c>
      <c r="G10300" t="s">
        <v>1736</v>
      </c>
      <c r="H10300">
        <v>9</v>
      </c>
      <c r="I10300">
        <v>77.16</v>
      </c>
      <c r="J10300" s="50">
        <v>694.43999999999994</v>
      </c>
      <c r="K10300" t="s">
        <v>1632</v>
      </c>
      <c r="M10300" t="s">
        <v>1629</v>
      </c>
      <c r="N10300">
        <v>40.72</v>
      </c>
      <c r="O10300" s="49">
        <v>45128</v>
      </c>
      <c r="P10300" s="50">
        <v>312.49799999999999</v>
      </c>
    </row>
    <row r="10301" spans="4:16" x14ac:dyDescent="0.2">
      <c r="D10301">
        <v>100006169</v>
      </c>
      <c r="E10301" s="49">
        <v>45120</v>
      </c>
      <c r="F10301" t="s">
        <v>7086</v>
      </c>
      <c r="G10301" t="s">
        <v>1841</v>
      </c>
      <c r="H10301">
        <v>5</v>
      </c>
      <c r="I10301">
        <v>59.34</v>
      </c>
      <c r="J10301" s="50">
        <v>296.7</v>
      </c>
      <c r="K10301" t="s">
        <v>1618</v>
      </c>
      <c r="M10301" t="s">
        <v>1619</v>
      </c>
      <c r="N10301">
        <v>31.32</v>
      </c>
      <c r="O10301" s="49">
        <v>45123</v>
      </c>
      <c r="P10301" s="50">
        <v>133.51499999999999</v>
      </c>
    </row>
    <row r="10302" spans="4:16" x14ac:dyDescent="0.2">
      <c r="D10302">
        <v>100006169</v>
      </c>
      <c r="E10302" s="49">
        <v>45062</v>
      </c>
      <c r="F10302" t="s">
        <v>7086</v>
      </c>
      <c r="G10302" t="s">
        <v>1956</v>
      </c>
      <c r="H10302">
        <v>8</v>
      </c>
      <c r="I10302">
        <v>35.76</v>
      </c>
      <c r="J10302" s="50">
        <v>286.08</v>
      </c>
      <c r="K10302" t="s">
        <v>1618</v>
      </c>
      <c r="M10302" t="s">
        <v>1629</v>
      </c>
      <c r="N10302">
        <v>18.87</v>
      </c>
      <c r="O10302" s="49">
        <v>45066</v>
      </c>
      <c r="P10302" s="50">
        <v>128.73599999999999</v>
      </c>
    </row>
    <row r="10303" spans="4:16" x14ac:dyDescent="0.2">
      <c r="D10303">
        <v>100006169</v>
      </c>
      <c r="E10303" s="49">
        <v>44476</v>
      </c>
      <c r="F10303" t="s">
        <v>7086</v>
      </c>
      <c r="G10303" t="s">
        <v>1982</v>
      </c>
      <c r="H10303">
        <v>2</v>
      </c>
      <c r="I10303">
        <v>68.81</v>
      </c>
      <c r="J10303" s="50">
        <v>137.62</v>
      </c>
      <c r="K10303" t="s">
        <v>1618</v>
      </c>
      <c r="M10303" t="s">
        <v>1629</v>
      </c>
      <c r="N10303">
        <v>36.32</v>
      </c>
      <c r="O10303" s="49">
        <v>44478</v>
      </c>
      <c r="P10303" s="50">
        <v>61.929000000000002</v>
      </c>
    </row>
    <row r="10304" spans="4:16" x14ac:dyDescent="0.2">
      <c r="D10304">
        <v>100006170</v>
      </c>
      <c r="E10304" s="49">
        <v>45317</v>
      </c>
      <c r="F10304" t="s">
        <v>7087</v>
      </c>
      <c r="G10304" t="s">
        <v>1866</v>
      </c>
      <c r="H10304">
        <v>6</v>
      </c>
      <c r="I10304">
        <v>18.39</v>
      </c>
      <c r="J10304" s="50">
        <v>110.34</v>
      </c>
      <c r="K10304" t="s">
        <v>1618</v>
      </c>
      <c r="M10304" t="s">
        <v>1621</v>
      </c>
      <c r="N10304">
        <v>9.7100000000000009</v>
      </c>
      <c r="O10304" s="49">
        <v>45321</v>
      </c>
      <c r="P10304" s="50">
        <v>49.653000000000006</v>
      </c>
    </row>
    <row r="10305" spans="4:16" x14ac:dyDescent="0.2">
      <c r="D10305">
        <v>100006172</v>
      </c>
      <c r="E10305" s="49">
        <v>45106</v>
      </c>
      <c r="F10305" t="s">
        <v>7088</v>
      </c>
      <c r="G10305" t="s">
        <v>2733</v>
      </c>
      <c r="H10305">
        <v>3</v>
      </c>
      <c r="I10305">
        <v>91.41</v>
      </c>
      <c r="J10305" s="50">
        <v>274.23</v>
      </c>
      <c r="K10305" t="s">
        <v>1632</v>
      </c>
      <c r="M10305" t="s">
        <v>1624</v>
      </c>
      <c r="N10305">
        <v>48.24</v>
      </c>
      <c r="O10305" s="49">
        <v>45107</v>
      </c>
      <c r="P10305" s="50">
        <v>123.40350000000001</v>
      </c>
    </row>
    <row r="10306" spans="4:16" x14ac:dyDescent="0.2">
      <c r="D10306">
        <v>100006172</v>
      </c>
      <c r="E10306" s="49">
        <v>44796</v>
      </c>
      <c r="F10306" t="s">
        <v>7088</v>
      </c>
      <c r="G10306" t="s">
        <v>2207</v>
      </c>
      <c r="H10306">
        <v>10</v>
      </c>
      <c r="I10306">
        <v>65.59</v>
      </c>
      <c r="J10306" s="50">
        <v>655.90000000000009</v>
      </c>
      <c r="K10306" t="s">
        <v>1632</v>
      </c>
      <c r="M10306" t="s">
        <v>1627</v>
      </c>
      <c r="N10306">
        <v>34.619999999999997</v>
      </c>
      <c r="O10306" s="49">
        <v>44799</v>
      </c>
      <c r="P10306" s="50">
        <v>295.15500000000003</v>
      </c>
    </row>
    <row r="10307" spans="4:16" x14ac:dyDescent="0.2">
      <c r="D10307">
        <v>100006173</v>
      </c>
      <c r="E10307" s="49">
        <v>44934</v>
      </c>
      <c r="F10307" t="s">
        <v>7089</v>
      </c>
      <c r="G10307" t="s">
        <v>1785</v>
      </c>
      <c r="H10307">
        <v>10</v>
      </c>
      <c r="I10307">
        <v>74.709999999999994</v>
      </c>
      <c r="J10307" s="50">
        <v>747.09999999999991</v>
      </c>
      <c r="K10307" t="s">
        <v>1618</v>
      </c>
      <c r="M10307" t="s">
        <v>1621</v>
      </c>
      <c r="N10307">
        <v>39.43</v>
      </c>
      <c r="O10307" s="49">
        <v>44939</v>
      </c>
      <c r="P10307" s="50">
        <v>336.19499999999999</v>
      </c>
    </row>
    <row r="10308" spans="4:16" x14ac:dyDescent="0.2">
      <c r="D10308">
        <v>100006175</v>
      </c>
      <c r="E10308" s="49">
        <v>44999</v>
      </c>
      <c r="F10308" t="s">
        <v>7090</v>
      </c>
      <c r="G10308" t="s">
        <v>1646</v>
      </c>
      <c r="H10308">
        <v>3</v>
      </c>
      <c r="I10308">
        <v>118.2</v>
      </c>
      <c r="J10308" s="50">
        <v>354.6</v>
      </c>
      <c r="K10308" t="s">
        <v>1618</v>
      </c>
      <c r="M10308" t="s">
        <v>1627</v>
      </c>
      <c r="N10308">
        <v>62.38</v>
      </c>
      <c r="O10308" s="49">
        <v>45001</v>
      </c>
      <c r="P10308" s="50">
        <v>159.57000000000002</v>
      </c>
    </row>
    <row r="10309" spans="4:16" x14ac:dyDescent="0.2">
      <c r="D10309">
        <v>100006175</v>
      </c>
      <c r="E10309" s="49">
        <v>44736</v>
      </c>
      <c r="F10309" t="s">
        <v>7090</v>
      </c>
      <c r="G10309" t="s">
        <v>1795</v>
      </c>
      <c r="H10309">
        <v>5</v>
      </c>
      <c r="I10309">
        <v>38.99</v>
      </c>
      <c r="J10309" s="50">
        <v>194.95</v>
      </c>
      <c r="K10309" t="s">
        <v>1618</v>
      </c>
      <c r="M10309" t="s">
        <v>1619</v>
      </c>
      <c r="N10309">
        <v>20.58</v>
      </c>
      <c r="O10309" s="49">
        <v>44738</v>
      </c>
      <c r="P10309" s="50">
        <v>87.727499999999992</v>
      </c>
    </row>
    <row r="10310" spans="4:16" x14ac:dyDescent="0.2">
      <c r="D10310">
        <v>100006176</v>
      </c>
      <c r="E10310" s="49">
        <v>44990</v>
      </c>
      <c r="F10310" t="s">
        <v>7091</v>
      </c>
      <c r="G10310" t="s">
        <v>1990</v>
      </c>
      <c r="H10310">
        <v>3</v>
      </c>
      <c r="I10310">
        <v>31.57</v>
      </c>
      <c r="J10310" s="50">
        <v>94.710000000000008</v>
      </c>
      <c r="K10310" t="s">
        <v>1618</v>
      </c>
      <c r="M10310" t="s">
        <v>1624</v>
      </c>
      <c r="N10310">
        <v>16.66</v>
      </c>
      <c r="O10310" s="49">
        <v>44995</v>
      </c>
      <c r="P10310" s="50">
        <v>42.619500000000002</v>
      </c>
    </row>
    <row r="10311" spans="4:16" x14ac:dyDescent="0.2">
      <c r="D10311">
        <v>100006178</v>
      </c>
      <c r="E10311" s="49">
        <v>44290</v>
      </c>
      <c r="F10311" t="s">
        <v>7092</v>
      </c>
      <c r="G10311" t="s">
        <v>1838</v>
      </c>
      <c r="H10311">
        <v>2</v>
      </c>
      <c r="I10311">
        <v>110.4</v>
      </c>
      <c r="J10311" s="50">
        <v>220.8</v>
      </c>
      <c r="K10311" t="s">
        <v>1618</v>
      </c>
      <c r="M10311" t="s">
        <v>1619</v>
      </c>
      <c r="N10311">
        <v>58.27</v>
      </c>
      <c r="O10311" s="49">
        <v>44295</v>
      </c>
      <c r="P10311" s="50">
        <v>99.360000000000014</v>
      </c>
    </row>
    <row r="10312" spans="4:16" x14ac:dyDescent="0.2">
      <c r="D10312">
        <v>100006178</v>
      </c>
      <c r="E10312" s="49">
        <v>44569</v>
      </c>
      <c r="F10312" t="s">
        <v>7092</v>
      </c>
      <c r="G10312" t="s">
        <v>1707</v>
      </c>
      <c r="H10312">
        <v>10</v>
      </c>
      <c r="I10312">
        <v>91.65</v>
      </c>
      <c r="J10312" s="50">
        <v>916.5</v>
      </c>
      <c r="K10312" t="s">
        <v>1618</v>
      </c>
      <c r="M10312" t="s">
        <v>1629</v>
      </c>
      <c r="N10312">
        <v>48.37</v>
      </c>
      <c r="O10312" s="49">
        <v>44572</v>
      </c>
      <c r="P10312" s="50">
        <v>412.42500000000001</v>
      </c>
    </row>
    <row r="10313" spans="4:16" x14ac:dyDescent="0.2">
      <c r="D10313">
        <v>100006178</v>
      </c>
      <c r="E10313" s="49">
        <v>44656</v>
      </c>
      <c r="F10313" t="s">
        <v>7092</v>
      </c>
      <c r="G10313" t="s">
        <v>1865</v>
      </c>
      <c r="H10313">
        <v>6</v>
      </c>
      <c r="I10313">
        <v>113.92</v>
      </c>
      <c r="J10313" s="50">
        <v>683.52</v>
      </c>
      <c r="K10313" t="s">
        <v>1618</v>
      </c>
      <c r="M10313" t="s">
        <v>1619</v>
      </c>
      <c r="N10313">
        <v>60.12</v>
      </c>
      <c r="O10313" s="49">
        <v>44659</v>
      </c>
      <c r="P10313" s="50">
        <v>307.584</v>
      </c>
    </row>
    <row r="10314" spans="4:16" x14ac:dyDescent="0.2">
      <c r="D10314">
        <v>100006178</v>
      </c>
      <c r="E10314" s="49">
        <v>45229</v>
      </c>
      <c r="F10314" t="s">
        <v>7092</v>
      </c>
      <c r="G10314" t="s">
        <v>1704</v>
      </c>
      <c r="H10314">
        <v>10</v>
      </c>
      <c r="I10314">
        <v>81.99</v>
      </c>
      <c r="J10314" s="50">
        <v>819.9</v>
      </c>
      <c r="K10314" t="s">
        <v>1618</v>
      </c>
      <c r="M10314" t="s">
        <v>1627</v>
      </c>
      <c r="N10314">
        <v>43.27</v>
      </c>
      <c r="O10314" s="49">
        <v>45234</v>
      </c>
      <c r="P10314" s="50">
        <v>368.95499999999998</v>
      </c>
    </row>
    <row r="10315" spans="4:16" x14ac:dyDescent="0.2">
      <c r="D10315">
        <v>100006178</v>
      </c>
      <c r="E10315" s="49">
        <v>44528</v>
      </c>
      <c r="F10315" t="s">
        <v>7092</v>
      </c>
      <c r="G10315" t="s">
        <v>1939</v>
      </c>
      <c r="H10315">
        <v>2</v>
      </c>
      <c r="I10315">
        <v>87.84</v>
      </c>
      <c r="J10315" s="50">
        <v>175.68</v>
      </c>
      <c r="K10315" t="s">
        <v>1618</v>
      </c>
      <c r="M10315" t="s">
        <v>1624</v>
      </c>
      <c r="N10315">
        <v>46.36</v>
      </c>
      <c r="O10315" s="49">
        <v>44529</v>
      </c>
      <c r="P10315" s="50">
        <v>79.056000000000012</v>
      </c>
    </row>
    <row r="10316" spans="4:16" x14ac:dyDescent="0.2">
      <c r="D10316">
        <v>100006179</v>
      </c>
      <c r="E10316" s="49">
        <v>45583</v>
      </c>
      <c r="F10316" t="s">
        <v>7093</v>
      </c>
      <c r="G10316" t="s">
        <v>1737</v>
      </c>
      <c r="H10316">
        <v>10</v>
      </c>
      <c r="I10316">
        <v>13.47</v>
      </c>
      <c r="J10316" s="50">
        <v>134.69999999999999</v>
      </c>
      <c r="K10316" t="s">
        <v>1618</v>
      </c>
      <c r="M10316" t="s">
        <v>1629</v>
      </c>
      <c r="N10316">
        <v>7.11</v>
      </c>
      <c r="O10316" s="49">
        <v>45588</v>
      </c>
      <c r="P10316" s="50">
        <v>60.614999999999995</v>
      </c>
    </row>
    <row r="10317" spans="4:16" x14ac:dyDescent="0.2">
      <c r="D10317">
        <v>100006179</v>
      </c>
      <c r="E10317" s="49">
        <v>44608</v>
      </c>
      <c r="F10317" t="s">
        <v>7093</v>
      </c>
      <c r="G10317" t="s">
        <v>1833</v>
      </c>
      <c r="H10317">
        <v>4</v>
      </c>
      <c r="I10317">
        <v>117.18</v>
      </c>
      <c r="J10317" s="50">
        <v>468.72</v>
      </c>
      <c r="K10317" t="s">
        <v>1618</v>
      </c>
      <c r="M10317" t="s">
        <v>1624</v>
      </c>
      <c r="N10317">
        <v>61.84</v>
      </c>
      <c r="O10317" s="49">
        <v>44610</v>
      </c>
      <c r="P10317" s="50">
        <v>210.92400000000001</v>
      </c>
    </row>
    <row r="10318" spans="4:16" x14ac:dyDescent="0.2">
      <c r="D10318">
        <v>100006179</v>
      </c>
      <c r="E10318" s="49">
        <v>45321</v>
      </c>
      <c r="F10318" t="s">
        <v>7093</v>
      </c>
      <c r="G10318" t="s">
        <v>2145</v>
      </c>
      <c r="H10318">
        <v>5</v>
      </c>
      <c r="I10318">
        <v>86.5</v>
      </c>
      <c r="J10318" s="50">
        <v>432.5</v>
      </c>
      <c r="K10318" t="s">
        <v>1618</v>
      </c>
      <c r="M10318" t="s">
        <v>1621</v>
      </c>
      <c r="N10318">
        <v>45.65</v>
      </c>
      <c r="O10318" s="49">
        <v>45326</v>
      </c>
      <c r="P10318" s="50">
        <v>194.625</v>
      </c>
    </row>
    <row r="10319" spans="4:16" x14ac:dyDescent="0.2">
      <c r="D10319">
        <v>100006179</v>
      </c>
      <c r="E10319" s="49">
        <v>44476</v>
      </c>
      <c r="F10319" t="s">
        <v>7093</v>
      </c>
      <c r="G10319" t="s">
        <v>1874</v>
      </c>
      <c r="H10319">
        <v>5</v>
      </c>
      <c r="I10319">
        <v>72.61</v>
      </c>
      <c r="J10319" s="50">
        <v>363.05</v>
      </c>
      <c r="K10319" t="s">
        <v>1618</v>
      </c>
      <c r="M10319" t="s">
        <v>1621</v>
      </c>
      <c r="N10319">
        <v>38.32</v>
      </c>
      <c r="O10319" s="49">
        <v>44477</v>
      </c>
      <c r="P10319" s="50">
        <v>163.3725</v>
      </c>
    </row>
    <row r="10320" spans="4:16" x14ac:dyDescent="0.2">
      <c r="D10320">
        <v>100006180</v>
      </c>
      <c r="E10320" s="49">
        <v>45257</v>
      </c>
      <c r="F10320" t="s">
        <v>7094</v>
      </c>
      <c r="G10320" t="s">
        <v>1846</v>
      </c>
      <c r="H10320">
        <v>4</v>
      </c>
      <c r="I10320">
        <v>110.47</v>
      </c>
      <c r="J10320" s="50">
        <v>441.88</v>
      </c>
      <c r="K10320" t="s">
        <v>1618</v>
      </c>
      <c r="M10320" t="s">
        <v>1624</v>
      </c>
      <c r="N10320">
        <v>58.3</v>
      </c>
      <c r="O10320" s="49">
        <v>45262</v>
      </c>
      <c r="P10320" s="50">
        <v>198.846</v>
      </c>
    </row>
    <row r="10321" spans="4:16" x14ac:dyDescent="0.2">
      <c r="D10321">
        <v>100006181</v>
      </c>
      <c r="E10321" s="49">
        <v>44689</v>
      </c>
      <c r="F10321" t="s">
        <v>5264</v>
      </c>
      <c r="G10321" t="s">
        <v>1651</v>
      </c>
      <c r="H10321">
        <v>9</v>
      </c>
      <c r="I10321">
        <v>79.849999999999994</v>
      </c>
      <c r="J10321" s="50">
        <v>718.65</v>
      </c>
      <c r="K10321" t="s">
        <v>1618</v>
      </c>
      <c r="M10321" t="s">
        <v>1629</v>
      </c>
      <c r="N10321">
        <v>42.14</v>
      </c>
      <c r="O10321" s="49">
        <v>44694</v>
      </c>
      <c r="P10321" s="50">
        <v>323.39249999999998</v>
      </c>
    </row>
    <row r="10322" spans="4:16" x14ac:dyDescent="0.2">
      <c r="D10322">
        <v>100006181</v>
      </c>
      <c r="E10322" s="49">
        <v>44471</v>
      </c>
      <c r="F10322" t="s">
        <v>5264</v>
      </c>
      <c r="G10322" t="s">
        <v>2180</v>
      </c>
      <c r="H10322">
        <v>1</v>
      </c>
      <c r="I10322">
        <v>96.78</v>
      </c>
      <c r="J10322" s="50">
        <v>96.78</v>
      </c>
      <c r="K10322" t="s">
        <v>1618</v>
      </c>
      <c r="M10322" t="s">
        <v>1621</v>
      </c>
      <c r="N10322">
        <v>51.08</v>
      </c>
      <c r="O10322" s="49">
        <v>44473</v>
      </c>
      <c r="P10322" s="50">
        <v>43.551000000000002</v>
      </c>
    </row>
    <row r="10323" spans="4:16" x14ac:dyDescent="0.2">
      <c r="D10323">
        <v>100006181</v>
      </c>
      <c r="E10323" s="49">
        <v>44818</v>
      </c>
      <c r="F10323" t="s">
        <v>5264</v>
      </c>
      <c r="G10323" t="s">
        <v>1766</v>
      </c>
      <c r="H10323">
        <v>5</v>
      </c>
      <c r="I10323">
        <v>78.41</v>
      </c>
      <c r="J10323" s="50">
        <v>392.05</v>
      </c>
      <c r="K10323" t="s">
        <v>1618</v>
      </c>
      <c r="M10323" t="s">
        <v>1624</v>
      </c>
      <c r="N10323">
        <v>41.38</v>
      </c>
      <c r="O10323" s="49">
        <v>44821</v>
      </c>
      <c r="P10323" s="50">
        <v>176.42250000000001</v>
      </c>
    </row>
    <row r="10324" spans="4:16" x14ac:dyDescent="0.2">
      <c r="D10324">
        <v>100006181</v>
      </c>
      <c r="E10324" s="49">
        <v>44719</v>
      </c>
      <c r="F10324" t="s">
        <v>5264</v>
      </c>
      <c r="G10324" t="s">
        <v>1631</v>
      </c>
      <c r="H10324">
        <v>8</v>
      </c>
      <c r="I10324">
        <v>84.59</v>
      </c>
      <c r="J10324" s="50">
        <v>676.72</v>
      </c>
      <c r="K10324" t="s">
        <v>1618</v>
      </c>
      <c r="M10324" t="s">
        <v>1624</v>
      </c>
      <c r="N10324">
        <v>44.64</v>
      </c>
      <c r="O10324" s="49">
        <v>44724</v>
      </c>
      <c r="P10324" s="50">
        <v>304.524</v>
      </c>
    </row>
    <row r="10325" spans="4:16" x14ac:dyDescent="0.2">
      <c r="D10325">
        <v>100006181</v>
      </c>
      <c r="E10325" s="49">
        <v>45235</v>
      </c>
      <c r="F10325" t="s">
        <v>5264</v>
      </c>
      <c r="G10325" t="s">
        <v>1738</v>
      </c>
      <c r="H10325">
        <v>10</v>
      </c>
      <c r="I10325">
        <v>41.82</v>
      </c>
      <c r="J10325" s="50">
        <v>418.2</v>
      </c>
      <c r="K10325" t="s">
        <v>1618</v>
      </c>
      <c r="M10325" t="s">
        <v>1624</v>
      </c>
      <c r="N10325">
        <v>22.07</v>
      </c>
      <c r="O10325" s="49">
        <v>45238</v>
      </c>
      <c r="P10325" s="50">
        <v>188.19</v>
      </c>
    </row>
    <row r="10326" spans="4:16" x14ac:dyDescent="0.2">
      <c r="D10326">
        <v>100006181</v>
      </c>
      <c r="E10326" s="49">
        <v>45015</v>
      </c>
      <c r="F10326" t="s">
        <v>5264</v>
      </c>
      <c r="G10326" t="s">
        <v>1969</v>
      </c>
      <c r="H10326">
        <v>8</v>
      </c>
      <c r="I10326">
        <v>69.88</v>
      </c>
      <c r="J10326" s="50">
        <v>559.04</v>
      </c>
      <c r="K10326" t="s">
        <v>1618</v>
      </c>
      <c r="M10326" t="s">
        <v>1627</v>
      </c>
      <c r="N10326">
        <v>36.880000000000003</v>
      </c>
      <c r="O10326" s="49">
        <v>45017</v>
      </c>
      <c r="P10326" s="50">
        <v>251.56799999999998</v>
      </c>
    </row>
    <row r="10327" spans="4:16" x14ac:dyDescent="0.2">
      <c r="D10327">
        <v>100006181</v>
      </c>
      <c r="E10327" s="49">
        <v>45173</v>
      </c>
      <c r="F10327" t="s">
        <v>5264</v>
      </c>
      <c r="G10327" t="s">
        <v>1830</v>
      </c>
      <c r="H10327">
        <v>7</v>
      </c>
      <c r="I10327">
        <v>109.04</v>
      </c>
      <c r="J10327" s="50">
        <v>763.28000000000009</v>
      </c>
      <c r="K10327" t="s">
        <v>1618</v>
      </c>
      <c r="M10327" t="s">
        <v>1629</v>
      </c>
      <c r="N10327">
        <v>57.55</v>
      </c>
      <c r="O10327" s="49">
        <v>45178</v>
      </c>
      <c r="P10327" s="50">
        <v>343.47600000000006</v>
      </c>
    </row>
    <row r="10328" spans="4:16" x14ac:dyDescent="0.2">
      <c r="D10328">
        <v>100006182</v>
      </c>
      <c r="E10328" s="49">
        <v>44438</v>
      </c>
      <c r="F10328" t="s">
        <v>7095</v>
      </c>
      <c r="G10328" t="s">
        <v>2427</v>
      </c>
      <c r="H10328">
        <v>5</v>
      </c>
      <c r="I10328">
        <v>107.42</v>
      </c>
      <c r="J10328" s="50">
        <v>537.1</v>
      </c>
      <c r="K10328" t="s">
        <v>1632</v>
      </c>
      <c r="M10328" t="s">
        <v>1629</v>
      </c>
      <c r="N10328">
        <v>56.69</v>
      </c>
      <c r="O10328" s="49">
        <v>44439</v>
      </c>
      <c r="P10328" s="50">
        <v>241.69500000000002</v>
      </c>
    </row>
    <row r="10329" spans="4:16" x14ac:dyDescent="0.2">
      <c r="D10329">
        <v>100006182</v>
      </c>
      <c r="E10329" s="49">
        <v>44526</v>
      </c>
      <c r="F10329" t="s">
        <v>7095</v>
      </c>
      <c r="G10329" t="s">
        <v>1652</v>
      </c>
      <c r="H10329">
        <v>7</v>
      </c>
      <c r="I10329">
        <v>16.329999999999998</v>
      </c>
      <c r="J10329" s="50">
        <v>114.31</v>
      </c>
      <c r="K10329" t="s">
        <v>1632</v>
      </c>
      <c r="M10329" t="s">
        <v>1621</v>
      </c>
      <c r="N10329">
        <v>8.6199999999999992</v>
      </c>
      <c r="O10329" s="49">
        <v>44527</v>
      </c>
      <c r="P10329" s="50">
        <v>51.439500000000002</v>
      </c>
    </row>
    <row r="10330" spans="4:16" x14ac:dyDescent="0.2">
      <c r="D10330">
        <v>100006183</v>
      </c>
      <c r="E10330" s="49">
        <v>44657</v>
      </c>
      <c r="F10330" t="s">
        <v>7096</v>
      </c>
      <c r="G10330" t="s">
        <v>2255</v>
      </c>
      <c r="H10330">
        <v>10</v>
      </c>
      <c r="I10330">
        <v>58.9</v>
      </c>
      <c r="J10330" s="50">
        <v>589</v>
      </c>
      <c r="K10330" t="s">
        <v>1618</v>
      </c>
      <c r="M10330" t="s">
        <v>1629</v>
      </c>
      <c r="N10330">
        <v>31.09</v>
      </c>
      <c r="O10330" s="49">
        <v>44660</v>
      </c>
      <c r="P10330" s="50">
        <v>265.05</v>
      </c>
    </row>
    <row r="10331" spans="4:16" x14ac:dyDescent="0.2">
      <c r="D10331">
        <v>100006185</v>
      </c>
      <c r="E10331" s="49">
        <v>45508</v>
      </c>
      <c r="F10331" t="s">
        <v>7097</v>
      </c>
      <c r="G10331" t="s">
        <v>2204</v>
      </c>
      <c r="H10331">
        <v>9</v>
      </c>
      <c r="I10331">
        <v>99.09</v>
      </c>
      <c r="J10331" s="50">
        <v>891.81000000000006</v>
      </c>
      <c r="K10331" t="s">
        <v>1618</v>
      </c>
      <c r="M10331" t="s">
        <v>1624</v>
      </c>
      <c r="N10331">
        <v>52.3</v>
      </c>
      <c r="O10331" s="49">
        <v>45509</v>
      </c>
      <c r="P10331" s="50">
        <v>401.31450000000001</v>
      </c>
    </row>
    <row r="10332" spans="4:16" x14ac:dyDescent="0.2">
      <c r="D10332">
        <v>100006186</v>
      </c>
      <c r="E10332" s="49">
        <v>45232</v>
      </c>
      <c r="F10332" t="s">
        <v>7098</v>
      </c>
      <c r="G10332" t="s">
        <v>2138</v>
      </c>
      <c r="H10332">
        <v>5</v>
      </c>
      <c r="I10332">
        <v>46.59</v>
      </c>
      <c r="J10332" s="50">
        <v>232.95</v>
      </c>
      <c r="K10332" t="s">
        <v>1632</v>
      </c>
      <c r="L10332" t="s">
        <v>2741</v>
      </c>
      <c r="M10332" t="s">
        <v>1629</v>
      </c>
      <c r="N10332">
        <v>24.59</v>
      </c>
      <c r="O10332" s="49">
        <v>45233</v>
      </c>
      <c r="P10332" s="50">
        <v>104.8275</v>
      </c>
    </row>
    <row r="10333" spans="4:16" x14ac:dyDescent="0.2">
      <c r="D10333">
        <v>100006186</v>
      </c>
      <c r="E10333" s="49">
        <v>45382</v>
      </c>
      <c r="F10333" t="s">
        <v>7098</v>
      </c>
      <c r="G10333" t="s">
        <v>1945</v>
      </c>
      <c r="H10333">
        <v>6</v>
      </c>
      <c r="I10333">
        <v>57.03</v>
      </c>
      <c r="J10333" s="50">
        <v>342.18</v>
      </c>
      <c r="K10333" t="s">
        <v>1632</v>
      </c>
      <c r="L10333" t="s">
        <v>2741</v>
      </c>
      <c r="M10333" t="s">
        <v>1629</v>
      </c>
      <c r="N10333">
        <v>30.1</v>
      </c>
      <c r="O10333" s="49">
        <v>45385</v>
      </c>
      <c r="P10333" s="50">
        <v>153.98099999999999</v>
      </c>
    </row>
    <row r="10334" spans="4:16" x14ac:dyDescent="0.2">
      <c r="D10334">
        <v>100006187</v>
      </c>
      <c r="E10334" s="49">
        <v>45206</v>
      </c>
      <c r="F10334" t="s">
        <v>7099</v>
      </c>
      <c r="G10334" t="s">
        <v>2019</v>
      </c>
      <c r="H10334">
        <v>7</v>
      </c>
      <c r="I10334">
        <v>109.06</v>
      </c>
      <c r="J10334" s="50">
        <v>763.42000000000007</v>
      </c>
      <c r="K10334" t="s">
        <v>1618</v>
      </c>
      <c r="L10334" t="s">
        <v>5785</v>
      </c>
      <c r="M10334" t="s">
        <v>1621</v>
      </c>
      <c r="N10334">
        <v>57.56</v>
      </c>
      <c r="O10334" s="49">
        <v>45209</v>
      </c>
      <c r="P10334" s="50">
        <v>343.53900000000004</v>
      </c>
    </row>
    <row r="10335" spans="4:16" x14ac:dyDescent="0.2">
      <c r="D10335">
        <v>100006188</v>
      </c>
      <c r="E10335" s="49">
        <v>45287</v>
      </c>
      <c r="F10335" t="s">
        <v>7100</v>
      </c>
      <c r="G10335" t="s">
        <v>1953</v>
      </c>
      <c r="H10335">
        <v>10</v>
      </c>
      <c r="I10335">
        <v>94.81</v>
      </c>
      <c r="J10335" s="50">
        <v>948.1</v>
      </c>
      <c r="K10335" t="s">
        <v>1618</v>
      </c>
      <c r="M10335" t="s">
        <v>1624</v>
      </c>
      <c r="N10335">
        <v>50.04</v>
      </c>
      <c r="O10335" s="49">
        <v>45290</v>
      </c>
      <c r="P10335" s="50">
        <v>426.64500000000004</v>
      </c>
    </row>
    <row r="10336" spans="4:16" x14ac:dyDescent="0.2">
      <c r="D10336">
        <v>100006188</v>
      </c>
      <c r="E10336" s="49">
        <v>45606</v>
      </c>
      <c r="F10336" t="s">
        <v>7100</v>
      </c>
      <c r="G10336" t="s">
        <v>2161</v>
      </c>
      <c r="H10336">
        <v>7</v>
      </c>
      <c r="I10336">
        <v>17.899999999999999</v>
      </c>
      <c r="J10336" s="50">
        <v>125.3</v>
      </c>
      <c r="K10336" t="s">
        <v>1618</v>
      </c>
      <c r="M10336" t="s">
        <v>1619</v>
      </c>
      <c r="N10336">
        <v>9.4499999999999993</v>
      </c>
      <c r="O10336" s="49">
        <v>45607</v>
      </c>
      <c r="P10336" s="50">
        <v>56.384999999999998</v>
      </c>
    </row>
    <row r="10337" spans="4:16" x14ac:dyDescent="0.2">
      <c r="D10337">
        <v>100006188</v>
      </c>
      <c r="E10337" s="49">
        <v>44830</v>
      </c>
      <c r="F10337" t="s">
        <v>7100</v>
      </c>
      <c r="G10337" t="s">
        <v>2766</v>
      </c>
      <c r="H10337">
        <v>9</v>
      </c>
      <c r="I10337">
        <v>103.24</v>
      </c>
      <c r="J10337" s="50">
        <v>929.16</v>
      </c>
      <c r="K10337" t="s">
        <v>1618</v>
      </c>
      <c r="M10337" t="s">
        <v>1621</v>
      </c>
      <c r="N10337">
        <v>54.49</v>
      </c>
      <c r="O10337" s="49">
        <v>44831</v>
      </c>
      <c r="P10337" s="50">
        <v>418.12200000000001</v>
      </c>
    </row>
    <row r="10338" spans="4:16" x14ac:dyDescent="0.2">
      <c r="D10338">
        <v>100006189</v>
      </c>
      <c r="E10338" s="49">
        <v>45037</v>
      </c>
      <c r="F10338" t="s">
        <v>7101</v>
      </c>
      <c r="G10338" t="s">
        <v>1702</v>
      </c>
      <c r="H10338">
        <v>1</v>
      </c>
      <c r="I10338">
        <v>83.67</v>
      </c>
      <c r="J10338" s="50">
        <v>83.67</v>
      </c>
      <c r="K10338" t="s">
        <v>1632</v>
      </c>
      <c r="L10338" t="s">
        <v>7102</v>
      </c>
      <c r="M10338" t="s">
        <v>1619</v>
      </c>
      <c r="N10338">
        <v>44.16</v>
      </c>
      <c r="O10338" s="49">
        <v>45042</v>
      </c>
      <c r="P10338" s="50">
        <v>37.651499999999999</v>
      </c>
    </row>
    <row r="10339" spans="4:16" x14ac:dyDescent="0.2">
      <c r="D10339">
        <v>100006190</v>
      </c>
      <c r="E10339" s="49">
        <v>44697</v>
      </c>
      <c r="F10339" t="s">
        <v>7103</v>
      </c>
      <c r="G10339" t="s">
        <v>2380</v>
      </c>
      <c r="H10339">
        <v>3</v>
      </c>
      <c r="I10339">
        <v>59.38</v>
      </c>
      <c r="J10339" s="50">
        <v>178.14</v>
      </c>
      <c r="K10339" t="s">
        <v>1618</v>
      </c>
      <c r="M10339" t="s">
        <v>1621</v>
      </c>
      <c r="N10339">
        <v>31.34</v>
      </c>
      <c r="O10339" s="49">
        <v>44700</v>
      </c>
      <c r="P10339" s="50">
        <v>80.162999999999997</v>
      </c>
    </row>
    <row r="10340" spans="4:16" x14ac:dyDescent="0.2">
      <c r="D10340">
        <v>100006190</v>
      </c>
      <c r="E10340" s="49">
        <v>45035</v>
      </c>
      <c r="F10340" t="s">
        <v>7103</v>
      </c>
      <c r="G10340" t="s">
        <v>1825</v>
      </c>
      <c r="H10340">
        <v>6</v>
      </c>
      <c r="I10340">
        <v>13.92</v>
      </c>
      <c r="J10340" s="50">
        <v>83.52</v>
      </c>
      <c r="K10340" t="s">
        <v>1618</v>
      </c>
      <c r="M10340" t="s">
        <v>1621</v>
      </c>
      <c r="N10340">
        <v>7.35</v>
      </c>
      <c r="O10340" s="49">
        <v>45036</v>
      </c>
      <c r="P10340" s="50">
        <v>37.583999999999996</v>
      </c>
    </row>
    <row r="10341" spans="4:16" x14ac:dyDescent="0.2">
      <c r="D10341">
        <v>100006190</v>
      </c>
      <c r="E10341" s="49">
        <v>44491</v>
      </c>
      <c r="F10341" t="s">
        <v>7103</v>
      </c>
      <c r="G10341" t="s">
        <v>1649</v>
      </c>
      <c r="H10341">
        <v>5</v>
      </c>
      <c r="I10341">
        <v>28.31</v>
      </c>
      <c r="J10341" s="50">
        <v>141.55000000000001</v>
      </c>
      <c r="K10341" t="s">
        <v>1618</v>
      </c>
      <c r="M10341" t="s">
        <v>1621</v>
      </c>
      <c r="N10341">
        <v>14.94</v>
      </c>
      <c r="O10341" s="49">
        <v>44495</v>
      </c>
      <c r="P10341" s="50">
        <v>63.697500000000005</v>
      </c>
    </row>
    <row r="10342" spans="4:16" x14ac:dyDescent="0.2">
      <c r="D10342">
        <v>100006190</v>
      </c>
      <c r="E10342" s="49">
        <v>44603</v>
      </c>
      <c r="F10342" t="s">
        <v>7103</v>
      </c>
      <c r="G10342" t="s">
        <v>1838</v>
      </c>
      <c r="H10342">
        <v>7</v>
      </c>
      <c r="I10342">
        <v>117.02</v>
      </c>
      <c r="J10342" s="50">
        <v>819.14</v>
      </c>
      <c r="K10342" t="s">
        <v>1618</v>
      </c>
      <c r="M10342" t="s">
        <v>1621</v>
      </c>
      <c r="N10342">
        <v>61.76</v>
      </c>
      <c r="O10342" s="49">
        <v>44608</v>
      </c>
      <c r="P10342" s="50">
        <v>368.613</v>
      </c>
    </row>
    <row r="10343" spans="4:16" x14ac:dyDescent="0.2">
      <c r="D10343">
        <v>100006191</v>
      </c>
      <c r="E10343" s="49">
        <v>45498</v>
      </c>
      <c r="F10343" t="s">
        <v>5542</v>
      </c>
      <c r="G10343" t="s">
        <v>1719</v>
      </c>
      <c r="H10343">
        <v>3</v>
      </c>
      <c r="I10343">
        <v>45.2</v>
      </c>
      <c r="J10343" s="50">
        <v>135.6</v>
      </c>
      <c r="K10343" t="s">
        <v>1618</v>
      </c>
      <c r="M10343" t="s">
        <v>1619</v>
      </c>
      <c r="N10343">
        <v>23.86</v>
      </c>
      <c r="O10343" s="49">
        <v>45503</v>
      </c>
      <c r="P10343" s="50">
        <v>61.019999999999996</v>
      </c>
    </row>
    <row r="10344" spans="4:16" x14ac:dyDescent="0.2">
      <c r="D10344">
        <v>100006191</v>
      </c>
      <c r="E10344" s="49">
        <v>45079</v>
      </c>
      <c r="F10344" t="s">
        <v>5542</v>
      </c>
      <c r="G10344" t="s">
        <v>1971</v>
      </c>
      <c r="H10344">
        <v>6</v>
      </c>
      <c r="I10344">
        <v>64.84</v>
      </c>
      <c r="J10344" s="50">
        <v>389.04</v>
      </c>
      <c r="K10344" t="s">
        <v>1618</v>
      </c>
      <c r="M10344" t="s">
        <v>1619</v>
      </c>
      <c r="N10344">
        <v>34.22</v>
      </c>
      <c r="O10344" s="49">
        <v>45081</v>
      </c>
      <c r="P10344" s="50">
        <v>175.06800000000001</v>
      </c>
    </row>
    <row r="10345" spans="4:16" x14ac:dyDescent="0.2">
      <c r="D10345">
        <v>100006191</v>
      </c>
      <c r="E10345" s="49">
        <v>45554</v>
      </c>
      <c r="F10345" t="s">
        <v>5542</v>
      </c>
      <c r="G10345" t="s">
        <v>1817</v>
      </c>
      <c r="H10345">
        <v>7</v>
      </c>
      <c r="I10345">
        <v>46.59</v>
      </c>
      <c r="J10345" s="50">
        <v>326.13</v>
      </c>
      <c r="K10345" t="s">
        <v>1618</v>
      </c>
      <c r="M10345" t="s">
        <v>1627</v>
      </c>
      <c r="N10345">
        <v>24.59</v>
      </c>
      <c r="O10345" s="49">
        <v>45555</v>
      </c>
      <c r="P10345" s="50">
        <v>146.7585</v>
      </c>
    </row>
    <row r="10346" spans="4:16" x14ac:dyDescent="0.2">
      <c r="D10346">
        <v>100006193</v>
      </c>
      <c r="E10346" s="49">
        <v>45623</v>
      </c>
      <c r="F10346" t="s">
        <v>7104</v>
      </c>
      <c r="G10346" t="s">
        <v>2633</v>
      </c>
      <c r="H10346">
        <v>1</v>
      </c>
      <c r="I10346">
        <v>12.76</v>
      </c>
      <c r="J10346" s="50">
        <v>12.76</v>
      </c>
      <c r="K10346" t="s">
        <v>1618</v>
      </c>
      <c r="L10346" t="s">
        <v>7105</v>
      </c>
      <c r="M10346" t="s">
        <v>1619</v>
      </c>
      <c r="N10346">
        <v>6.73</v>
      </c>
      <c r="O10346" s="49">
        <v>45626</v>
      </c>
      <c r="P10346" s="50">
        <v>5.742</v>
      </c>
    </row>
    <row r="10347" spans="4:16" x14ac:dyDescent="0.2">
      <c r="D10347">
        <v>100006193</v>
      </c>
      <c r="E10347" s="49">
        <v>44677</v>
      </c>
      <c r="F10347" t="s">
        <v>7104</v>
      </c>
      <c r="G10347" t="s">
        <v>1658</v>
      </c>
      <c r="H10347">
        <v>4</v>
      </c>
      <c r="I10347">
        <v>33.409999999999997</v>
      </c>
      <c r="J10347" s="50">
        <v>133.63999999999999</v>
      </c>
      <c r="K10347" t="s">
        <v>1618</v>
      </c>
      <c r="L10347" t="s">
        <v>7105</v>
      </c>
      <c r="M10347" t="s">
        <v>1619</v>
      </c>
      <c r="N10347">
        <v>17.63</v>
      </c>
      <c r="O10347" s="49">
        <v>44679</v>
      </c>
      <c r="P10347" s="50">
        <v>60.137999999999998</v>
      </c>
    </row>
    <row r="10348" spans="4:16" x14ac:dyDescent="0.2">
      <c r="D10348">
        <v>100006194</v>
      </c>
      <c r="E10348" s="49">
        <v>44604</v>
      </c>
      <c r="F10348" t="s">
        <v>7106</v>
      </c>
      <c r="G10348" t="s">
        <v>1690</v>
      </c>
      <c r="H10348">
        <v>1</v>
      </c>
      <c r="I10348">
        <v>26.67</v>
      </c>
      <c r="J10348" s="50">
        <v>26.67</v>
      </c>
      <c r="K10348" t="s">
        <v>1632</v>
      </c>
      <c r="M10348" t="s">
        <v>1621</v>
      </c>
      <c r="N10348">
        <v>14.08</v>
      </c>
      <c r="O10348" s="49">
        <v>44606</v>
      </c>
      <c r="P10348" s="50">
        <v>12.001500000000002</v>
      </c>
    </row>
    <row r="10349" spans="4:16" x14ac:dyDescent="0.2">
      <c r="D10349">
        <v>100006195</v>
      </c>
      <c r="E10349" s="49">
        <v>44847</v>
      </c>
      <c r="F10349" t="s">
        <v>7107</v>
      </c>
      <c r="G10349" t="s">
        <v>1733</v>
      </c>
      <c r="H10349">
        <v>10</v>
      </c>
      <c r="I10349">
        <v>11.99</v>
      </c>
      <c r="J10349" s="50">
        <v>119.9</v>
      </c>
      <c r="K10349" t="s">
        <v>1632</v>
      </c>
      <c r="M10349" t="s">
        <v>1624</v>
      </c>
      <c r="N10349">
        <v>6.33</v>
      </c>
      <c r="O10349" s="49">
        <v>44848</v>
      </c>
      <c r="P10349" s="50">
        <v>53.955000000000005</v>
      </c>
    </row>
    <row r="10350" spans="4:16" x14ac:dyDescent="0.2">
      <c r="D10350">
        <v>100006195</v>
      </c>
      <c r="E10350" s="49">
        <v>44935</v>
      </c>
      <c r="F10350" t="s">
        <v>7107</v>
      </c>
      <c r="G10350" t="s">
        <v>1985</v>
      </c>
      <c r="H10350">
        <v>5</v>
      </c>
      <c r="I10350">
        <v>65.75</v>
      </c>
      <c r="J10350" s="50">
        <v>328.75</v>
      </c>
      <c r="K10350" t="s">
        <v>1632</v>
      </c>
      <c r="M10350" t="s">
        <v>1621</v>
      </c>
      <c r="N10350">
        <v>34.700000000000003</v>
      </c>
      <c r="O10350" s="49">
        <v>44938</v>
      </c>
      <c r="P10350" s="50">
        <v>147.9375</v>
      </c>
    </row>
    <row r="10351" spans="4:16" x14ac:dyDescent="0.2">
      <c r="D10351">
        <v>100006197</v>
      </c>
      <c r="E10351" s="49">
        <v>44571</v>
      </c>
      <c r="F10351" t="s">
        <v>7108</v>
      </c>
      <c r="G10351" t="s">
        <v>2168</v>
      </c>
      <c r="H10351">
        <v>7</v>
      </c>
      <c r="I10351">
        <v>10.98</v>
      </c>
      <c r="J10351" s="50">
        <v>76.86</v>
      </c>
      <c r="K10351" t="s">
        <v>1618</v>
      </c>
      <c r="M10351" t="s">
        <v>1627</v>
      </c>
      <c r="N10351">
        <v>5.79</v>
      </c>
      <c r="O10351" s="49">
        <v>44573</v>
      </c>
      <c r="P10351" s="50">
        <v>34.587000000000003</v>
      </c>
    </row>
    <row r="10352" spans="4:16" x14ac:dyDescent="0.2">
      <c r="D10352">
        <v>100006197</v>
      </c>
      <c r="E10352" s="49">
        <v>45295</v>
      </c>
      <c r="F10352" t="s">
        <v>7108</v>
      </c>
      <c r="G10352" t="s">
        <v>1844</v>
      </c>
      <c r="H10352">
        <v>8</v>
      </c>
      <c r="I10352">
        <v>80.73</v>
      </c>
      <c r="J10352" s="50">
        <v>645.84</v>
      </c>
      <c r="K10352" t="s">
        <v>1618</v>
      </c>
      <c r="M10352" t="s">
        <v>1629</v>
      </c>
      <c r="N10352">
        <v>42.61</v>
      </c>
      <c r="O10352" s="49">
        <v>45298</v>
      </c>
      <c r="P10352" s="50">
        <v>290.62800000000004</v>
      </c>
    </row>
    <row r="10353" spans="4:16" x14ac:dyDescent="0.2">
      <c r="D10353">
        <v>100006197</v>
      </c>
      <c r="E10353" s="49">
        <v>45526</v>
      </c>
      <c r="F10353" t="s">
        <v>7108</v>
      </c>
      <c r="G10353" t="s">
        <v>2628</v>
      </c>
      <c r="H10353">
        <v>2</v>
      </c>
      <c r="I10353">
        <v>20.04</v>
      </c>
      <c r="J10353" s="50">
        <v>40.08</v>
      </c>
      <c r="K10353" t="s">
        <v>1618</v>
      </c>
      <c r="M10353" t="s">
        <v>1621</v>
      </c>
      <c r="N10353">
        <v>10.58</v>
      </c>
      <c r="O10353" s="49">
        <v>45530</v>
      </c>
      <c r="P10353" s="50">
        <v>18.036000000000001</v>
      </c>
    </row>
    <row r="10354" spans="4:16" x14ac:dyDescent="0.2">
      <c r="D10354">
        <v>100006197</v>
      </c>
      <c r="E10354" s="49">
        <v>45156</v>
      </c>
      <c r="F10354" t="s">
        <v>7108</v>
      </c>
      <c r="G10354" t="s">
        <v>1789</v>
      </c>
      <c r="H10354">
        <v>5</v>
      </c>
      <c r="I10354">
        <v>50.43</v>
      </c>
      <c r="J10354" s="50">
        <v>252.15</v>
      </c>
      <c r="K10354" t="s">
        <v>1618</v>
      </c>
      <c r="M10354" t="s">
        <v>1627</v>
      </c>
      <c r="N10354">
        <v>26.62</v>
      </c>
      <c r="O10354" s="49">
        <v>45160</v>
      </c>
      <c r="P10354" s="50">
        <v>113.4675</v>
      </c>
    </row>
    <row r="10355" spans="4:16" x14ac:dyDescent="0.2">
      <c r="D10355">
        <v>100006197</v>
      </c>
      <c r="E10355" s="49">
        <v>45533</v>
      </c>
      <c r="F10355" t="s">
        <v>7108</v>
      </c>
      <c r="G10355" t="s">
        <v>2136</v>
      </c>
      <c r="H10355">
        <v>10</v>
      </c>
      <c r="I10355">
        <v>49.6</v>
      </c>
      <c r="J10355" s="50">
        <v>496</v>
      </c>
      <c r="K10355" t="s">
        <v>1618</v>
      </c>
      <c r="M10355" t="s">
        <v>1627</v>
      </c>
      <c r="N10355">
        <v>26.18</v>
      </c>
      <c r="O10355" s="49">
        <v>45536</v>
      </c>
      <c r="P10355" s="50">
        <v>223.20000000000002</v>
      </c>
    </row>
    <row r="10356" spans="4:16" x14ac:dyDescent="0.2">
      <c r="D10356">
        <v>100006198</v>
      </c>
      <c r="E10356" s="49">
        <v>45224</v>
      </c>
      <c r="F10356" t="s">
        <v>7109</v>
      </c>
      <c r="G10356" t="s">
        <v>2132</v>
      </c>
      <c r="H10356">
        <v>1</v>
      </c>
      <c r="I10356">
        <v>13.54</v>
      </c>
      <c r="J10356" s="50">
        <v>13.54</v>
      </c>
      <c r="K10356" t="s">
        <v>1618</v>
      </c>
      <c r="M10356" t="s">
        <v>1621</v>
      </c>
      <c r="N10356">
        <v>7.15</v>
      </c>
      <c r="O10356" s="49">
        <v>45225</v>
      </c>
      <c r="P10356" s="50">
        <v>6.093</v>
      </c>
    </row>
    <row r="10357" spans="4:16" x14ac:dyDescent="0.2">
      <c r="D10357">
        <v>100006198</v>
      </c>
      <c r="E10357" s="49">
        <v>44839</v>
      </c>
      <c r="F10357" t="s">
        <v>7109</v>
      </c>
      <c r="G10357" t="s">
        <v>1675</v>
      </c>
      <c r="H10357">
        <v>10</v>
      </c>
      <c r="I10357">
        <v>64.98</v>
      </c>
      <c r="J10357" s="50">
        <v>649.80000000000007</v>
      </c>
      <c r="K10357" t="s">
        <v>1618</v>
      </c>
      <c r="M10357" t="s">
        <v>1629</v>
      </c>
      <c r="N10357">
        <v>34.29</v>
      </c>
      <c r="O10357" s="49">
        <v>44840</v>
      </c>
      <c r="P10357" s="50">
        <v>292.41000000000003</v>
      </c>
    </row>
    <row r="10358" spans="4:16" x14ac:dyDescent="0.2">
      <c r="D10358">
        <v>100006199</v>
      </c>
      <c r="E10358" s="49">
        <v>44358</v>
      </c>
      <c r="F10358" t="s">
        <v>7110</v>
      </c>
      <c r="G10358" t="s">
        <v>1641</v>
      </c>
      <c r="H10358">
        <v>5</v>
      </c>
      <c r="I10358">
        <v>56.56</v>
      </c>
      <c r="J10358" s="50">
        <v>282.8</v>
      </c>
      <c r="K10358" t="s">
        <v>1618</v>
      </c>
      <c r="M10358" t="s">
        <v>1621</v>
      </c>
      <c r="N10358">
        <v>29.85</v>
      </c>
      <c r="O10358" s="49">
        <v>44359</v>
      </c>
      <c r="P10358" s="50">
        <v>127.26</v>
      </c>
    </row>
    <row r="10359" spans="4:16" x14ac:dyDescent="0.2">
      <c r="D10359">
        <v>100006199</v>
      </c>
      <c r="E10359" s="49">
        <v>44306</v>
      </c>
      <c r="F10359" t="s">
        <v>7110</v>
      </c>
      <c r="G10359" t="s">
        <v>2240</v>
      </c>
      <c r="H10359">
        <v>1</v>
      </c>
      <c r="I10359">
        <v>77.63</v>
      </c>
      <c r="J10359" s="50">
        <v>77.63</v>
      </c>
      <c r="K10359" t="s">
        <v>1618</v>
      </c>
      <c r="M10359" t="s">
        <v>1629</v>
      </c>
      <c r="N10359">
        <v>40.97</v>
      </c>
      <c r="O10359" s="49">
        <v>44310</v>
      </c>
      <c r="P10359" s="50">
        <v>34.933500000000002</v>
      </c>
    </row>
    <row r="10360" spans="4:16" x14ac:dyDescent="0.2">
      <c r="D10360">
        <v>100006199</v>
      </c>
      <c r="E10360" s="49">
        <v>44364</v>
      </c>
      <c r="F10360" t="s">
        <v>7110</v>
      </c>
      <c r="G10360" t="s">
        <v>2016</v>
      </c>
      <c r="H10360">
        <v>7</v>
      </c>
      <c r="I10360">
        <v>15.05</v>
      </c>
      <c r="J10360" s="50">
        <v>105.35</v>
      </c>
      <c r="K10360" t="s">
        <v>1618</v>
      </c>
      <c r="M10360" t="s">
        <v>1621</v>
      </c>
      <c r="N10360">
        <v>7.94</v>
      </c>
      <c r="O10360" s="49">
        <v>44365</v>
      </c>
      <c r="P10360" s="50">
        <v>47.407499999999999</v>
      </c>
    </row>
    <row r="10361" spans="4:16" x14ac:dyDescent="0.2">
      <c r="D10361">
        <v>100006199</v>
      </c>
      <c r="E10361" s="49">
        <v>45024</v>
      </c>
      <c r="F10361" t="s">
        <v>7110</v>
      </c>
      <c r="G10361" t="s">
        <v>2041</v>
      </c>
      <c r="H10361">
        <v>3</v>
      </c>
      <c r="I10361">
        <v>46.59</v>
      </c>
      <c r="J10361" s="50">
        <v>139.77000000000001</v>
      </c>
      <c r="K10361" t="s">
        <v>1618</v>
      </c>
      <c r="M10361" t="s">
        <v>1624</v>
      </c>
      <c r="N10361">
        <v>24.59</v>
      </c>
      <c r="O10361" s="49">
        <v>45026</v>
      </c>
      <c r="P10361" s="50">
        <v>62.896500000000003</v>
      </c>
    </row>
    <row r="10362" spans="4:16" x14ac:dyDescent="0.2">
      <c r="D10362">
        <v>100006200</v>
      </c>
      <c r="E10362" s="49">
        <v>45345</v>
      </c>
      <c r="F10362" t="s">
        <v>7111</v>
      </c>
      <c r="G10362" t="s">
        <v>2090</v>
      </c>
      <c r="H10362">
        <v>1</v>
      </c>
      <c r="I10362">
        <v>49.79</v>
      </c>
      <c r="J10362" s="50">
        <v>49.79</v>
      </c>
      <c r="K10362" t="s">
        <v>1632</v>
      </c>
      <c r="M10362" t="s">
        <v>1627</v>
      </c>
      <c r="N10362">
        <v>26.28</v>
      </c>
      <c r="O10362" s="49">
        <v>45347</v>
      </c>
      <c r="P10362" s="50">
        <v>22.4055</v>
      </c>
    </row>
    <row r="10363" spans="4:16" x14ac:dyDescent="0.2">
      <c r="D10363">
        <v>100006201</v>
      </c>
      <c r="E10363" s="49">
        <v>45539</v>
      </c>
      <c r="F10363" t="s">
        <v>7112</v>
      </c>
      <c r="G10363" t="s">
        <v>1980</v>
      </c>
      <c r="H10363">
        <v>10</v>
      </c>
      <c r="I10363">
        <v>76.69</v>
      </c>
      <c r="J10363" s="50">
        <v>766.9</v>
      </c>
      <c r="K10363" t="s">
        <v>1618</v>
      </c>
      <c r="M10363" t="s">
        <v>1627</v>
      </c>
      <c r="N10363">
        <v>40.47</v>
      </c>
      <c r="O10363" s="49">
        <v>45540</v>
      </c>
      <c r="P10363" s="50">
        <v>345.10500000000002</v>
      </c>
    </row>
    <row r="10364" spans="4:16" x14ac:dyDescent="0.2">
      <c r="D10364">
        <v>100006201</v>
      </c>
      <c r="E10364" s="49">
        <v>45215</v>
      </c>
      <c r="F10364" t="s">
        <v>7112</v>
      </c>
      <c r="G10364" t="s">
        <v>1634</v>
      </c>
      <c r="H10364">
        <v>7</v>
      </c>
      <c r="I10364">
        <v>94.1</v>
      </c>
      <c r="J10364" s="50">
        <v>658.69999999999993</v>
      </c>
      <c r="K10364" t="s">
        <v>1618</v>
      </c>
      <c r="M10364" t="s">
        <v>1624</v>
      </c>
      <c r="N10364">
        <v>49.66</v>
      </c>
      <c r="O10364" s="49">
        <v>45218</v>
      </c>
      <c r="P10364" s="50">
        <v>296.41499999999996</v>
      </c>
    </row>
    <row r="10365" spans="4:16" x14ac:dyDescent="0.2">
      <c r="D10365">
        <v>100006201</v>
      </c>
      <c r="E10365" s="49">
        <v>45515</v>
      </c>
      <c r="F10365" t="s">
        <v>7112</v>
      </c>
      <c r="G10365" t="s">
        <v>1752</v>
      </c>
      <c r="H10365">
        <v>6</v>
      </c>
      <c r="I10365">
        <v>78.41</v>
      </c>
      <c r="J10365" s="50">
        <v>470.46</v>
      </c>
      <c r="K10365" t="s">
        <v>1618</v>
      </c>
      <c r="M10365" t="s">
        <v>1629</v>
      </c>
      <c r="N10365">
        <v>41.38</v>
      </c>
      <c r="O10365" s="49">
        <v>45517</v>
      </c>
      <c r="P10365" s="50">
        <v>211.70699999999999</v>
      </c>
    </row>
    <row r="10366" spans="4:16" x14ac:dyDescent="0.2">
      <c r="D10366">
        <v>100006201</v>
      </c>
      <c r="E10366" s="49">
        <v>44847</v>
      </c>
      <c r="F10366" t="s">
        <v>7112</v>
      </c>
      <c r="G10366" t="s">
        <v>1688</v>
      </c>
      <c r="H10366">
        <v>10</v>
      </c>
      <c r="I10366">
        <v>82.4</v>
      </c>
      <c r="J10366" s="50">
        <v>824</v>
      </c>
      <c r="K10366" t="s">
        <v>1618</v>
      </c>
      <c r="M10366" t="s">
        <v>1621</v>
      </c>
      <c r="N10366">
        <v>43.49</v>
      </c>
      <c r="O10366" s="49">
        <v>44852</v>
      </c>
      <c r="P10366" s="50">
        <v>370.8</v>
      </c>
    </row>
    <row r="10367" spans="4:16" x14ac:dyDescent="0.2">
      <c r="D10367">
        <v>100006202</v>
      </c>
      <c r="E10367" s="49">
        <v>44708</v>
      </c>
      <c r="F10367" t="s">
        <v>7113</v>
      </c>
      <c r="G10367" t="s">
        <v>1820</v>
      </c>
      <c r="H10367">
        <v>7</v>
      </c>
      <c r="I10367">
        <v>15.33</v>
      </c>
      <c r="J10367" s="50">
        <v>107.31</v>
      </c>
      <c r="K10367" t="s">
        <v>1618</v>
      </c>
      <c r="M10367" t="s">
        <v>1627</v>
      </c>
      <c r="N10367">
        <v>8.09</v>
      </c>
      <c r="O10367" s="49">
        <v>44712</v>
      </c>
      <c r="P10367" s="50">
        <v>48.289500000000004</v>
      </c>
    </row>
    <row r="10368" spans="4:16" x14ac:dyDescent="0.2">
      <c r="D10368">
        <v>100006203</v>
      </c>
      <c r="E10368" s="49">
        <v>45612</v>
      </c>
      <c r="F10368" t="s">
        <v>7114</v>
      </c>
      <c r="G10368" t="s">
        <v>1795</v>
      </c>
      <c r="H10368">
        <v>6</v>
      </c>
      <c r="I10368">
        <v>66.39</v>
      </c>
      <c r="J10368" s="50">
        <v>398.34</v>
      </c>
      <c r="K10368" t="s">
        <v>1632</v>
      </c>
      <c r="L10368" t="s">
        <v>7115</v>
      </c>
      <c r="M10368" t="s">
        <v>1624</v>
      </c>
      <c r="N10368">
        <v>35.04</v>
      </c>
      <c r="O10368" s="49">
        <v>45616</v>
      </c>
      <c r="P10368" s="50">
        <v>179.25299999999999</v>
      </c>
    </row>
    <row r="10369" spans="4:16" x14ac:dyDescent="0.2">
      <c r="D10369">
        <v>100006207</v>
      </c>
      <c r="E10369" s="49">
        <v>45341</v>
      </c>
      <c r="F10369" t="s">
        <v>7116</v>
      </c>
      <c r="G10369" t="s">
        <v>1848</v>
      </c>
      <c r="H10369">
        <v>10</v>
      </c>
      <c r="I10369">
        <v>102.31</v>
      </c>
      <c r="J10369" s="50">
        <v>1023.1</v>
      </c>
      <c r="K10369" t="s">
        <v>1618</v>
      </c>
      <c r="L10369" t="s">
        <v>7117</v>
      </c>
      <c r="M10369" t="s">
        <v>1627</v>
      </c>
      <c r="N10369">
        <v>54</v>
      </c>
      <c r="O10369" s="49">
        <v>45344</v>
      </c>
      <c r="P10369" s="50">
        <v>460.39500000000004</v>
      </c>
    </row>
    <row r="10370" spans="4:16" x14ac:dyDescent="0.2">
      <c r="D10370">
        <v>100006207</v>
      </c>
      <c r="E10370" s="49">
        <v>45348</v>
      </c>
      <c r="F10370" t="s">
        <v>7116</v>
      </c>
      <c r="G10370" t="s">
        <v>2375</v>
      </c>
      <c r="H10370">
        <v>7</v>
      </c>
      <c r="I10370">
        <v>68.040000000000006</v>
      </c>
      <c r="J10370" s="50">
        <v>476.28</v>
      </c>
      <c r="K10370" t="s">
        <v>1618</v>
      </c>
      <c r="L10370" t="s">
        <v>7117</v>
      </c>
      <c r="M10370" t="s">
        <v>1627</v>
      </c>
      <c r="N10370">
        <v>35.909999999999997</v>
      </c>
      <c r="O10370" s="49">
        <v>45349</v>
      </c>
      <c r="P10370" s="50">
        <v>214.32599999999999</v>
      </c>
    </row>
    <row r="10371" spans="4:16" x14ac:dyDescent="0.2">
      <c r="D10371">
        <v>100006209</v>
      </c>
      <c r="E10371" s="49">
        <v>45420</v>
      </c>
      <c r="F10371" t="s">
        <v>7118</v>
      </c>
      <c r="G10371" t="s">
        <v>1890</v>
      </c>
      <c r="H10371">
        <v>8</v>
      </c>
      <c r="I10371">
        <v>58.18</v>
      </c>
      <c r="J10371" s="50">
        <v>465.44</v>
      </c>
      <c r="K10371" t="s">
        <v>1618</v>
      </c>
      <c r="L10371" t="s">
        <v>3726</v>
      </c>
      <c r="M10371" t="s">
        <v>1624</v>
      </c>
      <c r="N10371">
        <v>30.71</v>
      </c>
      <c r="O10371" s="49">
        <v>45423</v>
      </c>
      <c r="P10371" s="50">
        <v>209.44800000000001</v>
      </c>
    </row>
    <row r="10372" spans="4:16" x14ac:dyDescent="0.2">
      <c r="D10372">
        <v>100006210</v>
      </c>
      <c r="E10372" s="49">
        <v>44628</v>
      </c>
      <c r="F10372" t="s">
        <v>2866</v>
      </c>
      <c r="G10372" t="s">
        <v>1760</v>
      </c>
      <c r="H10372">
        <v>2</v>
      </c>
      <c r="I10372">
        <v>23.07</v>
      </c>
      <c r="J10372" s="50">
        <v>46.14</v>
      </c>
      <c r="K10372" t="s">
        <v>1618</v>
      </c>
      <c r="M10372" t="s">
        <v>1621</v>
      </c>
      <c r="N10372">
        <v>12.18</v>
      </c>
      <c r="O10372" s="49">
        <v>44629</v>
      </c>
      <c r="P10372" s="50">
        <v>20.763000000000002</v>
      </c>
    </row>
    <row r="10373" spans="4:16" x14ac:dyDescent="0.2">
      <c r="D10373">
        <v>100006211</v>
      </c>
      <c r="E10373" s="49">
        <v>44458</v>
      </c>
      <c r="F10373" t="s">
        <v>7119</v>
      </c>
      <c r="G10373" t="s">
        <v>1864</v>
      </c>
      <c r="H10373">
        <v>9</v>
      </c>
      <c r="I10373">
        <v>45.72</v>
      </c>
      <c r="J10373" s="50">
        <v>411.48</v>
      </c>
      <c r="K10373" t="s">
        <v>1618</v>
      </c>
      <c r="M10373" t="s">
        <v>1621</v>
      </c>
      <c r="N10373">
        <v>24.13</v>
      </c>
      <c r="O10373" s="49">
        <v>44460</v>
      </c>
      <c r="P10373" s="50">
        <v>185.16600000000003</v>
      </c>
    </row>
    <row r="10374" spans="4:16" x14ac:dyDescent="0.2">
      <c r="D10374">
        <v>100006211</v>
      </c>
      <c r="E10374" s="49">
        <v>45399</v>
      </c>
      <c r="F10374" t="s">
        <v>7119</v>
      </c>
      <c r="G10374" t="s">
        <v>1885</v>
      </c>
      <c r="H10374">
        <v>5</v>
      </c>
      <c r="I10374">
        <v>50.84</v>
      </c>
      <c r="J10374" s="50">
        <v>254.2</v>
      </c>
      <c r="K10374" t="s">
        <v>1618</v>
      </c>
      <c r="M10374" t="s">
        <v>1621</v>
      </c>
      <c r="N10374">
        <v>26.83</v>
      </c>
      <c r="O10374" s="49">
        <v>45401</v>
      </c>
      <c r="P10374" s="50">
        <v>114.39</v>
      </c>
    </row>
    <row r="10375" spans="4:16" x14ac:dyDescent="0.2">
      <c r="D10375">
        <v>100006212</v>
      </c>
      <c r="E10375" s="49">
        <v>45313</v>
      </c>
      <c r="F10375" t="s">
        <v>7120</v>
      </c>
      <c r="G10375" t="s">
        <v>1987</v>
      </c>
      <c r="H10375">
        <v>7</v>
      </c>
      <c r="I10375">
        <v>98.42</v>
      </c>
      <c r="J10375" s="50">
        <v>688.94</v>
      </c>
      <c r="K10375" t="s">
        <v>1632</v>
      </c>
      <c r="M10375" t="s">
        <v>1624</v>
      </c>
      <c r="N10375">
        <v>51.94</v>
      </c>
      <c r="O10375" s="49">
        <v>45317</v>
      </c>
      <c r="P10375" s="50">
        <v>310.02300000000002</v>
      </c>
    </row>
    <row r="10376" spans="4:16" x14ac:dyDescent="0.2">
      <c r="D10376">
        <v>100006212</v>
      </c>
      <c r="E10376" s="49">
        <v>45003</v>
      </c>
      <c r="F10376" t="s">
        <v>7120</v>
      </c>
      <c r="G10376" t="s">
        <v>2217</v>
      </c>
      <c r="H10376">
        <v>5</v>
      </c>
      <c r="I10376">
        <v>81.94</v>
      </c>
      <c r="J10376" s="50">
        <v>409.7</v>
      </c>
      <c r="K10376" t="s">
        <v>1632</v>
      </c>
      <c r="M10376" t="s">
        <v>1624</v>
      </c>
      <c r="N10376">
        <v>43.25</v>
      </c>
      <c r="O10376" s="49">
        <v>45008</v>
      </c>
      <c r="P10376" s="50">
        <v>184.36500000000001</v>
      </c>
    </row>
    <row r="10377" spans="4:16" x14ac:dyDescent="0.2">
      <c r="D10377">
        <v>100006212</v>
      </c>
      <c r="E10377" s="49">
        <v>45077</v>
      </c>
      <c r="F10377" t="s">
        <v>7120</v>
      </c>
      <c r="G10377" t="s">
        <v>1754</v>
      </c>
      <c r="H10377">
        <v>1</v>
      </c>
      <c r="I10377">
        <v>41.78</v>
      </c>
      <c r="J10377" s="50">
        <v>41.78</v>
      </c>
      <c r="K10377" t="s">
        <v>1632</v>
      </c>
      <c r="M10377" t="s">
        <v>1624</v>
      </c>
      <c r="N10377">
        <v>22.05</v>
      </c>
      <c r="O10377" s="49">
        <v>45081</v>
      </c>
      <c r="P10377" s="50">
        <v>18.801000000000002</v>
      </c>
    </row>
    <row r="10378" spans="4:16" x14ac:dyDescent="0.2">
      <c r="D10378">
        <v>100006213</v>
      </c>
      <c r="E10378" s="49">
        <v>45086</v>
      </c>
      <c r="F10378" t="s">
        <v>7121</v>
      </c>
      <c r="G10378" t="s">
        <v>1649</v>
      </c>
      <c r="H10378">
        <v>2</v>
      </c>
      <c r="I10378">
        <v>32.020000000000003</v>
      </c>
      <c r="J10378" s="50">
        <v>64.040000000000006</v>
      </c>
      <c r="K10378" t="s">
        <v>1632</v>
      </c>
      <c r="M10378" t="s">
        <v>1621</v>
      </c>
      <c r="N10378">
        <v>16.899999999999999</v>
      </c>
      <c r="O10378" s="49">
        <v>45090</v>
      </c>
      <c r="P10378" s="50">
        <v>28.818000000000005</v>
      </c>
    </row>
    <row r="10379" spans="4:16" x14ac:dyDescent="0.2">
      <c r="D10379">
        <v>100006214</v>
      </c>
      <c r="E10379" s="49">
        <v>45584</v>
      </c>
      <c r="F10379" t="s">
        <v>7122</v>
      </c>
      <c r="G10379" t="s">
        <v>2086</v>
      </c>
      <c r="H10379">
        <v>6</v>
      </c>
      <c r="I10379">
        <v>55.33</v>
      </c>
      <c r="J10379" s="50">
        <v>331.98</v>
      </c>
      <c r="K10379" t="s">
        <v>1618</v>
      </c>
      <c r="L10379" t="s">
        <v>3331</v>
      </c>
      <c r="M10379" t="s">
        <v>1621</v>
      </c>
      <c r="N10379">
        <v>29.2</v>
      </c>
      <c r="O10379" s="49">
        <v>45589</v>
      </c>
      <c r="P10379" s="50">
        <v>149.39100000000002</v>
      </c>
    </row>
    <row r="10380" spans="4:16" x14ac:dyDescent="0.2">
      <c r="D10380">
        <v>100006215</v>
      </c>
      <c r="E10380" s="49">
        <v>44457</v>
      </c>
      <c r="F10380" t="s">
        <v>7123</v>
      </c>
      <c r="G10380" t="s">
        <v>2078</v>
      </c>
      <c r="H10380">
        <v>10</v>
      </c>
      <c r="I10380">
        <v>10.93</v>
      </c>
      <c r="J10380" s="50">
        <v>109.3</v>
      </c>
      <c r="K10380" t="s">
        <v>1632</v>
      </c>
      <c r="L10380" t="s">
        <v>7124</v>
      </c>
      <c r="M10380" t="s">
        <v>1627</v>
      </c>
      <c r="N10380">
        <v>5.77</v>
      </c>
      <c r="O10380" s="49">
        <v>44459</v>
      </c>
      <c r="P10380" s="50">
        <v>49.185000000000002</v>
      </c>
    </row>
    <row r="10381" spans="4:16" x14ac:dyDescent="0.2">
      <c r="D10381">
        <v>100006215</v>
      </c>
      <c r="E10381" s="49">
        <v>45452</v>
      </c>
      <c r="F10381" t="s">
        <v>7123</v>
      </c>
      <c r="G10381" t="s">
        <v>1677</v>
      </c>
      <c r="H10381">
        <v>7</v>
      </c>
      <c r="I10381">
        <v>117.7</v>
      </c>
      <c r="J10381" s="50">
        <v>823.9</v>
      </c>
      <c r="K10381" t="s">
        <v>1632</v>
      </c>
      <c r="L10381" t="s">
        <v>7124</v>
      </c>
      <c r="M10381" t="s">
        <v>1624</v>
      </c>
      <c r="N10381">
        <v>62.12</v>
      </c>
      <c r="O10381" s="49">
        <v>45456</v>
      </c>
      <c r="P10381" s="50">
        <v>370.755</v>
      </c>
    </row>
    <row r="10382" spans="4:16" x14ac:dyDescent="0.2">
      <c r="D10382">
        <v>100006215</v>
      </c>
      <c r="E10382" s="49">
        <v>45257</v>
      </c>
      <c r="F10382" t="s">
        <v>7123</v>
      </c>
      <c r="G10382" t="s">
        <v>1857</v>
      </c>
      <c r="H10382">
        <v>2</v>
      </c>
      <c r="I10382">
        <v>104.73</v>
      </c>
      <c r="J10382" s="50">
        <v>209.46</v>
      </c>
      <c r="K10382" t="s">
        <v>1632</v>
      </c>
      <c r="L10382" t="s">
        <v>7124</v>
      </c>
      <c r="M10382" t="s">
        <v>1629</v>
      </c>
      <c r="N10382">
        <v>55.27</v>
      </c>
      <c r="O10382" s="49">
        <v>45259</v>
      </c>
      <c r="P10382" s="50">
        <v>94.257000000000005</v>
      </c>
    </row>
    <row r="10383" spans="4:16" x14ac:dyDescent="0.2">
      <c r="D10383">
        <v>100006216</v>
      </c>
      <c r="E10383" s="49">
        <v>45277</v>
      </c>
      <c r="F10383" t="s">
        <v>7125</v>
      </c>
      <c r="G10383" t="s">
        <v>1880</v>
      </c>
      <c r="H10383">
        <v>4</v>
      </c>
      <c r="I10383">
        <v>55.15</v>
      </c>
      <c r="J10383" s="50">
        <v>220.6</v>
      </c>
      <c r="K10383" t="s">
        <v>1618</v>
      </c>
      <c r="M10383" t="s">
        <v>1624</v>
      </c>
      <c r="N10383">
        <v>29.11</v>
      </c>
      <c r="O10383" s="49">
        <v>45281</v>
      </c>
      <c r="P10383" s="50">
        <v>99.27</v>
      </c>
    </row>
    <row r="10384" spans="4:16" x14ac:dyDescent="0.2">
      <c r="D10384">
        <v>100006218</v>
      </c>
      <c r="E10384" s="49">
        <v>44349</v>
      </c>
      <c r="F10384" t="s">
        <v>7126</v>
      </c>
      <c r="G10384" t="s">
        <v>2346</v>
      </c>
      <c r="H10384">
        <v>9</v>
      </c>
      <c r="I10384">
        <v>66.319999999999993</v>
      </c>
      <c r="J10384" s="50">
        <v>596.87999999999988</v>
      </c>
      <c r="K10384" t="s">
        <v>1632</v>
      </c>
      <c r="L10384" t="s">
        <v>1656</v>
      </c>
      <c r="M10384" t="s">
        <v>1621</v>
      </c>
      <c r="N10384">
        <v>35</v>
      </c>
      <c r="O10384" s="49">
        <v>44352</v>
      </c>
      <c r="P10384" s="50">
        <v>268.59599999999995</v>
      </c>
    </row>
    <row r="10385" spans="4:16" x14ac:dyDescent="0.2">
      <c r="D10385">
        <v>100006218</v>
      </c>
      <c r="E10385" s="49">
        <v>44378</v>
      </c>
      <c r="F10385" t="s">
        <v>7126</v>
      </c>
      <c r="G10385" t="s">
        <v>2465</v>
      </c>
      <c r="H10385">
        <v>1</v>
      </c>
      <c r="I10385">
        <v>63.97</v>
      </c>
      <c r="J10385" s="50">
        <v>63.97</v>
      </c>
      <c r="K10385" t="s">
        <v>1632</v>
      </c>
      <c r="L10385" t="s">
        <v>1656</v>
      </c>
      <c r="M10385" t="s">
        <v>1627</v>
      </c>
      <c r="N10385">
        <v>33.76</v>
      </c>
      <c r="O10385" s="49">
        <v>44380</v>
      </c>
      <c r="P10385" s="50">
        <v>28.7865</v>
      </c>
    </row>
    <row r="10386" spans="4:16" x14ac:dyDescent="0.2">
      <c r="D10386">
        <v>100006218</v>
      </c>
      <c r="E10386" s="49">
        <v>44769</v>
      </c>
      <c r="F10386" t="s">
        <v>7126</v>
      </c>
      <c r="G10386" t="s">
        <v>1691</v>
      </c>
      <c r="H10386">
        <v>4</v>
      </c>
      <c r="I10386">
        <v>79.02</v>
      </c>
      <c r="J10386" s="50">
        <v>316.08</v>
      </c>
      <c r="K10386" t="s">
        <v>1632</v>
      </c>
      <c r="L10386" t="s">
        <v>1656</v>
      </c>
      <c r="M10386" t="s">
        <v>1624</v>
      </c>
      <c r="N10386">
        <v>41.7</v>
      </c>
      <c r="O10386" s="49">
        <v>44771</v>
      </c>
      <c r="P10386" s="50">
        <v>142.23599999999999</v>
      </c>
    </row>
    <row r="10387" spans="4:16" x14ac:dyDescent="0.2">
      <c r="D10387">
        <v>100006220</v>
      </c>
      <c r="E10387" s="49">
        <v>45023</v>
      </c>
      <c r="F10387" t="s">
        <v>7127</v>
      </c>
      <c r="G10387" t="s">
        <v>2202</v>
      </c>
      <c r="H10387">
        <v>7</v>
      </c>
      <c r="I10387">
        <v>39.729999999999997</v>
      </c>
      <c r="J10387" s="50">
        <v>278.11</v>
      </c>
      <c r="K10387" t="s">
        <v>1618</v>
      </c>
      <c r="M10387" t="s">
        <v>1627</v>
      </c>
      <c r="N10387">
        <v>20.97</v>
      </c>
      <c r="O10387" s="49">
        <v>45026</v>
      </c>
      <c r="P10387" s="50">
        <v>125.1495</v>
      </c>
    </row>
    <row r="10388" spans="4:16" x14ac:dyDescent="0.2">
      <c r="D10388">
        <v>100006221</v>
      </c>
      <c r="E10388" s="49">
        <v>45532</v>
      </c>
      <c r="F10388" t="s">
        <v>7128</v>
      </c>
      <c r="G10388" t="s">
        <v>1792</v>
      </c>
      <c r="H10388">
        <v>7</v>
      </c>
      <c r="I10388">
        <v>65.78</v>
      </c>
      <c r="J10388" s="50">
        <v>460.46</v>
      </c>
      <c r="K10388" t="s">
        <v>1618</v>
      </c>
      <c r="M10388" t="s">
        <v>1624</v>
      </c>
      <c r="N10388">
        <v>34.72</v>
      </c>
      <c r="O10388" s="49">
        <v>45535</v>
      </c>
      <c r="P10388" s="50">
        <v>207.20699999999999</v>
      </c>
    </row>
    <row r="10389" spans="4:16" x14ac:dyDescent="0.2">
      <c r="D10389">
        <v>100006221</v>
      </c>
      <c r="E10389" s="49">
        <v>45122</v>
      </c>
      <c r="F10389" t="s">
        <v>7128</v>
      </c>
      <c r="G10389" t="s">
        <v>2016</v>
      </c>
      <c r="H10389">
        <v>5</v>
      </c>
      <c r="I10389">
        <v>108.74</v>
      </c>
      <c r="J10389" s="50">
        <v>543.69999999999993</v>
      </c>
      <c r="K10389" t="s">
        <v>1618</v>
      </c>
      <c r="M10389" t="s">
        <v>1629</v>
      </c>
      <c r="N10389">
        <v>57.39</v>
      </c>
      <c r="O10389" s="49">
        <v>45125</v>
      </c>
      <c r="P10389" s="50">
        <v>244.66499999999996</v>
      </c>
    </row>
    <row r="10390" spans="4:16" x14ac:dyDescent="0.2">
      <c r="D10390">
        <v>100006222</v>
      </c>
      <c r="E10390" s="49">
        <v>44329</v>
      </c>
      <c r="F10390" t="s">
        <v>7129</v>
      </c>
      <c r="G10390" t="s">
        <v>1696</v>
      </c>
      <c r="H10390">
        <v>4</v>
      </c>
      <c r="I10390">
        <v>69.290000000000006</v>
      </c>
      <c r="J10390" s="50">
        <v>277.16000000000003</v>
      </c>
      <c r="K10390" t="s">
        <v>1618</v>
      </c>
      <c r="M10390" t="s">
        <v>1619</v>
      </c>
      <c r="N10390">
        <v>36.57</v>
      </c>
      <c r="O10390" s="49">
        <v>44332</v>
      </c>
      <c r="P10390" s="50">
        <v>124.72200000000001</v>
      </c>
    </row>
    <row r="10391" spans="4:16" x14ac:dyDescent="0.2">
      <c r="D10391">
        <v>100006223</v>
      </c>
      <c r="E10391" s="49">
        <v>44602</v>
      </c>
      <c r="F10391" t="s">
        <v>7130</v>
      </c>
      <c r="G10391" t="s">
        <v>1777</v>
      </c>
      <c r="H10391">
        <v>5</v>
      </c>
      <c r="I10391">
        <v>61.61</v>
      </c>
      <c r="J10391" s="50">
        <v>308.05</v>
      </c>
      <c r="K10391" t="s">
        <v>1632</v>
      </c>
      <c r="M10391" t="s">
        <v>1627</v>
      </c>
      <c r="N10391">
        <v>32.520000000000003</v>
      </c>
      <c r="O10391" s="49">
        <v>44607</v>
      </c>
      <c r="P10391" s="50">
        <v>138.6225</v>
      </c>
    </row>
    <row r="10392" spans="4:16" x14ac:dyDescent="0.2">
      <c r="D10392">
        <v>100006223</v>
      </c>
      <c r="E10392" s="49">
        <v>45623</v>
      </c>
      <c r="F10392" t="s">
        <v>7130</v>
      </c>
      <c r="G10392" t="s">
        <v>1766</v>
      </c>
      <c r="H10392">
        <v>2</v>
      </c>
      <c r="I10392">
        <v>42.85</v>
      </c>
      <c r="J10392" s="50">
        <v>85.7</v>
      </c>
      <c r="K10392" t="s">
        <v>1632</v>
      </c>
      <c r="M10392" t="s">
        <v>1619</v>
      </c>
      <c r="N10392">
        <v>22.62</v>
      </c>
      <c r="O10392" s="49">
        <v>45628</v>
      </c>
      <c r="P10392" s="50">
        <v>38.565000000000005</v>
      </c>
    </row>
    <row r="10393" spans="4:16" x14ac:dyDescent="0.2">
      <c r="D10393">
        <v>100006223</v>
      </c>
      <c r="E10393" s="49">
        <v>44420</v>
      </c>
      <c r="F10393" t="s">
        <v>7130</v>
      </c>
      <c r="G10393" t="s">
        <v>1955</v>
      </c>
      <c r="H10393">
        <v>2</v>
      </c>
      <c r="I10393">
        <v>60.79</v>
      </c>
      <c r="J10393" s="50">
        <v>121.58</v>
      </c>
      <c r="K10393" t="s">
        <v>1632</v>
      </c>
      <c r="M10393" t="s">
        <v>1627</v>
      </c>
      <c r="N10393">
        <v>32.08</v>
      </c>
      <c r="O10393" s="49">
        <v>44421</v>
      </c>
      <c r="P10393" s="50">
        <v>54.710999999999999</v>
      </c>
    </row>
    <row r="10394" spans="4:16" x14ac:dyDescent="0.2">
      <c r="D10394">
        <v>100006223</v>
      </c>
      <c r="E10394" s="49">
        <v>45606</v>
      </c>
      <c r="F10394" t="s">
        <v>7130</v>
      </c>
      <c r="G10394" t="s">
        <v>1885</v>
      </c>
      <c r="H10394">
        <v>1</v>
      </c>
      <c r="I10394">
        <v>68.02</v>
      </c>
      <c r="J10394" s="50">
        <v>68.02</v>
      </c>
      <c r="K10394" t="s">
        <v>1632</v>
      </c>
      <c r="M10394" t="s">
        <v>1629</v>
      </c>
      <c r="N10394">
        <v>35.9</v>
      </c>
      <c r="O10394" s="49">
        <v>45608</v>
      </c>
      <c r="P10394" s="50">
        <v>30.608999999999998</v>
      </c>
    </row>
    <row r="10395" spans="4:16" x14ac:dyDescent="0.2">
      <c r="D10395">
        <v>100006226</v>
      </c>
      <c r="E10395" s="49">
        <v>45456</v>
      </c>
      <c r="F10395" t="s">
        <v>7131</v>
      </c>
      <c r="G10395" t="s">
        <v>2136</v>
      </c>
      <c r="H10395">
        <v>1</v>
      </c>
      <c r="I10395">
        <v>89.16</v>
      </c>
      <c r="J10395" s="50">
        <v>89.16</v>
      </c>
      <c r="K10395" t="s">
        <v>1618</v>
      </c>
      <c r="M10395" t="s">
        <v>1627</v>
      </c>
      <c r="N10395">
        <v>47.06</v>
      </c>
      <c r="O10395" s="49">
        <v>45459</v>
      </c>
      <c r="P10395" s="50">
        <v>40.122</v>
      </c>
    </row>
    <row r="10396" spans="4:16" x14ac:dyDescent="0.2">
      <c r="D10396">
        <v>100006226</v>
      </c>
      <c r="E10396" s="49">
        <v>45463</v>
      </c>
      <c r="F10396" t="s">
        <v>7131</v>
      </c>
      <c r="G10396" t="s">
        <v>2766</v>
      </c>
      <c r="H10396">
        <v>10</v>
      </c>
      <c r="I10396">
        <v>37.43</v>
      </c>
      <c r="J10396" s="50">
        <v>374.3</v>
      </c>
      <c r="K10396" t="s">
        <v>1618</v>
      </c>
      <c r="M10396" t="s">
        <v>1627</v>
      </c>
      <c r="N10396">
        <v>19.75</v>
      </c>
      <c r="O10396" s="49">
        <v>45468</v>
      </c>
      <c r="P10396" s="50">
        <v>168.435</v>
      </c>
    </row>
    <row r="10397" spans="4:16" x14ac:dyDescent="0.2">
      <c r="D10397">
        <v>100006226</v>
      </c>
      <c r="E10397" s="49">
        <v>44659</v>
      </c>
      <c r="F10397" t="s">
        <v>7131</v>
      </c>
      <c r="G10397" t="s">
        <v>2232</v>
      </c>
      <c r="H10397">
        <v>9</v>
      </c>
      <c r="I10397">
        <v>108.7</v>
      </c>
      <c r="J10397" s="50">
        <v>978.30000000000007</v>
      </c>
      <c r="K10397" t="s">
        <v>1618</v>
      </c>
      <c r="M10397" t="s">
        <v>1619</v>
      </c>
      <c r="N10397">
        <v>57.37</v>
      </c>
      <c r="O10397" s="49">
        <v>44663</v>
      </c>
      <c r="P10397" s="50">
        <v>440.23500000000001</v>
      </c>
    </row>
    <row r="10398" spans="4:16" x14ac:dyDescent="0.2">
      <c r="D10398">
        <v>100006228</v>
      </c>
      <c r="E10398" s="49">
        <v>45236</v>
      </c>
      <c r="F10398" t="s">
        <v>7132</v>
      </c>
      <c r="G10398" t="s">
        <v>1693</v>
      </c>
      <c r="H10398">
        <v>7</v>
      </c>
      <c r="I10398">
        <v>103.32</v>
      </c>
      <c r="J10398" s="50">
        <v>723.24</v>
      </c>
      <c r="K10398" t="s">
        <v>1632</v>
      </c>
      <c r="L10398" t="s">
        <v>7133</v>
      </c>
      <c r="M10398" t="s">
        <v>1621</v>
      </c>
      <c r="N10398">
        <v>54.53</v>
      </c>
      <c r="O10398" s="49">
        <v>45238</v>
      </c>
      <c r="P10398" s="50">
        <v>325.45800000000003</v>
      </c>
    </row>
    <row r="10399" spans="4:16" x14ac:dyDescent="0.2">
      <c r="D10399">
        <v>100006228</v>
      </c>
      <c r="E10399" s="49">
        <v>45169</v>
      </c>
      <c r="F10399" t="s">
        <v>7132</v>
      </c>
      <c r="G10399" t="s">
        <v>1797</v>
      </c>
      <c r="H10399">
        <v>4</v>
      </c>
      <c r="I10399">
        <v>55.72</v>
      </c>
      <c r="J10399" s="50">
        <v>222.88</v>
      </c>
      <c r="K10399" t="s">
        <v>1632</v>
      </c>
      <c r="L10399" t="s">
        <v>7133</v>
      </c>
      <c r="M10399" t="s">
        <v>1619</v>
      </c>
      <c r="N10399">
        <v>29.41</v>
      </c>
      <c r="O10399" s="49">
        <v>45170</v>
      </c>
      <c r="P10399" s="50">
        <v>100.29600000000001</v>
      </c>
    </row>
    <row r="10400" spans="4:16" x14ac:dyDescent="0.2">
      <c r="D10400">
        <v>100006229</v>
      </c>
      <c r="E10400" s="49">
        <v>45312</v>
      </c>
      <c r="F10400" t="s">
        <v>7134</v>
      </c>
      <c r="G10400" t="s">
        <v>2064</v>
      </c>
      <c r="H10400">
        <v>1</v>
      </c>
      <c r="I10400">
        <v>114.49</v>
      </c>
      <c r="J10400" s="50">
        <v>114.49</v>
      </c>
      <c r="K10400" t="s">
        <v>1618</v>
      </c>
      <c r="M10400" t="s">
        <v>1624</v>
      </c>
      <c r="N10400">
        <v>60.42</v>
      </c>
      <c r="O10400" s="49">
        <v>45314</v>
      </c>
      <c r="P10400" s="50">
        <v>51.520499999999998</v>
      </c>
    </row>
    <row r="10401" spans="4:16" x14ac:dyDescent="0.2">
      <c r="D10401">
        <v>100006229</v>
      </c>
      <c r="E10401" s="49">
        <v>45013</v>
      </c>
      <c r="F10401" t="s">
        <v>7134</v>
      </c>
      <c r="G10401" t="s">
        <v>2103</v>
      </c>
      <c r="H10401">
        <v>2</v>
      </c>
      <c r="I10401">
        <v>18.25</v>
      </c>
      <c r="J10401" s="50">
        <v>36.5</v>
      </c>
      <c r="K10401" t="s">
        <v>1618</v>
      </c>
      <c r="M10401" t="s">
        <v>1619</v>
      </c>
      <c r="N10401">
        <v>9.6300000000000008</v>
      </c>
      <c r="O10401" s="49">
        <v>45014</v>
      </c>
      <c r="P10401" s="50">
        <v>16.425000000000001</v>
      </c>
    </row>
    <row r="10402" spans="4:16" x14ac:dyDescent="0.2">
      <c r="D10402">
        <v>100006230</v>
      </c>
      <c r="E10402" s="49">
        <v>45082</v>
      </c>
      <c r="F10402" t="s">
        <v>7135</v>
      </c>
      <c r="G10402" t="s">
        <v>2016</v>
      </c>
      <c r="H10402">
        <v>3</v>
      </c>
      <c r="I10402">
        <v>111.03</v>
      </c>
      <c r="J10402" s="50">
        <v>333.09</v>
      </c>
      <c r="K10402" t="s">
        <v>1618</v>
      </c>
      <c r="M10402" t="s">
        <v>1624</v>
      </c>
      <c r="N10402">
        <v>58.6</v>
      </c>
      <c r="O10402" s="49">
        <v>45085</v>
      </c>
      <c r="P10402" s="50">
        <v>149.8905</v>
      </c>
    </row>
    <row r="10403" spans="4:16" x14ac:dyDescent="0.2">
      <c r="D10403">
        <v>100006231</v>
      </c>
      <c r="E10403" s="49">
        <v>44452</v>
      </c>
      <c r="F10403" t="s">
        <v>7136</v>
      </c>
      <c r="G10403" t="s">
        <v>2150</v>
      </c>
      <c r="H10403">
        <v>6</v>
      </c>
      <c r="I10403">
        <v>93.91</v>
      </c>
      <c r="J10403" s="50">
        <v>563.46</v>
      </c>
      <c r="K10403" t="s">
        <v>1618</v>
      </c>
      <c r="M10403" t="s">
        <v>1619</v>
      </c>
      <c r="N10403">
        <v>49.56</v>
      </c>
      <c r="O10403" s="49">
        <v>44453</v>
      </c>
      <c r="P10403" s="50">
        <v>253.55700000000002</v>
      </c>
    </row>
    <row r="10404" spans="4:16" x14ac:dyDescent="0.2">
      <c r="D10404">
        <v>100006231</v>
      </c>
      <c r="E10404" s="49">
        <v>45463</v>
      </c>
      <c r="F10404" t="s">
        <v>7136</v>
      </c>
      <c r="G10404" t="s">
        <v>1812</v>
      </c>
      <c r="H10404">
        <v>10</v>
      </c>
      <c r="I10404">
        <v>36.78</v>
      </c>
      <c r="J10404" s="50">
        <v>367.8</v>
      </c>
      <c r="K10404" t="s">
        <v>1618</v>
      </c>
      <c r="M10404" t="s">
        <v>1627</v>
      </c>
      <c r="N10404">
        <v>19.41</v>
      </c>
      <c r="O10404" s="49">
        <v>45468</v>
      </c>
      <c r="P10404" s="50">
        <v>165.51000000000002</v>
      </c>
    </row>
    <row r="10405" spans="4:16" x14ac:dyDescent="0.2">
      <c r="D10405">
        <v>100006233</v>
      </c>
      <c r="E10405" s="49">
        <v>44268</v>
      </c>
      <c r="F10405" t="s">
        <v>7137</v>
      </c>
      <c r="G10405" t="s">
        <v>2344</v>
      </c>
      <c r="H10405">
        <v>10</v>
      </c>
      <c r="I10405">
        <v>83.7</v>
      </c>
      <c r="J10405" s="50">
        <v>837</v>
      </c>
      <c r="K10405" t="s">
        <v>1632</v>
      </c>
      <c r="M10405" t="s">
        <v>1621</v>
      </c>
      <c r="N10405">
        <v>44.17</v>
      </c>
      <c r="O10405" s="49">
        <v>44269</v>
      </c>
      <c r="P10405" s="50">
        <v>376.65000000000003</v>
      </c>
    </row>
    <row r="10406" spans="4:16" x14ac:dyDescent="0.2">
      <c r="D10406">
        <v>100006234</v>
      </c>
      <c r="E10406" s="49">
        <v>44632</v>
      </c>
      <c r="F10406" t="s">
        <v>7138</v>
      </c>
      <c r="G10406" t="s">
        <v>2090</v>
      </c>
      <c r="H10406">
        <v>8</v>
      </c>
      <c r="I10406">
        <v>17.02</v>
      </c>
      <c r="J10406" s="50">
        <v>136.16</v>
      </c>
      <c r="K10406" t="s">
        <v>1618</v>
      </c>
      <c r="M10406" t="s">
        <v>1619</v>
      </c>
      <c r="N10406">
        <v>8.98</v>
      </c>
      <c r="O10406" s="49">
        <v>44634</v>
      </c>
      <c r="P10406" s="50">
        <v>61.271999999999998</v>
      </c>
    </row>
    <row r="10407" spans="4:16" x14ac:dyDescent="0.2">
      <c r="D10407">
        <v>100006234</v>
      </c>
      <c r="E10407" s="49">
        <v>45463</v>
      </c>
      <c r="F10407" t="s">
        <v>7138</v>
      </c>
      <c r="G10407" t="s">
        <v>1819</v>
      </c>
      <c r="H10407">
        <v>2</v>
      </c>
      <c r="I10407">
        <v>49.25</v>
      </c>
      <c r="J10407" s="50">
        <v>98.5</v>
      </c>
      <c r="K10407" t="s">
        <v>1618</v>
      </c>
      <c r="M10407" t="s">
        <v>1627</v>
      </c>
      <c r="N10407">
        <v>25.99</v>
      </c>
      <c r="O10407" s="49">
        <v>45467</v>
      </c>
      <c r="P10407" s="50">
        <v>44.325000000000003</v>
      </c>
    </row>
    <row r="10408" spans="4:16" x14ac:dyDescent="0.2">
      <c r="D10408">
        <v>100006235</v>
      </c>
      <c r="E10408" s="49">
        <v>44958</v>
      </c>
      <c r="F10408" t="s">
        <v>7139</v>
      </c>
      <c r="G10408" t="s">
        <v>1971</v>
      </c>
      <c r="H10408">
        <v>5</v>
      </c>
      <c r="I10408">
        <v>41.75</v>
      </c>
      <c r="J10408" s="50">
        <v>208.75</v>
      </c>
      <c r="K10408" t="s">
        <v>1618</v>
      </c>
      <c r="M10408" t="s">
        <v>1627</v>
      </c>
      <c r="N10408">
        <v>22.03</v>
      </c>
      <c r="O10408" s="49">
        <v>44960</v>
      </c>
      <c r="P10408" s="50">
        <v>93.9375</v>
      </c>
    </row>
    <row r="10409" spans="4:16" x14ac:dyDescent="0.2">
      <c r="D10409">
        <v>100006235</v>
      </c>
      <c r="E10409" s="49">
        <v>44296</v>
      </c>
      <c r="F10409" t="s">
        <v>7139</v>
      </c>
      <c r="G10409" t="s">
        <v>1882</v>
      </c>
      <c r="H10409">
        <v>10</v>
      </c>
      <c r="I10409">
        <v>86.66</v>
      </c>
      <c r="J10409" s="50">
        <v>866.59999999999991</v>
      </c>
      <c r="K10409" t="s">
        <v>1618</v>
      </c>
      <c r="M10409" t="s">
        <v>1629</v>
      </c>
      <c r="N10409">
        <v>45.74</v>
      </c>
      <c r="O10409" s="49">
        <v>44301</v>
      </c>
      <c r="P10409" s="50">
        <v>389.96999999999997</v>
      </c>
    </row>
    <row r="10410" spans="4:16" x14ac:dyDescent="0.2">
      <c r="D10410">
        <v>100006236</v>
      </c>
      <c r="E10410" s="49">
        <v>44439</v>
      </c>
      <c r="F10410" t="s">
        <v>7140</v>
      </c>
      <c r="G10410" t="s">
        <v>2017</v>
      </c>
      <c r="H10410">
        <v>1</v>
      </c>
      <c r="I10410">
        <v>53.52</v>
      </c>
      <c r="J10410" s="50">
        <v>53.52</v>
      </c>
      <c r="K10410" t="s">
        <v>1632</v>
      </c>
      <c r="M10410" t="s">
        <v>1627</v>
      </c>
      <c r="N10410">
        <v>28.25</v>
      </c>
      <c r="O10410" s="49">
        <v>44443</v>
      </c>
      <c r="P10410" s="50">
        <v>24.084000000000003</v>
      </c>
    </row>
    <row r="10411" spans="4:16" x14ac:dyDescent="0.2">
      <c r="D10411">
        <v>100006236</v>
      </c>
      <c r="E10411" s="49">
        <v>45587</v>
      </c>
      <c r="F10411" t="s">
        <v>7140</v>
      </c>
      <c r="G10411" t="s">
        <v>1648</v>
      </c>
      <c r="H10411">
        <v>10</v>
      </c>
      <c r="I10411">
        <v>109.67</v>
      </c>
      <c r="J10411" s="50">
        <v>1096.7</v>
      </c>
      <c r="K10411" t="s">
        <v>1632</v>
      </c>
      <c r="M10411" t="s">
        <v>1624</v>
      </c>
      <c r="N10411">
        <v>57.88</v>
      </c>
      <c r="O10411" s="49">
        <v>45592</v>
      </c>
      <c r="P10411" s="50">
        <v>493.51500000000004</v>
      </c>
    </row>
    <row r="10412" spans="4:16" x14ac:dyDescent="0.2">
      <c r="D10412">
        <v>100006236</v>
      </c>
      <c r="E10412" s="49">
        <v>44614</v>
      </c>
      <c r="F10412" t="s">
        <v>7140</v>
      </c>
      <c r="G10412" t="s">
        <v>2048</v>
      </c>
      <c r="H10412">
        <v>7</v>
      </c>
      <c r="I10412">
        <v>115.84</v>
      </c>
      <c r="J10412" s="50">
        <v>810.88</v>
      </c>
      <c r="K10412" t="s">
        <v>1632</v>
      </c>
      <c r="M10412" t="s">
        <v>1624</v>
      </c>
      <c r="N10412">
        <v>61.14</v>
      </c>
      <c r="O10412" s="49">
        <v>44618</v>
      </c>
      <c r="P10412" s="50">
        <v>364.89600000000002</v>
      </c>
    </row>
    <row r="10413" spans="4:16" x14ac:dyDescent="0.2">
      <c r="D10413">
        <v>100006237</v>
      </c>
      <c r="E10413" s="49">
        <v>45337</v>
      </c>
      <c r="F10413" t="s">
        <v>7141</v>
      </c>
      <c r="G10413" t="s">
        <v>1663</v>
      </c>
      <c r="H10413">
        <v>10</v>
      </c>
      <c r="I10413">
        <v>101.14</v>
      </c>
      <c r="J10413" s="50">
        <v>1011.4</v>
      </c>
      <c r="K10413" t="s">
        <v>1618</v>
      </c>
      <c r="L10413" t="s">
        <v>5867</v>
      </c>
      <c r="M10413" t="s">
        <v>1627</v>
      </c>
      <c r="N10413">
        <v>53.38</v>
      </c>
      <c r="O10413" s="49">
        <v>45341</v>
      </c>
      <c r="P10413" s="50">
        <v>455.13</v>
      </c>
    </row>
    <row r="10414" spans="4:16" x14ac:dyDescent="0.2">
      <c r="D10414">
        <v>100006239</v>
      </c>
      <c r="E10414" s="49">
        <v>45201</v>
      </c>
      <c r="F10414" t="s">
        <v>7142</v>
      </c>
      <c r="G10414" t="s">
        <v>1797</v>
      </c>
      <c r="H10414">
        <v>5</v>
      </c>
      <c r="I10414">
        <v>93.36</v>
      </c>
      <c r="J10414" s="50">
        <v>466.8</v>
      </c>
      <c r="K10414" t="s">
        <v>1632</v>
      </c>
      <c r="L10414" t="s">
        <v>7143</v>
      </c>
      <c r="M10414" t="s">
        <v>1621</v>
      </c>
      <c r="N10414">
        <v>49.27</v>
      </c>
      <c r="O10414" s="49">
        <v>45202</v>
      </c>
      <c r="P10414" s="50">
        <v>210.06</v>
      </c>
    </row>
    <row r="10415" spans="4:16" x14ac:dyDescent="0.2">
      <c r="D10415">
        <v>100006239</v>
      </c>
      <c r="E10415" s="49">
        <v>44257</v>
      </c>
      <c r="F10415" t="s">
        <v>7142</v>
      </c>
      <c r="G10415" t="s">
        <v>2255</v>
      </c>
      <c r="H10415">
        <v>3</v>
      </c>
      <c r="I10415">
        <v>46.19</v>
      </c>
      <c r="J10415" s="50">
        <v>138.57</v>
      </c>
      <c r="K10415" t="s">
        <v>1632</v>
      </c>
      <c r="L10415" t="s">
        <v>7143</v>
      </c>
      <c r="M10415" t="s">
        <v>1621</v>
      </c>
      <c r="N10415">
        <v>24.38</v>
      </c>
      <c r="O10415" s="49">
        <v>44262</v>
      </c>
      <c r="P10415" s="50">
        <v>62.356499999999997</v>
      </c>
    </row>
    <row r="10416" spans="4:16" x14ac:dyDescent="0.2">
      <c r="D10416">
        <v>100006239</v>
      </c>
      <c r="E10416" s="49">
        <v>45227</v>
      </c>
      <c r="F10416" t="s">
        <v>7142</v>
      </c>
      <c r="G10416" t="s">
        <v>1885</v>
      </c>
      <c r="H10416">
        <v>3</v>
      </c>
      <c r="I10416">
        <v>86.02</v>
      </c>
      <c r="J10416" s="50">
        <v>258.06</v>
      </c>
      <c r="K10416" t="s">
        <v>1632</v>
      </c>
      <c r="L10416" t="s">
        <v>7143</v>
      </c>
      <c r="M10416" t="s">
        <v>1627</v>
      </c>
      <c r="N10416">
        <v>45.4</v>
      </c>
      <c r="O10416" s="49">
        <v>45232</v>
      </c>
      <c r="P10416" s="50">
        <v>116.12700000000001</v>
      </c>
    </row>
    <row r="10417" spans="4:16" x14ac:dyDescent="0.2">
      <c r="D10417">
        <v>100006240</v>
      </c>
      <c r="E10417" s="49">
        <v>44266</v>
      </c>
      <c r="F10417" t="s">
        <v>7144</v>
      </c>
      <c r="G10417" t="s">
        <v>2003</v>
      </c>
      <c r="H10417">
        <v>9</v>
      </c>
      <c r="I10417">
        <v>76.59</v>
      </c>
      <c r="J10417" s="50">
        <v>689.31000000000006</v>
      </c>
      <c r="K10417" t="s">
        <v>1618</v>
      </c>
      <c r="M10417" t="s">
        <v>1619</v>
      </c>
      <c r="N10417">
        <v>40.42</v>
      </c>
      <c r="O10417" s="49">
        <v>44269</v>
      </c>
      <c r="P10417" s="50">
        <v>310.18950000000001</v>
      </c>
    </row>
    <row r="10418" spans="4:16" x14ac:dyDescent="0.2">
      <c r="D10418">
        <v>100006241</v>
      </c>
      <c r="E10418" s="49">
        <v>44936</v>
      </c>
      <c r="F10418" t="s">
        <v>7145</v>
      </c>
      <c r="G10418" t="s">
        <v>2387</v>
      </c>
      <c r="H10418">
        <v>6</v>
      </c>
      <c r="I10418">
        <v>53.11</v>
      </c>
      <c r="J10418" s="50">
        <v>318.66000000000003</v>
      </c>
      <c r="K10418" t="s">
        <v>1618</v>
      </c>
      <c r="M10418" t="s">
        <v>1621</v>
      </c>
      <c r="N10418">
        <v>28.03</v>
      </c>
      <c r="O10418" s="49">
        <v>44940</v>
      </c>
      <c r="P10418" s="50">
        <v>143.39700000000002</v>
      </c>
    </row>
    <row r="10419" spans="4:16" x14ac:dyDescent="0.2">
      <c r="D10419">
        <v>100006243</v>
      </c>
      <c r="E10419" s="49">
        <v>45170</v>
      </c>
      <c r="F10419" t="s">
        <v>7146</v>
      </c>
      <c r="G10419" t="s">
        <v>2198</v>
      </c>
      <c r="H10419">
        <v>8</v>
      </c>
      <c r="I10419">
        <v>107.07</v>
      </c>
      <c r="J10419" s="50">
        <v>856.56</v>
      </c>
      <c r="K10419" t="s">
        <v>1632</v>
      </c>
      <c r="M10419" t="s">
        <v>1621</v>
      </c>
      <c r="N10419">
        <v>56.51</v>
      </c>
      <c r="O10419" s="49">
        <v>45174</v>
      </c>
      <c r="P10419" s="50">
        <v>385.452</v>
      </c>
    </row>
    <row r="10420" spans="4:16" x14ac:dyDescent="0.2">
      <c r="D10420">
        <v>100006244</v>
      </c>
      <c r="E10420" s="49">
        <v>44399</v>
      </c>
      <c r="F10420" t="s">
        <v>7147</v>
      </c>
      <c r="G10420" t="s">
        <v>2261</v>
      </c>
      <c r="H10420">
        <v>7</v>
      </c>
      <c r="I10420">
        <v>39.520000000000003</v>
      </c>
      <c r="J10420" s="50">
        <v>276.64</v>
      </c>
      <c r="K10420" t="s">
        <v>1618</v>
      </c>
      <c r="M10420" t="s">
        <v>1619</v>
      </c>
      <c r="N10420">
        <v>20.86</v>
      </c>
      <c r="O10420" s="49">
        <v>44401</v>
      </c>
      <c r="P10420" s="50">
        <v>124.488</v>
      </c>
    </row>
    <row r="10421" spans="4:16" x14ac:dyDescent="0.2">
      <c r="D10421">
        <v>100006244</v>
      </c>
      <c r="E10421" s="49">
        <v>44667</v>
      </c>
      <c r="F10421" t="s">
        <v>7147</v>
      </c>
      <c r="G10421" t="s">
        <v>1730</v>
      </c>
      <c r="H10421">
        <v>7</v>
      </c>
      <c r="I10421">
        <v>88.69</v>
      </c>
      <c r="J10421" s="50">
        <v>620.82999999999993</v>
      </c>
      <c r="K10421" t="s">
        <v>1618</v>
      </c>
      <c r="M10421" t="s">
        <v>1627</v>
      </c>
      <c r="N10421">
        <v>46.81</v>
      </c>
      <c r="O10421" s="49">
        <v>44672</v>
      </c>
      <c r="P10421" s="50">
        <v>279.37349999999998</v>
      </c>
    </row>
    <row r="10422" spans="4:16" x14ac:dyDescent="0.2">
      <c r="D10422">
        <v>100006245</v>
      </c>
      <c r="E10422" s="49">
        <v>45140</v>
      </c>
      <c r="F10422" t="s">
        <v>7148</v>
      </c>
      <c r="G10422" t="s">
        <v>2028</v>
      </c>
      <c r="H10422">
        <v>3</v>
      </c>
      <c r="I10422">
        <v>107.96</v>
      </c>
      <c r="J10422" s="50">
        <v>323.88</v>
      </c>
      <c r="K10422" t="s">
        <v>1618</v>
      </c>
      <c r="M10422" t="s">
        <v>1629</v>
      </c>
      <c r="N10422">
        <v>56.98</v>
      </c>
      <c r="O10422" s="49">
        <v>45145</v>
      </c>
      <c r="P10422" s="50">
        <v>145.74600000000001</v>
      </c>
    </row>
    <row r="10423" spans="4:16" x14ac:dyDescent="0.2">
      <c r="D10423">
        <v>100006245</v>
      </c>
      <c r="E10423" s="49">
        <v>44913</v>
      </c>
      <c r="F10423" t="s">
        <v>7148</v>
      </c>
      <c r="G10423" t="s">
        <v>3135</v>
      </c>
      <c r="H10423">
        <v>3</v>
      </c>
      <c r="I10423">
        <v>84.3</v>
      </c>
      <c r="J10423" s="50">
        <v>252.9</v>
      </c>
      <c r="K10423" t="s">
        <v>1618</v>
      </c>
      <c r="M10423" t="s">
        <v>1627</v>
      </c>
      <c r="N10423">
        <v>44.49</v>
      </c>
      <c r="O10423" s="49">
        <v>44916</v>
      </c>
      <c r="P10423" s="50">
        <v>113.80500000000001</v>
      </c>
    </row>
    <row r="10424" spans="4:16" x14ac:dyDescent="0.2">
      <c r="D10424">
        <v>100006246</v>
      </c>
      <c r="E10424" s="49">
        <v>45129</v>
      </c>
      <c r="F10424" t="s">
        <v>7149</v>
      </c>
      <c r="G10424" t="s">
        <v>1733</v>
      </c>
      <c r="H10424">
        <v>10</v>
      </c>
      <c r="I10424">
        <v>107.51</v>
      </c>
      <c r="J10424" s="50">
        <v>1075.0999999999999</v>
      </c>
      <c r="K10424" t="s">
        <v>1618</v>
      </c>
      <c r="M10424" t="s">
        <v>1619</v>
      </c>
      <c r="N10424">
        <v>56.74</v>
      </c>
      <c r="O10424" s="49">
        <v>45133</v>
      </c>
      <c r="P10424" s="50">
        <v>483.79499999999996</v>
      </c>
    </row>
    <row r="10425" spans="4:16" x14ac:dyDescent="0.2">
      <c r="D10425">
        <v>100006247</v>
      </c>
      <c r="E10425" s="49">
        <v>44861</v>
      </c>
      <c r="F10425" t="s">
        <v>7150</v>
      </c>
      <c r="G10425" t="s">
        <v>1897</v>
      </c>
      <c r="H10425">
        <v>5</v>
      </c>
      <c r="I10425">
        <v>37.340000000000003</v>
      </c>
      <c r="J10425" s="50">
        <v>186.7</v>
      </c>
      <c r="K10425" t="s">
        <v>1632</v>
      </c>
      <c r="M10425" t="s">
        <v>1621</v>
      </c>
      <c r="N10425">
        <v>19.71</v>
      </c>
      <c r="O10425" s="49">
        <v>44865</v>
      </c>
      <c r="P10425" s="50">
        <v>84.015000000000001</v>
      </c>
    </row>
    <row r="10426" spans="4:16" x14ac:dyDescent="0.2">
      <c r="D10426">
        <v>100006247</v>
      </c>
      <c r="E10426" s="49">
        <v>45126</v>
      </c>
      <c r="F10426" t="s">
        <v>7150</v>
      </c>
      <c r="G10426" t="s">
        <v>1948</v>
      </c>
      <c r="H10426">
        <v>9</v>
      </c>
      <c r="I10426">
        <v>109.75</v>
      </c>
      <c r="J10426" s="50">
        <v>987.75</v>
      </c>
      <c r="K10426" t="s">
        <v>1632</v>
      </c>
      <c r="M10426" t="s">
        <v>1624</v>
      </c>
      <c r="N10426">
        <v>57.92</v>
      </c>
      <c r="O10426" s="49">
        <v>45130</v>
      </c>
      <c r="P10426" s="50">
        <v>444.48750000000001</v>
      </c>
    </row>
    <row r="10427" spans="4:16" x14ac:dyDescent="0.2">
      <c r="D10427">
        <v>100006248</v>
      </c>
      <c r="E10427" s="49">
        <v>45067</v>
      </c>
      <c r="F10427" t="s">
        <v>7151</v>
      </c>
      <c r="G10427" t="s">
        <v>1647</v>
      </c>
      <c r="H10427">
        <v>8</v>
      </c>
      <c r="I10427">
        <v>39.46</v>
      </c>
      <c r="J10427" s="50">
        <v>315.68</v>
      </c>
      <c r="K10427" t="s">
        <v>1632</v>
      </c>
      <c r="L10427" t="s">
        <v>2919</v>
      </c>
      <c r="M10427" t="s">
        <v>1621</v>
      </c>
      <c r="N10427">
        <v>20.83</v>
      </c>
      <c r="O10427" s="49">
        <v>45068</v>
      </c>
      <c r="P10427" s="50">
        <v>142.05600000000001</v>
      </c>
    </row>
    <row r="10428" spans="4:16" x14ac:dyDescent="0.2">
      <c r="D10428">
        <v>100006248</v>
      </c>
      <c r="E10428" s="49">
        <v>45069</v>
      </c>
      <c r="F10428" t="s">
        <v>7151</v>
      </c>
      <c r="G10428" t="s">
        <v>2033</v>
      </c>
      <c r="H10428">
        <v>9</v>
      </c>
      <c r="I10428">
        <v>76.86</v>
      </c>
      <c r="J10428" s="50">
        <v>691.74</v>
      </c>
      <c r="K10428" t="s">
        <v>1632</v>
      </c>
      <c r="L10428" t="s">
        <v>2919</v>
      </c>
      <c r="M10428" t="s">
        <v>1621</v>
      </c>
      <c r="N10428">
        <v>40.56</v>
      </c>
      <c r="O10428" s="49">
        <v>45073</v>
      </c>
      <c r="P10428" s="50">
        <v>311.28300000000002</v>
      </c>
    </row>
    <row r="10429" spans="4:16" x14ac:dyDescent="0.2">
      <c r="D10429">
        <v>100006248</v>
      </c>
      <c r="E10429" s="49">
        <v>44797</v>
      </c>
      <c r="F10429" t="s">
        <v>7151</v>
      </c>
      <c r="G10429" t="s">
        <v>2004</v>
      </c>
      <c r="H10429">
        <v>6</v>
      </c>
      <c r="I10429">
        <v>51.99</v>
      </c>
      <c r="J10429" s="50">
        <v>311.94</v>
      </c>
      <c r="K10429" t="s">
        <v>1632</v>
      </c>
      <c r="L10429" t="s">
        <v>2919</v>
      </c>
      <c r="M10429" t="s">
        <v>1619</v>
      </c>
      <c r="N10429">
        <v>27.44</v>
      </c>
      <c r="O10429" s="49">
        <v>44802</v>
      </c>
      <c r="P10429" s="50">
        <v>140.37299999999999</v>
      </c>
    </row>
    <row r="10430" spans="4:16" x14ac:dyDescent="0.2">
      <c r="D10430">
        <v>100006248</v>
      </c>
      <c r="E10430" s="49">
        <v>44827</v>
      </c>
      <c r="F10430" t="s">
        <v>7151</v>
      </c>
      <c r="G10430" t="s">
        <v>2163</v>
      </c>
      <c r="H10430">
        <v>3</v>
      </c>
      <c r="I10430">
        <v>112.7</v>
      </c>
      <c r="J10430" s="50">
        <v>338.1</v>
      </c>
      <c r="K10430" t="s">
        <v>1632</v>
      </c>
      <c r="L10430" t="s">
        <v>2919</v>
      </c>
      <c r="M10430" t="s">
        <v>1621</v>
      </c>
      <c r="N10430">
        <v>59.48</v>
      </c>
      <c r="O10430" s="49">
        <v>44829</v>
      </c>
      <c r="P10430" s="50">
        <v>152.14500000000001</v>
      </c>
    </row>
    <row r="10431" spans="4:16" x14ac:dyDescent="0.2">
      <c r="D10431">
        <v>100006248</v>
      </c>
      <c r="E10431" s="49">
        <v>44801</v>
      </c>
      <c r="F10431" t="s">
        <v>7151</v>
      </c>
      <c r="G10431" t="s">
        <v>2436</v>
      </c>
      <c r="H10431">
        <v>10</v>
      </c>
      <c r="I10431">
        <v>41</v>
      </c>
      <c r="J10431" s="50">
        <v>410</v>
      </c>
      <c r="K10431" t="s">
        <v>1632</v>
      </c>
      <c r="L10431" t="s">
        <v>2919</v>
      </c>
      <c r="M10431" t="s">
        <v>1629</v>
      </c>
      <c r="N10431">
        <v>21.64</v>
      </c>
      <c r="O10431" s="49">
        <v>44806</v>
      </c>
      <c r="P10431" s="50">
        <v>184.5</v>
      </c>
    </row>
    <row r="10432" spans="4:16" x14ac:dyDescent="0.2">
      <c r="D10432">
        <v>100006248</v>
      </c>
      <c r="E10432" s="49">
        <v>44228</v>
      </c>
      <c r="F10432" t="s">
        <v>7151</v>
      </c>
      <c r="G10432" t="s">
        <v>1688</v>
      </c>
      <c r="H10432">
        <v>4</v>
      </c>
      <c r="I10432">
        <v>60.57</v>
      </c>
      <c r="J10432" s="50">
        <v>242.28</v>
      </c>
      <c r="K10432" t="s">
        <v>1632</v>
      </c>
      <c r="L10432" t="s">
        <v>2919</v>
      </c>
      <c r="M10432" t="s">
        <v>1621</v>
      </c>
      <c r="N10432">
        <v>31.97</v>
      </c>
      <c r="O10432" s="49">
        <v>44231</v>
      </c>
      <c r="P10432" s="50">
        <v>109.026</v>
      </c>
    </row>
    <row r="10433" spans="4:16" x14ac:dyDescent="0.2">
      <c r="D10433">
        <v>100006249</v>
      </c>
      <c r="E10433" s="49">
        <v>44815</v>
      </c>
      <c r="F10433" t="s">
        <v>5611</v>
      </c>
      <c r="G10433" t="s">
        <v>2098</v>
      </c>
      <c r="H10433">
        <v>2</v>
      </c>
      <c r="I10433">
        <v>111.36</v>
      </c>
      <c r="J10433" s="50">
        <v>222.72</v>
      </c>
      <c r="K10433" t="s">
        <v>1632</v>
      </c>
      <c r="M10433" t="s">
        <v>1627</v>
      </c>
      <c r="N10433">
        <v>58.77</v>
      </c>
      <c r="O10433" s="49">
        <v>44819</v>
      </c>
      <c r="P10433" s="50">
        <v>100.224</v>
      </c>
    </row>
    <row r="10434" spans="4:16" x14ac:dyDescent="0.2">
      <c r="D10434">
        <v>100006250</v>
      </c>
      <c r="E10434" s="49">
        <v>44243</v>
      </c>
      <c r="F10434" t="s">
        <v>7152</v>
      </c>
      <c r="G10434" t="s">
        <v>1842</v>
      </c>
      <c r="H10434">
        <v>4</v>
      </c>
      <c r="I10434">
        <v>96.29</v>
      </c>
      <c r="J10434" s="50">
        <v>385.16</v>
      </c>
      <c r="K10434" t="s">
        <v>1618</v>
      </c>
      <c r="M10434" t="s">
        <v>1627</v>
      </c>
      <c r="N10434">
        <v>50.82</v>
      </c>
      <c r="O10434" s="49">
        <v>44244</v>
      </c>
      <c r="P10434" s="50">
        <v>173.322</v>
      </c>
    </row>
    <row r="10435" spans="4:16" x14ac:dyDescent="0.2">
      <c r="D10435">
        <v>100006250</v>
      </c>
      <c r="E10435" s="49">
        <v>45335</v>
      </c>
      <c r="F10435" t="s">
        <v>7152</v>
      </c>
      <c r="G10435" t="s">
        <v>2278</v>
      </c>
      <c r="H10435">
        <v>1</v>
      </c>
      <c r="I10435">
        <v>45.42</v>
      </c>
      <c r="J10435" s="50">
        <v>45.42</v>
      </c>
      <c r="K10435" t="s">
        <v>1618</v>
      </c>
      <c r="M10435" t="s">
        <v>1629</v>
      </c>
      <c r="N10435">
        <v>23.97</v>
      </c>
      <c r="O10435" s="49">
        <v>45336</v>
      </c>
      <c r="P10435" s="50">
        <v>20.439</v>
      </c>
    </row>
    <row r="10436" spans="4:16" x14ac:dyDescent="0.2">
      <c r="D10436">
        <v>100006251</v>
      </c>
      <c r="E10436" s="49">
        <v>44774</v>
      </c>
      <c r="F10436" t="s">
        <v>7153</v>
      </c>
      <c r="G10436" t="s">
        <v>2278</v>
      </c>
      <c r="H10436">
        <v>4</v>
      </c>
      <c r="I10436">
        <v>115.84</v>
      </c>
      <c r="J10436" s="50">
        <v>463.36</v>
      </c>
      <c r="K10436" t="s">
        <v>1618</v>
      </c>
      <c r="L10436" t="s">
        <v>7154</v>
      </c>
      <c r="M10436" t="s">
        <v>1619</v>
      </c>
      <c r="N10436">
        <v>61.14</v>
      </c>
      <c r="O10436" s="49">
        <v>44777</v>
      </c>
      <c r="P10436" s="50">
        <v>208.512</v>
      </c>
    </row>
    <row r="10437" spans="4:16" x14ac:dyDescent="0.2">
      <c r="D10437">
        <v>100006251</v>
      </c>
      <c r="E10437" s="49">
        <v>45020</v>
      </c>
      <c r="F10437" t="s">
        <v>7153</v>
      </c>
      <c r="G10437" t="s">
        <v>1767</v>
      </c>
      <c r="H10437">
        <v>3</v>
      </c>
      <c r="I10437">
        <v>25.96</v>
      </c>
      <c r="J10437" s="50">
        <v>77.88</v>
      </c>
      <c r="K10437" t="s">
        <v>1618</v>
      </c>
      <c r="L10437" t="s">
        <v>7154</v>
      </c>
      <c r="M10437" t="s">
        <v>1621</v>
      </c>
      <c r="N10437">
        <v>13.7</v>
      </c>
      <c r="O10437" s="49">
        <v>45023</v>
      </c>
      <c r="P10437" s="50">
        <v>35.045999999999999</v>
      </c>
    </row>
    <row r="10438" spans="4:16" x14ac:dyDescent="0.2">
      <c r="D10438">
        <v>100006252</v>
      </c>
      <c r="E10438" s="49">
        <v>45389</v>
      </c>
      <c r="F10438" t="s">
        <v>7155</v>
      </c>
      <c r="G10438" t="s">
        <v>1808</v>
      </c>
      <c r="H10438">
        <v>8</v>
      </c>
      <c r="I10438">
        <v>86.27</v>
      </c>
      <c r="J10438" s="50">
        <v>690.16</v>
      </c>
      <c r="K10438" t="s">
        <v>1618</v>
      </c>
      <c r="M10438" t="s">
        <v>1621</v>
      </c>
      <c r="N10438">
        <v>45.53</v>
      </c>
      <c r="O10438" s="49">
        <v>45391</v>
      </c>
      <c r="P10438" s="50">
        <v>310.572</v>
      </c>
    </row>
    <row r="10439" spans="4:16" x14ac:dyDescent="0.2">
      <c r="D10439">
        <v>100006254</v>
      </c>
      <c r="E10439" s="49">
        <v>45401</v>
      </c>
      <c r="F10439" t="s">
        <v>4541</v>
      </c>
      <c r="G10439" t="s">
        <v>2460</v>
      </c>
      <c r="H10439">
        <v>8</v>
      </c>
      <c r="I10439">
        <v>80.319999999999993</v>
      </c>
      <c r="J10439" s="50">
        <v>642.55999999999995</v>
      </c>
      <c r="K10439" t="s">
        <v>1618</v>
      </c>
      <c r="M10439" t="s">
        <v>1624</v>
      </c>
      <c r="N10439">
        <v>42.39</v>
      </c>
      <c r="O10439" s="49">
        <v>45402</v>
      </c>
      <c r="P10439" s="50">
        <v>289.15199999999999</v>
      </c>
    </row>
    <row r="10440" spans="4:16" x14ac:dyDescent="0.2">
      <c r="D10440">
        <v>100006255</v>
      </c>
      <c r="E10440" s="49">
        <v>45256</v>
      </c>
      <c r="F10440" t="s">
        <v>7156</v>
      </c>
      <c r="G10440" t="s">
        <v>1676</v>
      </c>
      <c r="H10440">
        <v>6</v>
      </c>
      <c r="I10440">
        <v>68.849999999999994</v>
      </c>
      <c r="J10440" s="50">
        <v>413.1</v>
      </c>
      <c r="K10440" t="s">
        <v>1632</v>
      </c>
      <c r="M10440" t="s">
        <v>1629</v>
      </c>
      <c r="N10440">
        <v>36.340000000000003</v>
      </c>
      <c r="O10440" s="49">
        <v>45258</v>
      </c>
      <c r="P10440" s="50">
        <v>185.89500000000001</v>
      </c>
    </row>
    <row r="10441" spans="4:16" x14ac:dyDescent="0.2">
      <c r="D10441">
        <v>100006258</v>
      </c>
      <c r="E10441" s="49">
        <v>44568</v>
      </c>
      <c r="F10441" t="s">
        <v>7157</v>
      </c>
      <c r="G10441" t="s">
        <v>2692</v>
      </c>
      <c r="H10441">
        <v>2</v>
      </c>
      <c r="I10441">
        <v>34.47</v>
      </c>
      <c r="J10441" s="50">
        <v>68.94</v>
      </c>
      <c r="K10441" t="s">
        <v>1618</v>
      </c>
      <c r="M10441" t="s">
        <v>1621</v>
      </c>
      <c r="N10441">
        <v>18.190000000000001</v>
      </c>
      <c r="O10441" s="49">
        <v>44571</v>
      </c>
      <c r="P10441" s="50">
        <v>31.023</v>
      </c>
    </row>
    <row r="10442" spans="4:16" x14ac:dyDescent="0.2">
      <c r="D10442">
        <v>100006258</v>
      </c>
      <c r="E10442" s="49">
        <v>44289</v>
      </c>
      <c r="F10442" t="s">
        <v>7157</v>
      </c>
      <c r="G10442" t="s">
        <v>1799</v>
      </c>
      <c r="H10442">
        <v>6</v>
      </c>
      <c r="I10442">
        <v>76.75</v>
      </c>
      <c r="J10442" s="50">
        <v>460.5</v>
      </c>
      <c r="K10442" t="s">
        <v>1618</v>
      </c>
      <c r="M10442" t="s">
        <v>1627</v>
      </c>
      <c r="N10442">
        <v>40.51</v>
      </c>
      <c r="O10442" s="49">
        <v>44294</v>
      </c>
      <c r="P10442" s="50">
        <v>207.22499999999999</v>
      </c>
    </row>
    <row r="10443" spans="4:16" x14ac:dyDescent="0.2">
      <c r="D10443">
        <v>100006258</v>
      </c>
      <c r="E10443" s="49">
        <v>45543</v>
      </c>
      <c r="F10443" t="s">
        <v>7157</v>
      </c>
      <c r="G10443" t="s">
        <v>2028</v>
      </c>
      <c r="H10443">
        <v>3</v>
      </c>
      <c r="I10443">
        <v>40.409999999999997</v>
      </c>
      <c r="J10443" s="50">
        <v>121.23</v>
      </c>
      <c r="K10443" t="s">
        <v>1618</v>
      </c>
      <c r="M10443" t="s">
        <v>1629</v>
      </c>
      <c r="N10443">
        <v>21.33</v>
      </c>
      <c r="O10443" s="49">
        <v>45548</v>
      </c>
      <c r="P10443" s="50">
        <v>54.5535</v>
      </c>
    </row>
    <row r="10444" spans="4:16" x14ac:dyDescent="0.2">
      <c r="D10444">
        <v>100006259</v>
      </c>
      <c r="E10444" s="49">
        <v>45145</v>
      </c>
      <c r="F10444" t="s">
        <v>7158</v>
      </c>
      <c r="G10444" t="s">
        <v>2302</v>
      </c>
      <c r="H10444">
        <v>4</v>
      </c>
      <c r="I10444">
        <v>26.17</v>
      </c>
      <c r="J10444" s="50">
        <v>104.68</v>
      </c>
      <c r="K10444" t="s">
        <v>1632</v>
      </c>
      <c r="M10444" t="s">
        <v>1627</v>
      </c>
      <c r="N10444">
        <v>13.81</v>
      </c>
      <c r="O10444" s="49">
        <v>45147</v>
      </c>
      <c r="P10444" s="50">
        <v>47.106000000000002</v>
      </c>
    </row>
    <row r="10445" spans="4:16" x14ac:dyDescent="0.2">
      <c r="D10445">
        <v>100006259</v>
      </c>
      <c r="E10445" s="49">
        <v>45166</v>
      </c>
      <c r="F10445" t="s">
        <v>7158</v>
      </c>
      <c r="G10445" t="s">
        <v>2431</v>
      </c>
      <c r="H10445">
        <v>5</v>
      </c>
      <c r="I10445">
        <v>12.06</v>
      </c>
      <c r="J10445" s="50">
        <v>60.3</v>
      </c>
      <c r="K10445" t="s">
        <v>1632</v>
      </c>
      <c r="M10445" t="s">
        <v>1629</v>
      </c>
      <c r="N10445">
        <v>6.36</v>
      </c>
      <c r="O10445" s="49">
        <v>45169</v>
      </c>
      <c r="P10445" s="50">
        <v>27.134999999999998</v>
      </c>
    </row>
    <row r="10446" spans="4:16" x14ac:dyDescent="0.2">
      <c r="D10446">
        <v>100006260</v>
      </c>
      <c r="E10446" s="49">
        <v>44639</v>
      </c>
      <c r="F10446" t="s">
        <v>7159</v>
      </c>
      <c r="G10446" t="s">
        <v>1728</v>
      </c>
      <c r="H10446">
        <v>9</v>
      </c>
      <c r="I10446">
        <v>50.35</v>
      </c>
      <c r="J10446" s="50">
        <v>453.15</v>
      </c>
      <c r="K10446" t="s">
        <v>1618</v>
      </c>
      <c r="M10446" t="s">
        <v>1619</v>
      </c>
      <c r="N10446">
        <v>26.57</v>
      </c>
      <c r="O10446" s="49">
        <v>44640</v>
      </c>
      <c r="P10446" s="50">
        <v>203.91749999999999</v>
      </c>
    </row>
    <row r="10447" spans="4:16" x14ac:dyDescent="0.2">
      <c r="D10447">
        <v>100006260</v>
      </c>
      <c r="E10447" s="49">
        <v>44645</v>
      </c>
      <c r="F10447" t="s">
        <v>7159</v>
      </c>
      <c r="G10447" t="s">
        <v>1895</v>
      </c>
      <c r="H10447">
        <v>5</v>
      </c>
      <c r="I10447">
        <v>51.99</v>
      </c>
      <c r="J10447" s="50">
        <v>259.95</v>
      </c>
      <c r="K10447" t="s">
        <v>1618</v>
      </c>
      <c r="M10447" t="s">
        <v>1627</v>
      </c>
      <c r="N10447">
        <v>27.44</v>
      </c>
      <c r="O10447" s="49">
        <v>44649</v>
      </c>
      <c r="P10447" s="50">
        <v>116.97749999999999</v>
      </c>
    </row>
    <row r="10448" spans="4:16" x14ac:dyDescent="0.2">
      <c r="D10448">
        <v>100006261</v>
      </c>
      <c r="E10448" s="49">
        <v>44852</v>
      </c>
      <c r="F10448" t="s">
        <v>7160</v>
      </c>
      <c r="G10448" t="s">
        <v>1661</v>
      </c>
      <c r="H10448">
        <v>1</v>
      </c>
      <c r="I10448">
        <v>116.45</v>
      </c>
      <c r="J10448" s="50">
        <v>116.45</v>
      </c>
      <c r="K10448" t="s">
        <v>1632</v>
      </c>
      <c r="M10448" t="s">
        <v>1627</v>
      </c>
      <c r="N10448">
        <v>61.46</v>
      </c>
      <c r="O10448" s="49">
        <v>44855</v>
      </c>
      <c r="P10448" s="50">
        <v>52.402500000000003</v>
      </c>
    </row>
    <row r="10449" spans="4:16" x14ac:dyDescent="0.2">
      <c r="D10449">
        <v>100006261</v>
      </c>
      <c r="E10449" s="49">
        <v>45293</v>
      </c>
      <c r="F10449" t="s">
        <v>7160</v>
      </c>
      <c r="G10449" t="s">
        <v>1838</v>
      </c>
      <c r="H10449">
        <v>10</v>
      </c>
      <c r="I10449">
        <v>63.72</v>
      </c>
      <c r="J10449" s="50">
        <v>637.20000000000005</v>
      </c>
      <c r="K10449" t="s">
        <v>1632</v>
      </c>
      <c r="M10449" t="s">
        <v>1621</v>
      </c>
      <c r="N10449">
        <v>33.630000000000003</v>
      </c>
      <c r="O10449" s="49">
        <v>45295</v>
      </c>
      <c r="P10449" s="50">
        <v>286.74</v>
      </c>
    </row>
    <row r="10450" spans="4:16" x14ac:dyDescent="0.2">
      <c r="D10450">
        <v>100006261</v>
      </c>
      <c r="E10450" s="49">
        <v>44427</v>
      </c>
      <c r="F10450" t="s">
        <v>7160</v>
      </c>
      <c r="G10450" t="s">
        <v>1730</v>
      </c>
      <c r="H10450">
        <v>9</v>
      </c>
      <c r="I10450">
        <v>29.93</v>
      </c>
      <c r="J10450" s="50">
        <v>269.37</v>
      </c>
      <c r="K10450" t="s">
        <v>1632</v>
      </c>
      <c r="M10450" t="s">
        <v>1629</v>
      </c>
      <c r="N10450">
        <v>15.8</v>
      </c>
      <c r="O10450" s="49">
        <v>44429</v>
      </c>
      <c r="P10450" s="50">
        <v>121.21650000000001</v>
      </c>
    </row>
    <row r="10451" spans="4:16" x14ac:dyDescent="0.2">
      <c r="D10451">
        <v>100006263</v>
      </c>
      <c r="E10451" s="49">
        <v>45492</v>
      </c>
      <c r="F10451" t="s">
        <v>7161</v>
      </c>
      <c r="G10451" t="s">
        <v>2278</v>
      </c>
      <c r="H10451">
        <v>10</v>
      </c>
      <c r="I10451">
        <v>117.93</v>
      </c>
      <c r="J10451" s="50">
        <v>1179.3</v>
      </c>
      <c r="K10451" t="s">
        <v>1618</v>
      </c>
      <c r="M10451" t="s">
        <v>1621</v>
      </c>
      <c r="N10451">
        <v>62.24</v>
      </c>
      <c r="O10451" s="49">
        <v>45497</v>
      </c>
      <c r="P10451" s="50">
        <v>530.68499999999995</v>
      </c>
    </row>
    <row r="10452" spans="4:16" x14ac:dyDescent="0.2">
      <c r="D10452">
        <v>100006264</v>
      </c>
      <c r="E10452" s="49">
        <v>45005</v>
      </c>
      <c r="F10452" t="s">
        <v>7162</v>
      </c>
      <c r="G10452" t="s">
        <v>1975</v>
      </c>
      <c r="H10452">
        <v>6</v>
      </c>
      <c r="I10452">
        <v>40.840000000000003</v>
      </c>
      <c r="J10452" s="50">
        <v>245.04</v>
      </c>
      <c r="K10452" t="s">
        <v>1618</v>
      </c>
      <c r="M10452" t="s">
        <v>1624</v>
      </c>
      <c r="N10452">
        <v>21.55</v>
      </c>
      <c r="O10452" s="49">
        <v>45010</v>
      </c>
      <c r="P10452" s="50">
        <v>110.268</v>
      </c>
    </row>
    <row r="10453" spans="4:16" x14ac:dyDescent="0.2">
      <c r="D10453">
        <v>100006264</v>
      </c>
      <c r="E10453" s="49">
        <v>44375</v>
      </c>
      <c r="F10453" t="s">
        <v>7162</v>
      </c>
      <c r="G10453" t="s">
        <v>3075</v>
      </c>
      <c r="H10453">
        <v>8</v>
      </c>
      <c r="I10453">
        <v>22.66</v>
      </c>
      <c r="J10453" s="50">
        <v>181.28</v>
      </c>
      <c r="K10453" t="s">
        <v>1618</v>
      </c>
      <c r="M10453" t="s">
        <v>1621</v>
      </c>
      <c r="N10453">
        <v>11.96</v>
      </c>
      <c r="O10453" s="49">
        <v>44376</v>
      </c>
      <c r="P10453" s="50">
        <v>81.576000000000008</v>
      </c>
    </row>
    <row r="10454" spans="4:16" x14ac:dyDescent="0.2">
      <c r="D10454">
        <v>100006265</v>
      </c>
      <c r="E10454" s="49">
        <v>44535</v>
      </c>
      <c r="F10454" t="s">
        <v>7163</v>
      </c>
      <c r="G10454" t="s">
        <v>1709</v>
      </c>
      <c r="H10454">
        <v>1</v>
      </c>
      <c r="I10454">
        <v>118.2</v>
      </c>
      <c r="J10454" s="50">
        <v>118.2</v>
      </c>
      <c r="K10454" t="s">
        <v>1618</v>
      </c>
      <c r="L10454" t="s">
        <v>7164</v>
      </c>
      <c r="M10454" t="s">
        <v>1629</v>
      </c>
      <c r="N10454">
        <v>62.38</v>
      </c>
      <c r="O10454" s="49">
        <v>44538</v>
      </c>
      <c r="P10454" s="50">
        <v>53.190000000000005</v>
      </c>
    </row>
    <row r="10455" spans="4:16" x14ac:dyDescent="0.2">
      <c r="D10455">
        <v>100006267</v>
      </c>
      <c r="E10455" s="49">
        <v>45244</v>
      </c>
      <c r="F10455" t="s">
        <v>7165</v>
      </c>
      <c r="G10455" t="s">
        <v>2263</v>
      </c>
      <c r="H10455">
        <v>4</v>
      </c>
      <c r="I10455">
        <v>11.05</v>
      </c>
      <c r="J10455" s="50">
        <v>44.2</v>
      </c>
      <c r="K10455" t="s">
        <v>1618</v>
      </c>
      <c r="M10455" t="s">
        <v>1619</v>
      </c>
      <c r="N10455">
        <v>5.83</v>
      </c>
      <c r="O10455" s="49">
        <v>45245</v>
      </c>
      <c r="P10455" s="50">
        <v>19.89</v>
      </c>
    </row>
    <row r="10456" spans="4:16" x14ac:dyDescent="0.2">
      <c r="D10456">
        <v>100006267</v>
      </c>
      <c r="E10456" s="49">
        <v>45229</v>
      </c>
      <c r="F10456" t="s">
        <v>7165</v>
      </c>
      <c r="G10456" t="s">
        <v>2427</v>
      </c>
      <c r="H10456">
        <v>6</v>
      </c>
      <c r="I10456">
        <v>78.650000000000006</v>
      </c>
      <c r="J10456" s="50">
        <v>471.9</v>
      </c>
      <c r="K10456" t="s">
        <v>1618</v>
      </c>
      <c r="M10456" t="s">
        <v>1629</v>
      </c>
      <c r="N10456">
        <v>41.51</v>
      </c>
      <c r="O10456" s="49">
        <v>45231</v>
      </c>
      <c r="P10456" s="50">
        <v>212.35499999999999</v>
      </c>
    </row>
    <row r="10457" spans="4:16" x14ac:dyDescent="0.2">
      <c r="D10457">
        <v>100006267</v>
      </c>
      <c r="E10457" s="49">
        <v>45093</v>
      </c>
      <c r="F10457" t="s">
        <v>7165</v>
      </c>
      <c r="G10457" t="s">
        <v>1955</v>
      </c>
      <c r="H10457">
        <v>1</v>
      </c>
      <c r="I10457">
        <v>32.92</v>
      </c>
      <c r="J10457" s="50">
        <v>32.92</v>
      </c>
      <c r="K10457" t="s">
        <v>1618</v>
      </c>
      <c r="M10457" t="s">
        <v>1627</v>
      </c>
      <c r="N10457">
        <v>17.37</v>
      </c>
      <c r="O10457" s="49">
        <v>45098</v>
      </c>
      <c r="P10457" s="50">
        <v>14.814000000000002</v>
      </c>
    </row>
    <row r="10458" spans="4:16" x14ac:dyDescent="0.2">
      <c r="D10458">
        <v>100006268</v>
      </c>
      <c r="E10458" s="49">
        <v>44880</v>
      </c>
      <c r="F10458" t="s">
        <v>7166</v>
      </c>
      <c r="G10458" t="s">
        <v>1731</v>
      </c>
      <c r="H10458">
        <v>5</v>
      </c>
      <c r="I10458">
        <v>11.85</v>
      </c>
      <c r="J10458" s="50">
        <v>59.25</v>
      </c>
      <c r="K10458" t="s">
        <v>1632</v>
      </c>
      <c r="M10458" t="s">
        <v>1621</v>
      </c>
      <c r="N10458">
        <v>6.25</v>
      </c>
      <c r="O10458" s="49">
        <v>44885</v>
      </c>
      <c r="P10458" s="50">
        <v>26.662500000000001</v>
      </c>
    </row>
    <row r="10459" spans="4:16" x14ac:dyDescent="0.2">
      <c r="D10459">
        <v>100006268</v>
      </c>
      <c r="E10459" s="49">
        <v>44725</v>
      </c>
      <c r="F10459" t="s">
        <v>7166</v>
      </c>
      <c r="G10459" t="s">
        <v>1661</v>
      </c>
      <c r="H10459">
        <v>8</v>
      </c>
      <c r="I10459">
        <v>78.14</v>
      </c>
      <c r="J10459" s="50">
        <v>625.12</v>
      </c>
      <c r="K10459" t="s">
        <v>1632</v>
      </c>
      <c r="M10459" t="s">
        <v>1629</v>
      </c>
      <c r="N10459">
        <v>41.24</v>
      </c>
      <c r="O10459" s="49">
        <v>44728</v>
      </c>
      <c r="P10459" s="50">
        <v>281.30400000000003</v>
      </c>
    </row>
    <row r="10460" spans="4:16" x14ac:dyDescent="0.2">
      <c r="D10460">
        <v>100006269</v>
      </c>
      <c r="E10460" s="49">
        <v>45012</v>
      </c>
      <c r="F10460" t="s">
        <v>7167</v>
      </c>
      <c r="G10460" t="s">
        <v>1990</v>
      </c>
      <c r="H10460">
        <v>2</v>
      </c>
      <c r="I10460">
        <v>41.02</v>
      </c>
      <c r="J10460" s="50">
        <v>82.04</v>
      </c>
      <c r="K10460" t="s">
        <v>1618</v>
      </c>
      <c r="L10460" t="s">
        <v>7168</v>
      </c>
      <c r="M10460" t="s">
        <v>1629</v>
      </c>
      <c r="N10460">
        <v>21.65</v>
      </c>
      <c r="O10460" s="49">
        <v>45017</v>
      </c>
      <c r="P10460" s="50">
        <v>36.918000000000006</v>
      </c>
    </row>
    <row r="10461" spans="4:16" x14ac:dyDescent="0.2">
      <c r="D10461">
        <v>100006271</v>
      </c>
      <c r="E10461" s="49">
        <v>44563</v>
      </c>
      <c r="F10461" t="s">
        <v>7169</v>
      </c>
      <c r="G10461" t="s">
        <v>1643</v>
      </c>
      <c r="H10461">
        <v>8</v>
      </c>
      <c r="I10461">
        <v>94.19</v>
      </c>
      <c r="J10461" s="50">
        <v>753.52</v>
      </c>
      <c r="K10461" t="s">
        <v>1618</v>
      </c>
      <c r="L10461" t="s">
        <v>6528</v>
      </c>
      <c r="M10461" t="s">
        <v>1621</v>
      </c>
      <c r="N10461">
        <v>49.71</v>
      </c>
      <c r="O10461" s="49">
        <v>44564</v>
      </c>
      <c r="P10461" s="50">
        <v>339.084</v>
      </c>
    </row>
    <row r="10462" spans="4:16" x14ac:dyDescent="0.2">
      <c r="D10462">
        <v>100006272</v>
      </c>
      <c r="E10462" s="49">
        <v>44821</v>
      </c>
      <c r="F10462" t="s">
        <v>7170</v>
      </c>
      <c r="G10462" t="s">
        <v>1969</v>
      </c>
      <c r="H10462">
        <v>6</v>
      </c>
      <c r="I10462">
        <v>108.62</v>
      </c>
      <c r="J10462" s="50">
        <v>651.72</v>
      </c>
      <c r="K10462" t="s">
        <v>1618</v>
      </c>
      <c r="L10462" t="s">
        <v>3571</v>
      </c>
      <c r="M10462" t="s">
        <v>1619</v>
      </c>
      <c r="N10462">
        <v>57.33</v>
      </c>
      <c r="O10462" s="49">
        <v>44825</v>
      </c>
      <c r="P10462" s="50">
        <v>293.274</v>
      </c>
    </row>
    <row r="10463" spans="4:16" x14ac:dyDescent="0.2">
      <c r="D10463">
        <v>100006275</v>
      </c>
      <c r="E10463" s="49">
        <v>44634</v>
      </c>
      <c r="F10463" t="s">
        <v>5606</v>
      </c>
      <c r="G10463" t="s">
        <v>2261</v>
      </c>
      <c r="H10463">
        <v>8</v>
      </c>
      <c r="I10463">
        <v>75.47</v>
      </c>
      <c r="J10463" s="50">
        <v>603.76</v>
      </c>
      <c r="K10463" t="s">
        <v>1632</v>
      </c>
      <c r="L10463" t="s">
        <v>2709</v>
      </c>
      <c r="M10463" t="s">
        <v>1629</v>
      </c>
      <c r="N10463">
        <v>39.83</v>
      </c>
      <c r="O10463" s="49">
        <v>44638</v>
      </c>
      <c r="P10463" s="50">
        <v>271.69200000000001</v>
      </c>
    </row>
    <row r="10464" spans="4:16" x14ac:dyDescent="0.2">
      <c r="D10464">
        <v>100006275</v>
      </c>
      <c r="E10464" s="49">
        <v>45103</v>
      </c>
      <c r="F10464" t="s">
        <v>5606</v>
      </c>
      <c r="G10464" t="s">
        <v>1963</v>
      </c>
      <c r="H10464">
        <v>4</v>
      </c>
      <c r="I10464">
        <v>93.06</v>
      </c>
      <c r="J10464" s="50">
        <v>372.24</v>
      </c>
      <c r="K10464" t="s">
        <v>1632</v>
      </c>
      <c r="L10464" t="s">
        <v>2709</v>
      </c>
      <c r="M10464" t="s">
        <v>1624</v>
      </c>
      <c r="N10464">
        <v>49.11</v>
      </c>
      <c r="O10464" s="49">
        <v>45108</v>
      </c>
      <c r="P10464" s="50">
        <v>167.50800000000001</v>
      </c>
    </row>
    <row r="10465" spans="4:16" x14ac:dyDescent="0.2">
      <c r="D10465">
        <v>100006276</v>
      </c>
      <c r="E10465" s="49">
        <v>44573</v>
      </c>
      <c r="F10465" t="s">
        <v>7171</v>
      </c>
      <c r="G10465" t="s">
        <v>1715</v>
      </c>
      <c r="H10465">
        <v>10</v>
      </c>
      <c r="I10465">
        <v>10.220000000000001</v>
      </c>
      <c r="J10465" s="50">
        <v>102.2</v>
      </c>
      <c r="K10465" t="s">
        <v>1632</v>
      </c>
      <c r="M10465" t="s">
        <v>1627</v>
      </c>
      <c r="N10465">
        <v>5.39</v>
      </c>
      <c r="O10465" s="49">
        <v>44577</v>
      </c>
      <c r="P10465" s="50">
        <v>45.99</v>
      </c>
    </row>
    <row r="10466" spans="4:16" x14ac:dyDescent="0.2">
      <c r="D10466">
        <v>100006276</v>
      </c>
      <c r="E10466" s="49">
        <v>45116</v>
      </c>
      <c r="F10466" t="s">
        <v>7171</v>
      </c>
      <c r="G10466" t="s">
        <v>2090</v>
      </c>
      <c r="H10466">
        <v>6</v>
      </c>
      <c r="I10466">
        <v>35.1</v>
      </c>
      <c r="J10466" s="50">
        <v>210.6</v>
      </c>
      <c r="K10466" t="s">
        <v>1632</v>
      </c>
      <c r="M10466" t="s">
        <v>1619</v>
      </c>
      <c r="N10466">
        <v>18.52</v>
      </c>
      <c r="O10466" s="49">
        <v>45118</v>
      </c>
      <c r="P10466" s="50">
        <v>94.77</v>
      </c>
    </row>
    <row r="10467" spans="4:16" x14ac:dyDescent="0.2">
      <c r="D10467">
        <v>100006279</v>
      </c>
      <c r="E10467" s="49">
        <v>44598</v>
      </c>
      <c r="F10467" t="s">
        <v>7172</v>
      </c>
      <c r="G10467" t="s">
        <v>1723</v>
      </c>
      <c r="H10467">
        <v>2</v>
      </c>
      <c r="I10467">
        <v>93.44</v>
      </c>
      <c r="J10467" s="50">
        <v>186.88</v>
      </c>
      <c r="K10467" t="s">
        <v>1618</v>
      </c>
      <c r="M10467" t="s">
        <v>1619</v>
      </c>
      <c r="N10467">
        <v>49.32</v>
      </c>
      <c r="O10467" s="49">
        <v>44603</v>
      </c>
      <c r="P10467" s="50">
        <v>84.096000000000004</v>
      </c>
    </row>
    <row r="10468" spans="4:16" x14ac:dyDescent="0.2">
      <c r="D10468">
        <v>100006281</v>
      </c>
      <c r="E10468" s="49">
        <v>45177</v>
      </c>
      <c r="F10468" t="s">
        <v>7173</v>
      </c>
      <c r="G10468" t="s">
        <v>1720</v>
      </c>
      <c r="H10468">
        <v>3</v>
      </c>
      <c r="I10468">
        <v>36.020000000000003</v>
      </c>
      <c r="J10468" s="50">
        <v>108.06</v>
      </c>
      <c r="K10468" t="s">
        <v>1632</v>
      </c>
      <c r="L10468" t="s">
        <v>2645</v>
      </c>
      <c r="M10468" t="s">
        <v>1624</v>
      </c>
      <c r="N10468">
        <v>19.010000000000002</v>
      </c>
      <c r="O10468" s="49">
        <v>45178</v>
      </c>
      <c r="P10468" s="50">
        <v>48.627000000000002</v>
      </c>
    </row>
    <row r="10469" spans="4:16" x14ac:dyDescent="0.2">
      <c r="D10469">
        <v>100006284</v>
      </c>
      <c r="E10469" s="49">
        <v>44390</v>
      </c>
      <c r="F10469" t="s">
        <v>7174</v>
      </c>
      <c r="G10469" t="s">
        <v>2168</v>
      </c>
      <c r="H10469">
        <v>3</v>
      </c>
      <c r="I10469">
        <v>15.94</v>
      </c>
      <c r="J10469" s="50">
        <v>47.82</v>
      </c>
      <c r="K10469" t="s">
        <v>1618</v>
      </c>
      <c r="L10469" t="s">
        <v>5402</v>
      </c>
      <c r="M10469" t="s">
        <v>1624</v>
      </c>
      <c r="N10469">
        <v>8.41</v>
      </c>
      <c r="O10469" s="49">
        <v>44391</v>
      </c>
      <c r="P10469" s="50">
        <v>21.519000000000002</v>
      </c>
    </row>
    <row r="10470" spans="4:16" x14ac:dyDescent="0.2">
      <c r="D10470">
        <v>100006284</v>
      </c>
      <c r="E10470" s="49">
        <v>44830</v>
      </c>
      <c r="F10470" t="s">
        <v>7174</v>
      </c>
      <c r="G10470" t="s">
        <v>1808</v>
      </c>
      <c r="H10470">
        <v>2</v>
      </c>
      <c r="I10470">
        <v>101.24</v>
      </c>
      <c r="J10470" s="50">
        <v>202.48</v>
      </c>
      <c r="K10470" t="s">
        <v>1618</v>
      </c>
      <c r="L10470" t="s">
        <v>5402</v>
      </c>
      <c r="M10470" t="s">
        <v>1624</v>
      </c>
      <c r="N10470">
        <v>53.43</v>
      </c>
      <c r="O10470" s="49">
        <v>44831</v>
      </c>
      <c r="P10470" s="50">
        <v>91.116</v>
      </c>
    </row>
    <row r="10471" spans="4:16" x14ac:dyDescent="0.2">
      <c r="D10471">
        <v>100006285</v>
      </c>
      <c r="E10471" s="49">
        <v>44604</v>
      </c>
      <c r="F10471" t="s">
        <v>7175</v>
      </c>
      <c r="G10471" t="s">
        <v>1924</v>
      </c>
      <c r="H10471">
        <v>9</v>
      </c>
      <c r="I10471">
        <v>36.880000000000003</v>
      </c>
      <c r="J10471" s="50">
        <v>331.92</v>
      </c>
      <c r="K10471" t="s">
        <v>1618</v>
      </c>
      <c r="M10471" t="s">
        <v>1624</v>
      </c>
      <c r="N10471">
        <v>19.46</v>
      </c>
      <c r="O10471" s="49">
        <v>44609</v>
      </c>
      <c r="P10471" s="50">
        <v>149.364</v>
      </c>
    </row>
    <row r="10472" spans="4:16" x14ac:dyDescent="0.2">
      <c r="D10472">
        <v>100006286</v>
      </c>
      <c r="E10472" s="49">
        <v>44553</v>
      </c>
      <c r="F10472" t="s">
        <v>7176</v>
      </c>
      <c r="G10472" t="s">
        <v>2116</v>
      </c>
      <c r="H10472">
        <v>4</v>
      </c>
      <c r="I10472">
        <v>107.82</v>
      </c>
      <c r="J10472" s="50">
        <v>431.28</v>
      </c>
      <c r="K10472" t="s">
        <v>1632</v>
      </c>
      <c r="L10472" t="s">
        <v>5318</v>
      </c>
      <c r="M10472" t="s">
        <v>1629</v>
      </c>
      <c r="N10472">
        <v>56.9</v>
      </c>
      <c r="O10472" s="49">
        <v>44556</v>
      </c>
      <c r="P10472" s="50">
        <v>194.07599999999999</v>
      </c>
    </row>
    <row r="10473" spans="4:16" x14ac:dyDescent="0.2">
      <c r="D10473">
        <v>100006287</v>
      </c>
      <c r="E10473" s="49">
        <v>44587</v>
      </c>
      <c r="F10473" t="s">
        <v>7177</v>
      </c>
      <c r="G10473" t="s">
        <v>1696</v>
      </c>
      <c r="H10473">
        <v>5</v>
      </c>
      <c r="I10473">
        <v>103.46</v>
      </c>
      <c r="J10473" s="50">
        <v>517.29999999999995</v>
      </c>
      <c r="K10473" t="s">
        <v>1632</v>
      </c>
      <c r="M10473" t="s">
        <v>1619</v>
      </c>
      <c r="N10473">
        <v>54.6</v>
      </c>
      <c r="O10473" s="49">
        <v>44590</v>
      </c>
      <c r="P10473" s="50">
        <v>232.785</v>
      </c>
    </row>
    <row r="10474" spans="4:16" x14ac:dyDescent="0.2">
      <c r="D10474">
        <v>100006287</v>
      </c>
      <c r="E10474" s="49">
        <v>44882</v>
      </c>
      <c r="F10474" t="s">
        <v>7177</v>
      </c>
      <c r="G10474" t="s">
        <v>1705</v>
      </c>
      <c r="H10474">
        <v>10</v>
      </c>
      <c r="I10474">
        <v>60.87</v>
      </c>
      <c r="J10474" s="50">
        <v>608.69999999999993</v>
      </c>
      <c r="K10474" t="s">
        <v>1632</v>
      </c>
      <c r="M10474" t="s">
        <v>1619</v>
      </c>
      <c r="N10474">
        <v>32.130000000000003</v>
      </c>
      <c r="O10474" s="49">
        <v>44887</v>
      </c>
      <c r="P10474" s="50">
        <v>273.91499999999996</v>
      </c>
    </row>
    <row r="10475" spans="4:16" x14ac:dyDescent="0.2">
      <c r="D10475">
        <v>100006287</v>
      </c>
      <c r="E10475" s="49">
        <v>45089</v>
      </c>
      <c r="F10475" t="s">
        <v>7177</v>
      </c>
      <c r="G10475" t="s">
        <v>1971</v>
      </c>
      <c r="H10475">
        <v>9</v>
      </c>
      <c r="I10475">
        <v>96.23</v>
      </c>
      <c r="J10475" s="50">
        <v>866.07</v>
      </c>
      <c r="K10475" t="s">
        <v>1632</v>
      </c>
      <c r="M10475" t="s">
        <v>1624</v>
      </c>
      <c r="N10475">
        <v>50.79</v>
      </c>
      <c r="O10475" s="49">
        <v>45090</v>
      </c>
      <c r="P10475" s="50">
        <v>389.73150000000004</v>
      </c>
    </row>
    <row r="10476" spans="4:16" x14ac:dyDescent="0.2">
      <c r="D10476">
        <v>100006288</v>
      </c>
      <c r="E10476" s="49">
        <v>44564</v>
      </c>
      <c r="F10476" t="s">
        <v>7178</v>
      </c>
      <c r="G10476" t="s">
        <v>2698</v>
      </c>
      <c r="H10476">
        <v>10</v>
      </c>
      <c r="I10476">
        <v>47.4</v>
      </c>
      <c r="J10476" s="50">
        <v>474</v>
      </c>
      <c r="K10476" t="s">
        <v>1632</v>
      </c>
      <c r="L10476" t="s">
        <v>5811</v>
      </c>
      <c r="M10476" t="s">
        <v>1624</v>
      </c>
      <c r="N10476">
        <v>25.02</v>
      </c>
      <c r="O10476" s="49">
        <v>44567</v>
      </c>
      <c r="P10476" s="50">
        <v>213.3</v>
      </c>
    </row>
    <row r="10477" spans="4:16" x14ac:dyDescent="0.2">
      <c r="D10477">
        <v>100006289</v>
      </c>
      <c r="E10477" s="49">
        <v>45399</v>
      </c>
      <c r="F10477" t="s">
        <v>7179</v>
      </c>
      <c r="G10477" t="s">
        <v>2159</v>
      </c>
      <c r="H10477">
        <v>5</v>
      </c>
      <c r="I10477">
        <v>77.11</v>
      </c>
      <c r="J10477" s="50">
        <v>385.55</v>
      </c>
      <c r="K10477" t="s">
        <v>1632</v>
      </c>
      <c r="M10477" t="s">
        <v>1629</v>
      </c>
      <c r="N10477">
        <v>40.700000000000003</v>
      </c>
      <c r="O10477" s="49">
        <v>45404</v>
      </c>
      <c r="P10477" s="50">
        <v>173.4975</v>
      </c>
    </row>
    <row r="10478" spans="4:16" x14ac:dyDescent="0.2">
      <c r="D10478">
        <v>100006290</v>
      </c>
      <c r="E10478" s="49">
        <v>44707</v>
      </c>
      <c r="F10478" t="s">
        <v>7180</v>
      </c>
      <c r="G10478" t="s">
        <v>1815</v>
      </c>
      <c r="H10478">
        <v>6</v>
      </c>
      <c r="I10478">
        <v>42.17</v>
      </c>
      <c r="J10478" s="50">
        <v>253.02</v>
      </c>
      <c r="K10478" t="s">
        <v>1618</v>
      </c>
      <c r="M10478" t="s">
        <v>1627</v>
      </c>
      <c r="N10478">
        <v>22.26</v>
      </c>
      <c r="O10478" s="49">
        <v>44709</v>
      </c>
      <c r="P10478" s="50">
        <v>113.85900000000001</v>
      </c>
    </row>
    <row r="10479" spans="4:16" x14ac:dyDescent="0.2">
      <c r="D10479">
        <v>100006291</v>
      </c>
      <c r="E10479" s="49">
        <v>45000</v>
      </c>
      <c r="F10479" t="s">
        <v>4740</v>
      </c>
      <c r="G10479" t="s">
        <v>1743</v>
      </c>
      <c r="H10479">
        <v>9</v>
      </c>
      <c r="I10479">
        <v>49.83</v>
      </c>
      <c r="J10479" s="50">
        <v>448.47</v>
      </c>
      <c r="K10479" t="s">
        <v>1618</v>
      </c>
      <c r="M10479" t="s">
        <v>1629</v>
      </c>
      <c r="N10479">
        <v>26.3</v>
      </c>
      <c r="O10479" s="49">
        <v>45002</v>
      </c>
      <c r="P10479" s="50">
        <v>201.81150000000002</v>
      </c>
    </row>
    <row r="10480" spans="4:16" x14ac:dyDescent="0.2">
      <c r="D10480">
        <v>100006291</v>
      </c>
      <c r="E10480" s="49">
        <v>45114</v>
      </c>
      <c r="F10480" t="s">
        <v>4740</v>
      </c>
      <c r="G10480" t="s">
        <v>1646</v>
      </c>
      <c r="H10480">
        <v>8</v>
      </c>
      <c r="I10480">
        <v>16.43</v>
      </c>
      <c r="J10480" s="50">
        <v>131.44</v>
      </c>
      <c r="K10480" t="s">
        <v>1618</v>
      </c>
      <c r="M10480" t="s">
        <v>1624</v>
      </c>
      <c r="N10480">
        <v>8.67</v>
      </c>
      <c r="O10480" s="49">
        <v>45115</v>
      </c>
      <c r="P10480" s="50">
        <v>59.148000000000003</v>
      </c>
    </row>
    <row r="10481" spans="4:16" x14ac:dyDescent="0.2">
      <c r="D10481">
        <v>100006291</v>
      </c>
      <c r="E10481" s="49">
        <v>44571</v>
      </c>
      <c r="F10481" t="s">
        <v>4740</v>
      </c>
      <c r="G10481" t="s">
        <v>1781</v>
      </c>
      <c r="H10481">
        <v>5</v>
      </c>
      <c r="I10481">
        <v>101.14</v>
      </c>
      <c r="J10481" s="50">
        <v>505.7</v>
      </c>
      <c r="K10481" t="s">
        <v>1618</v>
      </c>
      <c r="M10481" t="s">
        <v>1629</v>
      </c>
      <c r="N10481">
        <v>53.38</v>
      </c>
      <c r="O10481" s="49">
        <v>44573</v>
      </c>
      <c r="P10481" s="50">
        <v>227.565</v>
      </c>
    </row>
    <row r="10482" spans="4:16" x14ac:dyDescent="0.2">
      <c r="D10482">
        <v>100006291</v>
      </c>
      <c r="E10482" s="49">
        <v>44866</v>
      </c>
      <c r="F10482" t="s">
        <v>4740</v>
      </c>
      <c r="G10482" t="s">
        <v>1976</v>
      </c>
      <c r="H10482">
        <v>6</v>
      </c>
      <c r="I10482">
        <v>57.31</v>
      </c>
      <c r="J10482" s="50">
        <v>343.86</v>
      </c>
      <c r="K10482" t="s">
        <v>1618</v>
      </c>
      <c r="M10482" t="s">
        <v>1619</v>
      </c>
      <c r="N10482">
        <v>30.25</v>
      </c>
      <c r="O10482" s="49">
        <v>44870</v>
      </c>
      <c r="P10482" s="50">
        <v>154.73700000000002</v>
      </c>
    </row>
    <row r="10483" spans="4:16" x14ac:dyDescent="0.2">
      <c r="D10483">
        <v>100006291</v>
      </c>
      <c r="E10483" s="49">
        <v>44588</v>
      </c>
      <c r="F10483" t="s">
        <v>4740</v>
      </c>
      <c r="G10483" t="s">
        <v>1639</v>
      </c>
      <c r="H10483">
        <v>2</v>
      </c>
      <c r="I10483">
        <v>90.3</v>
      </c>
      <c r="J10483" s="50">
        <v>180.6</v>
      </c>
      <c r="K10483" t="s">
        <v>1618</v>
      </c>
      <c r="M10483" t="s">
        <v>1619</v>
      </c>
      <c r="N10483">
        <v>47.66</v>
      </c>
      <c r="O10483" s="49">
        <v>44591</v>
      </c>
      <c r="P10483" s="50">
        <v>81.27</v>
      </c>
    </row>
    <row r="10484" spans="4:16" x14ac:dyDescent="0.2">
      <c r="D10484">
        <v>100006291</v>
      </c>
      <c r="E10484" s="49">
        <v>44574</v>
      </c>
      <c r="F10484" t="s">
        <v>4740</v>
      </c>
      <c r="G10484" t="s">
        <v>2372</v>
      </c>
      <c r="H10484">
        <v>6</v>
      </c>
      <c r="I10484">
        <v>87.86</v>
      </c>
      <c r="J10484" s="50">
        <v>527.16</v>
      </c>
      <c r="K10484" t="s">
        <v>1618</v>
      </c>
      <c r="M10484" t="s">
        <v>1621</v>
      </c>
      <c r="N10484">
        <v>46.37</v>
      </c>
      <c r="O10484" s="49">
        <v>44576</v>
      </c>
      <c r="P10484" s="50">
        <v>237.22199999999998</v>
      </c>
    </row>
    <row r="10485" spans="4:16" x14ac:dyDescent="0.2">
      <c r="D10485">
        <v>100006291</v>
      </c>
      <c r="E10485" s="49">
        <v>45501</v>
      </c>
      <c r="F10485" t="s">
        <v>4740</v>
      </c>
      <c r="G10485" t="s">
        <v>2633</v>
      </c>
      <c r="H10485">
        <v>2</v>
      </c>
      <c r="I10485">
        <v>77.67</v>
      </c>
      <c r="J10485" s="50">
        <v>155.34</v>
      </c>
      <c r="K10485" t="s">
        <v>1618</v>
      </c>
      <c r="M10485" t="s">
        <v>1619</v>
      </c>
      <c r="N10485">
        <v>40.99</v>
      </c>
      <c r="O10485" s="49">
        <v>45504</v>
      </c>
      <c r="P10485" s="50">
        <v>69.903000000000006</v>
      </c>
    </row>
    <row r="10486" spans="4:16" x14ac:dyDescent="0.2">
      <c r="D10486">
        <v>100006291</v>
      </c>
      <c r="E10486" s="49">
        <v>44457</v>
      </c>
      <c r="F10486" t="s">
        <v>4740</v>
      </c>
      <c r="G10486" t="s">
        <v>2706</v>
      </c>
      <c r="H10486">
        <v>10</v>
      </c>
      <c r="I10486">
        <v>42.2</v>
      </c>
      <c r="J10486" s="50">
        <v>422</v>
      </c>
      <c r="K10486" t="s">
        <v>1618</v>
      </c>
      <c r="M10486" t="s">
        <v>1619</v>
      </c>
      <c r="N10486">
        <v>22.27</v>
      </c>
      <c r="O10486" s="49">
        <v>44462</v>
      </c>
      <c r="P10486" s="50">
        <v>189.9</v>
      </c>
    </row>
    <row r="10487" spans="4:16" x14ac:dyDescent="0.2">
      <c r="D10487">
        <v>100006291</v>
      </c>
      <c r="E10487" s="49">
        <v>44280</v>
      </c>
      <c r="F10487" t="s">
        <v>4740</v>
      </c>
      <c r="G10487" t="s">
        <v>2028</v>
      </c>
      <c r="H10487">
        <v>10</v>
      </c>
      <c r="I10487">
        <v>12.82</v>
      </c>
      <c r="J10487" s="50">
        <v>128.19999999999999</v>
      </c>
      <c r="K10487" t="s">
        <v>1618</v>
      </c>
      <c r="M10487" t="s">
        <v>1627</v>
      </c>
      <c r="N10487">
        <v>6.77</v>
      </c>
      <c r="O10487" s="49">
        <v>44284</v>
      </c>
      <c r="P10487" s="50">
        <v>57.69</v>
      </c>
    </row>
    <row r="10488" spans="4:16" x14ac:dyDescent="0.2">
      <c r="D10488">
        <v>100006291</v>
      </c>
      <c r="E10488" s="49">
        <v>45521</v>
      </c>
      <c r="F10488" t="s">
        <v>4740</v>
      </c>
      <c r="G10488" t="s">
        <v>2076</v>
      </c>
      <c r="H10488">
        <v>2</v>
      </c>
      <c r="I10488">
        <v>108.02</v>
      </c>
      <c r="J10488" s="50">
        <v>216.04</v>
      </c>
      <c r="K10488" t="s">
        <v>1618</v>
      </c>
      <c r="M10488" t="s">
        <v>1621</v>
      </c>
      <c r="N10488">
        <v>57.01</v>
      </c>
      <c r="O10488" s="49">
        <v>45525</v>
      </c>
      <c r="P10488" s="50">
        <v>97.218000000000004</v>
      </c>
    </row>
    <row r="10489" spans="4:16" x14ac:dyDescent="0.2">
      <c r="D10489">
        <v>100006293</v>
      </c>
      <c r="E10489" s="49">
        <v>45103</v>
      </c>
      <c r="F10489" t="s">
        <v>7181</v>
      </c>
      <c r="G10489" t="s">
        <v>2068</v>
      </c>
      <c r="H10489">
        <v>7</v>
      </c>
      <c r="I10489">
        <v>76.88</v>
      </c>
      <c r="J10489" s="50">
        <v>538.16</v>
      </c>
      <c r="K10489" t="s">
        <v>1618</v>
      </c>
      <c r="M10489" t="s">
        <v>1624</v>
      </c>
      <c r="N10489">
        <v>40.58</v>
      </c>
      <c r="O10489" s="49">
        <v>45104</v>
      </c>
      <c r="P10489" s="50">
        <v>242.172</v>
      </c>
    </row>
    <row r="10490" spans="4:16" x14ac:dyDescent="0.2">
      <c r="D10490">
        <v>100006294</v>
      </c>
      <c r="E10490" s="49">
        <v>44810</v>
      </c>
      <c r="F10490" t="s">
        <v>7182</v>
      </c>
      <c r="G10490" t="s">
        <v>2485</v>
      </c>
      <c r="H10490">
        <v>1</v>
      </c>
      <c r="I10490">
        <v>32.159999999999997</v>
      </c>
      <c r="J10490" s="50">
        <v>32.159999999999997</v>
      </c>
      <c r="K10490" t="s">
        <v>1618</v>
      </c>
      <c r="M10490" t="s">
        <v>1621</v>
      </c>
      <c r="N10490">
        <v>16.97</v>
      </c>
      <c r="O10490" s="49">
        <v>44814</v>
      </c>
      <c r="P10490" s="50">
        <v>14.472</v>
      </c>
    </row>
    <row r="10491" spans="4:16" x14ac:dyDescent="0.2">
      <c r="D10491">
        <v>100006294</v>
      </c>
      <c r="E10491" s="49">
        <v>44496</v>
      </c>
      <c r="F10491" t="s">
        <v>7182</v>
      </c>
      <c r="G10491" t="s">
        <v>1855</v>
      </c>
      <c r="H10491">
        <v>3</v>
      </c>
      <c r="I10491">
        <v>44.18</v>
      </c>
      <c r="J10491" s="50">
        <v>132.54</v>
      </c>
      <c r="K10491" t="s">
        <v>1618</v>
      </c>
      <c r="M10491" t="s">
        <v>1627</v>
      </c>
      <c r="N10491">
        <v>23.32</v>
      </c>
      <c r="O10491" s="49">
        <v>44497</v>
      </c>
      <c r="P10491" s="50">
        <v>59.643000000000001</v>
      </c>
    </row>
    <row r="10492" spans="4:16" x14ac:dyDescent="0.2">
      <c r="D10492">
        <v>100006294</v>
      </c>
      <c r="E10492" s="49">
        <v>44252</v>
      </c>
      <c r="F10492" t="s">
        <v>7182</v>
      </c>
      <c r="G10492" t="s">
        <v>2263</v>
      </c>
      <c r="H10492">
        <v>5</v>
      </c>
      <c r="I10492">
        <v>32.83</v>
      </c>
      <c r="J10492" s="50">
        <v>164.15</v>
      </c>
      <c r="K10492" t="s">
        <v>1618</v>
      </c>
      <c r="M10492" t="s">
        <v>1629</v>
      </c>
      <c r="N10492">
        <v>17.329999999999998</v>
      </c>
      <c r="O10492" s="49">
        <v>44253</v>
      </c>
      <c r="P10492" s="50">
        <v>73.867500000000007</v>
      </c>
    </row>
    <row r="10493" spans="4:16" x14ac:dyDescent="0.2">
      <c r="D10493">
        <v>100006294</v>
      </c>
      <c r="E10493" s="49">
        <v>45185</v>
      </c>
      <c r="F10493" t="s">
        <v>7182</v>
      </c>
      <c r="G10493" t="s">
        <v>1846</v>
      </c>
      <c r="H10493">
        <v>9</v>
      </c>
      <c r="I10493">
        <v>40.97</v>
      </c>
      <c r="J10493" s="50">
        <v>368.73</v>
      </c>
      <c r="K10493" t="s">
        <v>1618</v>
      </c>
      <c r="M10493" t="s">
        <v>1627</v>
      </c>
      <c r="N10493">
        <v>21.62</v>
      </c>
      <c r="O10493" s="49">
        <v>45187</v>
      </c>
      <c r="P10493" s="50">
        <v>165.92850000000001</v>
      </c>
    </row>
    <row r="10494" spans="4:16" x14ac:dyDescent="0.2">
      <c r="D10494">
        <v>100006294</v>
      </c>
      <c r="E10494" s="49">
        <v>45098</v>
      </c>
      <c r="F10494" t="s">
        <v>7182</v>
      </c>
      <c r="G10494" t="s">
        <v>2571</v>
      </c>
      <c r="H10494">
        <v>9</v>
      </c>
      <c r="I10494">
        <v>19.88</v>
      </c>
      <c r="J10494" s="50">
        <v>178.92</v>
      </c>
      <c r="K10494" t="s">
        <v>1618</v>
      </c>
      <c r="M10494" t="s">
        <v>1629</v>
      </c>
      <c r="N10494">
        <v>10.49</v>
      </c>
      <c r="O10494" s="49">
        <v>45100</v>
      </c>
      <c r="P10494" s="50">
        <v>80.513999999999996</v>
      </c>
    </row>
    <row r="10495" spans="4:16" x14ac:dyDescent="0.2">
      <c r="D10495">
        <v>100006294</v>
      </c>
      <c r="E10495" s="49">
        <v>45607</v>
      </c>
      <c r="F10495" t="s">
        <v>7182</v>
      </c>
      <c r="G10495" t="s">
        <v>1674</v>
      </c>
      <c r="H10495">
        <v>10</v>
      </c>
      <c r="I10495">
        <v>91.12</v>
      </c>
      <c r="J10495" s="50">
        <v>911.2</v>
      </c>
      <c r="K10495" t="s">
        <v>1618</v>
      </c>
      <c r="M10495" t="s">
        <v>1624</v>
      </c>
      <c r="N10495">
        <v>48.09</v>
      </c>
      <c r="O10495" s="49">
        <v>45609</v>
      </c>
      <c r="P10495" s="50">
        <v>410.04</v>
      </c>
    </row>
    <row r="10496" spans="4:16" x14ac:dyDescent="0.2">
      <c r="D10496">
        <v>100006294</v>
      </c>
      <c r="E10496" s="49">
        <v>44461</v>
      </c>
      <c r="F10496" t="s">
        <v>7182</v>
      </c>
      <c r="G10496" t="s">
        <v>1658</v>
      </c>
      <c r="H10496">
        <v>9</v>
      </c>
      <c r="I10496">
        <v>47.52</v>
      </c>
      <c r="J10496" s="50">
        <v>427.68</v>
      </c>
      <c r="K10496" t="s">
        <v>1618</v>
      </c>
      <c r="M10496" t="s">
        <v>1627</v>
      </c>
      <c r="N10496">
        <v>25.08</v>
      </c>
      <c r="O10496" s="49">
        <v>44466</v>
      </c>
      <c r="P10496" s="50">
        <v>192.45600000000002</v>
      </c>
    </row>
    <row r="10497" spans="4:16" x14ac:dyDescent="0.2">
      <c r="D10497">
        <v>100006296</v>
      </c>
      <c r="E10497" s="49">
        <v>45419</v>
      </c>
      <c r="F10497" t="s">
        <v>7183</v>
      </c>
      <c r="G10497" t="s">
        <v>2706</v>
      </c>
      <c r="H10497">
        <v>8</v>
      </c>
      <c r="I10497">
        <v>94.1</v>
      </c>
      <c r="J10497" s="50">
        <v>752.8</v>
      </c>
      <c r="K10497" t="s">
        <v>1632</v>
      </c>
      <c r="M10497" t="s">
        <v>1629</v>
      </c>
      <c r="N10497">
        <v>49.66</v>
      </c>
      <c r="O10497" s="49">
        <v>45422</v>
      </c>
      <c r="P10497" s="50">
        <v>338.76</v>
      </c>
    </row>
    <row r="10498" spans="4:16" x14ac:dyDescent="0.2">
      <c r="D10498">
        <v>100006297</v>
      </c>
      <c r="E10498" s="49">
        <v>45003</v>
      </c>
      <c r="F10498" t="s">
        <v>7184</v>
      </c>
      <c r="G10498" t="s">
        <v>1714</v>
      </c>
      <c r="H10498">
        <v>3</v>
      </c>
      <c r="I10498">
        <v>56.72</v>
      </c>
      <c r="J10498" s="50">
        <v>170.16</v>
      </c>
      <c r="K10498" t="s">
        <v>1618</v>
      </c>
      <c r="M10498" t="s">
        <v>1624</v>
      </c>
      <c r="N10498">
        <v>29.94</v>
      </c>
      <c r="O10498" s="49">
        <v>45007</v>
      </c>
      <c r="P10498" s="50">
        <v>76.572000000000003</v>
      </c>
    </row>
    <row r="10499" spans="4:16" x14ac:dyDescent="0.2">
      <c r="D10499">
        <v>100006297</v>
      </c>
      <c r="E10499" s="49">
        <v>44213</v>
      </c>
      <c r="F10499" t="s">
        <v>7184</v>
      </c>
      <c r="G10499" t="s">
        <v>2191</v>
      </c>
      <c r="H10499">
        <v>9</v>
      </c>
      <c r="I10499">
        <v>94.57</v>
      </c>
      <c r="J10499" s="50">
        <v>851.12999999999988</v>
      </c>
      <c r="K10499" t="s">
        <v>1618</v>
      </c>
      <c r="M10499" t="s">
        <v>1629</v>
      </c>
      <c r="N10499">
        <v>49.91</v>
      </c>
      <c r="O10499" s="49">
        <v>44215</v>
      </c>
      <c r="P10499" s="50">
        <v>383.00849999999997</v>
      </c>
    </row>
    <row r="10500" spans="4:16" x14ac:dyDescent="0.2">
      <c r="D10500">
        <v>100006297</v>
      </c>
      <c r="E10500" s="49">
        <v>45181</v>
      </c>
      <c r="F10500" t="s">
        <v>7184</v>
      </c>
      <c r="G10500" t="s">
        <v>1921</v>
      </c>
      <c r="H10500">
        <v>6</v>
      </c>
      <c r="I10500">
        <v>34.700000000000003</v>
      </c>
      <c r="J10500" s="50">
        <v>208.2</v>
      </c>
      <c r="K10500" t="s">
        <v>1618</v>
      </c>
      <c r="M10500" t="s">
        <v>1629</v>
      </c>
      <c r="N10500">
        <v>18.309999999999999</v>
      </c>
      <c r="O10500" s="49">
        <v>45185</v>
      </c>
      <c r="P10500" s="50">
        <v>93.69</v>
      </c>
    </row>
    <row r="10501" spans="4:16" x14ac:dyDescent="0.2">
      <c r="D10501">
        <v>100006297</v>
      </c>
      <c r="E10501" s="49">
        <v>44383</v>
      </c>
      <c r="F10501" t="s">
        <v>7184</v>
      </c>
      <c r="G10501" t="s">
        <v>1859</v>
      </c>
      <c r="H10501">
        <v>1</v>
      </c>
      <c r="I10501">
        <v>32.89</v>
      </c>
      <c r="J10501" s="50">
        <v>32.89</v>
      </c>
      <c r="K10501" t="s">
        <v>1618</v>
      </c>
      <c r="M10501" t="s">
        <v>1624</v>
      </c>
      <c r="N10501">
        <v>17.36</v>
      </c>
      <c r="O10501" s="49">
        <v>44386</v>
      </c>
      <c r="P10501" s="50">
        <v>14.800500000000001</v>
      </c>
    </row>
    <row r="10502" spans="4:16" x14ac:dyDescent="0.2">
      <c r="D10502">
        <v>100006298</v>
      </c>
      <c r="E10502" s="49">
        <v>44646</v>
      </c>
      <c r="F10502" t="s">
        <v>7185</v>
      </c>
      <c r="G10502" t="s">
        <v>2121</v>
      </c>
      <c r="H10502">
        <v>1</v>
      </c>
      <c r="I10502">
        <v>13.98</v>
      </c>
      <c r="J10502" s="50">
        <v>13.98</v>
      </c>
      <c r="K10502" t="s">
        <v>1632</v>
      </c>
      <c r="M10502" t="s">
        <v>1619</v>
      </c>
      <c r="N10502">
        <v>7.38</v>
      </c>
      <c r="O10502" s="49">
        <v>44648</v>
      </c>
      <c r="P10502" s="50">
        <v>6.2910000000000004</v>
      </c>
    </row>
    <row r="10503" spans="4:16" x14ac:dyDescent="0.2">
      <c r="D10503">
        <v>100006298</v>
      </c>
      <c r="E10503" s="49">
        <v>45391</v>
      </c>
      <c r="F10503" t="s">
        <v>7185</v>
      </c>
      <c r="G10503" t="s">
        <v>1730</v>
      </c>
      <c r="H10503">
        <v>1</v>
      </c>
      <c r="I10503">
        <v>57.53</v>
      </c>
      <c r="J10503" s="50">
        <v>57.53</v>
      </c>
      <c r="K10503" t="s">
        <v>1632</v>
      </c>
      <c r="M10503" t="s">
        <v>1627</v>
      </c>
      <c r="N10503">
        <v>30.36</v>
      </c>
      <c r="O10503" s="49">
        <v>45396</v>
      </c>
      <c r="P10503" s="50">
        <v>25.888500000000001</v>
      </c>
    </row>
    <row r="10504" spans="4:16" x14ac:dyDescent="0.2">
      <c r="D10504">
        <v>100006301</v>
      </c>
      <c r="E10504" s="49">
        <v>44375</v>
      </c>
      <c r="F10504" t="s">
        <v>7186</v>
      </c>
      <c r="G10504" t="s">
        <v>1717</v>
      </c>
      <c r="H10504">
        <v>2</v>
      </c>
      <c r="I10504">
        <v>49.83</v>
      </c>
      <c r="J10504" s="50">
        <v>99.66</v>
      </c>
      <c r="K10504" t="s">
        <v>1618</v>
      </c>
      <c r="L10504" t="s">
        <v>7187</v>
      </c>
      <c r="M10504" t="s">
        <v>1619</v>
      </c>
      <c r="N10504">
        <v>26.3</v>
      </c>
      <c r="O10504" s="49">
        <v>44376</v>
      </c>
      <c r="P10504" s="50">
        <v>44.847000000000001</v>
      </c>
    </row>
    <row r="10505" spans="4:16" x14ac:dyDescent="0.2">
      <c r="D10505">
        <v>100006301</v>
      </c>
      <c r="E10505" s="49">
        <v>44596</v>
      </c>
      <c r="F10505" t="s">
        <v>7186</v>
      </c>
      <c r="G10505" t="s">
        <v>1658</v>
      </c>
      <c r="H10505">
        <v>5</v>
      </c>
      <c r="I10505">
        <v>70.959999999999994</v>
      </c>
      <c r="J10505" s="50">
        <v>354.8</v>
      </c>
      <c r="K10505" t="s">
        <v>1618</v>
      </c>
      <c r="L10505" t="s">
        <v>7187</v>
      </c>
      <c r="M10505" t="s">
        <v>1624</v>
      </c>
      <c r="N10505">
        <v>37.450000000000003</v>
      </c>
      <c r="O10505" s="49">
        <v>44597</v>
      </c>
      <c r="P10505" s="50">
        <v>159.66</v>
      </c>
    </row>
    <row r="10506" spans="4:16" x14ac:dyDescent="0.2">
      <c r="D10506">
        <v>100006301</v>
      </c>
      <c r="E10506" s="49">
        <v>44596</v>
      </c>
      <c r="F10506" t="s">
        <v>7186</v>
      </c>
      <c r="G10506" t="s">
        <v>1781</v>
      </c>
      <c r="H10506">
        <v>5</v>
      </c>
      <c r="I10506">
        <v>84.97</v>
      </c>
      <c r="J10506" s="50">
        <v>424.85</v>
      </c>
      <c r="K10506" t="s">
        <v>1618</v>
      </c>
      <c r="L10506" t="s">
        <v>7187</v>
      </c>
      <c r="M10506" t="s">
        <v>1624</v>
      </c>
      <c r="N10506">
        <v>44.84</v>
      </c>
      <c r="O10506" s="49">
        <v>44599</v>
      </c>
      <c r="P10506" s="50">
        <v>191.1825</v>
      </c>
    </row>
    <row r="10507" spans="4:16" x14ac:dyDescent="0.2">
      <c r="D10507">
        <v>100006304</v>
      </c>
      <c r="E10507" s="49">
        <v>44701</v>
      </c>
      <c r="F10507" t="s">
        <v>7188</v>
      </c>
      <c r="G10507" t="s">
        <v>2337</v>
      </c>
      <c r="H10507">
        <v>5</v>
      </c>
      <c r="I10507">
        <v>92.43</v>
      </c>
      <c r="J10507" s="50">
        <v>462.15</v>
      </c>
      <c r="K10507" t="s">
        <v>1618</v>
      </c>
      <c r="M10507" t="s">
        <v>1619</v>
      </c>
      <c r="N10507">
        <v>48.78</v>
      </c>
      <c r="O10507" s="49">
        <v>44704</v>
      </c>
      <c r="P10507" s="50">
        <v>207.9675</v>
      </c>
    </row>
    <row r="10508" spans="4:16" x14ac:dyDescent="0.2">
      <c r="D10508">
        <v>100006305</v>
      </c>
      <c r="E10508" s="49">
        <v>44726</v>
      </c>
      <c r="F10508" t="s">
        <v>7189</v>
      </c>
      <c r="G10508" t="s">
        <v>2291</v>
      </c>
      <c r="H10508">
        <v>5</v>
      </c>
      <c r="I10508">
        <v>118.61</v>
      </c>
      <c r="J10508" s="50">
        <v>593.04999999999995</v>
      </c>
      <c r="K10508" t="s">
        <v>1618</v>
      </c>
      <c r="M10508" t="s">
        <v>1619</v>
      </c>
      <c r="N10508">
        <v>62.6</v>
      </c>
      <c r="O10508" s="49">
        <v>44730</v>
      </c>
      <c r="P10508" s="50">
        <v>266.8725</v>
      </c>
    </row>
    <row r="10509" spans="4:16" x14ac:dyDescent="0.2">
      <c r="D10509">
        <v>100006308</v>
      </c>
      <c r="E10509" s="49">
        <v>44406</v>
      </c>
      <c r="F10509" t="s">
        <v>7190</v>
      </c>
      <c r="G10509" t="s">
        <v>1819</v>
      </c>
      <c r="H10509">
        <v>8</v>
      </c>
      <c r="I10509">
        <v>93.39</v>
      </c>
      <c r="J10509" s="50">
        <v>747.12</v>
      </c>
      <c r="K10509" t="s">
        <v>1618</v>
      </c>
      <c r="L10509" t="s">
        <v>2989</v>
      </c>
      <c r="M10509" t="s">
        <v>1624</v>
      </c>
      <c r="N10509">
        <v>49.29</v>
      </c>
      <c r="O10509" s="49">
        <v>44410</v>
      </c>
      <c r="P10509" s="50">
        <v>336.20400000000001</v>
      </c>
    </row>
    <row r="10510" spans="4:16" x14ac:dyDescent="0.2">
      <c r="D10510">
        <v>100006308</v>
      </c>
      <c r="E10510" s="49">
        <v>45497</v>
      </c>
      <c r="F10510" t="s">
        <v>7190</v>
      </c>
      <c r="G10510" t="s">
        <v>1756</v>
      </c>
      <c r="H10510">
        <v>2</v>
      </c>
      <c r="I10510">
        <v>117.56</v>
      </c>
      <c r="J10510" s="50">
        <v>235.12</v>
      </c>
      <c r="K10510" t="s">
        <v>1618</v>
      </c>
      <c r="L10510" t="s">
        <v>2989</v>
      </c>
      <c r="M10510" t="s">
        <v>1624</v>
      </c>
      <c r="N10510">
        <v>62.05</v>
      </c>
      <c r="O10510" s="49">
        <v>45500</v>
      </c>
      <c r="P10510" s="50">
        <v>105.804</v>
      </c>
    </row>
    <row r="10511" spans="4:16" x14ac:dyDescent="0.2">
      <c r="D10511">
        <v>100006308</v>
      </c>
      <c r="E10511" s="49">
        <v>45233</v>
      </c>
      <c r="F10511" t="s">
        <v>7190</v>
      </c>
      <c r="G10511" t="s">
        <v>2039</v>
      </c>
      <c r="H10511">
        <v>4</v>
      </c>
      <c r="I10511">
        <v>104.04</v>
      </c>
      <c r="J10511" s="50">
        <v>416.16</v>
      </c>
      <c r="K10511" t="s">
        <v>1618</v>
      </c>
      <c r="L10511" t="s">
        <v>2989</v>
      </c>
      <c r="M10511" t="s">
        <v>1621</v>
      </c>
      <c r="N10511">
        <v>54.91</v>
      </c>
      <c r="O10511" s="49">
        <v>45238</v>
      </c>
      <c r="P10511" s="50">
        <v>187.27200000000002</v>
      </c>
    </row>
    <row r="10512" spans="4:16" x14ac:dyDescent="0.2">
      <c r="D10512">
        <v>100006309</v>
      </c>
      <c r="E10512" s="49">
        <v>45166</v>
      </c>
      <c r="F10512" t="s">
        <v>7191</v>
      </c>
      <c r="G10512" t="s">
        <v>1634</v>
      </c>
      <c r="H10512">
        <v>1</v>
      </c>
      <c r="I10512">
        <v>108.99</v>
      </c>
      <c r="J10512" s="50">
        <v>108.99</v>
      </c>
      <c r="K10512" t="s">
        <v>1618</v>
      </c>
      <c r="L10512" t="s">
        <v>7192</v>
      </c>
      <c r="M10512" t="s">
        <v>1627</v>
      </c>
      <c r="N10512">
        <v>57.52</v>
      </c>
      <c r="O10512" s="49">
        <v>45169</v>
      </c>
      <c r="P10512" s="50">
        <v>49.045499999999997</v>
      </c>
    </row>
    <row r="10513" spans="4:16" x14ac:dyDescent="0.2">
      <c r="D10513">
        <v>100006310</v>
      </c>
      <c r="E10513" s="49">
        <v>44810</v>
      </c>
      <c r="F10513" t="s">
        <v>7193</v>
      </c>
      <c r="G10513" t="s">
        <v>1856</v>
      </c>
      <c r="H10513">
        <v>8</v>
      </c>
      <c r="I10513">
        <v>12.91</v>
      </c>
      <c r="J10513" s="50">
        <v>103.28</v>
      </c>
      <c r="K10513" t="s">
        <v>1632</v>
      </c>
      <c r="M10513" t="s">
        <v>1621</v>
      </c>
      <c r="N10513">
        <v>6.81</v>
      </c>
      <c r="O10513" s="49">
        <v>44813</v>
      </c>
      <c r="P10513" s="50">
        <v>46.475999999999999</v>
      </c>
    </row>
    <row r="10514" spans="4:16" x14ac:dyDescent="0.2">
      <c r="D10514">
        <v>100006310</v>
      </c>
      <c r="E10514" s="49">
        <v>45309</v>
      </c>
      <c r="F10514" t="s">
        <v>7193</v>
      </c>
      <c r="G10514" t="s">
        <v>1752</v>
      </c>
      <c r="H10514">
        <v>8</v>
      </c>
      <c r="I10514">
        <v>117.61</v>
      </c>
      <c r="J10514" s="50">
        <v>940.88</v>
      </c>
      <c r="K10514" t="s">
        <v>1632</v>
      </c>
      <c r="M10514" t="s">
        <v>1627</v>
      </c>
      <c r="N10514">
        <v>62.07</v>
      </c>
      <c r="O10514" s="49">
        <v>45310</v>
      </c>
      <c r="P10514" s="50">
        <v>423.39600000000002</v>
      </c>
    </row>
    <row r="10515" spans="4:16" x14ac:dyDescent="0.2">
      <c r="D10515">
        <v>100006310</v>
      </c>
      <c r="E10515" s="49">
        <v>45377</v>
      </c>
      <c r="F10515" t="s">
        <v>7193</v>
      </c>
      <c r="G10515" t="s">
        <v>1918</v>
      </c>
      <c r="H10515">
        <v>4</v>
      </c>
      <c r="I10515">
        <v>83.12</v>
      </c>
      <c r="J10515" s="50">
        <v>332.48</v>
      </c>
      <c r="K10515" t="s">
        <v>1632</v>
      </c>
      <c r="M10515" t="s">
        <v>1629</v>
      </c>
      <c r="N10515">
        <v>43.87</v>
      </c>
      <c r="O10515" s="49">
        <v>45381</v>
      </c>
      <c r="P10515" s="50">
        <v>149.61600000000001</v>
      </c>
    </row>
    <row r="10516" spans="4:16" x14ac:dyDescent="0.2">
      <c r="D10516">
        <v>100006310</v>
      </c>
      <c r="E10516" s="49">
        <v>45494</v>
      </c>
      <c r="F10516" t="s">
        <v>7193</v>
      </c>
      <c r="G10516" t="s">
        <v>2024</v>
      </c>
      <c r="H10516">
        <v>4</v>
      </c>
      <c r="I10516">
        <v>99.91</v>
      </c>
      <c r="J10516" s="50">
        <v>399.64</v>
      </c>
      <c r="K10516" t="s">
        <v>1632</v>
      </c>
      <c r="M10516" t="s">
        <v>1621</v>
      </c>
      <c r="N10516">
        <v>52.73</v>
      </c>
      <c r="O10516" s="49">
        <v>45497</v>
      </c>
      <c r="P10516" s="50">
        <v>179.83799999999999</v>
      </c>
    </row>
    <row r="10517" spans="4:16" x14ac:dyDescent="0.2">
      <c r="D10517">
        <v>100006311</v>
      </c>
      <c r="E10517" s="49">
        <v>45097</v>
      </c>
      <c r="F10517" t="s">
        <v>7194</v>
      </c>
      <c r="G10517" t="s">
        <v>1762</v>
      </c>
      <c r="H10517">
        <v>5</v>
      </c>
      <c r="I10517">
        <v>52.26</v>
      </c>
      <c r="J10517" s="50">
        <v>261.3</v>
      </c>
      <c r="K10517" t="s">
        <v>1618</v>
      </c>
      <c r="M10517" t="s">
        <v>1619</v>
      </c>
      <c r="N10517">
        <v>27.58</v>
      </c>
      <c r="O10517" s="49">
        <v>45098</v>
      </c>
      <c r="P10517" s="50">
        <v>117.58500000000001</v>
      </c>
    </row>
    <row r="10518" spans="4:16" x14ac:dyDescent="0.2">
      <c r="D10518">
        <v>100006312</v>
      </c>
      <c r="E10518" s="49">
        <v>45494</v>
      </c>
      <c r="F10518" t="s">
        <v>7195</v>
      </c>
      <c r="G10518" t="s">
        <v>1856</v>
      </c>
      <c r="H10518">
        <v>5</v>
      </c>
      <c r="I10518">
        <v>57.12</v>
      </c>
      <c r="J10518" s="50">
        <v>285.60000000000002</v>
      </c>
      <c r="K10518" t="s">
        <v>1632</v>
      </c>
      <c r="M10518" t="s">
        <v>1629</v>
      </c>
      <c r="N10518">
        <v>30.15</v>
      </c>
      <c r="O10518" s="49">
        <v>45497</v>
      </c>
      <c r="P10518" s="50">
        <v>128.52000000000001</v>
      </c>
    </row>
    <row r="10519" spans="4:16" x14ac:dyDescent="0.2">
      <c r="D10519">
        <v>100006312</v>
      </c>
      <c r="E10519" s="49">
        <v>45369</v>
      </c>
      <c r="F10519" t="s">
        <v>7195</v>
      </c>
      <c r="G10519" t="s">
        <v>1967</v>
      </c>
      <c r="H10519">
        <v>7</v>
      </c>
      <c r="I10519">
        <v>108.74</v>
      </c>
      <c r="J10519" s="50">
        <v>761.18</v>
      </c>
      <c r="K10519" t="s">
        <v>1632</v>
      </c>
      <c r="M10519" t="s">
        <v>1629</v>
      </c>
      <c r="N10519">
        <v>57.39</v>
      </c>
      <c r="O10519" s="49">
        <v>45371</v>
      </c>
      <c r="P10519" s="50">
        <v>342.53100000000001</v>
      </c>
    </row>
    <row r="10520" spans="4:16" x14ac:dyDescent="0.2">
      <c r="D10520">
        <v>100006313</v>
      </c>
      <c r="E10520" s="49">
        <v>44534</v>
      </c>
      <c r="F10520" t="s">
        <v>7019</v>
      </c>
      <c r="G10520" t="s">
        <v>2230</v>
      </c>
      <c r="H10520">
        <v>1</v>
      </c>
      <c r="I10520">
        <v>54.47</v>
      </c>
      <c r="J10520" s="50">
        <v>54.47</v>
      </c>
      <c r="K10520" t="s">
        <v>1618</v>
      </c>
      <c r="M10520" t="s">
        <v>1629</v>
      </c>
      <c r="N10520">
        <v>28.75</v>
      </c>
      <c r="O10520" s="49">
        <v>44535</v>
      </c>
      <c r="P10520" s="50">
        <v>24.511500000000002</v>
      </c>
    </row>
    <row r="10521" spans="4:16" x14ac:dyDescent="0.2">
      <c r="D10521">
        <v>100006314</v>
      </c>
      <c r="E10521" s="49">
        <v>45635</v>
      </c>
      <c r="F10521" t="s">
        <v>7196</v>
      </c>
      <c r="G10521" t="s">
        <v>1620</v>
      </c>
      <c r="H10521">
        <v>1</v>
      </c>
      <c r="I10521">
        <v>49.43</v>
      </c>
      <c r="J10521" s="50">
        <v>49.43</v>
      </c>
      <c r="K10521" t="s">
        <v>1632</v>
      </c>
      <c r="M10521" t="s">
        <v>1627</v>
      </c>
      <c r="N10521">
        <v>26.09</v>
      </c>
      <c r="O10521" s="49">
        <v>45638</v>
      </c>
      <c r="P10521" s="50">
        <v>22.243500000000001</v>
      </c>
    </row>
    <row r="10522" spans="4:16" x14ac:dyDescent="0.2">
      <c r="D10522">
        <v>100006315</v>
      </c>
      <c r="E10522" s="49">
        <v>44607</v>
      </c>
      <c r="F10522" t="s">
        <v>7197</v>
      </c>
      <c r="G10522" t="s">
        <v>2240</v>
      </c>
      <c r="H10522">
        <v>9</v>
      </c>
      <c r="I10522">
        <v>18.09</v>
      </c>
      <c r="J10522" s="50">
        <v>162.81</v>
      </c>
      <c r="K10522" t="s">
        <v>1618</v>
      </c>
      <c r="M10522" t="s">
        <v>1624</v>
      </c>
      <c r="N10522">
        <v>9.5500000000000007</v>
      </c>
      <c r="O10522" s="49">
        <v>44608</v>
      </c>
      <c r="P10522" s="50">
        <v>73.264499999999998</v>
      </c>
    </row>
    <row r="10523" spans="4:16" x14ac:dyDescent="0.2">
      <c r="D10523">
        <v>100006315</v>
      </c>
      <c r="E10523" s="49">
        <v>45474</v>
      </c>
      <c r="F10523" t="s">
        <v>7197</v>
      </c>
      <c r="G10523" t="s">
        <v>2210</v>
      </c>
      <c r="H10523">
        <v>5</v>
      </c>
      <c r="I10523">
        <v>52.09</v>
      </c>
      <c r="J10523" s="50">
        <v>260.45</v>
      </c>
      <c r="K10523" t="s">
        <v>1618</v>
      </c>
      <c r="M10523" t="s">
        <v>1621</v>
      </c>
      <c r="N10523">
        <v>27.49</v>
      </c>
      <c r="O10523" s="49">
        <v>45476</v>
      </c>
      <c r="P10523" s="50">
        <v>117.2025</v>
      </c>
    </row>
    <row r="10524" spans="4:16" x14ac:dyDescent="0.2">
      <c r="D10524">
        <v>100006316</v>
      </c>
      <c r="E10524" s="49">
        <v>44932</v>
      </c>
      <c r="F10524" t="s">
        <v>7198</v>
      </c>
      <c r="G10524" t="s">
        <v>1980</v>
      </c>
      <c r="H10524">
        <v>5</v>
      </c>
      <c r="I10524">
        <v>95.32</v>
      </c>
      <c r="J10524" s="50">
        <v>476.6</v>
      </c>
      <c r="K10524" t="s">
        <v>1618</v>
      </c>
      <c r="L10524" t="s">
        <v>5660</v>
      </c>
      <c r="M10524" t="s">
        <v>1624</v>
      </c>
      <c r="N10524">
        <v>50.31</v>
      </c>
      <c r="O10524" s="49">
        <v>44933</v>
      </c>
      <c r="P10524" s="50">
        <v>214.47000000000003</v>
      </c>
    </row>
    <row r="10525" spans="4:16" x14ac:dyDescent="0.2">
      <c r="D10525">
        <v>100006316</v>
      </c>
      <c r="E10525" s="49">
        <v>45099</v>
      </c>
      <c r="F10525" t="s">
        <v>7198</v>
      </c>
      <c r="G10525" t="s">
        <v>2096</v>
      </c>
      <c r="H10525">
        <v>2</v>
      </c>
      <c r="I10525">
        <v>74.17</v>
      </c>
      <c r="J10525" s="50">
        <v>148.34</v>
      </c>
      <c r="K10525" t="s">
        <v>1618</v>
      </c>
      <c r="L10525" t="s">
        <v>5660</v>
      </c>
      <c r="M10525" t="s">
        <v>1624</v>
      </c>
      <c r="N10525">
        <v>39.14</v>
      </c>
      <c r="O10525" s="49">
        <v>45101</v>
      </c>
      <c r="P10525" s="50">
        <v>66.753</v>
      </c>
    </row>
    <row r="10526" spans="4:16" x14ac:dyDescent="0.2">
      <c r="D10526">
        <v>100006317</v>
      </c>
      <c r="E10526" s="49">
        <v>44343</v>
      </c>
      <c r="F10526" t="s">
        <v>7199</v>
      </c>
      <c r="G10526" t="s">
        <v>1939</v>
      </c>
      <c r="H10526">
        <v>9</v>
      </c>
      <c r="I10526">
        <v>48.34</v>
      </c>
      <c r="J10526" s="50">
        <v>435.06000000000012</v>
      </c>
      <c r="K10526" t="s">
        <v>1632</v>
      </c>
      <c r="M10526" t="s">
        <v>1629</v>
      </c>
      <c r="N10526">
        <v>25.51</v>
      </c>
      <c r="O10526" s="49">
        <v>44347</v>
      </c>
      <c r="P10526" s="50">
        <v>195.77700000000004</v>
      </c>
    </row>
    <row r="10527" spans="4:16" x14ac:dyDescent="0.2">
      <c r="D10527">
        <v>100006319</v>
      </c>
      <c r="E10527" s="49">
        <v>45512</v>
      </c>
      <c r="F10527" t="s">
        <v>7200</v>
      </c>
      <c r="G10527" t="s">
        <v>1721</v>
      </c>
      <c r="H10527">
        <v>7</v>
      </c>
      <c r="I10527">
        <v>14.43</v>
      </c>
      <c r="J10527" s="50">
        <v>101.01</v>
      </c>
      <c r="K10527" t="s">
        <v>1632</v>
      </c>
      <c r="M10527" t="s">
        <v>1619</v>
      </c>
      <c r="N10527">
        <v>7.62</v>
      </c>
      <c r="O10527" s="49">
        <v>45515</v>
      </c>
      <c r="P10527" s="50">
        <v>45.454500000000003</v>
      </c>
    </row>
    <row r="10528" spans="4:16" x14ac:dyDescent="0.2">
      <c r="D10528">
        <v>100006321</v>
      </c>
      <c r="E10528" s="49">
        <v>45115</v>
      </c>
      <c r="F10528" t="s">
        <v>7201</v>
      </c>
      <c r="G10528" t="s">
        <v>2484</v>
      </c>
      <c r="H10528">
        <v>7</v>
      </c>
      <c r="I10528">
        <v>80.28</v>
      </c>
      <c r="J10528" s="50">
        <v>561.96</v>
      </c>
      <c r="K10528" t="s">
        <v>1632</v>
      </c>
      <c r="L10528" t="s">
        <v>7202</v>
      </c>
      <c r="M10528" t="s">
        <v>1629</v>
      </c>
      <c r="N10528">
        <v>42.37</v>
      </c>
      <c r="O10528" s="49">
        <v>45118</v>
      </c>
      <c r="P10528" s="50">
        <v>252.88200000000003</v>
      </c>
    </row>
    <row r="10529" spans="4:16" x14ac:dyDescent="0.2">
      <c r="D10529">
        <v>100006322</v>
      </c>
      <c r="E10529" s="49">
        <v>45286</v>
      </c>
      <c r="F10529" t="s">
        <v>7203</v>
      </c>
      <c r="G10529" t="s">
        <v>1953</v>
      </c>
      <c r="H10529">
        <v>7</v>
      </c>
      <c r="I10529">
        <v>83.76</v>
      </c>
      <c r="J10529" s="50">
        <v>586.32000000000005</v>
      </c>
      <c r="K10529" t="s">
        <v>1632</v>
      </c>
      <c r="L10529" t="s">
        <v>5120</v>
      </c>
      <c r="M10529" t="s">
        <v>1624</v>
      </c>
      <c r="N10529">
        <v>44.21</v>
      </c>
      <c r="O10529" s="49">
        <v>45288</v>
      </c>
      <c r="P10529" s="50">
        <v>263.84400000000005</v>
      </c>
    </row>
    <row r="10530" spans="4:16" x14ac:dyDescent="0.2">
      <c r="D10530">
        <v>100006322</v>
      </c>
      <c r="E10530" s="49">
        <v>45192</v>
      </c>
      <c r="F10530" t="s">
        <v>7203</v>
      </c>
      <c r="G10530" t="s">
        <v>1987</v>
      </c>
      <c r="H10530">
        <v>2</v>
      </c>
      <c r="I10530">
        <v>101.68</v>
      </c>
      <c r="J10530" s="50">
        <v>203.36</v>
      </c>
      <c r="K10530" t="s">
        <v>1632</v>
      </c>
      <c r="L10530" t="s">
        <v>5120</v>
      </c>
      <c r="M10530" t="s">
        <v>1621</v>
      </c>
      <c r="N10530">
        <v>53.66</v>
      </c>
      <c r="O10530" s="49">
        <v>45195</v>
      </c>
      <c r="P10530" s="50">
        <v>91.512000000000015</v>
      </c>
    </row>
    <row r="10531" spans="4:16" x14ac:dyDescent="0.2">
      <c r="D10531">
        <v>100006324</v>
      </c>
      <c r="E10531" s="49">
        <v>44687</v>
      </c>
      <c r="F10531" t="s">
        <v>7204</v>
      </c>
      <c r="G10531" t="s">
        <v>2096</v>
      </c>
      <c r="H10531">
        <v>1</v>
      </c>
      <c r="I10531">
        <v>21.54</v>
      </c>
      <c r="J10531" s="50">
        <v>21.54</v>
      </c>
      <c r="K10531" t="s">
        <v>1632</v>
      </c>
      <c r="M10531" t="s">
        <v>1621</v>
      </c>
      <c r="N10531">
        <v>11.37</v>
      </c>
      <c r="O10531" s="49">
        <v>44692</v>
      </c>
      <c r="P10531" s="50">
        <v>9.6929999999999996</v>
      </c>
    </row>
    <row r="10532" spans="4:16" x14ac:dyDescent="0.2">
      <c r="D10532">
        <v>100006325</v>
      </c>
      <c r="E10532" s="49">
        <v>45009</v>
      </c>
      <c r="F10532" t="s">
        <v>7205</v>
      </c>
      <c r="G10532" t="s">
        <v>1675</v>
      </c>
      <c r="H10532">
        <v>7</v>
      </c>
      <c r="I10532">
        <v>33.700000000000003</v>
      </c>
      <c r="J10532" s="50">
        <v>235.9</v>
      </c>
      <c r="K10532" t="s">
        <v>1618</v>
      </c>
      <c r="L10532" t="s">
        <v>7206</v>
      </c>
      <c r="M10532" t="s">
        <v>1624</v>
      </c>
      <c r="N10532">
        <v>17.79</v>
      </c>
      <c r="O10532" s="49">
        <v>45012</v>
      </c>
      <c r="P10532" s="50">
        <v>106.155</v>
      </c>
    </row>
    <row r="10533" spans="4:16" x14ac:dyDescent="0.2">
      <c r="D10533">
        <v>100006325</v>
      </c>
      <c r="E10533" s="49">
        <v>44795</v>
      </c>
      <c r="F10533" t="s">
        <v>7205</v>
      </c>
      <c r="G10533" t="s">
        <v>2412</v>
      </c>
      <c r="H10533">
        <v>5</v>
      </c>
      <c r="I10533">
        <v>33.78</v>
      </c>
      <c r="J10533" s="50">
        <v>168.9</v>
      </c>
      <c r="K10533" t="s">
        <v>1618</v>
      </c>
      <c r="L10533" t="s">
        <v>7206</v>
      </c>
      <c r="M10533" t="s">
        <v>1627</v>
      </c>
      <c r="N10533">
        <v>17.829999999999998</v>
      </c>
      <c r="O10533" s="49">
        <v>44798</v>
      </c>
      <c r="P10533" s="50">
        <v>76.00500000000001</v>
      </c>
    </row>
    <row r="10534" spans="4:16" x14ac:dyDescent="0.2">
      <c r="D10534">
        <v>100006326</v>
      </c>
      <c r="E10534" s="49">
        <v>44246</v>
      </c>
      <c r="F10534" t="s">
        <v>7207</v>
      </c>
      <c r="G10534" t="s">
        <v>2090</v>
      </c>
      <c r="H10534">
        <v>6</v>
      </c>
      <c r="I10534">
        <v>73.92</v>
      </c>
      <c r="J10534" s="50">
        <v>443.52</v>
      </c>
      <c r="K10534" t="s">
        <v>1618</v>
      </c>
      <c r="M10534" t="s">
        <v>1629</v>
      </c>
      <c r="N10534">
        <v>39.01</v>
      </c>
      <c r="O10534" s="49">
        <v>44249</v>
      </c>
      <c r="P10534" s="50">
        <v>199.584</v>
      </c>
    </row>
    <row r="10535" spans="4:16" x14ac:dyDescent="0.2">
      <c r="D10535">
        <v>100006327</v>
      </c>
      <c r="E10535" s="49">
        <v>44472</v>
      </c>
      <c r="F10535" t="s">
        <v>7208</v>
      </c>
      <c r="G10535" t="s">
        <v>1815</v>
      </c>
      <c r="H10535">
        <v>1</v>
      </c>
      <c r="I10535">
        <v>95.91</v>
      </c>
      <c r="J10535" s="50">
        <v>95.91</v>
      </c>
      <c r="K10535" t="s">
        <v>1618</v>
      </c>
      <c r="M10535" t="s">
        <v>1627</v>
      </c>
      <c r="N10535">
        <v>50.62</v>
      </c>
      <c r="O10535" s="49">
        <v>44477</v>
      </c>
      <c r="P10535" s="50">
        <v>43.159500000000001</v>
      </c>
    </row>
    <row r="10536" spans="4:16" x14ac:dyDescent="0.2">
      <c r="D10536">
        <v>100006328</v>
      </c>
      <c r="E10536" s="49">
        <v>45472</v>
      </c>
      <c r="F10536" t="s">
        <v>7209</v>
      </c>
      <c r="G10536" t="s">
        <v>2182</v>
      </c>
      <c r="H10536">
        <v>10</v>
      </c>
      <c r="I10536">
        <v>24.08</v>
      </c>
      <c r="J10536" s="50">
        <v>240.8</v>
      </c>
      <c r="K10536" t="s">
        <v>1618</v>
      </c>
      <c r="M10536" t="s">
        <v>1619</v>
      </c>
      <c r="N10536">
        <v>12.71</v>
      </c>
      <c r="O10536" s="49">
        <v>45475</v>
      </c>
      <c r="P10536" s="50">
        <v>108.36000000000001</v>
      </c>
    </row>
    <row r="10537" spans="4:16" x14ac:dyDescent="0.2">
      <c r="D10537">
        <v>100006328</v>
      </c>
      <c r="E10537" s="49">
        <v>44878</v>
      </c>
      <c r="F10537" t="s">
        <v>7209</v>
      </c>
      <c r="G10537" t="s">
        <v>2090</v>
      </c>
      <c r="H10537">
        <v>8</v>
      </c>
      <c r="I10537">
        <v>13.47</v>
      </c>
      <c r="J10537" s="50">
        <v>107.76</v>
      </c>
      <c r="K10537" t="s">
        <v>1618</v>
      </c>
      <c r="M10537" t="s">
        <v>1619</v>
      </c>
      <c r="N10537">
        <v>7.11</v>
      </c>
      <c r="O10537" s="49">
        <v>44881</v>
      </c>
      <c r="P10537" s="50">
        <v>48.492000000000004</v>
      </c>
    </row>
    <row r="10538" spans="4:16" x14ac:dyDescent="0.2">
      <c r="D10538">
        <v>100006329</v>
      </c>
      <c r="E10538" s="49">
        <v>44361</v>
      </c>
      <c r="F10538" t="s">
        <v>7210</v>
      </c>
      <c r="G10538" t="s">
        <v>2766</v>
      </c>
      <c r="H10538">
        <v>8</v>
      </c>
      <c r="I10538">
        <v>84.13</v>
      </c>
      <c r="J10538" s="50">
        <v>673.04</v>
      </c>
      <c r="K10538" t="s">
        <v>1618</v>
      </c>
      <c r="M10538" t="s">
        <v>1621</v>
      </c>
      <c r="N10538">
        <v>44.4</v>
      </c>
      <c r="O10538" s="49">
        <v>44362</v>
      </c>
      <c r="P10538" s="50">
        <v>302.86799999999999</v>
      </c>
    </row>
    <row r="10539" spans="4:16" x14ac:dyDescent="0.2">
      <c r="D10539">
        <v>100006329</v>
      </c>
      <c r="E10539" s="49">
        <v>45496</v>
      </c>
      <c r="F10539" t="s">
        <v>7210</v>
      </c>
      <c r="G10539" t="s">
        <v>1651</v>
      </c>
      <c r="H10539">
        <v>7</v>
      </c>
      <c r="I10539">
        <v>17.45</v>
      </c>
      <c r="J10539" s="50">
        <v>122.15</v>
      </c>
      <c r="K10539" t="s">
        <v>1618</v>
      </c>
      <c r="M10539" t="s">
        <v>1619</v>
      </c>
      <c r="N10539">
        <v>9.2100000000000009</v>
      </c>
      <c r="O10539" s="49">
        <v>45497</v>
      </c>
      <c r="P10539" s="50">
        <v>54.967500000000001</v>
      </c>
    </row>
    <row r="10540" spans="4:16" x14ac:dyDescent="0.2">
      <c r="D10540">
        <v>100006329</v>
      </c>
      <c r="E10540" s="49">
        <v>44527</v>
      </c>
      <c r="F10540" t="s">
        <v>7210</v>
      </c>
      <c r="G10540" t="s">
        <v>1651</v>
      </c>
      <c r="H10540">
        <v>6</v>
      </c>
      <c r="I10540">
        <v>104.29</v>
      </c>
      <c r="J10540" s="50">
        <v>625.74</v>
      </c>
      <c r="K10540" t="s">
        <v>1618</v>
      </c>
      <c r="M10540" t="s">
        <v>1629</v>
      </c>
      <c r="N10540">
        <v>55.04</v>
      </c>
      <c r="O10540" s="49">
        <v>44530</v>
      </c>
      <c r="P10540" s="50">
        <v>281.58300000000003</v>
      </c>
    </row>
    <row r="10541" spans="4:16" x14ac:dyDescent="0.2">
      <c r="D10541">
        <v>100006330</v>
      </c>
      <c r="E10541" s="49">
        <v>44572</v>
      </c>
      <c r="F10541" t="s">
        <v>7211</v>
      </c>
      <c r="G10541" t="s">
        <v>2375</v>
      </c>
      <c r="H10541">
        <v>4</v>
      </c>
      <c r="I10541">
        <v>105.55</v>
      </c>
      <c r="J10541" s="50">
        <v>422.2</v>
      </c>
      <c r="K10541" t="s">
        <v>1618</v>
      </c>
      <c r="M10541" t="s">
        <v>1619</v>
      </c>
      <c r="N10541">
        <v>55.71</v>
      </c>
      <c r="O10541" s="49">
        <v>44577</v>
      </c>
      <c r="P10541" s="50">
        <v>189.99</v>
      </c>
    </row>
    <row r="10542" spans="4:16" x14ac:dyDescent="0.2">
      <c r="D10542">
        <v>100006330</v>
      </c>
      <c r="E10542" s="49">
        <v>44209</v>
      </c>
      <c r="F10542" t="s">
        <v>7211</v>
      </c>
      <c r="G10542" t="s">
        <v>1648</v>
      </c>
      <c r="H10542">
        <v>6</v>
      </c>
      <c r="I10542">
        <v>31.83</v>
      </c>
      <c r="J10542" s="50">
        <v>190.98</v>
      </c>
      <c r="K10542" t="s">
        <v>1618</v>
      </c>
      <c r="M10542" t="s">
        <v>1621</v>
      </c>
      <c r="N10542">
        <v>16.8</v>
      </c>
      <c r="O10542" s="49">
        <v>44214</v>
      </c>
      <c r="P10542" s="50">
        <v>85.941000000000003</v>
      </c>
    </row>
    <row r="10543" spans="4:16" x14ac:dyDescent="0.2">
      <c r="D10543">
        <v>100006330</v>
      </c>
      <c r="E10543" s="49">
        <v>45509</v>
      </c>
      <c r="F10543" t="s">
        <v>7211</v>
      </c>
      <c r="G10543" t="s">
        <v>1768</v>
      </c>
      <c r="H10543">
        <v>4</v>
      </c>
      <c r="I10543">
        <v>75.48</v>
      </c>
      <c r="J10543" s="50">
        <v>301.92</v>
      </c>
      <c r="K10543" t="s">
        <v>1618</v>
      </c>
      <c r="M10543" t="s">
        <v>1619</v>
      </c>
      <c r="N10543">
        <v>39.840000000000003</v>
      </c>
      <c r="O10543" s="49">
        <v>45511</v>
      </c>
      <c r="P10543" s="50">
        <v>135.864</v>
      </c>
    </row>
    <row r="10544" spans="4:16" x14ac:dyDescent="0.2">
      <c r="D10544">
        <v>100006330</v>
      </c>
      <c r="E10544" s="49">
        <v>44769</v>
      </c>
      <c r="F10544" t="s">
        <v>7211</v>
      </c>
      <c r="G10544" t="s">
        <v>2447</v>
      </c>
      <c r="H10544">
        <v>8</v>
      </c>
      <c r="I10544">
        <v>40.200000000000003</v>
      </c>
      <c r="J10544" s="50">
        <v>321.60000000000002</v>
      </c>
      <c r="K10544" t="s">
        <v>1618</v>
      </c>
      <c r="M10544" t="s">
        <v>1624</v>
      </c>
      <c r="N10544">
        <v>21.22</v>
      </c>
      <c r="O10544" s="49">
        <v>44773</v>
      </c>
      <c r="P10544" s="50">
        <v>144.72000000000003</v>
      </c>
    </row>
    <row r="10545" spans="4:16" x14ac:dyDescent="0.2">
      <c r="D10545">
        <v>100006331</v>
      </c>
      <c r="E10545" s="49">
        <v>44948</v>
      </c>
      <c r="F10545" t="s">
        <v>7212</v>
      </c>
      <c r="G10545" t="s">
        <v>2269</v>
      </c>
      <c r="H10545">
        <v>4</v>
      </c>
      <c r="I10545">
        <v>78.45</v>
      </c>
      <c r="J10545" s="50">
        <v>313.8</v>
      </c>
      <c r="K10545" t="s">
        <v>1632</v>
      </c>
      <c r="M10545" t="s">
        <v>1624</v>
      </c>
      <c r="N10545">
        <v>41.4</v>
      </c>
      <c r="O10545" s="49">
        <v>44950</v>
      </c>
      <c r="P10545" s="50">
        <v>141.21</v>
      </c>
    </row>
    <row r="10546" spans="4:16" x14ac:dyDescent="0.2">
      <c r="D10546">
        <v>100006332</v>
      </c>
      <c r="E10546" s="49">
        <v>45425</v>
      </c>
      <c r="F10546" t="s">
        <v>7213</v>
      </c>
      <c r="G10546" t="s">
        <v>1932</v>
      </c>
      <c r="H10546">
        <v>1</v>
      </c>
      <c r="I10546">
        <v>36.35</v>
      </c>
      <c r="J10546" s="50">
        <v>36.35</v>
      </c>
      <c r="K10546" t="s">
        <v>1618</v>
      </c>
      <c r="L10546" t="s">
        <v>2504</v>
      </c>
      <c r="M10546" t="s">
        <v>1621</v>
      </c>
      <c r="N10546">
        <v>19.18</v>
      </c>
      <c r="O10546" s="49">
        <v>45426</v>
      </c>
      <c r="P10546" s="50">
        <v>16.357500000000002</v>
      </c>
    </row>
    <row r="10547" spans="4:16" x14ac:dyDescent="0.2">
      <c r="D10547">
        <v>100006332</v>
      </c>
      <c r="E10547" s="49">
        <v>45550</v>
      </c>
      <c r="F10547" t="s">
        <v>7213</v>
      </c>
      <c r="G10547" t="s">
        <v>2436</v>
      </c>
      <c r="H10547">
        <v>9</v>
      </c>
      <c r="I10547">
        <v>31.9</v>
      </c>
      <c r="J10547" s="50">
        <v>287.10000000000002</v>
      </c>
      <c r="K10547" t="s">
        <v>1618</v>
      </c>
      <c r="L10547" t="s">
        <v>2504</v>
      </c>
      <c r="M10547" t="s">
        <v>1627</v>
      </c>
      <c r="N10547">
        <v>16.84</v>
      </c>
      <c r="O10547" s="49">
        <v>45553</v>
      </c>
      <c r="P10547" s="50">
        <v>129.19500000000002</v>
      </c>
    </row>
    <row r="10548" spans="4:16" x14ac:dyDescent="0.2">
      <c r="D10548">
        <v>100006332</v>
      </c>
      <c r="E10548" s="49">
        <v>44575</v>
      </c>
      <c r="F10548" t="s">
        <v>7213</v>
      </c>
      <c r="G10548" t="s">
        <v>1812</v>
      </c>
      <c r="H10548">
        <v>4</v>
      </c>
      <c r="I10548">
        <v>104.85</v>
      </c>
      <c r="J10548" s="50">
        <v>419.4</v>
      </c>
      <c r="K10548" t="s">
        <v>1618</v>
      </c>
      <c r="L10548" t="s">
        <v>2504</v>
      </c>
      <c r="M10548" t="s">
        <v>1624</v>
      </c>
      <c r="N10548">
        <v>55.34</v>
      </c>
      <c r="O10548" s="49">
        <v>44576</v>
      </c>
      <c r="P10548" s="50">
        <v>188.73</v>
      </c>
    </row>
    <row r="10549" spans="4:16" x14ac:dyDescent="0.2">
      <c r="D10549">
        <v>100006333</v>
      </c>
      <c r="E10549" s="49">
        <v>44220</v>
      </c>
      <c r="F10549" t="s">
        <v>7214</v>
      </c>
      <c r="G10549" t="s">
        <v>2016</v>
      </c>
      <c r="H10549">
        <v>1</v>
      </c>
      <c r="I10549">
        <v>119.79</v>
      </c>
      <c r="J10549" s="50">
        <v>119.79</v>
      </c>
      <c r="K10549" t="s">
        <v>1618</v>
      </c>
      <c r="M10549" t="s">
        <v>1624</v>
      </c>
      <c r="N10549">
        <v>63.22</v>
      </c>
      <c r="O10549" s="49">
        <v>44222</v>
      </c>
      <c r="P10549" s="50">
        <v>53.905500000000004</v>
      </c>
    </row>
    <row r="10550" spans="4:16" x14ac:dyDescent="0.2">
      <c r="D10550">
        <v>100006333</v>
      </c>
      <c r="E10550" s="49">
        <v>45040</v>
      </c>
      <c r="F10550" t="s">
        <v>7214</v>
      </c>
      <c r="G10550" t="s">
        <v>2191</v>
      </c>
      <c r="H10550">
        <v>1</v>
      </c>
      <c r="I10550">
        <v>95.22</v>
      </c>
      <c r="J10550" s="50">
        <v>95.22</v>
      </c>
      <c r="K10550" t="s">
        <v>1618</v>
      </c>
      <c r="M10550" t="s">
        <v>1627</v>
      </c>
      <c r="N10550">
        <v>50.25</v>
      </c>
      <c r="O10550" s="49">
        <v>45042</v>
      </c>
      <c r="P10550" s="50">
        <v>42.849000000000004</v>
      </c>
    </row>
    <row r="10551" spans="4:16" x14ac:dyDescent="0.2">
      <c r="D10551">
        <v>100006333</v>
      </c>
      <c r="E10551" s="49">
        <v>45200</v>
      </c>
      <c r="F10551" t="s">
        <v>7214</v>
      </c>
      <c r="G10551" t="s">
        <v>1815</v>
      </c>
      <c r="H10551">
        <v>10</v>
      </c>
      <c r="I10551">
        <v>26.06</v>
      </c>
      <c r="J10551" s="50">
        <v>260.60000000000002</v>
      </c>
      <c r="K10551" t="s">
        <v>1618</v>
      </c>
      <c r="M10551" t="s">
        <v>1621</v>
      </c>
      <c r="N10551">
        <v>13.75</v>
      </c>
      <c r="O10551" s="49">
        <v>45203</v>
      </c>
      <c r="P10551" s="50">
        <v>117.27000000000001</v>
      </c>
    </row>
    <row r="10552" spans="4:16" x14ac:dyDescent="0.2">
      <c r="D10552">
        <v>100006333</v>
      </c>
      <c r="E10552" s="49">
        <v>45525</v>
      </c>
      <c r="F10552" t="s">
        <v>7214</v>
      </c>
      <c r="G10552" t="s">
        <v>1785</v>
      </c>
      <c r="H10552">
        <v>1</v>
      </c>
      <c r="I10552">
        <v>15.48</v>
      </c>
      <c r="J10552" s="50">
        <v>15.48</v>
      </c>
      <c r="K10552" t="s">
        <v>1618</v>
      </c>
      <c r="M10552" t="s">
        <v>1624</v>
      </c>
      <c r="N10552">
        <v>8.17</v>
      </c>
      <c r="O10552" s="49">
        <v>45526</v>
      </c>
      <c r="P10552" s="50">
        <v>6.9660000000000002</v>
      </c>
    </row>
    <row r="10553" spans="4:16" x14ac:dyDescent="0.2">
      <c r="D10553">
        <v>100006334</v>
      </c>
      <c r="E10553" s="49">
        <v>45235</v>
      </c>
      <c r="F10553" t="s">
        <v>7215</v>
      </c>
      <c r="G10553" t="s">
        <v>2039</v>
      </c>
      <c r="H10553">
        <v>1</v>
      </c>
      <c r="I10553">
        <v>96.55</v>
      </c>
      <c r="J10553" s="50">
        <v>96.55</v>
      </c>
      <c r="K10553" t="s">
        <v>1618</v>
      </c>
      <c r="M10553" t="s">
        <v>1624</v>
      </c>
      <c r="N10553">
        <v>50.96</v>
      </c>
      <c r="O10553" s="49">
        <v>45236</v>
      </c>
      <c r="P10553" s="50">
        <v>43.447499999999998</v>
      </c>
    </row>
    <row r="10554" spans="4:16" x14ac:dyDescent="0.2">
      <c r="D10554">
        <v>100006335</v>
      </c>
      <c r="E10554" s="49">
        <v>44831</v>
      </c>
      <c r="F10554" t="s">
        <v>7216</v>
      </c>
      <c r="G10554" t="s">
        <v>1681</v>
      </c>
      <c r="H10554">
        <v>2</v>
      </c>
      <c r="I10554">
        <v>116.64</v>
      </c>
      <c r="J10554" s="50">
        <v>233.28</v>
      </c>
      <c r="K10554" t="s">
        <v>1618</v>
      </c>
      <c r="M10554" t="s">
        <v>1629</v>
      </c>
      <c r="N10554">
        <v>61.56</v>
      </c>
      <c r="O10554" s="49">
        <v>44833</v>
      </c>
      <c r="P10554" s="50">
        <v>104.976</v>
      </c>
    </row>
    <row r="10555" spans="4:16" x14ac:dyDescent="0.2">
      <c r="D10555">
        <v>100006335</v>
      </c>
      <c r="E10555" s="49">
        <v>44504</v>
      </c>
      <c r="F10555" t="s">
        <v>7216</v>
      </c>
      <c r="G10555" t="s">
        <v>1760</v>
      </c>
      <c r="H10555">
        <v>1</v>
      </c>
      <c r="I10555">
        <v>11.72</v>
      </c>
      <c r="J10555" s="50">
        <v>11.72</v>
      </c>
      <c r="K10555" t="s">
        <v>1618</v>
      </c>
      <c r="M10555" t="s">
        <v>1621</v>
      </c>
      <c r="N10555">
        <v>6.19</v>
      </c>
      <c r="O10555" s="49">
        <v>44507</v>
      </c>
      <c r="P10555" s="50">
        <v>5.274</v>
      </c>
    </row>
    <row r="10556" spans="4:16" x14ac:dyDescent="0.2">
      <c r="D10556">
        <v>100006335</v>
      </c>
      <c r="E10556" s="49">
        <v>44782</v>
      </c>
      <c r="F10556" t="s">
        <v>7216</v>
      </c>
      <c r="G10556" t="s">
        <v>1724</v>
      </c>
      <c r="H10556">
        <v>3</v>
      </c>
      <c r="I10556">
        <v>119.19</v>
      </c>
      <c r="J10556" s="50">
        <v>357.57</v>
      </c>
      <c r="K10556" t="s">
        <v>1618</v>
      </c>
      <c r="M10556" t="s">
        <v>1627</v>
      </c>
      <c r="N10556">
        <v>62.91</v>
      </c>
      <c r="O10556" s="49">
        <v>44783</v>
      </c>
      <c r="P10556" s="50">
        <v>160.90649999999999</v>
      </c>
    </row>
    <row r="10557" spans="4:16" x14ac:dyDescent="0.2">
      <c r="D10557">
        <v>100006337</v>
      </c>
      <c r="E10557" s="49">
        <v>45550</v>
      </c>
      <c r="F10557" t="s">
        <v>7217</v>
      </c>
      <c r="G10557" t="s">
        <v>2420</v>
      </c>
      <c r="H10557">
        <v>3</v>
      </c>
      <c r="I10557">
        <v>35.86</v>
      </c>
      <c r="J10557" s="50">
        <v>107.58</v>
      </c>
      <c r="K10557" t="s">
        <v>1618</v>
      </c>
      <c r="L10557" t="s">
        <v>4343</v>
      </c>
      <c r="M10557" t="s">
        <v>1629</v>
      </c>
      <c r="N10557">
        <v>18.93</v>
      </c>
      <c r="O10557" s="49">
        <v>45554</v>
      </c>
      <c r="P10557" s="50">
        <v>48.411000000000001</v>
      </c>
    </row>
    <row r="10558" spans="4:16" x14ac:dyDescent="0.2">
      <c r="D10558">
        <v>100006338</v>
      </c>
      <c r="E10558" s="49">
        <v>44375</v>
      </c>
      <c r="F10558" t="s">
        <v>7218</v>
      </c>
      <c r="G10558" t="s">
        <v>1900</v>
      </c>
      <c r="H10558">
        <v>9</v>
      </c>
      <c r="I10558">
        <v>94.84</v>
      </c>
      <c r="J10558" s="50">
        <v>853.56000000000006</v>
      </c>
      <c r="K10558" t="s">
        <v>1618</v>
      </c>
      <c r="L10558" t="s">
        <v>3272</v>
      </c>
      <c r="M10558" t="s">
        <v>1629</v>
      </c>
      <c r="N10558">
        <v>50.05</v>
      </c>
      <c r="O10558" s="49">
        <v>44380</v>
      </c>
      <c r="P10558" s="50">
        <v>384.10200000000003</v>
      </c>
    </row>
    <row r="10559" spans="4:16" x14ac:dyDescent="0.2">
      <c r="D10559">
        <v>100006339</v>
      </c>
      <c r="E10559" s="49">
        <v>44882</v>
      </c>
      <c r="F10559" t="s">
        <v>7219</v>
      </c>
      <c r="G10559" t="s">
        <v>2064</v>
      </c>
      <c r="H10559">
        <v>3</v>
      </c>
      <c r="I10559">
        <v>84.14</v>
      </c>
      <c r="J10559" s="50">
        <v>252.42</v>
      </c>
      <c r="K10559" t="s">
        <v>1618</v>
      </c>
      <c r="L10559" t="s">
        <v>2665</v>
      </c>
      <c r="M10559" t="s">
        <v>1624</v>
      </c>
      <c r="N10559">
        <v>44.41</v>
      </c>
      <c r="O10559" s="49">
        <v>44886</v>
      </c>
      <c r="P10559" s="50">
        <v>113.589</v>
      </c>
    </row>
    <row r="10560" spans="4:16" x14ac:dyDescent="0.2">
      <c r="D10560">
        <v>100006339</v>
      </c>
      <c r="E10560" s="49">
        <v>45414</v>
      </c>
      <c r="F10560" t="s">
        <v>7219</v>
      </c>
      <c r="G10560" t="s">
        <v>1661</v>
      </c>
      <c r="H10560">
        <v>10</v>
      </c>
      <c r="I10560">
        <v>79.56</v>
      </c>
      <c r="J10560" s="50">
        <v>795.6</v>
      </c>
      <c r="K10560" t="s">
        <v>1618</v>
      </c>
      <c r="L10560" t="s">
        <v>2665</v>
      </c>
      <c r="M10560" t="s">
        <v>1619</v>
      </c>
      <c r="N10560">
        <v>41.99</v>
      </c>
      <c r="O10560" s="49">
        <v>45415</v>
      </c>
      <c r="P10560" s="50">
        <v>358.02000000000004</v>
      </c>
    </row>
    <row r="10561" spans="4:16" x14ac:dyDescent="0.2">
      <c r="D10561">
        <v>100006339</v>
      </c>
      <c r="E10561" s="49">
        <v>45219</v>
      </c>
      <c r="F10561" t="s">
        <v>7219</v>
      </c>
      <c r="G10561" t="s">
        <v>2230</v>
      </c>
      <c r="H10561">
        <v>9</v>
      </c>
      <c r="I10561">
        <v>29.86</v>
      </c>
      <c r="J10561" s="50">
        <v>268.74</v>
      </c>
      <c r="K10561" t="s">
        <v>1618</v>
      </c>
      <c r="L10561" t="s">
        <v>2665</v>
      </c>
      <c r="M10561" t="s">
        <v>1624</v>
      </c>
      <c r="N10561">
        <v>15.76</v>
      </c>
      <c r="O10561" s="49">
        <v>45220</v>
      </c>
      <c r="P10561" s="50">
        <v>120.93300000000001</v>
      </c>
    </row>
    <row r="10562" spans="4:16" x14ac:dyDescent="0.2">
      <c r="D10562">
        <v>100006339</v>
      </c>
      <c r="E10562" s="49">
        <v>45355</v>
      </c>
      <c r="F10562" t="s">
        <v>7219</v>
      </c>
      <c r="G10562" t="s">
        <v>1868</v>
      </c>
      <c r="H10562">
        <v>8</v>
      </c>
      <c r="I10562">
        <v>106.35</v>
      </c>
      <c r="J10562" s="50">
        <v>850.8</v>
      </c>
      <c r="K10562" t="s">
        <v>1618</v>
      </c>
      <c r="L10562" t="s">
        <v>2665</v>
      </c>
      <c r="M10562" t="s">
        <v>1621</v>
      </c>
      <c r="N10562">
        <v>56.13</v>
      </c>
      <c r="O10562" s="49">
        <v>45357</v>
      </c>
      <c r="P10562" s="50">
        <v>382.86</v>
      </c>
    </row>
    <row r="10563" spans="4:16" x14ac:dyDescent="0.2">
      <c r="D10563">
        <v>100006339</v>
      </c>
      <c r="E10563" s="49">
        <v>44620</v>
      </c>
      <c r="F10563" t="s">
        <v>7219</v>
      </c>
      <c r="G10563" t="s">
        <v>1841</v>
      </c>
      <c r="H10563">
        <v>1</v>
      </c>
      <c r="I10563">
        <v>41.41</v>
      </c>
      <c r="J10563" s="50">
        <v>41.41</v>
      </c>
      <c r="K10563" t="s">
        <v>1618</v>
      </c>
      <c r="L10563" t="s">
        <v>2665</v>
      </c>
      <c r="M10563" t="s">
        <v>1624</v>
      </c>
      <c r="N10563">
        <v>21.86</v>
      </c>
      <c r="O10563" s="49">
        <v>44623</v>
      </c>
      <c r="P10563" s="50">
        <v>18.634499999999999</v>
      </c>
    </row>
    <row r="10564" spans="4:16" x14ac:dyDescent="0.2">
      <c r="D10564">
        <v>100006340</v>
      </c>
      <c r="E10564" s="49">
        <v>44423</v>
      </c>
      <c r="F10564" t="s">
        <v>7220</v>
      </c>
      <c r="G10564" t="s">
        <v>1765</v>
      </c>
      <c r="H10564">
        <v>6</v>
      </c>
      <c r="I10564">
        <v>74.510000000000005</v>
      </c>
      <c r="J10564" s="50">
        <v>447.06000000000012</v>
      </c>
      <c r="K10564" t="s">
        <v>1618</v>
      </c>
      <c r="M10564" t="s">
        <v>1619</v>
      </c>
      <c r="N10564">
        <v>39.32</v>
      </c>
      <c r="O10564" s="49">
        <v>44425</v>
      </c>
      <c r="P10564" s="50">
        <v>201.17700000000005</v>
      </c>
    </row>
    <row r="10565" spans="4:16" x14ac:dyDescent="0.2">
      <c r="D10565">
        <v>100006341</v>
      </c>
      <c r="E10565" s="49">
        <v>44989</v>
      </c>
      <c r="F10565" t="s">
        <v>7221</v>
      </c>
      <c r="G10565" t="s">
        <v>1872</v>
      </c>
      <c r="H10565">
        <v>2</v>
      </c>
      <c r="I10565">
        <v>69.58</v>
      </c>
      <c r="J10565" s="50">
        <v>139.16</v>
      </c>
      <c r="K10565" t="s">
        <v>1632</v>
      </c>
      <c r="M10565" t="s">
        <v>1619</v>
      </c>
      <c r="N10565">
        <v>36.72</v>
      </c>
      <c r="O10565" s="49">
        <v>44994</v>
      </c>
      <c r="P10565" s="50">
        <v>62.622</v>
      </c>
    </row>
    <row r="10566" spans="4:16" x14ac:dyDescent="0.2">
      <c r="D10566">
        <v>100006343</v>
      </c>
      <c r="E10566" s="49">
        <v>44376</v>
      </c>
      <c r="F10566" t="s">
        <v>7222</v>
      </c>
      <c r="G10566" t="s">
        <v>2158</v>
      </c>
      <c r="H10566">
        <v>8</v>
      </c>
      <c r="I10566">
        <v>32.85</v>
      </c>
      <c r="J10566" s="50">
        <v>262.8</v>
      </c>
      <c r="K10566" t="s">
        <v>1618</v>
      </c>
      <c r="L10566" t="s">
        <v>5995</v>
      </c>
      <c r="M10566" t="s">
        <v>1624</v>
      </c>
      <c r="N10566">
        <v>17.34</v>
      </c>
      <c r="O10566" s="49">
        <v>44379</v>
      </c>
      <c r="P10566" s="50">
        <v>118.26</v>
      </c>
    </row>
    <row r="10567" spans="4:16" x14ac:dyDescent="0.2">
      <c r="D10567">
        <v>100006345</v>
      </c>
      <c r="E10567" s="49">
        <v>45654</v>
      </c>
      <c r="F10567" t="s">
        <v>4295</v>
      </c>
      <c r="G10567" t="s">
        <v>1882</v>
      </c>
      <c r="H10567">
        <v>1</v>
      </c>
      <c r="I10567">
        <v>17.149999999999999</v>
      </c>
      <c r="J10567" s="50">
        <v>17.149999999999999</v>
      </c>
      <c r="K10567" t="s">
        <v>1632</v>
      </c>
      <c r="L10567" t="s">
        <v>7223</v>
      </c>
      <c r="M10567" t="s">
        <v>1624</v>
      </c>
      <c r="N10567">
        <v>9.0500000000000007</v>
      </c>
      <c r="O10567" s="49">
        <v>45657</v>
      </c>
      <c r="P10567" s="50">
        <v>7.7174999999999994</v>
      </c>
    </row>
    <row r="10568" spans="4:16" x14ac:dyDescent="0.2">
      <c r="D10568">
        <v>100006345</v>
      </c>
      <c r="E10568" s="49">
        <v>45584</v>
      </c>
      <c r="F10568" t="s">
        <v>4295</v>
      </c>
      <c r="G10568" t="s">
        <v>1874</v>
      </c>
      <c r="H10568">
        <v>10</v>
      </c>
      <c r="I10568">
        <v>21.21</v>
      </c>
      <c r="J10568" s="50">
        <v>212.1</v>
      </c>
      <c r="K10568" t="s">
        <v>1632</v>
      </c>
      <c r="L10568" t="s">
        <v>7223</v>
      </c>
      <c r="M10568" t="s">
        <v>1627</v>
      </c>
      <c r="N10568">
        <v>11.19</v>
      </c>
      <c r="O10568" s="49">
        <v>45587</v>
      </c>
      <c r="P10568" s="50">
        <v>95.444999999999993</v>
      </c>
    </row>
    <row r="10569" spans="4:16" x14ac:dyDescent="0.2">
      <c r="D10569">
        <v>100006345</v>
      </c>
      <c r="E10569" s="49">
        <v>44684</v>
      </c>
      <c r="F10569" t="s">
        <v>4295</v>
      </c>
      <c r="G10569" t="s">
        <v>1838</v>
      </c>
      <c r="H10569">
        <v>7</v>
      </c>
      <c r="I10569">
        <v>69.03</v>
      </c>
      <c r="J10569" s="50">
        <v>483.21</v>
      </c>
      <c r="K10569" t="s">
        <v>1632</v>
      </c>
      <c r="L10569" t="s">
        <v>7223</v>
      </c>
      <c r="M10569" t="s">
        <v>1627</v>
      </c>
      <c r="N10569">
        <v>36.43</v>
      </c>
      <c r="O10569" s="49">
        <v>44685</v>
      </c>
      <c r="P10569" s="50">
        <v>217.44450000000001</v>
      </c>
    </row>
    <row r="10570" spans="4:16" x14ac:dyDescent="0.2">
      <c r="D10570">
        <v>100006347</v>
      </c>
      <c r="E10570" s="49">
        <v>44497</v>
      </c>
      <c r="F10570" t="s">
        <v>7224</v>
      </c>
      <c r="G10570" t="s">
        <v>1885</v>
      </c>
      <c r="H10570">
        <v>8</v>
      </c>
      <c r="I10570">
        <v>18.760000000000002</v>
      </c>
      <c r="J10570" s="50">
        <v>150.08000000000001</v>
      </c>
      <c r="K10570" t="s">
        <v>1632</v>
      </c>
      <c r="L10570" t="s">
        <v>3351</v>
      </c>
      <c r="M10570" t="s">
        <v>1627</v>
      </c>
      <c r="N10570">
        <v>9.9</v>
      </c>
      <c r="O10570" s="49">
        <v>44501</v>
      </c>
      <c r="P10570" s="50">
        <v>67.536000000000001</v>
      </c>
    </row>
    <row r="10571" spans="4:16" x14ac:dyDescent="0.2">
      <c r="D10571">
        <v>100006347</v>
      </c>
      <c r="E10571" s="49">
        <v>45105</v>
      </c>
      <c r="F10571" t="s">
        <v>7224</v>
      </c>
      <c r="G10571" t="s">
        <v>1982</v>
      </c>
      <c r="H10571">
        <v>2</v>
      </c>
      <c r="I10571">
        <v>100.32</v>
      </c>
      <c r="J10571" s="50">
        <v>200.64</v>
      </c>
      <c r="K10571" t="s">
        <v>1632</v>
      </c>
      <c r="L10571" t="s">
        <v>3351</v>
      </c>
      <c r="M10571" t="s">
        <v>1624</v>
      </c>
      <c r="N10571">
        <v>52.95</v>
      </c>
      <c r="O10571" s="49">
        <v>45106</v>
      </c>
      <c r="P10571" s="50">
        <v>90.287999999999997</v>
      </c>
    </row>
    <row r="10572" spans="4:16" x14ac:dyDescent="0.2">
      <c r="D10572">
        <v>100006347</v>
      </c>
      <c r="E10572" s="49">
        <v>45456</v>
      </c>
      <c r="F10572" t="s">
        <v>7224</v>
      </c>
      <c r="G10572" t="s">
        <v>2047</v>
      </c>
      <c r="H10572">
        <v>7</v>
      </c>
      <c r="I10572">
        <v>60.56</v>
      </c>
      <c r="J10572" s="50">
        <v>423.92</v>
      </c>
      <c r="K10572" t="s">
        <v>1632</v>
      </c>
      <c r="L10572" t="s">
        <v>3351</v>
      </c>
      <c r="M10572" t="s">
        <v>1624</v>
      </c>
      <c r="N10572">
        <v>31.96</v>
      </c>
      <c r="O10572" s="49">
        <v>45459</v>
      </c>
      <c r="P10572" s="50">
        <v>190.76400000000001</v>
      </c>
    </row>
    <row r="10573" spans="4:16" x14ac:dyDescent="0.2">
      <c r="D10573">
        <v>100006348</v>
      </c>
      <c r="E10573" s="49">
        <v>44933</v>
      </c>
      <c r="F10573" t="s">
        <v>7225</v>
      </c>
      <c r="G10573" t="s">
        <v>1801</v>
      </c>
      <c r="H10573">
        <v>3</v>
      </c>
      <c r="I10573">
        <v>84.97</v>
      </c>
      <c r="J10573" s="50">
        <v>254.91</v>
      </c>
      <c r="K10573" t="s">
        <v>1618</v>
      </c>
      <c r="M10573" t="s">
        <v>1624</v>
      </c>
      <c r="N10573">
        <v>44.84</v>
      </c>
      <c r="O10573" s="49">
        <v>44937</v>
      </c>
      <c r="P10573" s="50">
        <v>114.70950000000001</v>
      </c>
    </row>
    <row r="10574" spans="4:16" x14ac:dyDescent="0.2">
      <c r="D10574">
        <v>100006348</v>
      </c>
      <c r="E10574" s="49">
        <v>45341</v>
      </c>
      <c r="F10574" t="s">
        <v>7225</v>
      </c>
      <c r="G10574" t="s">
        <v>2063</v>
      </c>
      <c r="H10574">
        <v>10</v>
      </c>
      <c r="I10574">
        <v>81.849999999999994</v>
      </c>
      <c r="J10574" s="50">
        <v>818.5</v>
      </c>
      <c r="K10574" t="s">
        <v>1618</v>
      </c>
      <c r="M10574" t="s">
        <v>1619</v>
      </c>
      <c r="N10574">
        <v>43.2</v>
      </c>
      <c r="O10574" s="49">
        <v>45346</v>
      </c>
      <c r="P10574" s="50">
        <v>368.32499999999999</v>
      </c>
    </row>
    <row r="10575" spans="4:16" x14ac:dyDescent="0.2">
      <c r="D10575">
        <v>100006348</v>
      </c>
      <c r="E10575" s="49">
        <v>44405</v>
      </c>
      <c r="F10575" t="s">
        <v>7225</v>
      </c>
      <c r="G10575" t="s">
        <v>2041</v>
      </c>
      <c r="H10575">
        <v>2</v>
      </c>
      <c r="I10575">
        <v>78.48</v>
      </c>
      <c r="J10575" s="50">
        <v>156.96</v>
      </c>
      <c r="K10575" t="s">
        <v>1618</v>
      </c>
      <c r="M10575" t="s">
        <v>1629</v>
      </c>
      <c r="N10575">
        <v>41.42</v>
      </c>
      <c r="O10575" s="49">
        <v>44407</v>
      </c>
      <c r="P10575" s="50">
        <v>70.632000000000005</v>
      </c>
    </row>
    <row r="10576" spans="4:16" x14ac:dyDescent="0.2">
      <c r="D10576">
        <v>100006348</v>
      </c>
      <c r="E10576" s="49">
        <v>44465</v>
      </c>
      <c r="F10576" t="s">
        <v>7225</v>
      </c>
      <c r="G10576" t="s">
        <v>1648</v>
      </c>
      <c r="H10576">
        <v>2</v>
      </c>
      <c r="I10576">
        <v>113.08</v>
      </c>
      <c r="J10576" s="50">
        <v>226.16</v>
      </c>
      <c r="K10576" t="s">
        <v>1618</v>
      </c>
      <c r="M10576" t="s">
        <v>1629</v>
      </c>
      <c r="N10576">
        <v>59.68</v>
      </c>
      <c r="O10576" s="49">
        <v>44469</v>
      </c>
      <c r="P10576" s="50">
        <v>101.77200000000001</v>
      </c>
    </row>
    <row r="10577" spans="4:16" x14ac:dyDescent="0.2">
      <c r="D10577">
        <v>100006348</v>
      </c>
      <c r="E10577" s="49">
        <v>44451</v>
      </c>
      <c r="F10577" t="s">
        <v>7225</v>
      </c>
      <c r="G10577" t="s">
        <v>1655</v>
      </c>
      <c r="H10577">
        <v>8</v>
      </c>
      <c r="I10577">
        <v>36.479999999999997</v>
      </c>
      <c r="J10577" s="50">
        <v>291.83999999999997</v>
      </c>
      <c r="K10577" t="s">
        <v>1618</v>
      </c>
      <c r="M10577" t="s">
        <v>1629</v>
      </c>
      <c r="N10577">
        <v>19.25</v>
      </c>
      <c r="O10577" s="49">
        <v>44455</v>
      </c>
      <c r="P10577" s="50">
        <v>131.328</v>
      </c>
    </row>
    <row r="10578" spans="4:16" x14ac:dyDescent="0.2">
      <c r="D10578">
        <v>100006348</v>
      </c>
      <c r="E10578" s="49">
        <v>44880</v>
      </c>
      <c r="F10578" t="s">
        <v>7225</v>
      </c>
      <c r="G10578" t="s">
        <v>1802</v>
      </c>
      <c r="H10578">
        <v>10</v>
      </c>
      <c r="I10578">
        <v>107</v>
      </c>
      <c r="J10578" s="50">
        <v>1070</v>
      </c>
      <c r="K10578" t="s">
        <v>1618</v>
      </c>
      <c r="M10578" t="s">
        <v>1629</v>
      </c>
      <c r="N10578">
        <v>56.47</v>
      </c>
      <c r="O10578" s="49">
        <v>44885</v>
      </c>
      <c r="P10578" s="50">
        <v>481.5</v>
      </c>
    </row>
    <row r="10579" spans="4:16" x14ac:dyDescent="0.2">
      <c r="D10579">
        <v>100006348</v>
      </c>
      <c r="E10579" s="49">
        <v>44650</v>
      </c>
      <c r="F10579" t="s">
        <v>7225</v>
      </c>
      <c r="G10579" t="s">
        <v>1729</v>
      </c>
      <c r="H10579">
        <v>6</v>
      </c>
      <c r="I10579">
        <v>50.17</v>
      </c>
      <c r="J10579" s="50">
        <v>301.02</v>
      </c>
      <c r="K10579" t="s">
        <v>1618</v>
      </c>
      <c r="M10579" t="s">
        <v>1621</v>
      </c>
      <c r="N10579">
        <v>26.48</v>
      </c>
      <c r="O10579" s="49">
        <v>44652</v>
      </c>
      <c r="P10579" s="50">
        <v>135.459</v>
      </c>
    </row>
    <row r="10580" spans="4:16" x14ac:dyDescent="0.2">
      <c r="D10580">
        <v>100006349</v>
      </c>
      <c r="E10580" s="49">
        <v>45308</v>
      </c>
      <c r="F10580" t="s">
        <v>7226</v>
      </c>
      <c r="G10580" t="s">
        <v>2116</v>
      </c>
      <c r="H10580">
        <v>9</v>
      </c>
      <c r="I10580">
        <v>36.369999999999997</v>
      </c>
      <c r="J10580" s="50">
        <v>327.33</v>
      </c>
      <c r="K10580" t="s">
        <v>1632</v>
      </c>
      <c r="M10580" t="s">
        <v>1624</v>
      </c>
      <c r="N10580">
        <v>19.2</v>
      </c>
      <c r="O10580" s="49">
        <v>45311</v>
      </c>
      <c r="P10580" s="50">
        <v>147.29849999999999</v>
      </c>
    </row>
    <row r="10581" spans="4:16" x14ac:dyDescent="0.2">
      <c r="D10581">
        <v>100006351</v>
      </c>
      <c r="E10581" s="49">
        <v>45460</v>
      </c>
      <c r="F10581" t="s">
        <v>7227</v>
      </c>
      <c r="G10581" t="s">
        <v>1924</v>
      </c>
      <c r="H10581">
        <v>9</v>
      </c>
      <c r="I10581">
        <v>33.1</v>
      </c>
      <c r="J10581" s="50">
        <v>297.89999999999998</v>
      </c>
      <c r="K10581" t="s">
        <v>1632</v>
      </c>
      <c r="M10581" t="s">
        <v>1621</v>
      </c>
      <c r="N10581">
        <v>17.47</v>
      </c>
      <c r="O10581" s="49">
        <v>45465</v>
      </c>
      <c r="P10581" s="50">
        <v>134.05500000000001</v>
      </c>
    </row>
    <row r="10582" spans="4:16" x14ac:dyDescent="0.2">
      <c r="D10582">
        <v>100006351</v>
      </c>
      <c r="E10582" s="49">
        <v>45633</v>
      </c>
      <c r="F10582" t="s">
        <v>7227</v>
      </c>
      <c r="G10582" t="s">
        <v>1707</v>
      </c>
      <c r="H10582">
        <v>4</v>
      </c>
      <c r="I10582">
        <v>14.13</v>
      </c>
      <c r="J10582" s="50">
        <v>56.52</v>
      </c>
      <c r="K10582" t="s">
        <v>1632</v>
      </c>
      <c r="M10582" t="s">
        <v>1627</v>
      </c>
      <c r="N10582">
        <v>7.46</v>
      </c>
      <c r="O10582" s="49">
        <v>45636</v>
      </c>
      <c r="P10582" s="50">
        <v>25.434000000000001</v>
      </c>
    </row>
    <row r="10583" spans="4:16" x14ac:dyDescent="0.2">
      <c r="D10583">
        <v>100006352</v>
      </c>
      <c r="E10583" s="49">
        <v>45352</v>
      </c>
      <c r="F10583" t="s">
        <v>7228</v>
      </c>
      <c r="G10583" t="s">
        <v>2331</v>
      </c>
      <c r="H10583">
        <v>6</v>
      </c>
      <c r="I10583">
        <v>116.15</v>
      </c>
      <c r="J10583" s="50">
        <v>696.90000000000009</v>
      </c>
      <c r="K10583" t="s">
        <v>1618</v>
      </c>
      <c r="L10583" t="s">
        <v>1659</v>
      </c>
      <c r="M10583" t="s">
        <v>1621</v>
      </c>
      <c r="N10583">
        <v>61.3</v>
      </c>
      <c r="O10583" s="49">
        <v>45357</v>
      </c>
      <c r="P10583" s="50">
        <v>313.60500000000008</v>
      </c>
    </row>
    <row r="10584" spans="4:16" x14ac:dyDescent="0.2">
      <c r="D10584">
        <v>100006352</v>
      </c>
      <c r="E10584" s="49">
        <v>45106</v>
      </c>
      <c r="F10584" t="s">
        <v>7228</v>
      </c>
      <c r="G10584" t="s">
        <v>2074</v>
      </c>
      <c r="H10584">
        <v>3</v>
      </c>
      <c r="I10584">
        <v>104.81</v>
      </c>
      <c r="J10584" s="50">
        <v>314.43</v>
      </c>
      <c r="K10584" t="s">
        <v>1618</v>
      </c>
      <c r="L10584" t="s">
        <v>1659</v>
      </c>
      <c r="M10584" t="s">
        <v>1627</v>
      </c>
      <c r="N10584">
        <v>55.32</v>
      </c>
      <c r="O10584" s="49">
        <v>45109</v>
      </c>
      <c r="P10584" s="50">
        <v>141.49350000000001</v>
      </c>
    </row>
    <row r="10585" spans="4:16" x14ac:dyDescent="0.2">
      <c r="D10585">
        <v>100006353</v>
      </c>
      <c r="E10585" s="49">
        <v>45158</v>
      </c>
      <c r="F10585" t="s">
        <v>7229</v>
      </c>
      <c r="G10585" t="s">
        <v>1691</v>
      </c>
      <c r="H10585">
        <v>3</v>
      </c>
      <c r="I10585">
        <v>96.64</v>
      </c>
      <c r="J10585" s="50">
        <v>289.92</v>
      </c>
      <c r="K10585" t="s">
        <v>1618</v>
      </c>
      <c r="M10585" t="s">
        <v>1621</v>
      </c>
      <c r="N10585">
        <v>51</v>
      </c>
      <c r="O10585" s="49">
        <v>45161</v>
      </c>
      <c r="P10585" s="50">
        <v>130.464</v>
      </c>
    </row>
    <row r="10586" spans="4:16" x14ac:dyDescent="0.2">
      <c r="D10586">
        <v>100006353</v>
      </c>
      <c r="E10586" s="49">
        <v>45608</v>
      </c>
      <c r="F10586" t="s">
        <v>7229</v>
      </c>
      <c r="G10586" t="s">
        <v>2574</v>
      </c>
      <c r="H10586">
        <v>7</v>
      </c>
      <c r="I10586">
        <v>76.430000000000007</v>
      </c>
      <c r="J10586" s="50">
        <v>535.01</v>
      </c>
      <c r="K10586" t="s">
        <v>1618</v>
      </c>
      <c r="M10586" t="s">
        <v>1627</v>
      </c>
      <c r="N10586">
        <v>40.340000000000003</v>
      </c>
      <c r="O10586" s="49">
        <v>45610</v>
      </c>
      <c r="P10586" s="50">
        <v>240.75450000000001</v>
      </c>
    </row>
    <row r="10587" spans="4:16" x14ac:dyDescent="0.2">
      <c r="D10587">
        <v>100006353</v>
      </c>
      <c r="E10587" s="49">
        <v>44590</v>
      </c>
      <c r="F10587" t="s">
        <v>7229</v>
      </c>
      <c r="G10587" t="s">
        <v>1782</v>
      </c>
      <c r="H10587">
        <v>6</v>
      </c>
      <c r="I10587">
        <v>65</v>
      </c>
      <c r="J10587" s="50">
        <v>390</v>
      </c>
      <c r="K10587" t="s">
        <v>1618</v>
      </c>
      <c r="M10587" t="s">
        <v>1629</v>
      </c>
      <c r="N10587">
        <v>34.31</v>
      </c>
      <c r="O10587" s="49">
        <v>44593</v>
      </c>
      <c r="P10587" s="50">
        <v>175.5</v>
      </c>
    </row>
    <row r="10588" spans="4:16" x14ac:dyDescent="0.2">
      <c r="D10588">
        <v>100006355</v>
      </c>
      <c r="E10588" s="49">
        <v>45603</v>
      </c>
      <c r="F10588" t="s">
        <v>7230</v>
      </c>
      <c r="G10588" t="s">
        <v>2269</v>
      </c>
      <c r="H10588">
        <v>5</v>
      </c>
      <c r="I10588">
        <v>39.46</v>
      </c>
      <c r="J10588" s="50">
        <v>197.3</v>
      </c>
      <c r="K10588" t="s">
        <v>1618</v>
      </c>
      <c r="M10588" t="s">
        <v>1621</v>
      </c>
      <c r="N10588">
        <v>20.83</v>
      </c>
      <c r="O10588" s="49">
        <v>45607</v>
      </c>
      <c r="P10588" s="50">
        <v>88.785000000000011</v>
      </c>
    </row>
    <row r="10589" spans="4:16" x14ac:dyDescent="0.2">
      <c r="D10589">
        <v>100006355</v>
      </c>
      <c r="E10589" s="49">
        <v>44419</v>
      </c>
      <c r="F10589" t="s">
        <v>7230</v>
      </c>
      <c r="G10589" t="s">
        <v>1617</v>
      </c>
      <c r="H10589">
        <v>9</v>
      </c>
      <c r="I10589">
        <v>51.4</v>
      </c>
      <c r="J10589" s="50">
        <v>462.6</v>
      </c>
      <c r="K10589" t="s">
        <v>1618</v>
      </c>
      <c r="M10589" t="s">
        <v>1627</v>
      </c>
      <c r="N10589">
        <v>27.13</v>
      </c>
      <c r="O10589" s="49">
        <v>44422</v>
      </c>
      <c r="P10589" s="50">
        <v>208.17000000000002</v>
      </c>
    </row>
    <row r="10590" spans="4:16" x14ac:dyDescent="0.2">
      <c r="D10590">
        <v>100006355</v>
      </c>
      <c r="E10590" s="49">
        <v>45300</v>
      </c>
      <c r="F10590" t="s">
        <v>7230</v>
      </c>
      <c r="G10590" t="s">
        <v>1701</v>
      </c>
      <c r="H10590">
        <v>7</v>
      </c>
      <c r="I10590">
        <v>84.79</v>
      </c>
      <c r="J10590" s="50">
        <v>593.53000000000009</v>
      </c>
      <c r="K10590" t="s">
        <v>1618</v>
      </c>
      <c r="M10590" t="s">
        <v>1621</v>
      </c>
      <c r="N10590">
        <v>44.75</v>
      </c>
      <c r="O10590" s="49">
        <v>45304</v>
      </c>
      <c r="P10590" s="50">
        <v>267.08850000000007</v>
      </c>
    </row>
    <row r="10591" spans="4:16" x14ac:dyDescent="0.2">
      <c r="D10591">
        <v>100006356</v>
      </c>
      <c r="E10591" s="49">
        <v>45395</v>
      </c>
      <c r="F10591" t="s">
        <v>7231</v>
      </c>
      <c r="G10591" t="s">
        <v>2057</v>
      </c>
      <c r="H10591">
        <v>2</v>
      </c>
      <c r="I10591">
        <v>63.12</v>
      </c>
      <c r="J10591" s="50">
        <v>126.24</v>
      </c>
      <c r="K10591" t="s">
        <v>1618</v>
      </c>
      <c r="M10591" t="s">
        <v>1624</v>
      </c>
      <c r="N10591">
        <v>33.31</v>
      </c>
      <c r="O10591" s="49">
        <v>45397</v>
      </c>
      <c r="P10591" s="50">
        <v>56.808</v>
      </c>
    </row>
    <row r="10592" spans="4:16" x14ac:dyDescent="0.2">
      <c r="D10592">
        <v>100006358</v>
      </c>
      <c r="E10592" s="49">
        <v>44402</v>
      </c>
      <c r="F10592" t="s">
        <v>7232</v>
      </c>
      <c r="G10592" t="s">
        <v>1838</v>
      </c>
      <c r="H10592">
        <v>7</v>
      </c>
      <c r="I10592">
        <v>28.15</v>
      </c>
      <c r="J10592" s="50">
        <v>197.05</v>
      </c>
      <c r="K10592" t="s">
        <v>1618</v>
      </c>
      <c r="M10592" t="s">
        <v>1621</v>
      </c>
      <c r="N10592">
        <v>14.86</v>
      </c>
      <c r="O10592" s="49">
        <v>44405</v>
      </c>
      <c r="P10592" s="50">
        <v>88.672500000000014</v>
      </c>
    </row>
    <row r="10593" spans="4:16" x14ac:dyDescent="0.2">
      <c r="D10593">
        <v>100006358</v>
      </c>
      <c r="E10593" s="49">
        <v>45536</v>
      </c>
      <c r="F10593" t="s">
        <v>7232</v>
      </c>
      <c r="G10593" t="s">
        <v>2088</v>
      </c>
      <c r="H10593">
        <v>9</v>
      </c>
      <c r="I10593">
        <v>65.11</v>
      </c>
      <c r="J10593" s="50">
        <v>585.99</v>
      </c>
      <c r="K10593" t="s">
        <v>1618</v>
      </c>
      <c r="M10593" t="s">
        <v>1621</v>
      </c>
      <c r="N10593">
        <v>34.36</v>
      </c>
      <c r="O10593" s="49">
        <v>45539</v>
      </c>
      <c r="P10593" s="50">
        <v>263.69550000000004</v>
      </c>
    </row>
    <row r="10594" spans="4:16" x14ac:dyDescent="0.2">
      <c r="D10594">
        <v>100006358</v>
      </c>
      <c r="E10594" s="49">
        <v>45257</v>
      </c>
      <c r="F10594" t="s">
        <v>7232</v>
      </c>
      <c r="G10594" t="s">
        <v>2328</v>
      </c>
      <c r="H10594">
        <v>4</v>
      </c>
      <c r="I10594">
        <v>67.23</v>
      </c>
      <c r="J10594" s="50">
        <v>268.92</v>
      </c>
      <c r="K10594" t="s">
        <v>1618</v>
      </c>
      <c r="M10594" t="s">
        <v>1619</v>
      </c>
      <c r="N10594">
        <v>35.479999999999997</v>
      </c>
      <c r="O10594" s="49">
        <v>45258</v>
      </c>
      <c r="P10594" s="50">
        <v>121.01400000000001</v>
      </c>
    </row>
    <row r="10595" spans="4:16" x14ac:dyDescent="0.2">
      <c r="D10595">
        <v>100006358</v>
      </c>
      <c r="E10595" s="49">
        <v>45318</v>
      </c>
      <c r="F10595" t="s">
        <v>7232</v>
      </c>
      <c r="G10595" t="s">
        <v>1807</v>
      </c>
      <c r="H10595">
        <v>10</v>
      </c>
      <c r="I10595">
        <v>101.79</v>
      </c>
      <c r="J10595" s="50">
        <v>1017.9</v>
      </c>
      <c r="K10595" t="s">
        <v>1618</v>
      </c>
      <c r="M10595" t="s">
        <v>1621</v>
      </c>
      <c r="N10595">
        <v>53.72</v>
      </c>
      <c r="O10595" s="49">
        <v>45322</v>
      </c>
      <c r="P10595" s="50">
        <v>458.05500000000001</v>
      </c>
    </row>
    <row r="10596" spans="4:16" x14ac:dyDescent="0.2">
      <c r="D10596">
        <v>100006358</v>
      </c>
      <c r="E10596" s="49">
        <v>44279</v>
      </c>
      <c r="F10596" t="s">
        <v>7232</v>
      </c>
      <c r="G10596" t="s">
        <v>2514</v>
      </c>
      <c r="H10596">
        <v>7</v>
      </c>
      <c r="I10596">
        <v>59.16</v>
      </c>
      <c r="J10596" s="50">
        <v>414.12</v>
      </c>
      <c r="K10596" t="s">
        <v>1618</v>
      </c>
      <c r="M10596" t="s">
        <v>1624</v>
      </c>
      <c r="N10596">
        <v>31.22</v>
      </c>
      <c r="O10596" s="49">
        <v>44283</v>
      </c>
      <c r="P10596" s="50">
        <v>186.35400000000001</v>
      </c>
    </row>
    <row r="10597" spans="4:16" x14ac:dyDescent="0.2">
      <c r="D10597">
        <v>100006358</v>
      </c>
      <c r="E10597" s="49">
        <v>44348</v>
      </c>
      <c r="F10597" t="s">
        <v>7232</v>
      </c>
      <c r="G10597" t="s">
        <v>2099</v>
      </c>
      <c r="H10597">
        <v>7</v>
      </c>
      <c r="I10597">
        <v>46.49</v>
      </c>
      <c r="J10597" s="50">
        <v>325.43</v>
      </c>
      <c r="K10597" t="s">
        <v>1618</v>
      </c>
      <c r="M10597" t="s">
        <v>1627</v>
      </c>
      <c r="N10597">
        <v>24.54</v>
      </c>
      <c r="O10597" s="49">
        <v>44353</v>
      </c>
      <c r="P10597" s="50">
        <v>146.4435</v>
      </c>
    </row>
    <row r="10598" spans="4:16" x14ac:dyDescent="0.2">
      <c r="D10598">
        <v>100006358</v>
      </c>
      <c r="E10598" s="49">
        <v>45212</v>
      </c>
      <c r="F10598" t="s">
        <v>7232</v>
      </c>
      <c r="G10598" t="s">
        <v>1819</v>
      </c>
      <c r="H10598">
        <v>10</v>
      </c>
      <c r="I10598">
        <v>41.04</v>
      </c>
      <c r="J10598" s="50">
        <v>410.4</v>
      </c>
      <c r="K10598" t="s">
        <v>1618</v>
      </c>
      <c r="M10598" t="s">
        <v>1619</v>
      </c>
      <c r="N10598">
        <v>21.66</v>
      </c>
      <c r="O10598" s="49">
        <v>45215</v>
      </c>
      <c r="P10598" s="50">
        <v>184.68</v>
      </c>
    </row>
    <row r="10599" spans="4:16" x14ac:dyDescent="0.2">
      <c r="D10599">
        <v>100006359</v>
      </c>
      <c r="E10599" s="49">
        <v>45059</v>
      </c>
      <c r="F10599" t="s">
        <v>7233</v>
      </c>
      <c r="G10599" t="s">
        <v>2240</v>
      </c>
      <c r="H10599">
        <v>6</v>
      </c>
      <c r="I10599">
        <v>14.66</v>
      </c>
      <c r="J10599" s="50">
        <v>87.960000000000008</v>
      </c>
      <c r="K10599" t="s">
        <v>1618</v>
      </c>
      <c r="M10599" t="s">
        <v>1619</v>
      </c>
      <c r="N10599">
        <v>7.74</v>
      </c>
      <c r="O10599" s="49">
        <v>45062</v>
      </c>
      <c r="P10599" s="50">
        <v>39.582000000000008</v>
      </c>
    </row>
    <row r="10600" spans="4:16" x14ac:dyDescent="0.2">
      <c r="D10600">
        <v>100006359</v>
      </c>
      <c r="E10600" s="49">
        <v>45625</v>
      </c>
      <c r="F10600" t="s">
        <v>7233</v>
      </c>
      <c r="G10600" t="s">
        <v>1999</v>
      </c>
      <c r="H10600">
        <v>6</v>
      </c>
      <c r="I10600">
        <v>103.68</v>
      </c>
      <c r="J10600" s="50">
        <v>622.08000000000004</v>
      </c>
      <c r="K10600" t="s">
        <v>1618</v>
      </c>
      <c r="M10600" t="s">
        <v>1629</v>
      </c>
      <c r="N10600">
        <v>54.72</v>
      </c>
      <c r="O10600" s="49">
        <v>45628</v>
      </c>
      <c r="P10600" s="50">
        <v>279.93600000000004</v>
      </c>
    </row>
    <row r="10601" spans="4:16" x14ac:dyDescent="0.2">
      <c r="D10601">
        <v>100006361</v>
      </c>
      <c r="E10601" s="49">
        <v>45351</v>
      </c>
      <c r="F10601" t="s">
        <v>7234</v>
      </c>
      <c r="G10601" t="s">
        <v>1712</v>
      </c>
      <c r="H10601">
        <v>4</v>
      </c>
      <c r="I10601">
        <v>39.47</v>
      </c>
      <c r="J10601" s="50">
        <v>157.88</v>
      </c>
      <c r="K10601" t="s">
        <v>1618</v>
      </c>
      <c r="M10601" t="s">
        <v>1627</v>
      </c>
      <c r="N10601">
        <v>20.83</v>
      </c>
      <c r="O10601" s="49">
        <v>45354</v>
      </c>
      <c r="P10601" s="50">
        <v>71.046000000000006</v>
      </c>
    </row>
    <row r="10602" spans="4:16" x14ac:dyDescent="0.2">
      <c r="D10602">
        <v>100006361</v>
      </c>
      <c r="E10602" s="49">
        <v>44543</v>
      </c>
      <c r="F10602" t="s">
        <v>7234</v>
      </c>
      <c r="G10602" t="s">
        <v>1971</v>
      </c>
      <c r="H10602">
        <v>2</v>
      </c>
      <c r="I10602">
        <v>73.58</v>
      </c>
      <c r="J10602" s="50">
        <v>147.16</v>
      </c>
      <c r="K10602" t="s">
        <v>1618</v>
      </c>
      <c r="M10602" t="s">
        <v>1629</v>
      </c>
      <c r="N10602">
        <v>38.83</v>
      </c>
      <c r="O10602" s="49">
        <v>44546</v>
      </c>
      <c r="P10602" s="50">
        <v>66.221999999999994</v>
      </c>
    </row>
    <row r="10603" spans="4:16" x14ac:dyDescent="0.2">
      <c r="D10603">
        <v>100006362</v>
      </c>
      <c r="E10603" s="49">
        <v>44245</v>
      </c>
      <c r="F10603" t="s">
        <v>2434</v>
      </c>
      <c r="G10603" t="s">
        <v>1921</v>
      </c>
      <c r="H10603">
        <v>4</v>
      </c>
      <c r="I10603">
        <v>17.72</v>
      </c>
      <c r="J10603" s="50">
        <v>70.88</v>
      </c>
      <c r="K10603" t="s">
        <v>1618</v>
      </c>
      <c r="M10603" t="s">
        <v>1629</v>
      </c>
      <c r="N10603">
        <v>9.35</v>
      </c>
      <c r="O10603" s="49">
        <v>44249</v>
      </c>
      <c r="P10603" s="50">
        <v>31.895999999999997</v>
      </c>
    </row>
    <row r="10604" spans="4:16" x14ac:dyDescent="0.2">
      <c r="D10604">
        <v>100006362</v>
      </c>
      <c r="E10604" s="49">
        <v>44800</v>
      </c>
      <c r="F10604" t="s">
        <v>2434</v>
      </c>
      <c r="G10604" t="s">
        <v>1658</v>
      </c>
      <c r="H10604">
        <v>9</v>
      </c>
      <c r="I10604">
        <v>44.52</v>
      </c>
      <c r="J10604" s="50">
        <v>400.68</v>
      </c>
      <c r="K10604" t="s">
        <v>1618</v>
      </c>
      <c r="M10604" t="s">
        <v>1621</v>
      </c>
      <c r="N10604">
        <v>23.5</v>
      </c>
      <c r="O10604" s="49">
        <v>44801</v>
      </c>
      <c r="P10604" s="50">
        <v>180.30600000000001</v>
      </c>
    </row>
    <row r="10605" spans="4:16" x14ac:dyDescent="0.2">
      <c r="D10605">
        <v>100006362</v>
      </c>
      <c r="E10605" s="49">
        <v>44614</v>
      </c>
      <c r="F10605" t="s">
        <v>2434</v>
      </c>
      <c r="G10605" t="s">
        <v>1874</v>
      </c>
      <c r="H10605">
        <v>7</v>
      </c>
      <c r="I10605">
        <v>118.15</v>
      </c>
      <c r="J10605" s="50">
        <v>827.05000000000007</v>
      </c>
      <c r="K10605" t="s">
        <v>1618</v>
      </c>
      <c r="M10605" t="s">
        <v>1619</v>
      </c>
      <c r="N10605">
        <v>62.36</v>
      </c>
      <c r="O10605" s="49">
        <v>44619</v>
      </c>
      <c r="P10605" s="50">
        <v>372.17250000000001</v>
      </c>
    </row>
    <row r="10606" spans="4:16" x14ac:dyDescent="0.2">
      <c r="D10606">
        <v>100006362</v>
      </c>
      <c r="E10606" s="49">
        <v>44847</v>
      </c>
      <c r="F10606" t="s">
        <v>2434</v>
      </c>
      <c r="G10606" t="s">
        <v>2198</v>
      </c>
      <c r="H10606">
        <v>8</v>
      </c>
      <c r="I10606">
        <v>56.6</v>
      </c>
      <c r="J10606" s="50">
        <v>452.8</v>
      </c>
      <c r="K10606" t="s">
        <v>1618</v>
      </c>
      <c r="M10606" t="s">
        <v>1621</v>
      </c>
      <c r="N10606">
        <v>29.87</v>
      </c>
      <c r="O10606" s="49">
        <v>44850</v>
      </c>
      <c r="P10606" s="50">
        <v>203.76000000000002</v>
      </c>
    </row>
    <row r="10607" spans="4:16" x14ac:dyDescent="0.2">
      <c r="D10607">
        <v>100006364</v>
      </c>
      <c r="E10607" s="49">
        <v>45001</v>
      </c>
      <c r="F10607" t="s">
        <v>7235</v>
      </c>
      <c r="G10607" t="s">
        <v>1667</v>
      </c>
      <c r="H10607">
        <v>8</v>
      </c>
      <c r="I10607">
        <v>75.17</v>
      </c>
      <c r="J10607" s="50">
        <v>601.36</v>
      </c>
      <c r="K10607" t="s">
        <v>1618</v>
      </c>
      <c r="M10607" t="s">
        <v>1627</v>
      </c>
      <c r="N10607">
        <v>39.67</v>
      </c>
      <c r="O10607" s="49">
        <v>45003</v>
      </c>
      <c r="P10607" s="50">
        <v>270.61200000000002</v>
      </c>
    </row>
    <row r="10608" spans="4:16" x14ac:dyDescent="0.2">
      <c r="D10608">
        <v>100006366</v>
      </c>
      <c r="E10608" s="49">
        <v>44844</v>
      </c>
      <c r="F10608" t="s">
        <v>7236</v>
      </c>
      <c r="G10608" t="s">
        <v>2337</v>
      </c>
      <c r="H10608">
        <v>8</v>
      </c>
      <c r="I10608">
        <v>23.8</v>
      </c>
      <c r="J10608" s="50">
        <v>190.4</v>
      </c>
      <c r="K10608" t="s">
        <v>1618</v>
      </c>
      <c r="M10608" t="s">
        <v>1621</v>
      </c>
      <c r="N10608">
        <v>12.56</v>
      </c>
      <c r="O10608" s="49">
        <v>44847</v>
      </c>
      <c r="P10608" s="50">
        <v>85.68</v>
      </c>
    </row>
    <row r="10609" spans="4:16" x14ac:dyDescent="0.2">
      <c r="D10609">
        <v>100006367</v>
      </c>
      <c r="E10609" s="49">
        <v>44588</v>
      </c>
      <c r="F10609" t="s">
        <v>7237</v>
      </c>
      <c r="G10609" t="s">
        <v>1976</v>
      </c>
      <c r="H10609">
        <v>9</v>
      </c>
      <c r="I10609">
        <v>26.78</v>
      </c>
      <c r="J10609" s="50">
        <v>241.02</v>
      </c>
      <c r="K10609" t="s">
        <v>1632</v>
      </c>
      <c r="M10609" t="s">
        <v>1621</v>
      </c>
      <c r="N10609">
        <v>14.13</v>
      </c>
      <c r="O10609" s="49">
        <v>44591</v>
      </c>
      <c r="P10609" s="50">
        <v>108.459</v>
      </c>
    </row>
    <row r="10610" spans="4:16" x14ac:dyDescent="0.2">
      <c r="D10610">
        <v>100006367</v>
      </c>
      <c r="E10610" s="49">
        <v>44220</v>
      </c>
      <c r="F10610" t="s">
        <v>7237</v>
      </c>
      <c r="G10610" t="s">
        <v>1958</v>
      </c>
      <c r="H10610">
        <v>3</v>
      </c>
      <c r="I10610">
        <v>50.2</v>
      </c>
      <c r="J10610" s="50">
        <v>150.6</v>
      </c>
      <c r="K10610" t="s">
        <v>1632</v>
      </c>
      <c r="M10610" t="s">
        <v>1624</v>
      </c>
      <c r="N10610">
        <v>26.49</v>
      </c>
      <c r="O10610" s="49">
        <v>44223</v>
      </c>
      <c r="P10610" s="50">
        <v>67.77</v>
      </c>
    </row>
    <row r="10611" spans="4:16" x14ac:dyDescent="0.2">
      <c r="D10611">
        <v>100006367</v>
      </c>
      <c r="E10611" s="49">
        <v>45549</v>
      </c>
      <c r="F10611" t="s">
        <v>7237</v>
      </c>
      <c r="G10611" t="s">
        <v>1760</v>
      </c>
      <c r="H10611">
        <v>10</v>
      </c>
      <c r="I10611">
        <v>54.12</v>
      </c>
      <c r="J10611" s="50">
        <v>541.19999999999993</v>
      </c>
      <c r="K10611" t="s">
        <v>1632</v>
      </c>
      <c r="M10611" t="s">
        <v>1619</v>
      </c>
      <c r="N10611">
        <v>28.56</v>
      </c>
      <c r="O10611" s="49">
        <v>45553</v>
      </c>
      <c r="P10611" s="50">
        <v>243.53999999999996</v>
      </c>
    </row>
    <row r="10612" spans="4:16" x14ac:dyDescent="0.2">
      <c r="D10612">
        <v>100006367</v>
      </c>
      <c r="E10612" s="49">
        <v>44259</v>
      </c>
      <c r="F10612" t="s">
        <v>7237</v>
      </c>
      <c r="G10612" t="s">
        <v>1783</v>
      </c>
      <c r="H10612">
        <v>5</v>
      </c>
      <c r="I10612">
        <v>107.8</v>
      </c>
      <c r="J10612" s="50">
        <v>539</v>
      </c>
      <c r="K10612" t="s">
        <v>1632</v>
      </c>
      <c r="M10612" t="s">
        <v>1621</v>
      </c>
      <c r="N10612">
        <v>56.89</v>
      </c>
      <c r="O10612" s="49">
        <v>44261</v>
      </c>
      <c r="P10612" s="50">
        <v>242.55</v>
      </c>
    </row>
    <row r="10613" spans="4:16" x14ac:dyDescent="0.2">
      <c r="D10613">
        <v>100006368</v>
      </c>
      <c r="E10613" s="49">
        <v>44827</v>
      </c>
      <c r="F10613" t="s">
        <v>7238</v>
      </c>
      <c r="G10613" t="s">
        <v>2261</v>
      </c>
      <c r="H10613">
        <v>7</v>
      </c>
      <c r="I10613">
        <v>59.31</v>
      </c>
      <c r="J10613" s="50">
        <v>415.17</v>
      </c>
      <c r="K10613" t="s">
        <v>1632</v>
      </c>
      <c r="M10613" t="s">
        <v>1629</v>
      </c>
      <c r="N10613">
        <v>31.3</v>
      </c>
      <c r="O10613" s="49">
        <v>44830</v>
      </c>
      <c r="P10613" s="50">
        <v>186.82650000000001</v>
      </c>
    </row>
    <row r="10614" spans="4:16" x14ac:dyDescent="0.2">
      <c r="D10614">
        <v>100006368</v>
      </c>
      <c r="E10614" s="49">
        <v>45364</v>
      </c>
      <c r="F10614" t="s">
        <v>7238</v>
      </c>
      <c r="G10614" t="s">
        <v>2390</v>
      </c>
      <c r="H10614">
        <v>7</v>
      </c>
      <c r="I10614">
        <v>74.66</v>
      </c>
      <c r="J10614" s="50">
        <v>522.62</v>
      </c>
      <c r="K10614" t="s">
        <v>1632</v>
      </c>
      <c r="M10614" t="s">
        <v>1627</v>
      </c>
      <c r="N10614">
        <v>39.4</v>
      </c>
      <c r="O10614" s="49">
        <v>45365</v>
      </c>
      <c r="P10614" s="50">
        <v>235.179</v>
      </c>
    </row>
    <row r="10615" spans="4:16" x14ac:dyDescent="0.2">
      <c r="D10615">
        <v>100006368</v>
      </c>
      <c r="E10615" s="49">
        <v>44999</v>
      </c>
      <c r="F10615" t="s">
        <v>7238</v>
      </c>
      <c r="G10615" t="s">
        <v>1820</v>
      </c>
      <c r="H10615">
        <v>8</v>
      </c>
      <c r="I10615">
        <v>65.8</v>
      </c>
      <c r="J10615" s="50">
        <v>526.4</v>
      </c>
      <c r="K10615" t="s">
        <v>1632</v>
      </c>
      <c r="M10615" t="s">
        <v>1619</v>
      </c>
      <c r="N10615">
        <v>34.729999999999997</v>
      </c>
      <c r="O10615" s="49">
        <v>45002</v>
      </c>
      <c r="P10615" s="50">
        <v>236.88</v>
      </c>
    </row>
    <row r="10616" spans="4:16" x14ac:dyDescent="0.2">
      <c r="D10616">
        <v>100006369</v>
      </c>
      <c r="E10616" s="49">
        <v>44364</v>
      </c>
      <c r="F10616" t="s">
        <v>7239</v>
      </c>
      <c r="G10616" t="s">
        <v>2337</v>
      </c>
      <c r="H10616">
        <v>10</v>
      </c>
      <c r="I10616">
        <v>66.040000000000006</v>
      </c>
      <c r="J10616" s="50">
        <v>660.40000000000009</v>
      </c>
      <c r="K10616" t="s">
        <v>1618</v>
      </c>
      <c r="M10616" t="s">
        <v>1627</v>
      </c>
      <c r="N10616">
        <v>34.85</v>
      </c>
      <c r="O10616" s="49">
        <v>44367</v>
      </c>
      <c r="P10616" s="50">
        <v>297.18000000000006</v>
      </c>
    </row>
    <row r="10617" spans="4:16" x14ac:dyDescent="0.2">
      <c r="D10617">
        <v>100006369</v>
      </c>
      <c r="E10617" s="49">
        <v>44357</v>
      </c>
      <c r="F10617" t="s">
        <v>7239</v>
      </c>
      <c r="G10617" t="s">
        <v>2078</v>
      </c>
      <c r="H10617">
        <v>4</v>
      </c>
      <c r="I10617">
        <v>22.28</v>
      </c>
      <c r="J10617" s="50">
        <v>89.12</v>
      </c>
      <c r="K10617" t="s">
        <v>1618</v>
      </c>
      <c r="M10617" t="s">
        <v>1619</v>
      </c>
      <c r="N10617">
        <v>11.76</v>
      </c>
      <c r="O10617" s="49">
        <v>44360</v>
      </c>
      <c r="P10617" s="50">
        <v>40.104000000000006</v>
      </c>
    </row>
    <row r="10618" spans="4:16" x14ac:dyDescent="0.2">
      <c r="D10618">
        <v>100006371</v>
      </c>
      <c r="E10618" s="49">
        <v>44578</v>
      </c>
      <c r="F10618" t="s">
        <v>7240</v>
      </c>
      <c r="G10618" t="s">
        <v>1830</v>
      </c>
      <c r="H10618">
        <v>2</v>
      </c>
      <c r="I10618">
        <v>62.52</v>
      </c>
      <c r="J10618" s="50">
        <v>125.04</v>
      </c>
      <c r="K10618" t="s">
        <v>1632</v>
      </c>
      <c r="M10618" t="s">
        <v>1619</v>
      </c>
      <c r="N10618">
        <v>33</v>
      </c>
      <c r="O10618" s="49">
        <v>44580</v>
      </c>
      <c r="P10618" s="50">
        <v>56.268000000000001</v>
      </c>
    </row>
    <row r="10619" spans="4:16" x14ac:dyDescent="0.2">
      <c r="D10619">
        <v>100006374</v>
      </c>
      <c r="E10619" s="49">
        <v>44916</v>
      </c>
      <c r="F10619" t="s">
        <v>7241</v>
      </c>
      <c r="G10619" t="s">
        <v>2418</v>
      </c>
      <c r="H10619">
        <v>4</v>
      </c>
      <c r="I10619">
        <v>96.51</v>
      </c>
      <c r="J10619" s="50">
        <v>386.04</v>
      </c>
      <c r="K10619" t="s">
        <v>1618</v>
      </c>
      <c r="M10619" t="s">
        <v>1629</v>
      </c>
      <c r="N10619">
        <v>50.94</v>
      </c>
      <c r="O10619" s="49">
        <v>44917</v>
      </c>
      <c r="P10619" s="50">
        <v>173.71800000000002</v>
      </c>
    </row>
    <row r="10620" spans="4:16" x14ac:dyDescent="0.2">
      <c r="D10620">
        <v>100006374</v>
      </c>
      <c r="E10620" s="49">
        <v>45470</v>
      </c>
      <c r="F10620" t="s">
        <v>7241</v>
      </c>
      <c r="G10620" t="s">
        <v>1833</v>
      </c>
      <c r="H10620">
        <v>9</v>
      </c>
      <c r="I10620">
        <v>107.16</v>
      </c>
      <c r="J10620" s="50">
        <v>964.43999999999994</v>
      </c>
      <c r="K10620" t="s">
        <v>1618</v>
      </c>
      <c r="M10620" t="s">
        <v>1629</v>
      </c>
      <c r="N10620">
        <v>56.56</v>
      </c>
      <c r="O10620" s="49">
        <v>45473</v>
      </c>
      <c r="P10620" s="50">
        <v>433.99799999999999</v>
      </c>
    </row>
    <row r="10621" spans="4:16" x14ac:dyDescent="0.2">
      <c r="D10621">
        <v>100006375</v>
      </c>
      <c r="E10621" s="49">
        <v>44270</v>
      </c>
      <c r="F10621" t="s">
        <v>7242</v>
      </c>
      <c r="G10621" t="s">
        <v>2150</v>
      </c>
      <c r="H10621">
        <v>8</v>
      </c>
      <c r="I10621">
        <v>41.52</v>
      </c>
      <c r="J10621" s="50">
        <v>332.16</v>
      </c>
      <c r="K10621" t="s">
        <v>1632</v>
      </c>
      <c r="L10621" t="s">
        <v>2258</v>
      </c>
      <c r="M10621" t="s">
        <v>1624</v>
      </c>
      <c r="N10621">
        <v>21.91</v>
      </c>
      <c r="O10621" s="49">
        <v>44275</v>
      </c>
      <c r="P10621" s="50">
        <v>149.47200000000001</v>
      </c>
    </row>
    <row r="10622" spans="4:16" x14ac:dyDescent="0.2">
      <c r="D10622">
        <v>100006376</v>
      </c>
      <c r="E10622" s="49">
        <v>44488</v>
      </c>
      <c r="F10622" t="s">
        <v>4417</v>
      </c>
      <c r="G10622" t="s">
        <v>2633</v>
      </c>
      <c r="H10622">
        <v>6</v>
      </c>
      <c r="I10622">
        <v>83.01</v>
      </c>
      <c r="J10622" s="50">
        <v>498.06000000000012</v>
      </c>
      <c r="K10622" t="s">
        <v>1618</v>
      </c>
      <c r="L10622" t="s">
        <v>5902</v>
      </c>
      <c r="M10622" t="s">
        <v>1619</v>
      </c>
      <c r="N10622">
        <v>43.81</v>
      </c>
      <c r="O10622" s="49">
        <v>44491</v>
      </c>
      <c r="P10622" s="50">
        <v>224.12700000000007</v>
      </c>
    </row>
    <row r="10623" spans="4:16" x14ac:dyDescent="0.2">
      <c r="D10623">
        <v>100006377</v>
      </c>
      <c r="E10623" s="49">
        <v>45365</v>
      </c>
      <c r="F10623" t="s">
        <v>7243</v>
      </c>
      <c r="G10623" t="s">
        <v>1792</v>
      </c>
      <c r="H10623">
        <v>8</v>
      </c>
      <c r="I10623">
        <v>29.34</v>
      </c>
      <c r="J10623" s="50">
        <v>234.72</v>
      </c>
      <c r="K10623" t="s">
        <v>1632</v>
      </c>
      <c r="L10623" t="s">
        <v>4185</v>
      </c>
      <c r="M10623" t="s">
        <v>1619</v>
      </c>
      <c r="N10623">
        <v>15.48</v>
      </c>
      <c r="O10623" s="49">
        <v>45369</v>
      </c>
      <c r="P10623" s="50">
        <v>105.624</v>
      </c>
    </row>
    <row r="10624" spans="4:16" x14ac:dyDescent="0.2">
      <c r="D10624">
        <v>100006378</v>
      </c>
      <c r="E10624" s="49">
        <v>44225</v>
      </c>
      <c r="F10624" t="s">
        <v>7244</v>
      </c>
      <c r="G10624" t="s">
        <v>2005</v>
      </c>
      <c r="H10624">
        <v>2</v>
      </c>
      <c r="I10624">
        <v>118.55</v>
      </c>
      <c r="J10624" s="50">
        <v>237.1</v>
      </c>
      <c r="K10624" t="s">
        <v>1618</v>
      </c>
      <c r="M10624" t="s">
        <v>1624</v>
      </c>
      <c r="N10624">
        <v>62.57</v>
      </c>
      <c r="O10624" s="49">
        <v>44228</v>
      </c>
      <c r="P10624" s="50">
        <v>106.69499999999999</v>
      </c>
    </row>
    <row r="10625" spans="4:16" x14ac:dyDescent="0.2">
      <c r="D10625">
        <v>100006379</v>
      </c>
      <c r="E10625" s="49">
        <v>44315</v>
      </c>
      <c r="F10625" t="s">
        <v>7245</v>
      </c>
      <c r="G10625" t="s">
        <v>1739</v>
      </c>
      <c r="H10625">
        <v>7</v>
      </c>
      <c r="I10625">
        <v>98.71</v>
      </c>
      <c r="J10625" s="50">
        <v>690.96999999999991</v>
      </c>
      <c r="K10625" t="s">
        <v>1632</v>
      </c>
      <c r="M10625" t="s">
        <v>1621</v>
      </c>
      <c r="N10625">
        <v>52.1</v>
      </c>
      <c r="O10625" s="49">
        <v>44320</v>
      </c>
      <c r="P10625" s="50">
        <v>310.93649999999997</v>
      </c>
    </row>
    <row r="10626" spans="4:16" x14ac:dyDescent="0.2">
      <c r="D10626">
        <v>100006380</v>
      </c>
      <c r="E10626" s="49">
        <v>44690</v>
      </c>
      <c r="F10626" t="s">
        <v>7246</v>
      </c>
      <c r="G10626" t="s">
        <v>2168</v>
      </c>
      <c r="H10626">
        <v>8</v>
      </c>
      <c r="I10626">
        <v>77.78</v>
      </c>
      <c r="J10626" s="50">
        <v>622.24</v>
      </c>
      <c r="K10626" t="s">
        <v>1618</v>
      </c>
      <c r="M10626" t="s">
        <v>1627</v>
      </c>
      <c r="N10626">
        <v>41.05</v>
      </c>
      <c r="O10626" s="49">
        <v>44694</v>
      </c>
      <c r="P10626" s="50">
        <v>280.00800000000004</v>
      </c>
    </row>
    <row r="10627" spans="4:16" x14ac:dyDescent="0.2">
      <c r="D10627">
        <v>100006381</v>
      </c>
      <c r="E10627" s="49">
        <v>45184</v>
      </c>
      <c r="F10627" t="s">
        <v>7247</v>
      </c>
      <c r="G10627" t="s">
        <v>3135</v>
      </c>
      <c r="H10627">
        <v>10</v>
      </c>
      <c r="I10627">
        <v>44.84</v>
      </c>
      <c r="J10627" s="50">
        <v>448.4</v>
      </c>
      <c r="K10627" t="s">
        <v>1618</v>
      </c>
      <c r="L10627" t="s">
        <v>4949</v>
      </c>
      <c r="M10627" t="s">
        <v>1627</v>
      </c>
      <c r="N10627">
        <v>23.67</v>
      </c>
      <c r="O10627" s="49">
        <v>45188</v>
      </c>
      <c r="P10627" s="50">
        <v>201.78</v>
      </c>
    </row>
    <row r="10628" spans="4:16" x14ac:dyDescent="0.2">
      <c r="D10628">
        <v>100006382</v>
      </c>
      <c r="E10628" s="49">
        <v>44705</v>
      </c>
      <c r="F10628" t="s">
        <v>7248</v>
      </c>
      <c r="G10628" t="s">
        <v>1939</v>
      </c>
      <c r="H10628">
        <v>3</v>
      </c>
      <c r="I10628">
        <v>68.72</v>
      </c>
      <c r="J10628" s="50">
        <v>206.16</v>
      </c>
      <c r="K10628" t="s">
        <v>1618</v>
      </c>
      <c r="M10628" t="s">
        <v>1627</v>
      </c>
      <c r="N10628">
        <v>36.270000000000003</v>
      </c>
      <c r="O10628" s="49">
        <v>44707</v>
      </c>
      <c r="P10628" s="50">
        <v>92.772000000000006</v>
      </c>
    </row>
    <row r="10629" spans="4:16" x14ac:dyDescent="0.2">
      <c r="D10629">
        <v>100006384</v>
      </c>
      <c r="E10629" s="49">
        <v>44929</v>
      </c>
      <c r="F10629" t="s">
        <v>7249</v>
      </c>
      <c r="G10629" t="s">
        <v>1666</v>
      </c>
      <c r="H10629">
        <v>10</v>
      </c>
      <c r="I10629">
        <v>69.37</v>
      </c>
      <c r="J10629" s="50">
        <v>693.7</v>
      </c>
      <c r="K10629" t="s">
        <v>1618</v>
      </c>
      <c r="L10629" t="s">
        <v>7250</v>
      </c>
      <c r="M10629" t="s">
        <v>1627</v>
      </c>
      <c r="N10629">
        <v>36.61</v>
      </c>
      <c r="O10629" s="49">
        <v>44933</v>
      </c>
      <c r="P10629" s="50">
        <v>312.16500000000002</v>
      </c>
    </row>
    <row r="10630" spans="4:16" x14ac:dyDescent="0.2">
      <c r="D10630">
        <v>100006385</v>
      </c>
      <c r="E10630" s="49">
        <v>45234</v>
      </c>
      <c r="F10630" t="s">
        <v>7251</v>
      </c>
      <c r="G10630" t="s">
        <v>1720</v>
      </c>
      <c r="H10630">
        <v>7</v>
      </c>
      <c r="I10630">
        <v>103.65</v>
      </c>
      <c r="J10630" s="50">
        <v>725.55000000000007</v>
      </c>
      <c r="K10630" t="s">
        <v>1618</v>
      </c>
      <c r="M10630" t="s">
        <v>1621</v>
      </c>
      <c r="N10630">
        <v>54.7</v>
      </c>
      <c r="O10630" s="49">
        <v>45238</v>
      </c>
      <c r="P10630" s="50">
        <v>326.49750000000006</v>
      </c>
    </row>
    <row r="10631" spans="4:16" x14ac:dyDescent="0.2">
      <c r="D10631">
        <v>100006385</v>
      </c>
      <c r="E10631" s="49">
        <v>45086</v>
      </c>
      <c r="F10631" t="s">
        <v>7251</v>
      </c>
      <c r="G10631" t="s">
        <v>1890</v>
      </c>
      <c r="H10631">
        <v>9</v>
      </c>
      <c r="I10631">
        <v>32.74</v>
      </c>
      <c r="J10631" s="50">
        <v>294.66000000000003</v>
      </c>
      <c r="K10631" t="s">
        <v>1618</v>
      </c>
      <c r="M10631" t="s">
        <v>1624</v>
      </c>
      <c r="N10631">
        <v>17.28</v>
      </c>
      <c r="O10631" s="49">
        <v>45088</v>
      </c>
      <c r="P10631" s="50">
        <v>132.59700000000001</v>
      </c>
    </row>
    <row r="10632" spans="4:16" x14ac:dyDescent="0.2">
      <c r="D10632">
        <v>100006385</v>
      </c>
      <c r="E10632" s="49">
        <v>44468</v>
      </c>
      <c r="F10632" t="s">
        <v>7251</v>
      </c>
      <c r="G10632" t="s">
        <v>1948</v>
      </c>
      <c r="H10632">
        <v>9</v>
      </c>
      <c r="I10632">
        <v>12.48</v>
      </c>
      <c r="J10632" s="50">
        <v>112.32</v>
      </c>
      <c r="K10632" t="s">
        <v>1618</v>
      </c>
      <c r="M10632" t="s">
        <v>1627</v>
      </c>
      <c r="N10632">
        <v>6.59</v>
      </c>
      <c r="O10632" s="49">
        <v>44472</v>
      </c>
      <c r="P10632" s="50">
        <v>50.543999999999997</v>
      </c>
    </row>
    <row r="10633" spans="4:16" x14ac:dyDescent="0.2">
      <c r="D10633">
        <v>100006386</v>
      </c>
      <c r="E10633" s="49">
        <v>45540</v>
      </c>
      <c r="F10633" t="s">
        <v>7252</v>
      </c>
      <c r="G10633" t="s">
        <v>2130</v>
      </c>
      <c r="H10633">
        <v>8</v>
      </c>
      <c r="I10633">
        <v>65.92</v>
      </c>
      <c r="J10633" s="50">
        <v>527.36</v>
      </c>
      <c r="K10633" t="s">
        <v>1618</v>
      </c>
      <c r="M10633" t="s">
        <v>1619</v>
      </c>
      <c r="N10633">
        <v>34.79</v>
      </c>
      <c r="O10633" s="49">
        <v>45544</v>
      </c>
      <c r="P10633" s="50">
        <v>237.31200000000001</v>
      </c>
    </row>
    <row r="10634" spans="4:16" x14ac:dyDescent="0.2">
      <c r="D10634">
        <v>100006386</v>
      </c>
      <c r="E10634" s="49">
        <v>44215</v>
      </c>
      <c r="F10634" t="s">
        <v>7252</v>
      </c>
      <c r="G10634" t="s">
        <v>2633</v>
      </c>
      <c r="H10634">
        <v>8</v>
      </c>
      <c r="I10634">
        <v>62.41</v>
      </c>
      <c r="J10634" s="50">
        <v>499.28</v>
      </c>
      <c r="K10634" t="s">
        <v>1618</v>
      </c>
      <c r="M10634" t="s">
        <v>1619</v>
      </c>
      <c r="N10634">
        <v>32.94</v>
      </c>
      <c r="O10634" s="49">
        <v>44217</v>
      </c>
      <c r="P10634" s="50">
        <v>224.67599999999999</v>
      </c>
    </row>
    <row r="10635" spans="4:16" x14ac:dyDescent="0.2">
      <c r="D10635">
        <v>100006386</v>
      </c>
      <c r="E10635" s="49">
        <v>45595</v>
      </c>
      <c r="F10635" t="s">
        <v>7252</v>
      </c>
      <c r="G10635" t="s">
        <v>1681</v>
      </c>
      <c r="H10635">
        <v>2</v>
      </c>
      <c r="I10635">
        <v>111.76</v>
      </c>
      <c r="J10635" s="50">
        <v>223.52</v>
      </c>
      <c r="K10635" t="s">
        <v>1618</v>
      </c>
      <c r="M10635" t="s">
        <v>1629</v>
      </c>
      <c r="N10635">
        <v>58.98</v>
      </c>
      <c r="O10635" s="49">
        <v>45598</v>
      </c>
      <c r="P10635" s="50">
        <v>100.584</v>
      </c>
    </row>
    <row r="10636" spans="4:16" x14ac:dyDescent="0.2">
      <c r="D10636">
        <v>100006386</v>
      </c>
      <c r="E10636" s="49">
        <v>45561</v>
      </c>
      <c r="F10636" t="s">
        <v>7252</v>
      </c>
      <c r="G10636" t="s">
        <v>1985</v>
      </c>
      <c r="H10636">
        <v>9</v>
      </c>
      <c r="I10636">
        <v>50.58</v>
      </c>
      <c r="J10636" s="50">
        <v>455.22</v>
      </c>
      <c r="K10636" t="s">
        <v>1618</v>
      </c>
      <c r="M10636" t="s">
        <v>1619</v>
      </c>
      <c r="N10636">
        <v>26.69</v>
      </c>
      <c r="O10636" s="49">
        <v>45565</v>
      </c>
      <c r="P10636" s="50">
        <v>204.84900000000002</v>
      </c>
    </row>
    <row r="10637" spans="4:16" x14ac:dyDescent="0.2">
      <c r="D10637">
        <v>100006387</v>
      </c>
      <c r="E10637" s="49">
        <v>45388</v>
      </c>
      <c r="F10637" t="s">
        <v>7253</v>
      </c>
      <c r="G10637" t="s">
        <v>2431</v>
      </c>
      <c r="H10637">
        <v>2</v>
      </c>
      <c r="I10637">
        <v>111.16</v>
      </c>
      <c r="J10637" s="50">
        <v>222.32</v>
      </c>
      <c r="K10637" t="s">
        <v>1618</v>
      </c>
      <c r="M10637" t="s">
        <v>1619</v>
      </c>
      <c r="N10637">
        <v>58.67</v>
      </c>
      <c r="O10637" s="49">
        <v>45390</v>
      </c>
      <c r="P10637" s="50">
        <v>100.044</v>
      </c>
    </row>
    <row r="10638" spans="4:16" x14ac:dyDescent="0.2">
      <c r="D10638">
        <v>100006387</v>
      </c>
      <c r="E10638" s="49">
        <v>45421</v>
      </c>
      <c r="F10638" t="s">
        <v>7253</v>
      </c>
      <c r="G10638" t="s">
        <v>2232</v>
      </c>
      <c r="H10638">
        <v>4</v>
      </c>
      <c r="I10638">
        <v>76.400000000000006</v>
      </c>
      <c r="J10638" s="50">
        <v>305.60000000000002</v>
      </c>
      <c r="K10638" t="s">
        <v>1618</v>
      </c>
      <c r="M10638" t="s">
        <v>1619</v>
      </c>
      <c r="N10638">
        <v>40.32</v>
      </c>
      <c r="O10638" s="49">
        <v>45424</v>
      </c>
      <c r="P10638" s="50">
        <v>137.52000000000001</v>
      </c>
    </row>
    <row r="10639" spans="4:16" x14ac:dyDescent="0.2">
      <c r="D10639">
        <v>100006389</v>
      </c>
      <c r="E10639" s="49">
        <v>45114</v>
      </c>
      <c r="F10639" t="s">
        <v>7254</v>
      </c>
      <c r="G10639" t="s">
        <v>1647</v>
      </c>
      <c r="H10639">
        <v>7</v>
      </c>
      <c r="I10639">
        <v>19.170000000000002</v>
      </c>
      <c r="J10639" s="50">
        <v>134.19</v>
      </c>
      <c r="K10639" t="s">
        <v>1618</v>
      </c>
      <c r="M10639" t="s">
        <v>1629</v>
      </c>
      <c r="N10639">
        <v>10.119999999999999</v>
      </c>
      <c r="O10639" s="49">
        <v>45115</v>
      </c>
      <c r="P10639" s="50">
        <v>60.3855</v>
      </c>
    </row>
    <row r="10640" spans="4:16" x14ac:dyDescent="0.2">
      <c r="D10640">
        <v>100006391</v>
      </c>
      <c r="E10640" s="49">
        <v>44372</v>
      </c>
      <c r="F10640" t="s">
        <v>4964</v>
      </c>
      <c r="G10640" t="s">
        <v>3075</v>
      </c>
      <c r="H10640">
        <v>4</v>
      </c>
      <c r="I10640">
        <v>109.38</v>
      </c>
      <c r="J10640" s="50">
        <v>437.52</v>
      </c>
      <c r="K10640" t="s">
        <v>1632</v>
      </c>
      <c r="L10640" t="s">
        <v>3719</v>
      </c>
      <c r="M10640" t="s">
        <v>1621</v>
      </c>
      <c r="N10640">
        <v>57.73</v>
      </c>
      <c r="O10640" s="49">
        <v>44373</v>
      </c>
      <c r="P10640" s="50">
        <v>196.88399999999999</v>
      </c>
    </row>
    <row r="10641" spans="4:16" x14ac:dyDescent="0.2">
      <c r="D10641">
        <v>100006393</v>
      </c>
      <c r="E10641" s="49">
        <v>44435</v>
      </c>
      <c r="F10641" t="s">
        <v>7255</v>
      </c>
      <c r="G10641" t="s">
        <v>1749</v>
      </c>
      <c r="H10641">
        <v>8</v>
      </c>
      <c r="I10641">
        <v>63.93</v>
      </c>
      <c r="J10641" s="50">
        <v>511.44</v>
      </c>
      <c r="K10641" t="s">
        <v>1632</v>
      </c>
      <c r="M10641" t="s">
        <v>1629</v>
      </c>
      <c r="N10641">
        <v>33.74</v>
      </c>
      <c r="O10641" s="49">
        <v>44436</v>
      </c>
      <c r="P10641" s="50">
        <v>230.148</v>
      </c>
    </row>
    <row r="10642" spans="4:16" x14ac:dyDescent="0.2">
      <c r="D10642">
        <v>100006394</v>
      </c>
      <c r="E10642" s="49">
        <v>44897</v>
      </c>
      <c r="F10642" t="s">
        <v>7256</v>
      </c>
      <c r="G10642" t="s">
        <v>2125</v>
      </c>
      <c r="H10642">
        <v>9</v>
      </c>
      <c r="I10642">
        <v>26.56</v>
      </c>
      <c r="J10642" s="50">
        <v>239.04</v>
      </c>
      <c r="K10642" t="s">
        <v>1618</v>
      </c>
      <c r="L10642" t="s">
        <v>5080</v>
      </c>
      <c r="M10642" t="s">
        <v>1621</v>
      </c>
      <c r="N10642">
        <v>14.02</v>
      </c>
      <c r="O10642" s="49">
        <v>44901</v>
      </c>
      <c r="P10642" s="50">
        <v>107.568</v>
      </c>
    </row>
    <row r="10643" spans="4:16" x14ac:dyDescent="0.2">
      <c r="D10643">
        <v>100006395</v>
      </c>
      <c r="E10643" s="49">
        <v>45074</v>
      </c>
      <c r="F10643" t="s">
        <v>7257</v>
      </c>
      <c r="G10643" t="s">
        <v>1877</v>
      </c>
      <c r="H10643">
        <v>10</v>
      </c>
      <c r="I10643">
        <v>111.64</v>
      </c>
      <c r="J10643" s="50">
        <v>1116.4000000000001</v>
      </c>
      <c r="K10643" t="s">
        <v>1618</v>
      </c>
      <c r="M10643" t="s">
        <v>1621</v>
      </c>
      <c r="N10643">
        <v>58.92</v>
      </c>
      <c r="O10643" s="49">
        <v>45079</v>
      </c>
      <c r="P10643" s="50">
        <v>502.38000000000005</v>
      </c>
    </row>
    <row r="10644" spans="4:16" x14ac:dyDescent="0.2">
      <c r="D10644">
        <v>100006396</v>
      </c>
      <c r="E10644" s="49">
        <v>44860</v>
      </c>
      <c r="F10644" t="s">
        <v>7258</v>
      </c>
      <c r="G10644" t="s">
        <v>1674</v>
      </c>
      <c r="H10644">
        <v>7</v>
      </c>
      <c r="I10644">
        <v>41.69</v>
      </c>
      <c r="J10644" s="50">
        <v>291.83</v>
      </c>
      <c r="K10644" t="s">
        <v>1632</v>
      </c>
      <c r="M10644" t="s">
        <v>1619</v>
      </c>
      <c r="N10644">
        <v>22</v>
      </c>
      <c r="O10644" s="49">
        <v>44865</v>
      </c>
      <c r="P10644" s="50">
        <v>131.3235</v>
      </c>
    </row>
    <row r="10645" spans="4:16" x14ac:dyDescent="0.2">
      <c r="D10645">
        <v>100006396</v>
      </c>
      <c r="E10645" s="49">
        <v>45240</v>
      </c>
      <c r="F10645" t="s">
        <v>7258</v>
      </c>
      <c r="G10645" t="s">
        <v>1715</v>
      </c>
      <c r="H10645">
        <v>5</v>
      </c>
      <c r="I10645">
        <v>117.8</v>
      </c>
      <c r="J10645" s="50">
        <v>589</v>
      </c>
      <c r="K10645" t="s">
        <v>1632</v>
      </c>
      <c r="M10645" t="s">
        <v>1621</v>
      </c>
      <c r="N10645">
        <v>62.17</v>
      </c>
      <c r="O10645" s="49">
        <v>45244</v>
      </c>
      <c r="P10645" s="50">
        <v>265.05</v>
      </c>
    </row>
    <row r="10646" spans="4:16" x14ac:dyDescent="0.2">
      <c r="D10646">
        <v>100006396</v>
      </c>
      <c r="E10646" s="49">
        <v>44695</v>
      </c>
      <c r="F10646" t="s">
        <v>7258</v>
      </c>
      <c r="G10646" t="s">
        <v>2038</v>
      </c>
      <c r="H10646">
        <v>8</v>
      </c>
      <c r="I10646">
        <v>15.73</v>
      </c>
      <c r="J10646" s="50">
        <v>125.84</v>
      </c>
      <c r="K10646" t="s">
        <v>1632</v>
      </c>
      <c r="M10646" t="s">
        <v>1624</v>
      </c>
      <c r="N10646">
        <v>8.3000000000000007</v>
      </c>
      <c r="O10646" s="49">
        <v>44697</v>
      </c>
      <c r="P10646" s="50">
        <v>56.628</v>
      </c>
    </row>
    <row r="10647" spans="4:16" x14ac:dyDescent="0.2">
      <c r="D10647">
        <v>100006396</v>
      </c>
      <c r="E10647" s="49">
        <v>45323</v>
      </c>
      <c r="F10647" t="s">
        <v>7258</v>
      </c>
      <c r="G10647" t="s">
        <v>1709</v>
      </c>
      <c r="H10647">
        <v>4</v>
      </c>
      <c r="I10647">
        <v>55.16</v>
      </c>
      <c r="J10647" s="50">
        <v>220.64</v>
      </c>
      <c r="K10647" t="s">
        <v>1632</v>
      </c>
      <c r="M10647" t="s">
        <v>1621</v>
      </c>
      <c r="N10647">
        <v>29.11</v>
      </c>
      <c r="O10647" s="49">
        <v>45324</v>
      </c>
      <c r="P10647" s="50">
        <v>99.287999999999997</v>
      </c>
    </row>
    <row r="10648" spans="4:16" x14ac:dyDescent="0.2">
      <c r="D10648">
        <v>100006396</v>
      </c>
      <c r="E10648" s="49">
        <v>44237</v>
      </c>
      <c r="F10648" t="s">
        <v>7258</v>
      </c>
      <c r="G10648" t="s">
        <v>1794</v>
      </c>
      <c r="H10648">
        <v>10</v>
      </c>
      <c r="I10648">
        <v>61.42</v>
      </c>
      <c r="J10648" s="50">
        <v>614.20000000000005</v>
      </c>
      <c r="K10648" t="s">
        <v>1632</v>
      </c>
      <c r="M10648" t="s">
        <v>1621</v>
      </c>
      <c r="N10648">
        <v>32.42</v>
      </c>
      <c r="O10648" s="49">
        <v>44240</v>
      </c>
      <c r="P10648" s="50">
        <v>276.39000000000004</v>
      </c>
    </row>
    <row r="10649" spans="4:16" x14ac:dyDescent="0.2">
      <c r="D10649">
        <v>100006396</v>
      </c>
      <c r="E10649" s="49">
        <v>45612</v>
      </c>
      <c r="F10649" t="s">
        <v>7258</v>
      </c>
      <c r="G10649" t="s">
        <v>2514</v>
      </c>
      <c r="H10649">
        <v>3</v>
      </c>
      <c r="I10649">
        <v>21.54</v>
      </c>
      <c r="J10649" s="50">
        <v>64.62</v>
      </c>
      <c r="K10649" t="s">
        <v>1632</v>
      </c>
      <c r="M10649" t="s">
        <v>1621</v>
      </c>
      <c r="N10649">
        <v>11.37</v>
      </c>
      <c r="O10649" s="49">
        <v>45617</v>
      </c>
      <c r="P10649" s="50">
        <v>29.079000000000004</v>
      </c>
    </row>
    <row r="10650" spans="4:16" x14ac:dyDescent="0.2">
      <c r="D10650">
        <v>100006396</v>
      </c>
      <c r="E10650" s="49">
        <v>44930</v>
      </c>
      <c r="F10650" t="s">
        <v>7258</v>
      </c>
      <c r="G10650" t="s">
        <v>2305</v>
      </c>
      <c r="H10650">
        <v>5</v>
      </c>
      <c r="I10650">
        <v>118.97</v>
      </c>
      <c r="J10650" s="50">
        <v>594.85</v>
      </c>
      <c r="K10650" t="s">
        <v>1632</v>
      </c>
      <c r="M10650" t="s">
        <v>1621</v>
      </c>
      <c r="N10650">
        <v>62.79</v>
      </c>
      <c r="O10650" s="49">
        <v>44932</v>
      </c>
      <c r="P10650" s="50">
        <v>267.6825</v>
      </c>
    </row>
    <row r="10651" spans="4:16" x14ac:dyDescent="0.2">
      <c r="D10651">
        <v>100006397</v>
      </c>
      <c r="E10651" s="49">
        <v>45327</v>
      </c>
      <c r="F10651" t="s">
        <v>7259</v>
      </c>
      <c r="G10651" t="s">
        <v>2041</v>
      </c>
      <c r="H10651">
        <v>3</v>
      </c>
      <c r="I10651">
        <v>24.74</v>
      </c>
      <c r="J10651" s="50">
        <v>74.22</v>
      </c>
      <c r="K10651" t="s">
        <v>1618</v>
      </c>
      <c r="M10651" t="s">
        <v>1629</v>
      </c>
      <c r="N10651">
        <v>13.06</v>
      </c>
      <c r="O10651" s="49">
        <v>45332</v>
      </c>
      <c r="P10651" s="50">
        <v>33.399000000000001</v>
      </c>
    </row>
    <row r="10652" spans="4:16" x14ac:dyDescent="0.2">
      <c r="D10652">
        <v>100006397</v>
      </c>
      <c r="E10652" s="49">
        <v>45224</v>
      </c>
      <c r="F10652" t="s">
        <v>7259</v>
      </c>
      <c r="G10652" t="s">
        <v>2042</v>
      </c>
      <c r="H10652">
        <v>9</v>
      </c>
      <c r="I10652">
        <v>43.49</v>
      </c>
      <c r="J10652" s="50">
        <v>391.41</v>
      </c>
      <c r="K10652" t="s">
        <v>1618</v>
      </c>
      <c r="M10652" t="s">
        <v>1619</v>
      </c>
      <c r="N10652">
        <v>22.95</v>
      </c>
      <c r="O10652" s="49">
        <v>45225</v>
      </c>
      <c r="P10652" s="50">
        <v>176.1345</v>
      </c>
    </row>
    <row r="10653" spans="4:16" x14ac:dyDescent="0.2">
      <c r="D10653">
        <v>100006400</v>
      </c>
      <c r="E10653" s="49">
        <v>44755</v>
      </c>
      <c r="F10653" t="s">
        <v>7260</v>
      </c>
      <c r="G10653" t="s">
        <v>1825</v>
      </c>
      <c r="H10653">
        <v>2</v>
      </c>
      <c r="I10653">
        <v>18.05</v>
      </c>
      <c r="J10653" s="50">
        <v>36.1</v>
      </c>
      <c r="K10653" t="s">
        <v>1632</v>
      </c>
      <c r="M10653" t="s">
        <v>1629</v>
      </c>
      <c r="N10653">
        <v>9.5299999999999994</v>
      </c>
      <c r="O10653" s="49">
        <v>44760</v>
      </c>
      <c r="P10653" s="50">
        <v>16.245000000000001</v>
      </c>
    </row>
    <row r="10654" spans="4:16" x14ac:dyDescent="0.2">
      <c r="D10654">
        <v>100006401</v>
      </c>
      <c r="E10654" s="49">
        <v>44360</v>
      </c>
      <c r="F10654" t="s">
        <v>7261</v>
      </c>
      <c r="G10654" t="s">
        <v>2194</v>
      </c>
      <c r="H10654">
        <v>9</v>
      </c>
      <c r="I10654">
        <v>49.4</v>
      </c>
      <c r="J10654" s="50">
        <v>444.6</v>
      </c>
      <c r="K10654" t="s">
        <v>1632</v>
      </c>
      <c r="M10654" t="s">
        <v>1621</v>
      </c>
      <c r="N10654">
        <v>26.07</v>
      </c>
      <c r="O10654" s="49">
        <v>44361</v>
      </c>
      <c r="P10654" s="50">
        <v>200.07000000000002</v>
      </c>
    </row>
    <row r="10655" spans="4:16" x14ac:dyDescent="0.2">
      <c r="D10655">
        <v>100006401</v>
      </c>
      <c r="E10655" s="49">
        <v>45402</v>
      </c>
      <c r="F10655" t="s">
        <v>7261</v>
      </c>
      <c r="G10655" t="s">
        <v>1825</v>
      </c>
      <c r="H10655">
        <v>3</v>
      </c>
      <c r="I10655">
        <v>86.09</v>
      </c>
      <c r="J10655" s="50">
        <v>258.27</v>
      </c>
      <c r="K10655" t="s">
        <v>1632</v>
      </c>
      <c r="M10655" t="s">
        <v>1627</v>
      </c>
      <c r="N10655">
        <v>45.44</v>
      </c>
      <c r="O10655" s="49">
        <v>45406</v>
      </c>
      <c r="P10655" s="50">
        <v>116.22149999999999</v>
      </c>
    </row>
    <row r="10656" spans="4:16" x14ac:dyDescent="0.2">
      <c r="D10656">
        <v>100006401</v>
      </c>
      <c r="E10656" s="49">
        <v>45158</v>
      </c>
      <c r="F10656" t="s">
        <v>7261</v>
      </c>
      <c r="G10656" t="s">
        <v>1922</v>
      </c>
      <c r="H10656">
        <v>8</v>
      </c>
      <c r="I10656">
        <v>103.68</v>
      </c>
      <c r="J10656" s="50">
        <v>829.44</v>
      </c>
      <c r="K10656" t="s">
        <v>1632</v>
      </c>
      <c r="M10656" t="s">
        <v>1621</v>
      </c>
      <c r="N10656">
        <v>54.72</v>
      </c>
      <c r="O10656" s="49">
        <v>45162</v>
      </c>
      <c r="P10656" s="50">
        <v>373.24800000000005</v>
      </c>
    </row>
    <row r="10657" spans="4:16" x14ac:dyDescent="0.2">
      <c r="D10657">
        <v>100006402</v>
      </c>
      <c r="E10657" s="49">
        <v>44903</v>
      </c>
      <c r="F10657" t="s">
        <v>7262</v>
      </c>
      <c r="G10657" t="s">
        <v>1976</v>
      </c>
      <c r="H10657">
        <v>9</v>
      </c>
      <c r="I10657">
        <v>10.07</v>
      </c>
      <c r="J10657" s="50">
        <v>90.63</v>
      </c>
      <c r="K10657" t="s">
        <v>1632</v>
      </c>
      <c r="M10657" t="s">
        <v>1627</v>
      </c>
      <c r="N10657">
        <v>5.31</v>
      </c>
      <c r="O10657" s="49">
        <v>44904</v>
      </c>
      <c r="P10657" s="50">
        <v>40.783499999999997</v>
      </c>
    </row>
    <row r="10658" spans="4:16" x14ac:dyDescent="0.2">
      <c r="D10658">
        <v>100006402</v>
      </c>
      <c r="E10658" s="49">
        <v>45270</v>
      </c>
      <c r="F10658" t="s">
        <v>7262</v>
      </c>
      <c r="G10658" t="s">
        <v>1701</v>
      </c>
      <c r="H10658">
        <v>10</v>
      </c>
      <c r="I10658">
        <v>111.64</v>
      </c>
      <c r="J10658" s="50">
        <v>1116.4000000000001</v>
      </c>
      <c r="K10658" t="s">
        <v>1632</v>
      </c>
      <c r="M10658" t="s">
        <v>1621</v>
      </c>
      <c r="N10658">
        <v>58.92</v>
      </c>
      <c r="O10658" s="49">
        <v>45271</v>
      </c>
      <c r="P10658" s="50">
        <v>502.38000000000005</v>
      </c>
    </row>
    <row r="10659" spans="4:16" x14ac:dyDescent="0.2">
      <c r="D10659">
        <v>100006406</v>
      </c>
      <c r="E10659" s="49">
        <v>45511</v>
      </c>
      <c r="F10659" t="s">
        <v>7263</v>
      </c>
      <c r="G10659" t="s">
        <v>2038</v>
      </c>
      <c r="H10659">
        <v>6</v>
      </c>
      <c r="I10659">
        <v>109.67</v>
      </c>
      <c r="J10659" s="50">
        <v>658.02</v>
      </c>
      <c r="K10659" t="s">
        <v>1632</v>
      </c>
      <c r="M10659" t="s">
        <v>1629</v>
      </c>
      <c r="N10659">
        <v>57.88</v>
      </c>
      <c r="O10659" s="49">
        <v>45514</v>
      </c>
      <c r="P10659" s="50">
        <v>296.10899999999998</v>
      </c>
    </row>
    <row r="10660" spans="4:16" x14ac:dyDescent="0.2">
      <c r="D10660">
        <v>100006406</v>
      </c>
      <c r="E10660" s="49">
        <v>44868</v>
      </c>
      <c r="F10660" t="s">
        <v>7263</v>
      </c>
      <c r="G10660" t="s">
        <v>2372</v>
      </c>
      <c r="H10660">
        <v>9</v>
      </c>
      <c r="I10660">
        <v>29.13</v>
      </c>
      <c r="J10660" s="50">
        <v>262.17</v>
      </c>
      <c r="K10660" t="s">
        <v>1632</v>
      </c>
      <c r="M10660" t="s">
        <v>1627</v>
      </c>
      <c r="N10660">
        <v>15.37</v>
      </c>
      <c r="O10660" s="49">
        <v>44870</v>
      </c>
      <c r="P10660" s="50">
        <v>117.97650000000002</v>
      </c>
    </row>
    <row r="10661" spans="4:16" x14ac:dyDescent="0.2">
      <c r="D10661">
        <v>100006406</v>
      </c>
      <c r="E10661" s="49">
        <v>44651</v>
      </c>
      <c r="F10661" t="s">
        <v>7263</v>
      </c>
      <c r="G10661" t="s">
        <v>2658</v>
      </c>
      <c r="H10661">
        <v>9</v>
      </c>
      <c r="I10661">
        <v>12.1</v>
      </c>
      <c r="J10661" s="50">
        <v>108.9</v>
      </c>
      <c r="K10661" t="s">
        <v>1632</v>
      </c>
      <c r="M10661" t="s">
        <v>1627</v>
      </c>
      <c r="N10661">
        <v>6.39</v>
      </c>
      <c r="O10661" s="49">
        <v>44652</v>
      </c>
      <c r="P10661" s="50">
        <v>49.005000000000003</v>
      </c>
    </row>
    <row r="10662" spans="4:16" x14ac:dyDescent="0.2">
      <c r="D10662">
        <v>100006406</v>
      </c>
      <c r="E10662" s="49">
        <v>44568</v>
      </c>
      <c r="F10662" t="s">
        <v>7263</v>
      </c>
      <c r="G10662" t="s">
        <v>2240</v>
      </c>
      <c r="H10662">
        <v>7</v>
      </c>
      <c r="I10662">
        <v>27.1</v>
      </c>
      <c r="J10662" s="50">
        <v>189.7</v>
      </c>
      <c r="K10662" t="s">
        <v>1632</v>
      </c>
      <c r="M10662" t="s">
        <v>1619</v>
      </c>
      <c r="N10662">
        <v>14.3</v>
      </c>
      <c r="O10662" s="49">
        <v>44569</v>
      </c>
      <c r="P10662" s="50">
        <v>85.364999999999995</v>
      </c>
    </row>
    <row r="10663" spans="4:16" x14ac:dyDescent="0.2">
      <c r="D10663">
        <v>100006406</v>
      </c>
      <c r="E10663" s="49">
        <v>45386</v>
      </c>
      <c r="F10663" t="s">
        <v>7263</v>
      </c>
      <c r="G10663" t="s">
        <v>1649</v>
      </c>
      <c r="H10663">
        <v>10</v>
      </c>
      <c r="I10663">
        <v>13.82</v>
      </c>
      <c r="J10663" s="50">
        <v>138.19999999999999</v>
      </c>
      <c r="K10663" t="s">
        <v>1632</v>
      </c>
      <c r="M10663" t="s">
        <v>1629</v>
      </c>
      <c r="N10663">
        <v>7.29</v>
      </c>
      <c r="O10663" s="49">
        <v>45391</v>
      </c>
      <c r="P10663" s="50">
        <v>62.19</v>
      </c>
    </row>
    <row r="10664" spans="4:16" x14ac:dyDescent="0.2">
      <c r="D10664">
        <v>100006406</v>
      </c>
      <c r="E10664" s="49">
        <v>44234</v>
      </c>
      <c r="F10664" t="s">
        <v>7263</v>
      </c>
      <c r="G10664" t="s">
        <v>1712</v>
      </c>
      <c r="H10664">
        <v>3</v>
      </c>
      <c r="I10664">
        <v>63.41</v>
      </c>
      <c r="J10664" s="50">
        <v>190.23</v>
      </c>
      <c r="K10664" t="s">
        <v>1632</v>
      </c>
      <c r="M10664" t="s">
        <v>1621</v>
      </c>
      <c r="N10664">
        <v>33.47</v>
      </c>
      <c r="O10664" s="49">
        <v>44238</v>
      </c>
      <c r="P10664" s="50">
        <v>85.603499999999997</v>
      </c>
    </row>
    <row r="10665" spans="4:16" x14ac:dyDescent="0.2">
      <c r="D10665">
        <v>100006408</v>
      </c>
      <c r="E10665" s="49">
        <v>45139</v>
      </c>
      <c r="F10665" t="s">
        <v>7264</v>
      </c>
      <c r="G10665" t="s">
        <v>2658</v>
      </c>
      <c r="H10665">
        <v>8</v>
      </c>
      <c r="I10665">
        <v>42.29</v>
      </c>
      <c r="J10665" s="50">
        <v>338.32</v>
      </c>
      <c r="K10665" t="s">
        <v>1618</v>
      </c>
      <c r="M10665" t="s">
        <v>1621</v>
      </c>
      <c r="N10665">
        <v>22.32</v>
      </c>
      <c r="O10665" s="49">
        <v>45144</v>
      </c>
      <c r="P10665" s="50">
        <v>152.244</v>
      </c>
    </row>
    <row r="10666" spans="4:16" x14ac:dyDescent="0.2">
      <c r="D10666">
        <v>100006409</v>
      </c>
      <c r="E10666" s="49">
        <v>45428</v>
      </c>
      <c r="F10666" t="s">
        <v>7265</v>
      </c>
      <c r="G10666" t="s">
        <v>2134</v>
      </c>
      <c r="H10666">
        <v>4</v>
      </c>
      <c r="I10666">
        <v>23.74</v>
      </c>
      <c r="J10666" s="50">
        <v>94.96</v>
      </c>
      <c r="K10666" t="s">
        <v>1618</v>
      </c>
      <c r="M10666" t="s">
        <v>1629</v>
      </c>
      <c r="N10666">
        <v>12.53</v>
      </c>
      <c r="O10666" s="49">
        <v>45432</v>
      </c>
      <c r="P10666" s="50">
        <v>42.731999999999999</v>
      </c>
    </row>
    <row r="10667" spans="4:16" x14ac:dyDescent="0.2">
      <c r="D10667">
        <v>100006410</v>
      </c>
      <c r="E10667" s="49">
        <v>45534</v>
      </c>
      <c r="F10667" t="s">
        <v>7266</v>
      </c>
      <c r="G10667" t="s">
        <v>2019</v>
      </c>
      <c r="H10667">
        <v>2</v>
      </c>
      <c r="I10667">
        <v>38.450000000000003</v>
      </c>
      <c r="J10667" s="50">
        <v>76.900000000000006</v>
      </c>
      <c r="K10667" t="s">
        <v>1618</v>
      </c>
      <c r="L10667" t="s">
        <v>3373</v>
      </c>
      <c r="M10667" t="s">
        <v>1621</v>
      </c>
      <c r="N10667">
        <v>20.29</v>
      </c>
      <c r="O10667" s="49">
        <v>45539</v>
      </c>
      <c r="P10667" s="50">
        <v>34.605000000000004</v>
      </c>
    </row>
    <row r="10668" spans="4:16" x14ac:dyDescent="0.2">
      <c r="D10668">
        <v>100006410</v>
      </c>
      <c r="E10668" s="49">
        <v>45117</v>
      </c>
      <c r="F10668" t="s">
        <v>7266</v>
      </c>
      <c r="G10668" t="s">
        <v>2025</v>
      </c>
      <c r="H10668">
        <v>10</v>
      </c>
      <c r="I10668">
        <v>25.37</v>
      </c>
      <c r="J10668" s="50">
        <v>253.7</v>
      </c>
      <c r="K10668" t="s">
        <v>1618</v>
      </c>
      <c r="L10668" t="s">
        <v>3373</v>
      </c>
      <c r="M10668" t="s">
        <v>1624</v>
      </c>
      <c r="N10668">
        <v>13.39</v>
      </c>
      <c r="O10668" s="49">
        <v>45119</v>
      </c>
      <c r="P10668" s="50">
        <v>114.16499999999999</v>
      </c>
    </row>
    <row r="10669" spans="4:16" x14ac:dyDescent="0.2">
      <c r="D10669">
        <v>100006410</v>
      </c>
      <c r="E10669" s="49">
        <v>44530</v>
      </c>
      <c r="F10669" t="s">
        <v>7266</v>
      </c>
      <c r="G10669" t="s">
        <v>1785</v>
      </c>
      <c r="H10669">
        <v>4</v>
      </c>
      <c r="I10669">
        <v>118.9</v>
      </c>
      <c r="J10669" s="50">
        <v>475.6</v>
      </c>
      <c r="K10669" t="s">
        <v>1618</v>
      </c>
      <c r="L10669" t="s">
        <v>3373</v>
      </c>
      <c r="M10669" t="s">
        <v>1624</v>
      </c>
      <c r="N10669">
        <v>62.75</v>
      </c>
      <c r="O10669" s="49">
        <v>44535</v>
      </c>
      <c r="P10669" s="50">
        <v>214.02</v>
      </c>
    </row>
    <row r="10670" spans="4:16" x14ac:dyDescent="0.2">
      <c r="D10670">
        <v>100006410</v>
      </c>
      <c r="E10670" s="49">
        <v>45599</v>
      </c>
      <c r="F10670" t="s">
        <v>7266</v>
      </c>
      <c r="G10670" t="s">
        <v>1815</v>
      </c>
      <c r="H10670">
        <v>6</v>
      </c>
      <c r="I10670">
        <v>93.71</v>
      </c>
      <c r="J10670" s="50">
        <v>562.26</v>
      </c>
      <c r="K10670" t="s">
        <v>1618</v>
      </c>
      <c r="L10670" t="s">
        <v>3373</v>
      </c>
      <c r="M10670" t="s">
        <v>1627</v>
      </c>
      <c r="N10670">
        <v>49.46</v>
      </c>
      <c r="O10670" s="49">
        <v>45603</v>
      </c>
      <c r="P10670" s="50">
        <v>253.017</v>
      </c>
    </row>
    <row r="10671" spans="4:16" x14ac:dyDescent="0.2">
      <c r="D10671">
        <v>100006410</v>
      </c>
      <c r="E10671" s="49">
        <v>45196</v>
      </c>
      <c r="F10671" t="s">
        <v>7266</v>
      </c>
      <c r="G10671" t="s">
        <v>1885</v>
      </c>
      <c r="H10671">
        <v>7</v>
      </c>
      <c r="I10671">
        <v>55.37</v>
      </c>
      <c r="J10671" s="50">
        <v>387.59</v>
      </c>
      <c r="K10671" t="s">
        <v>1618</v>
      </c>
      <c r="L10671" t="s">
        <v>3373</v>
      </c>
      <c r="M10671" t="s">
        <v>1627</v>
      </c>
      <c r="N10671">
        <v>29.22</v>
      </c>
      <c r="O10671" s="49">
        <v>45199</v>
      </c>
      <c r="P10671" s="50">
        <v>174.41549999999998</v>
      </c>
    </row>
    <row r="10672" spans="4:16" x14ac:dyDescent="0.2">
      <c r="D10672">
        <v>100006412</v>
      </c>
      <c r="E10672" s="49">
        <v>45157</v>
      </c>
      <c r="F10672" t="s">
        <v>7267</v>
      </c>
      <c r="G10672" t="s">
        <v>2050</v>
      </c>
      <c r="H10672">
        <v>10</v>
      </c>
      <c r="I10672">
        <v>97.17</v>
      </c>
      <c r="J10672" s="50">
        <v>971.7</v>
      </c>
      <c r="K10672" t="s">
        <v>1618</v>
      </c>
      <c r="M10672" t="s">
        <v>1627</v>
      </c>
      <c r="N10672">
        <v>51.28</v>
      </c>
      <c r="O10672" s="49">
        <v>45159</v>
      </c>
      <c r="P10672" s="50">
        <v>437.26500000000004</v>
      </c>
    </row>
    <row r="10673" spans="4:16" x14ac:dyDescent="0.2">
      <c r="D10673">
        <v>100006413</v>
      </c>
      <c r="E10673" s="49">
        <v>44407</v>
      </c>
      <c r="F10673" t="s">
        <v>7268</v>
      </c>
      <c r="G10673" t="s">
        <v>1637</v>
      </c>
      <c r="H10673">
        <v>3</v>
      </c>
      <c r="I10673">
        <v>85.93</v>
      </c>
      <c r="J10673" s="50">
        <v>257.79000000000002</v>
      </c>
      <c r="K10673" t="s">
        <v>1618</v>
      </c>
      <c r="M10673" t="s">
        <v>1627</v>
      </c>
      <c r="N10673">
        <v>45.35</v>
      </c>
      <c r="O10673" s="49">
        <v>44410</v>
      </c>
      <c r="P10673" s="50">
        <v>116.00550000000001</v>
      </c>
    </row>
    <row r="10674" spans="4:16" x14ac:dyDescent="0.2">
      <c r="D10674">
        <v>100006413</v>
      </c>
      <c r="E10674" s="49">
        <v>44245</v>
      </c>
      <c r="F10674" t="s">
        <v>7268</v>
      </c>
      <c r="G10674" t="s">
        <v>2047</v>
      </c>
      <c r="H10674">
        <v>2</v>
      </c>
      <c r="I10674">
        <v>92.41</v>
      </c>
      <c r="J10674" s="50">
        <v>184.82</v>
      </c>
      <c r="K10674" t="s">
        <v>1618</v>
      </c>
      <c r="M10674" t="s">
        <v>1629</v>
      </c>
      <c r="N10674">
        <v>48.77</v>
      </c>
      <c r="O10674" s="49">
        <v>44249</v>
      </c>
      <c r="P10674" s="50">
        <v>83.168999999999997</v>
      </c>
    </row>
    <row r="10675" spans="4:16" x14ac:dyDescent="0.2">
      <c r="D10675">
        <v>100006413</v>
      </c>
      <c r="E10675" s="49">
        <v>45093</v>
      </c>
      <c r="F10675" t="s">
        <v>7268</v>
      </c>
      <c r="G10675" t="s">
        <v>1795</v>
      </c>
      <c r="H10675">
        <v>6</v>
      </c>
      <c r="I10675">
        <v>56.93</v>
      </c>
      <c r="J10675" s="50">
        <v>341.58</v>
      </c>
      <c r="K10675" t="s">
        <v>1618</v>
      </c>
      <c r="M10675" t="s">
        <v>1629</v>
      </c>
      <c r="N10675">
        <v>30.05</v>
      </c>
      <c r="O10675" s="49">
        <v>45096</v>
      </c>
      <c r="P10675" s="50">
        <v>153.71099999999998</v>
      </c>
    </row>
    <row r="10676" spans="4:16" x14ac:dyDescent="0.2">
      <c r="D10676">
        <v>100006414</v>
      </c>
      <c r="E10676" s="49">
        <v>45313</v>
      </c>
      <c r="F10676" t="s">
        <v>7269</v>
      </c>
      <c r="G10676" t="s">
        <v>1819</v>
      </c>
      <c r="H10676">
        <v>8</v>
      </c>
      <c r="I10676">
        <v>57.37</v>
      </c>
      <c r="J10676" s="50">
        <v>458.96</v>
      </c>
      <c r="K10676" t="s">
        <v>1618</v>
      </c>
      <c r="M10676" t="s">
        <v>1629</v>
      </c>
      <c r="N10676">
        <v>30.28</v>
      </c>
      <c r="O10676" s="49">
        <v>45317</v>
      </c>
      <c r="P10676" s="50">
        <v>206.53199999999998</v>
      </c>
    </row>
    <row r="10677" spans="4:16" x14ac:dyDescent="0.2">
      <c r="D10677">
        <v>100006414</v>
      </c>
      <c r="E10677" s="49">
        <v>45247</v>
      </c>
      <c r="F10677" t="s">
        <v>7269</v>
      </c>
      <c r="G10677" t="s">
        <v>2041</v>
      </c>
      <c r="H10677">
        <v>2</v>
      </c>
      <c r="I10677">
        <v>95.69</v>
      </c>
      <c r="J10677" s="50">
        <v>191.38</v>
      </c>
      <c r="K10677" t="s">
        <v>1618</v>
      </c>
      <c r="M10677" t="s">
        <v>1627</v>
      </c>
      <c r="N10677">
        <v>50.5</v>
      </c>
      <c r="O10677" s="49">
        <v>45249</v>
      </c>
      <c r="P10677" s="50">
        <v>86.120999999999995</v>
      </c>
    </row>
    <row r="10678" spans="4:16" x14ac:dyDescent="0.2">
      <c r="D10678">
        <v>100006415</v>
      </c>
      <c r="E10678" s="49">
        <v>45460</v>
      </c>
      <c r="F10678" t="s">
        <v>5173</v>
      </c>
      <c r="G10678" t="s">
        <v>2393</v>
      </c>
      <c r="H10678">
        <v>6</v>
      </c>
      <c r="I10678">
        <v>80.19</v>
      </c>
      <c r="J10678" s="50">
        <v>481.14</v>
      </c>
      <c r="K10678" t="s">
        <v>1618</v>
      </c>
      <c r="M10678" t="s">
        <v>1624</v>
      </c>
      <c r="N10678">
        <v>42.32</v>
      </c>
      <c r="O10678" s="49">
        <v>45464</v>
      </c>
      <c r="P10678" s="50">
        <v>216.51300000000001</v>
      </c>
    </row>
    <row r="10679" spans="4:16" x14ac:dyDescent="0.2">
      <c r="D10679">
        <v>100006415</v>
      </c>
      <c r="E10679" s="49">
        <v>44335</v>
      </c>
      <c r="F10679" t="s">
        <v>5173</v>
      </c>
      <c r="G10679" t="s">
        <v>1696</v>
      </c>
      <c r="H10679">
        <v>2</v>
      </c>
      <c r="I10679">
        <v>110.9</v>
      </c>
      <c r="J10679" s="50">
        <v>221.8</v>
      </c>
      <c r="K10679" t="s">
        <v>1618</v>
      </c>
      <c r="M10679" t="s">
        <v>1627</v>
      </c>
      <c r="N10679">
        <v>58.53</v>
      </c>
      <c r="O10679" s="49">
        <v>44340</v>
      </c>
      <c r="P10679" s="50">
        <v>99.81</v>
      </c>
    </row>
    <row r="10680" spans="4:16" x14ac:dyDescent="0.2">
      <c r="D10680">
        <v>100006416</v>
      </c>
      <c r="E10680" s="49">
        <v>45619</v>
      </c>
      <c r="F10680" t="s">
        <v>7270</v>
      </c>
      <c r="G10680" t="s">
        <v>2125</v>
      </c>
      <c r="H10680">
        <v>4</v>
      </c>
      <c r="I10680">
        <v>10.43</v>
      </c>
      <c r="J10680" s="50">
        <v>41.72</v>
      </c>
      <c r="K10680" t="s">
        <v>1632</v>
      </c>
      <c r="M10680" t="s">
        <v>1627</v>
      </c>
      <c r="N10680">
        <v>5.5</v>
      </c>
      <c r="O10680" s="49">
        <v>45623</v>
      </c>
      <c r="P10680" s="50">
        <v>18.774000000000001</v>
      </c>
    </row>
    <row r="10681" spans="4:16" x14ac:dyDescent="0.2">
      <c r="D10681">
        <v>100006416</v>
      </c>
      <c r="E10681" s="49">
        <v>45587</v>
      </c>
      <c r="F10681" t="s">
        <v>7270</v>
      </c>
      <c r="G10681" t="s">
        <v>2213</v>
      </c>
      <c r="H10681">
        <v>2</v>
      </c>
      <c r="I10681">
        <v>54.71</v>
      </c>
      <c r="J10681" s="50">
        <v>109.42</v>
      </c>
      <c r="K10681" t="s">
        <v>1632</v>
      </c>
      <c r="M10681" t="s">
        <v>1629</v>
      </c>
      <c r="N10681">
        <v>28.87</v>
      </c>
      <c r="O10681" s="49">
        <v>45592</v>
      </c>
      <c r="P10681" s="50">
        <v>49.239000000000004</v>
      </c>
    </row>
    <row r="10682" spans="4:16" x14ac:dyDescent="0.2">
      <c r="D10682">
        <v>100006416</v>
      </c>
      <c r="E10682" s="49">
        <v>44637</v>
      </c>
      <c r="F10682" t="s">
        <v>7270</v>
      </c>
      <c r="G10682" t="s">
        <v>1785</v>
      </c>
      <c r="H10682">
        <v>1</v>
      </c>
      <c r="I10682">
        <v>57.15</v>
      </c>
      <c r="J10682" s="50">
        <v>57.15</v>
      </c>
      <c r="K10682" t="s">
        <v>1632</v>
      </c>
      <c r="M10682" t="s">
        <v>1619</v>
      </c>
      <c r="N10682">
        <v>30.16</v>
      </c>
      <c r="O10682" s="49">
        <v>44641</v>
      </c>
      <c r="P10682" s="50">
        <v>25.717500000000001</v>
      </c>
    </row>
    <row r="10683" spans="4:16" x14ac:dyDescent="0.2">
      <c r="D10683">
        <v>100006417</v>
      </c>
      <c r="E10683" s="49">
        <v>45140</v>
      </c>
      <c r="F10683" t="s">
        <v>7271</v>
      </c>
      <c r="G10683" t="s">
        <v>2514</v>
      </c>
      <c r="H10683">
        <v>1</v>
      </c>
      <c r="I10683">
        <v>94.77</v>
      </c>
      <c r="J10683" s="50">
        <v>94.77</v>
      </c>
      <c r="K10683" t="s">
        <v>1632</v>
      </c>
      <c r="M10683" t="s">
        <v>1619</v>
      </c>
      <c r="N10683">
        <v>50.02</v>
      </c>
      <c r="O10683" s="49">
        <v>45142</v>
      </c>
      <c r="P10683" s="50">
        <v>42.646499999999996</v>
      </c>
    </row>
    <row r="10684" spans="4:16" x14ac:dyDescent="0.2">
      <c r="D10684">
        <v>100006418</v>
      </c>
      <c r="E10684" s="49">
        <v>45166</v>
      </c>
      <c r="F10684" t="s">
        <v>7272</v>
      </c>
      <c r="G10684" t="s">
        <v>1697</v>
      </c>
      <c r="H10684">
        <v>10</v>
      </c>
      <c r="I10684">
        <v>29.38</v>
      </c>
      <c r="J10684" s="50">
        <v>293.8</v>
      </c>
      <c r="K10684" t="s">
        <v>1618</v>
      </c>
      <c r="M10684" t="s">
        <v>1619</v>
      </c>
      <c r="N10684">
        <v>15.51</v>
      </c>
      <c r="O10684" s="49">
        <v>45170</v>
      </c>
      <c r="P10684" s="50">
        <v>132.21</v>
      </c>
    </row>
    <row r="10685" spans="4:16" x14ac:dyDescent="0.2">
      <c r="D10685">
        <v>100006418</v>
      </c>
      <c r="E10685" s="49">
        <v>44483</v>
      </c>
      <c r="F10685" t="s">
        <v>7272</v>
      </c>
      <c r="G10685" t="s">
        <v>1650</v>
      </c>
      <c r="H10685">
        <v>3</v>
      </c>
      <c r="I10685">
        <v>97.14</v>
      </c>
      <c r="J10685" s="50">
        <v>291.42</v>
      </c>
      <c r="K10685" t="s">
        <v>1618</v>
      </c>
      <c r="M10685" t="s">
        <v>1629</v>
      </c>
      <c r="N10685">
        <v>51.27</v>
      </c>
      <c r="O10685" s="49">
        <v>44485</v>
      </c>
      <c r="P10685" s="50">
        <v>131.13900000000001</v>
      </c>
    </row>
    <row r="10686" spans="4:16" x14ac:dyDescent="0.2">
      <c r="D10686">
        <v>100006418</v>
      </c>
      <c r="E10686" s="49">
        <v>44997</v>
      </c>
      <c r="F10686" t="s">
        <v>7272</v>
      </c>
      <c r="G10686" t="s">
        <v>2084</v>
      </c>
      <c r="H10686">
        <v>5</v>
      </c>
      <c r="I10686">
        <v>60.89</v>
      </c>
      <c r="J10686" s="50">
        <v>304.45</v>
      </c>
      <c r="K10686" t="s">
        <v>1618</v>
      </c>
      <c r="M10686" t="s">
        <v>1621</v>
      </c>
      <c r="N10686">
        <v>32.14</v>
      </c>
      <c r="O10686" s="49">
        <v>44998</v>
      </c>
      <c r="P10686" s="50">
        <v>137.0025</v>
      </c>
    </row>
    <row r="10687" spans="4:16" x14ac:dyDescent="0.2">
      <c r="D10687">
        <v>100006418</v>
      </c>
      <c r="E10687" s="49">
        <v>45432</v>
      </c>
      <c r="F10687" t="s">
        <v>7272</v>
      </c>
      <c r="G10687" t="s">
        <v>1664</v>
      </c>
      <c r="H10687">
        <v>7</v>
      </c>
      <c r="I10687">
        <v>111.42</v>
      </c>
      <c r="J10687" s="50">
        <v>779.94</v>
      </c>
      <c r="K10687" t="s">
        <v>1618</v>
      </c>
      <c r="M10687" t="s">
        <v>1621</v>
      </c>
      <c r="N10687">
        <v>58.8</v>
      </c>
      <c r="O10687" s="49">
        <v>45437</v>
      </c>
      <c r="P10687" s="50">
        <v>350.97300000000001</v>
      </c>
    </row>
    <row r="10688" spans="4:16" x14ac:dyDescent="0.2">
      <c r="D10688">
        <v>100006420</v>
      </c>
      <c r="E10688" s="49">
        <v>45219</v>
      </c>
      <c r="F10688" t="s">
        <v>7273</v>
      </c>
      <c r="G10688" t="s">
        <v>2112</v>
      </c>
      <c r="H10688">
        <v>10</v>
      </c>
      <c r="I10688">
        <v>23.27</v>
      </c>
      <c r="J10688" s="50">
        <v>232.7</v>
      </c>
      <c r="K10688" t="s">
        <v>1632</v>
      </c>
      <c r="M10688" t="s">
        <v>1621</v>
      </c>
      <c r="N10688">
        <v>12.28</v>
      </c>
      <c r="O10688" s="49">
        <v>45222</v>
      </c>
      <c r="P10688" s="50">
        <v>104.715</v>
      </c>
    </row>
    <row r="10689" spans="4:16" x14ac:dyDescent="0.2">
      <c r="D10689">
        <v>100006420</v>
      </c>
      <c r="E10689" s="49">
        <v>44419</v>
      </c>
      <c r="F10689" t="s">
        <v>7273</v>
      </c>
      <c r="G10689" t="s">
        <v>1955</v>
      </c>
      <c r="H10689">
        <v>3</v>
      </c>
      <c r="I10689">
        <v>115.09</v>
      </c>
      <c r="J10689" s="50">
        <v>345.27</v>
      </c>
      <c r="K10689" t="s">
        <v>1632</v>
      </c>
      <c r="M10689" t="s">
        <v>1619</v>
      </c>
      <c r="N10689">
        <v>60.74</v>
      </c>
      <c r="O10689" s="49">
        <v>44420</v>
      </c>
      <c r="P10689" s="50">
        <v>155.3715</v>
      </c>
    </row>
    <row r="10690" spans="4:16" x14ac:dyDescent="0.2">
      <c r="D10690">
        <v>100006420</v>
      </c>
      <c r="E10690" s="49">
        <v>44452</v>
      </c>
      <c r="F10690" t="s">
        <v>7273</v>
      </c>
      <c r="G10690" t="s">
        <v>1831</v>
      </c>
      <c r="H10690">
        <v>1</v>
      </c>
      <c r="I10690">
        <v>55.27</v>
      </c>
      <c r="J10690" s="50">
        <v>55.27</v>
      </c>
      <c r="K10690" t="s">
        <v>1632</v>
      </c>
      <c r="M10690" t="s">
        <v>1624</v>
      </c>
      <c r="N10690">
        <v>29.17</v>
      </c>
      <c r="O10690" s="49">
        <v>44455</v>
      </c>
      <c r="P10690" s="50">
        <v>24.871500000000001</v>
      </c>
    </row>
    <row r="10691" spans="4:16" x14ac:dyDescent="0.2">
      <c r="D10691">
        <v>100006421</v>
      </c>
      <c r="E10691" s="49">
        <v>45436</v>
      </c>
      <c r="F10691" t="s">
        <v>7274</v>
      </c>
      <c r="G10691" t="s">
        <v>1718</v>
      </c>
      <c r="H10691">
        <v>6</v>
      </c>
      <c r="I10691">
        <v>88.98</v>
      </c>
      <c r="J10691" s="50">
        <v>533.88</v>
      </c>
      <c r="K10691" t="s">
        <v>1618</v>
      </c>
      <c r="M10691" t="s">
        <v>1621</v>
      </c>
      <c r="N10691">
        <v>46.96</v>
      </c>
      <c r="O10691" s="49">
        <v>45440</v>
      </c>
      <c r="P10691" s="50">
        <v>240.24600000000001</v>
      </c>
    </row>
    <row r="10692" spans="4:16" x14ac:dyDescent="0.2">
      <c r="D10692">
        <v>100006422</v>
      </c>
      <c r="E10692" s="49">
        <v>44403</v>
      </c>
      <c r="F10692" t="s">
        <v>7275</v>
      </c>
      <c r="G10692" t="s">
        <v>1661</v>
      </c>
      <c r="H10692">
        <v>9</v>
      </c>
      <c r="I10692">
        <v>14.74</v>
      </c>
      <c r="J10692" s="50">
        <v>132.66</v>
      </c>
      <c r="K10692" t="s">
        <v>1632</v>
      </c>
      <c r="M10692" t="s">
        <v>1619</v>
      </c>
      <c r="N10692">
        <v>7.78</v>
      </c>
      <c r="O10692" s="49">
        <v>44408</v>
      </c>
      <c r="P10692" s="50">
        <v>59.697000000000003</v>
      </c>
    </row>
    <row r="10693" spans="4:16" x14ac:dyDescent="0.2">
      <c r="D10693">
        <v>100006422</v>
      </c>
      <c r="E10693" s="49">
        <v>44991</v>
      </c>
      <c r="F10693" t="s">
        <v>7275</v>
      </c>
      <c r="G10693" t="s">
        <v>1768</v>
      </c>
      <c r="H10693">
        <v>7</v>
      </c>
      <c r="I10693">
        <v>42.15</v>
      </c>
      <c r="J10693" s="50">
        <v>295.05</v>
      </c>
      <c r="K10693" t="s">
        <v>1632</v>
      </c>
      <c r="M10693" t="s">
        <v>1627</v>
      </c>
      <c r="N10693">
        <v>22.25</v>
      </c>
      <c r="O10693" s="49">
        <v>44996</v>
      </c>
      <c r="P10693" s="50">
        <v>132.77250000000001</v>
      </c>
    </row>
    <row r="10694" spans="4:16" x14ac:dyDescent="0.2">
      <c r="D10694">
        <v>100006422</v>
      </c>
      <c r="E10694" s="49">
        <v>45029</v>
      </c>
      <c r="F10694" t="s">
        <v>7275</v>
      </c>
      <c r="G10694" t="s">
        <v>2348</v>
      </c>
      <c r="H10694">
        <v>8</v>
      </c>
      <c r="I10694">
        <v>109.77</v>
      </c>
      <c r="J10694" s="50">
        <v>878.16</v>
      </c>
      <c r="K10694" t="s">
        <v>1632</v>
      </c>
      <c r="M10694" t="s">
        <v>1619</v>
      </c>
      <c r="N10694">
        <v>57.93</v>
      </c>
      <c r="O10694" s="49">
        <v>45031</v>
      </c>
      <c r="P10694" s="50">
        <v>395.17199999999997</v>
      </c>
    </row>
    <row r="10695" spans="4:16" x14ac:dyDescent="0.2">
      <c r="D10695">
        <v>100006422</v>
      </c>
      <c r="E10695" s="49">
        <v>44214</v>
      </c>
      <c r="F10695" t="s">
        <v>7275</v>
      </c>
      <c r="G10695" t="s">
        <v>2145</v>
      </c>
      <c r="H10695">
        <v>5</v>
      </c>
      <c r="I10695">
        <v>114.95</v>
      </c>
      <c r="J10695" s="50">
        <v>574.75</v>
      </c>
      <c r="K10695" t="s">
        <v>1632</v>
      </c>
      <c r="M10695" t="s">
        <v>1624</v>
      </c>
      <c r="N10695">
        <v>60.67</v>
      </c>
      <c r="O10695" s="49">
        <v>44218</v>
      </c>
      <c r="P10695" s="50">
        <v>258.63749999999999</v>
      </c>
    </row>
    <row r="10696" spans="4:16" x14ac:dyDescent="0.2">
      <c r="D10696">
        <v>100006423</v>
      </c>
      <c r="E10696" s="49">
        <v>44739</v>
      </c>
      <c r="F10696" t="s">
        <v>7276</v>
      </c>
      <c r="G10696" t="s">
        <v>1855</v>
      </c>
      <c r="H10696">
        <v>6</v>
      </c>
      <c r="I10696">
        <v>101.71</v>
      </c>
      <c r="J10696" s="50">
        <v>610.26</v>
      </c>
      <c r="K10696" t="s">
        <v>1618</v>
      </c>
      <c r="M10696" t="s">
        <v>1619</v>
      </c>
      <c r="N10696">
        <v>53.68</v>
      </c>
      <c r="O10696" s="49">
        <v>44742</v>
      </c>
      <c r="P10696" s="50">
        <v>274.61700000000002</v>
      </c>
    </row>
    <row r="10697" spans="4:16" x14ac:dyDescent="0.2">
      <c r="D10697">
        <v>100006424</v>
      </c>
      <c r="E10697" s="49">
        <v>44829</v>
      </c>
      <c r="F10697" t="s">
        <v>5872</v>
      </c>
      <c r="G10697" t="s">
        <v>2217</v>
      </c>
      <c r="H10697">
        <v>4</v>
      </c>
      <c r="I10697">
        <v>55.25</v>
      </c>
      <c r="J10697" s="50">
        <v>221</v>
      </c>
      <c r="K10697" t="s">
        <v>1618</v>
      </c>
      <c r="M10697" t="s">
        <v>1629</v>
      </c>
      <c r="N10697">
        <v>29.16</v>
      </c>
      <c r="O10697" s="49">
        <v>44833</v>
      </c>
      <c r="P10697" s="50">
        <v>99.45</v>
      </c>
    </row>
    <row r="10698" spans="4:16" x14ac:dyDescent="0.2">
      <c r="D10698">
        <v>100006424</v>
      </c>
      <c r="E10698" s="49">
        <v>45411</v>
      </c>
      <c r="F10698" t="s">
        <v>5872</v>
      </c>
      <c r="G10698" t="s">
        <v>2191</v>
      </c>
      <c r="H10698">
        <v>10</v>
      </c>
      <c r="I10698">
        <v>104.04</v>
      </c>
      <c r="J10698" s="50">
        <v>1040.4000000000001</v>
      </c>
      <c r="K10698" t="s">
        <v>1618</v>
      </c>
      <c r="M10698" t="s">
        <v>1624</v>
      </c>
      <c r="N10698">
        <v>54.91</v>
      </c>
      <c r="O10698" s="49">
        <v>45412</v>
      </c>
      <c r="P10698" s="50">
        <v>468.18000000000006</v>
      </c>
    </row>
    <row r="10699" spans="4:16" x14ac:dyDescent="0.2">
      <c r="D10699">
        <v>100006424</v>
      </c>
      <c r="E10699" s="49">
        <v>45232</v>
      </c>
      <c r="F10699" t="s">
        <v>5872</v>
      </c>
      <c r="G10699" t="s">
        <v>1795</v>
      </c>
      <c r="H10699">
        <v>10</v>
      </c>
      <c r="I10699">
        <v>93.62</v>
      </c>
      <c r="J10699" s="50">
        <v>936.2</v>
      </c>
      <c r="K10699" t="s">
        <v>1618</v>
      </c>
      <c r="M10699" t="s">
        <v>1627</v>
      </c>
      <c r="N10699">
        <v>49.41</v>
      </c>
      <c r="O10699" s="49">
        <v>45235</v>
      </c>
      <c r="P10699" s="50">
        <v>421.29</v>
      </c>
    </row>
    <row r="10700" spans="4:16" x14ac:dyDescent="0.2">
      <c r="D10700">
        <v>100006426</v>
      </c>
      <c r="E10700" s="49">
        <v>44608</v>
      </c>
      <c r="F10700" t="s">
        <v>7277</v>
      </c>
      <c r="G10700" t="s">
        <v>2480</v>
      </c>
      <c r="H10700">
        <v>6</v>
      </c>
      <c r="I10700">
        <v>57.04</v>
      </c>
      <c r="J10700" s="50">
        <v>342.24</v>
      </c>
      <c r="K10700" t="s">
        <v>1618</v>
      </c>
      <c r="M10700" t="s">
        <v>1627</v>
      </c>
      <c r="N10700">
        <v>30.1</v>
      </c>
      <c r="O10700" s="49">
        <v>44612</v>
      </c>
      <c r="P10700" s="50">
        <v>154.00800000000001</v>
      </c>
    </row>
    <row r="10701" spans="4:16" x14ac:dyDescent="0.2">
      <c r="D10701">
        <v>100006427</v>
      </c>
      <c r="E10701" s="49">
        <v>44556</v>
      </c>
      <c r="F10701" t="s">
        <v>7278</v>
      </c>
      <c r="G10701" t="s">
        <v>1643</v>
      </c>
      <c r="H10701">
        <v>7</v>
      </c>
      <c r="I10701">
        <v>16.66</v>
      </c>
      <c r="J10701" s="50">
        <v>116.62</v>
      </c>
      <c r="K10701" t="s">
        <v>1632</v>
      </c>
      <c r="M10701" t="s">
        <v>1619</v>
      </c>
      <c r="N10701">
        <v>8.7899999999999991</v>
      </c>
      <c r="O10701" s="49">
        <v>44557</v>
      </c>
      <c r="P10701" s="50">
        <v>52.479000000000006</v>
      </c>
    </row>
    <row r="10702" spans="4:16" x14ac:dyDescent="0.2">
      <c r="D10702">
        <v>100006428</v>
      </c>
      <c r="E10702" s="49">
        <v>45268</v>
      </c>
      <c r="F10702" t="s">
        <v>7279</v>
      </c>
      <c r="G10702" t="s">
        <v>2344</v>
      </c>
      <c r="H10702">
        <v>7</v>
      </c>
      <c r="I10702">
        <v>106.63</v>
      </c>
      <c r="J10702" s="50">
        <v>746.41</v>
      </c>
      <c r="K10702" t="s">
        <v>1618</v>
      </c>
      <c r="L10702" t="s">
        <v>4629</v>
      </c>
      <c r="M10702" t="s">
        <v>1619</v>
      </c>
      <c r="N10702">
        <v>56.28</v>
      </c>
      <c r="O10702" s="49">
        <v>45273</v>
      </c>
      <c r="P10702" s="50">
        <v>335.8845</v>
      </c>
    </row>
    <row r="10703" spans="4:16" x14ac:dyDescent="0.2">
      <c r="D10703">
        <v>100006430</v>
      </c>
      <c r="E10703" s="49">
        <v>44654</v>
      </c>
      <c r="F10703" t="s">
        <v>7280</v>
      </c>
      <c r="G10703" t="s">
        <v>3075</v>
      </c>
      <c r="H10703">
        <v>1</v>
      </c>
      <c r="I10703">
        <v>21.17</v>
      </c>
      <c r="J10703" s="50">
        <v>21.17</v>
      </c>
      <c r="K10703" t="s">
        <v>1618</v>
      </c>
      <c r="L10703" t="s">
        <v>7281</v>
      </c>
      <c r="M10703" t="s">
        <v>1621</v>
      </c>
      <c r="N10703">
        <v>11.17</v>
      </c>
      <c r="O10703" s="49">
        <v>44658</v>
      </c>
      <c r="P10703" s="50">
        <v>9.5265000000000004</v>
      </c>
    </row>
    <row r="10704" spans="4:16" x14ac:dyDescent="0.2">
      <c r="D10704">
        <v>100006431</v>
      </c>
      <c r="E10704" s="49">
        <v>44807</v>
      </c>
      <c r="F10704" t="s">
        <v>6575</v>
      </c>
      <c r="G10704" t="s">
        <v>1731</v>
      </c>
      <c r="H10704">
        <v>6</v>
      </c>
      <c r="I10704">
        <v>92.01</v>
      </c>
      <c r="J10704" s="50">
        <v>552.06000000000006</v>
      </c>
      <c r="K10704" t="s">
        <v>1618</v>
      </c>
      <c r="L10704" t="s">
        <v>7282</v>
      </c>
      <c r="M10704" t="s">
        <v>1629</v>
      </c>
      <c r="N10704">
        <v>48.56</v>
      </c>
      <c r="O10704" s="49">
        <v>44808</v>
      </c>
      <c r="P10704" s="50">
        <v>248.42700000000002</v>
      </c>
    </row>
    <row r="10705" spans="4:16" x14ac:dyDescent="0.2">
      <c r="D10705">
        <v>100006431</v>
      </c>
      <c r="E10705" s="49">
        <v>45467</v>
      </c>
      <c r="F10705" t="s">
        <v>6575</v>
      </c>
      <c r="G10705" t="s">
        <v>2553</v>
      </c>
      <c r="H10705">
        <v>3</v>
      </c>
      <c r="I10705">
        <v>33.450000000000003</v>
      </c>
      <c r="J10705" s="50">
        <v>100.35</v>
      </c>
      <c r="K10705" t="s">
        <v>1618</v>
      </c>
      <c r="L10705" t="s">
        <v>7282</v>
      </c>
      <c r="M10705" t="s">
        <v>1619</v>
      </c>
      <c r="N10705">
        <v>17.649999999999999</v>
      </c>
      <c r="O10705" s="49">
        <v>45470</v>
      </c>
      <c r="P10705" s="50">
        <v>45.157499999999999</v>
      </c>
    </row>
    <row r="10706" spans="4:16" x14ac:dyDescent="0.2">
      <c r="D10706">
        <v>100006431</v>
      </c>
      <c r="E10706" s="49">
        <v>45490</v>
      </c>
      <c r="F10706" t="s">
        <v>6575</v>
      </c>
      <c r="G10706" t="s">
        <v>1719</v>
      </c>
      <c r="H10706">
        <v>9</v>
      </c>
      <c r="I10706">
        <v>94.78</v>
      </c>
      <c r="J10706" s="50">
        <v>853.02</v>
      </c>
      <c r="K10706" t="s">
        <v>1618</v>
      </c>
      <c r="L10706" t="s">
        <v>7282</v>
      </c>
      <c r="M10706" t="s">
        <v>1624</v>
      </c>
      <c r="N10706">
        <v>50.02</v>
      </c>
      <c r="O10706" s="49">
        <v>45494</v>
      </c>
      <c r="P10706" s="50">
        <v>383.85899999999998</v>
      </c>
    </row>
    <row r="10707" spans="4:16" x14ac:dyDescent="0.2">
      <c r="D10707">
        <v>100006431</v>
      </c>
      <c r="E10707" s="49">
        <v>45230</v>
      </c>
      <c r="F10707" t="s">
        <v>6575</v>
      </c>
      <c r="G10707" t="s">
        <v>1736</v>
      </c>
      <c r="H10707">
        <v>8</v>
      </c>
      <c r="I10707">
        <v>58.4</v>
      </c>
      <c r="J10707" s="50">
        <v>467.2</v>
      </c>
      <c r="K10707" t="s">
        <v>1618</v>
      </c>
      <c r="L10707" t="s">
        <v>7282</v>
      </c>
      <c r="M10707" t="s">
        <v>1624</v>
      </c>
      <c r="N10707">
        <v>30.82</v>
      </c>
      <c r="O10707" s="49">
        <v>45231</v>
      </c>
      <c r="P10707" s="50">
        <v>210.24</v>
      </c>
    </row>
    <row r="10708" spans="4:16" x14ac:dyDescent="0.2">
      <c r="D10708">
        <v>100006431</v>
      </c>
      <c r="E10708" s="49">
        <v>44807</v>
      </c>
      <c r="F10708" t="s">
        <v>6575</v>
      </c>
      <c r="G10708" t="s">
        <v>2343</v>
      </c>
      <c r="H10708">
        <v>10</v>
      </c>
      <c r="I10708">
        <v>113.18</v>
      </c>
      <c r="J10708" s="50">
        <v>1131.8</v>
      </c>
      <c r="K10708" t="s">
        <v>1618</v>
      </c>
      <c r="L10708" t="s">
        <v>7282</v>
      </c>
      <c r="M10708" t="s">
        <v>1629</v>
      </c>
      <c r="N10708">
        <v>59.73</v>
      </c>
      <c r="O10708" s="49">
        <v>44809</v>
      </c>
      <c r="P10708" s="50">
        <v>509.31</v>
      </c>
    </row>
    <row r="10709" spans="4:16" x14ac:dyDescent="0.2">
      <c r="D10709">
        <v>100006432</v>
      </c>
      <c r="E10709" s="49">
        <v>44768</v>
      </c>
      <c r="F10709" t="s">
        <v>7283</v>
      </c>
      <c r="G10709" t="s">
        <v>2465</v>
      </c>
      <c r="H10709">
        <v>7</v>
      </c>
      <c r="I10709">
        <v>79.44</v>
      </c>
      <c r="J10709" s="50">
        <v>556.07999999999993</v>
      </c>
      <c r="K10709" t="s">
        <v>1632</v>
      </c>
      <c r="M10709" t="s">
        <v>1629</v>
      </c>
      <c r="N10709">
        <v>41.93</v>
      </c>
      <c r="O10709" s="49">
        <v>44772</v>
      </c>
      <c r="P10709" s="50">
        <v>250.23599999999996</v>
      </c>
    </row>
    <row r="10710" spans="4:16" x14ac:dyDescent="0.2">
      <c r="D10710">
        <v>100006432</v>
      </c>
      <c r="E10710" s="49">
        <v>45198</v>
      </c>
      <c r="F10710" t="s">
        <v>7283</v>
      </c>
      <c r="G10710" t="s">
        <v>2064</v>
      </c>
      <c r="H10710">
        <v>2</v>
      </c>
      <c r="I10710">
        <v>29.85</v>
      </c>
      <c r="J10710" s="50">
        <v>59.7</v>
      </c>
      <c r="K10710" t="s">
        <v>1632</v>
      </c>
      <c r="M10710" t="s">
        <v>1621</v>
      </c>
      <c r="N10710">
        <v>15.75</v>
      </c>
      <c r="O10710" s="49">
        <v>45203</v>
      </c>
      <c r="P10710" s="50">
        <v>26.865000000000002</v>
      </c>
    </row>
    <row r="10711" spans="4:16" x14ac:dyDescent="0.2">
      <c r="D10711">
        <v>100006434</v>
      </c>
      <c r="E10711" s="49">
        <v>44379</v>
      </c>
      <c r="F10711" t="s">
        <v>7284</v>
      </c>
      <c r="G10711" t="s">
        <v>2116</v>
      </c>
      <c r="H10711">
        <v>10</v>
      </c>
      <c r="I10711">
        <v>100.94</v>
      </c>
      <c r="J10711" s="50">
        <v>1009.4</v>
      </c>
      <c r="K10711" t="s">
        <v>1618</v>
      </c>
      <c r="M10711" t="s">
        <v>1619</v>
      </c>
      <c r="N10711">
        <v>53.27</v>
      </c>
      <c r="O10711" s="49">
        <v>44380</v>
      </c>
      <c r="P10711" s="50">
        <v>454.23</v>
      </c>
    </row>
    <row r="10712" spans="4:16" x14ac:dyDescent="0.2">
      <c r="D10712">
        <v>100006436</v>
      </c>
      <c r="E10712" s="49">
        <v>45003</v>
      </c>
      <c r="F10712" t="s">
        <v>7285</v>
      </c>
      <c r="G10712" t="s">
        <v>2514</v>
      </c>
      <c r="H10712">
        <v>4</v>
      </c>
      <c r="I10712">
        <v>76.08</v>
      </c>
      <c r="J10712" s="50">
        <v>304.32</v>
      </c>
      <c r="K10712" t="s">
        <v>1632</v>
      </c>
      <c r="M10712" t="s">
        <v>1627</v>
      </c>
      <c r="N10712">
        <v>40.15</v>
      </c>
      <c r="O10712" s="49">
        <v>45007</v>
      </c>
      <c r="P10712" s="50">
        <v>136.94399999999999</v>
      </c>
    </row>
    <row r="10713" spans="4:16" x14ac:dyDescent="0.2">
      <c r="D10713">
        <v>100006438</v>
      </c>
      <c r="E10713" s="49">
        <v>44463</v>
      </c>
      <c r="F10713" t="s">
        <v>7286</v>
      </c>
      <c r="G10713" t="s">
        <v>2331</v>
      </c>
      <c r="H10713">
        <v>5</v>
      </c>
      <c r="I10713">
        <v>29.91</v>
      </c>
      <c r="J10713" s="50">
        <v>149.55000000000001</v>
      </c>
      <c r="K10713" t="s">
        <v>1618</v>
      </c>
      <c r="M10713" t="s">
        <v>1627</v>
      </c>
      <c r="N10713">
        <v>15.79</v>
      </c>
      <c r="O10713" s="49">
        <v>44468</v>
      </c>
      <c r="P10713" s="50">
        <v>67.297500000000014</v>
      </c>
    </row>
    <row r="10714" spans="4:16" x14ac:dyDescent="0.2">
      <c r="D10714">
        <v>100006439</v>
      </c>
      <c r="E10714" s="49">
        <v>44592</v>
      </c>
      <c r="F10714" t="s">
        <v>7287</v>
      </c>
      <c r="G10714" t="s">
        <v>2585</v>
      </c>
      <c r="H10714">
        <v>2</v>
      </c>
      <c r="I10714">
        <v>43.07</v>
      </c>
      <c r="J10714" s="50">
        <v>86.14</v>
      </c>
      <c r="K10714" t="s">
        <v>1618</v>
      </c>
      <c r="M10714" t="s">
        <v>1629</v>
      </c>
      <c r="N10714">
        <v>22.73</v>
      </c>
      <c r="O10714" s="49">
        <v>44596</v>
      </c>
      <c r="P10714" s="50">
        <v>38.762999999999998</v>
      </c>
    </row>
    <row r="10715" spans="4:16" x14ac:dyDescent="0.2">
      <c r="D10715">
        <v>100006439</v>
      </c>
      <c r="E10715" s="49">
        <v>45360</v>
      </c>
      <c r="F10715" t="s">
        <v>7287</v>
      </c>
      <c r="G10715" t="s">
        <v>1751</v>
      </c>
      <c r="H10715">
        <v>2</v>
      </c>
      <c r="I10715">
        <v>52.04</v>
      </c>
      <c r="J10715" s="50">
        <v>104.08</v>
      </c>
      <c r="K10715" t="s">
        <v>1618</v>
      </c>
      <c r="M10715" t="s">
        <v>1627</v>
      </c>
      <c r="N10715">
        <v>27.47</v>
      </c>
      <c r="O10715" s="49">
        <v>45363</v>
      </c>
      <c r="P10715" s="50">
        <v>46.835999999999999</v>
      </c>
    </row>
    <row r="10716" spans="4:16" x14ac:dyDescent="0.2">
      <c r="D10716">
        <v>100006441</v>
      </c>
      <c r="E10716" s="49">
        <v>45622</v>
      </c>
      <c r="F10716" t="s">
        <v>7288</v>
      </c>
      <c r="G10716" t="s">
        <v>2191</v>
      </c>
      <c r="H10716">
        <v>7</v>
      </c>
      <c r="I10716">
        <v>17.329999999999998</v>
      </c>
      <c r="J10716" s="50">
        <v>121.31</v>
      </c>
      <c r="K10716" t="s">
        <v>1618</v>
      </c>
      <c r="M10716" t="s">
        <v>1621</v>
      </c>
      <c r="N10716">
        <v>9.15</v>
      </c>
      <c r="O10716" s="49">
        <v>45623</v>
      </c>
      <c r="P10716" s="50">
        <v>54.589500000000001</v>
      </c>
    </row>
    <row r="10717" spans="4:16" x14ac:dyDescent="0.2">
      <c r="D10717">
        <v>100006441</v>
      </c>
      <c r="E10717" s="49">
        <v>44231</v>
      </c>
      <c r="F10717" t="s">
        <v>7288</v>
      </c>
      <c r="G10717" t="s">
        <v>2232</v>
      </c>
      <c r="H10717">
        <v>2</v>
      </c>
      <c r="I10717">
        <v>100.84</v>
      </c>
      <c r="J10717" s="50">
        <v>201.68</v>
      </c>
      <c r="K10717" t="s">
        <v>1618</v>
      </c>
      <c r="M10717" t="s">
        <v>1619</v>
      </c>
      <c r="N10717">
        <v>53.22</v>
      </c>
      <c r="O10717" s="49">
        <v>44233</v>
      </c>
      <c r="P10717" s="50">
        <v>90.756</v>
      </c>
    </row>
    <row r="10718" spans="4:16" x14ac:dyDescent="0.2">
      <c r="D10718">
        <v>100006441</v>
      </c>
      <c r="E10718" s="49">
        <v>45492</v>
      </c>
      <c r="F10718" t="s">
        <v>7288</v>
      </c>
      <c r="G10718" t="s">
        <v>2766</v>
      </c>
      <c r="H10718">
        <v>7</v>
      </c>
      <c r="I10718">
        <v>52.06</v>
      </c>
      <c r="J10718" s="50">
        <v>364.42</v>
      </c>
      <c r="K10718" t="s">
        <v>1618</v>
      </c>
      <c r="M10718" t="s">
        <v>1629</v>
      </c>
      <c r="N10718">
        <v>27.48</v>
      </c>
      <c r="O10718" s="49">
        <v>45493</v>
      </c>
      <c r="P10718" s="50">
        <v>163.989</v>
      </c>
    </row>
    <row r="10719" spans="4:16" x14ac:dyDescent="0.2">
      <c r="D10719">
        <v>100006442</v>
      </c>
      <c r="E10719" s="49">
        <v>45638</v>
      </c>
      <c r="F10719" t="s">
        <v>7289</v>
      </c>
      <c r="G10719" t="s">
        <v>1686</v>
      </c>
      <c r="H10719">
        <v>9</v>
      </c>
      <c r="I10719">
        <v>118.41</v>
      </c>
      <c r="J10719" s="50">
        <v>1065.69</v>
      </c>
      <c r="K10719" t="s">
        <v>1632</v>
      </c>
      <c r="M10719" t="s">
        <v>1629</v>
      </c>
      <c r="N10719">
        <v>62.49</v>
      </c>
      <c r="O10719" s="49">
        <v>45640</v>
      </c>
      <c r="P10719" s="50">
        <v>479.56050000000005</v>
      </c>
    </row>
    <row r="10720" spans="4:16" x14ac:dyDescent="0.2">
      <c r="D10720">
        <v>100006443</v>
      </c>
      <c r="E10720" s="49">
        <v>44646</v>
      </c>
      <c r="F10720" t="s">
        <v>7290</v>
      </c>
      <c r="G10720" t="s">
        <v>1834</v>
      </c>
      <c r="H10720">
        <v>4</v>
      </c>
      <c r="I10720">
        <v>43.91</v>
      </c>
      <c r="J10720" s="50">
        <v>175.64</v>
      </c>
      <c r="K10720" t="s">
        <v>1618</v>
      </c>
      <c r="M10720" t="s">
        <v>1624</v>
      </c>
      <c r="N10720">
        <v>23.17</v>
      </c>
      <c r="O10720" s="49">
        <v>44649</v>
      </c>
      <c r="P10720" s="50">
        <v>79.037999999999997</v>
      </c>
    </row>
    <row r="10721" spans="4:16" x14ac:dyDescent="0.2">
      <c r="D10721">
        <v>100006443</v>
      </c>
      <c r="E10721" s="49">
        <v>44664</v>
      </c>
      <c r="F10721" t="s">
        <v>7290</v>
      </c>
      <c r="G10721" t="s">
        <v>1664</v>
      </c>
      <c r="H10721">
        <v>1</v>
      </c>
      <c r="I10721">
        <v>54.87</v>
      </c>
      <c r="J10721" s="50">
        <v>54.87</v>
      </c>
      <c r="K10721" t="s">
        <v>1618</v>
      </c>
      <c r="M10721" t="s">
        <v>1629</v>
      </c>
      <c r="N10721">
        <v>28.96</v>
      </c>
      <c r="O10721" s="49">
        <v>44667</v>
      </c>
      <c r="P10721" s="50">
        <v>24.691499999999998</v>
      </c>
    </row>
    <row r="10722" spans="4:16" x14ac:dyDescent="0.2">
      <c r="D10722">
        <v>100006444</v>
      </c>
      <c r="E10722" s="49">
        <v>44397</v>
      </c>
      <c r="F10722" t="s">
        <v>3029</v>
      </c>
      <c r="G10722" t="s">
        <v>2103</v>
      </c>
      <c r="H10722">
        <v>10</v>
      </c>
      <c r="I10722">
        <v>98.64</v>
      </c>
      <c r="J10722" s="50">
        <v>986.4</v>
      </c>
      <c r="K10722" t="s">
        <v>1618</v>
      </c>
      <c r="M10722" t="s">
        <v>1619</v>
      </c>
      <c r="N10722">
        <v>52.06</v>
      </c>
      <c r="O10722" s="49">
        <v>44401</v>
      </c>
      <c r="P10722" s="50">
        <v>443.88</v>
      </c>
    </row>
    <row r="10723" spans="4:16" x14ac:dyDescent="0.2">
      <c r="D10723">
        <v>100006444</v>
      </c>
      <c r="E10723" s="49">
        <v>44334</v>
      </c>
      <c r="F10723" t="s">
        <v>3029</v>
      </c>
      <c r="G10723" t="s">
        <v>1794</v>
      </c>
      <c r="H10723">
        <v>4</v>
      </c>
      <c r="I10723">
        <v>79.38</v>
      </c>
      <c r="J10723" s="50">
        <v>317.52</v>
      </c>
      <c r="K10723" t="s">
        <v>1618</v>
      </c>
      <c r="M10723" t="s">
        <v>1629</v>
      </c>
      <c r="N10723">
        <v>41.89</v>
      </c>
      <c r="O10723" s="49">
        <v>44335</v>
      </c>
      <c r="P10723" s="50">
        <v>142.88399999999999</v>
      </c>
    </row>
    <row r="10724" spans="4:16" x14ac:dyDescent="0.2">
      <c r="D10724">
        <v>100006444</v>
      </c>
      <c r="E10724" s="49">
        <v>45626</v>
      </c>
      <c r="F10724" t="s">
        <v>3029</v>
      </c>
      <c r="G10724" t="s">
        <v>2161</v>
      </c>
      <c r="H10724">
        <v>7</v>
      </c>
      <c r="I10724">
        <v>60.89</v>
      </c>
      <c r="J10724" s="50">
        <v>426.23</v>
      </c>
      <c r="K10724" t="s">
        <v>1618</v>
      </c>
      <c r="M10724" t="s">
        <v>1627</v>
      </c>
      <c r="N10724">
        <v>32.14</v>
      </c>
      <c r="O10724" s="49">
        <v>45631</v>
      </c>
      <c r="P10724" s="50">
        <v>191.80350000000001</v>
      </c>
    </row>
    <row r="10725" spans="4:16" x14ac:dyDescent="0.2">
      <c r="D10725">
        <v>100006446</v>
      </c>
      <c r="E10725" s="49">
        <v>44368</v>
      </c>
      <c r="F10725" t="s">
        <v>7291</v>
      </c>
      <c r="G10725" t="s">
        <v>1696</v>
      </c>
      <c r="H10725">
        <v>2</v>
      </c>
      <c r="I10725">
        <v>66.569999999999993</v>
      </c>
      <c r="J10725" s="50">
        <v>133.13999999999999</v>
      </c>
      <c r="K10725" t="s">
        <v>1632</v>
      </c>
      <c r="M10725" t="s">
        <v>1619</v>
      </c>
      <c r="N10725">
        <v>35.130000000000003</v>
      </c>
      <c r="O10725" s="49">
        <v>44370</v>
      </c>
      <c r="P10725" s="50">
        <v>59.912999999999997</v>
      </c>
    </row>
    <row r="10726" spans="4:16" x14ac:dyDescent="0.2">
      <c r="D10726">
        <v>100006448</v>
      </c>
      <c r="E10726" s="49">
        <v>44289</v>
      </c>
      <c r="F10726" t="s">
        <v>1809</v>
      </c>
      <c r="G10726" t="s">
        <v>1973</v>
      </c>
      <c r="H10726">
        <v>2</v>
      </c>
      <c r="I10726">
        <v>103.08</v>
      </c>
      <c r="J10726" s="50">
        <v>206.16</v>
      </c>
      <c r="K10726" t="s">
        <v>1618</v>
      </c>
      <c r="M10726" t="s">
        <v>1621</v>
      </c>
      <c r="N10726">
        <v>54.4</v>
      </c>
      <c r="O10726" s="49">
        <v>44290</v>
      </c>
      <c r="P10726" s="50">
        <v>92.772000000000006</v>
      </c>
    </row>
    <row r="10727" spans="4:16" x14ac:dyDescent="0.2">
      <c r="D10727">
        <v>100006448</v>
      </c>
      <c r="E10727" s="49">
        <v>45162</v>
      </c>
      <c r="F10727" t="s">
        <v>1809</v>
      </c>
      <c r="G10727" t="s">
        <v>2033</v>
      </c>
      <c r="H10727">
        <v>6</v>
      </c>
      <c r="I10727">
        <v>23.82</v>
      </c>
      <c r="J10727" s="50">
        <v>142.91999999999999</v>
      </c>
      <c r="K10727" t="s">
        <v>1618</v>
      </c>
      <c r="M10727" t="s">
        <v>1621</v>
      </c>
      <c r="N10727">
        <v>12.57</v>
      </c>
      <c r="O10727" s="49">
        <v>45165</v>
      </c>
      <c r="P10727" s="50">
        <v>64.313999999999993</v>
      </c>
    </row>
    <row r="10728" spans="4:16" x14ac:dyDescent="0.2">
      <c r="D10728">
        <v>100006452</v>
      </c>
      <c r="E10728" s="49">
        <v>44329</v>
      </c>
      <c r="F10728" t="s">
        <v>7292</v>
      </c>
      <c r="G10728" t="s">
        <v>1922</v>
      </c>
      <c r="H10728">
        <v>9</v>
      </c>
      <c r="I10728">
        <v>89.53</v>
      </c>
      <c r="J10728" s="50">
        <v>805.77</v>
      </c>
      <c r="K10728" t="s">
        <v>1632</v>
      </c>
      <c r="L10728" t="s">
        <v>7293</v>
      </c>
      <c r="M10728" t="s">
        <v>1627</v>
      </c>
      <c r="N10728">
        <v>47.25</v>
      </c>
      <c r="O10728" s="49">
        <v>44334</v>
      </c>
      <c r="P10728" s="50">
        <v>362.59649999999999</v>
      </c>
    </row>
    <row r="10729" spans="4:16" x14ac:dyDescent="0.2">
      <c r="D10729">
        <v>100006452</v>
      </c>
      <c r="E10729" s="49">
        <v>45186</v>
      </c>
      <c r="F10729" t="s">
        <v>7292</v>
      </c>
      <c r="G10729" t="s">
        <v>1730</v>
      </c>
      <c r="H10729">
        <v>10</v>
      </c>
      <c r="I10729">
        <v>18.149999999999999</v>
      </c>
      <c r="J10729" s="50">
        <v>181.5</v>
      </c>
      <c r="K10729" t="s">
        <v>1632</v>
      </c>
      <c r="L10729" t="s">
        <v>7293</v>
      </c>
      <c r="M10729" t="s">
        <v>1629</v>
      </c>
      <c r="N10729">
        <v>9.58</v>
      </c>
      <c r="O10729" s="49">
        <v>45187</v>
      </c>
      <c r="P10729" s="50">
        <v>81.674999999999997</v>
      </c>
    </row>
    <row r="10730" spans="4:16" x14ac:dyDescent="0.2">
      <c r="D10730">
        <v>100006452</v>
      </c>
      <c r="E10730" s="49">
        <v>44543</v>
      </c>
      <c r="F10730" t="s">
        <v>7292</v>
      </c>
      <c r="G10730" t="s">
        <v>1634</v>
      </c>
      <c r="H10730">
        <v>2</v>
      </c>
      <c r="I10730">
        <v>27.67</v>
      </c>
      <c r="J10730" s="50">
        <v>55.34</v>
      </c>
      <c r="K10730" t="s">
        <v>1632</v>
      </c>
      <c r="L10730" t="s">
        <v>7293</v>
      </c>
      <c r="M10730" t="s">
        <v>1621</v>
      </c>
      <c r="N10730">
        <v>14.6</v>
      </c>
      <c r="O10730" s="49">
        <v>44545</v>
      </c>
      <c r="P10730" s="50">
        <v>24.903000000000002</v>
      </c>
    </row>
    <row r="10731" spans="4:16" x14ac:dyDescent="0.2">
      <c r="D10731">
        <v>100006452</v>
      </c>
      <c r="E10731" s="49">
        <v>45215</v>
      </c>
      <c r="F10731" t="s">
        <v>7292</v>
      </c>
      <c r="G10731" t="s">
        <v>1738</v>
      </c>
      <c r="H10731">
        <v>2</v>
      </c>
      <c r="I10731">
        <v>83.5</v>
      </c>
      <c r="J10731" s="50">
        <v>167</v>
      </c>
      <c r="K10731" t="s">
        <v>1632</v>
      </c>
      <c r="L10731" t="s">
        <v>7293</v>
      </c>
      <c r="M10731" t="s">
        <v>1624</v>
      </c>
      <c r="N10731">
        <v>44.07</v>
      </c>
      <c r="O10731" s="49">
        <v>45219</v>
      </c>
      <c r="P10731" s="50">
        <v>75.150000000000006</v>
      </c>
    </row>
    <row r="10732" spans="4:16" x14ac:dyDescent="0.2">
      <c r="D10732">
        <v>100006452</v>
      </c>
      <c r="E10732" s="49">
        <v>44784</v>
      </c>
      <c r="F10732" t="s">
        <v>7292</v>
      </c>
      <c r="G10732" t="s">
        <v>1967</v>
      </c>
      <c r="H10732">
        <v>4</v>
      </c>
      <c r="I10732">
        <v>101.23</v>
      </c>
      <c r="J10732" s="50">
        <v>404.92</v>
      </c>
      <c r="K10732" t="s">
        <v>1632</v>
      </c>
      <c r="L10732" t="s">
        <v>7293</v>
      </c>
      <c r="M10732" t="s">
        <v>1629</v>
      </c>
      <c r="N10732">
        <v>53.43</v>
      </c>
      <c r="O10732" s="49">
        <v>44786</v>
      </c>
      <c r="P10732" s="50">
        <v>182.214</v>
      </c>
    </row>
    <row r="10733" spans="4:16" x14ac:dyDescent="0.2">
      <c r="D10733">
        <v>100006452</v>
      </c>
      <c r="E10733" s="49">
        <v>44207</v>
      </c>
      <c r="F10733" t="s">
        <v>7292</v>
      </c>
      <c r="G10733" t="s">
        <v>1744</v>
      </c>
      <c r="H10733">
        <v>1</v>
      </c>
      <c r="I10733">
        <v>89.89</v>
      </c>
      <c r="J10733" s="50">
        <v>89.89</v>
      </c>
      <c r="K10733" t="s">
        <v>1632</v>
      </c>
      <c r="L10733" t="s">
        <v>7293</v>
      </c>
      <c r="M10733" t="s">
        <v>1619</v>
      </c>
      <c r="N10733">
        <v>47.44</v>
      </c>
      <c r="O10733" s="49">
        <v>44212</v>
      </c>
      <c r="P10733" s="50">
        <v>40.450499999999998</v>
      </c>
    </row>
    <row r="10734" spans="4:16" x14ac:dyDescent="0.2">
      <c r="D10734">
        <v>100006453</v>
      </c>
      <c r="E10734" s="49">
        <v>45147</v>
      </c>
      <c r="F10734" t="s">
        <v>7294</v>
      </c>
      <c r="G10734" t="s">
        <v>1744</v>
      </c>
      <c r="H10734">
        <v>1</v>
      </c>
      <c r="I10734">
        <v>72.64</v>
      </c>
      <c r="J10734" s="50">
        <v>72.64</v>
      </c>
      <c r="K10734" t="s">
        <v>1618</v>
      </c>
      <c r="M10734" t="s">
        <v>1619</v>
      </c>
      <c r="N10734">
        <v>38.340000000000003</v>
      </c>
      <c r="O10734" s="49">
        <v>45151</v>
      </c>
      <c r="P10734" s="50">
        <v>32.688000000000002</v>
      </c>
    </row>
    <row r="10735" spans="4:16" x14ac:dyDescent="0.2">
      <c r="D10735">
        <v>100006453</v>
      </c>
      <c r="E10735" s="49">
        <v>45525</v>
      </c>
      <c r="F10735" t="s">
        <v>7294</v>
      </c>
      <c r="G10735" t="s">
        <v>2301</v>
      </c>
      <c r="H10735">
        <v>8</v>
      </c>
      <c r="I10735">
        <v>23.07</v>
      </c>
      <c r="J10735" s="50">
        <v>184.56</v>
      </c>
      <c r="K10735" t="s">
        <v>1618</v>
      </c>
      <c r="M10735" t="s">
        <v>1627</v>
      </c>
      <c r="N10735">
        <v>12.18</v>
      </c>
      <c r="O10735" s="49">
        <v>45529</v>
      </c>
      <c r="P10735" s="50">
        <v>83.052000000000007</v>
      </c>
    </row>
    <row r="10736" spans="4:16" x14ac:dyDescent="0.2">
      <c r="D10736">
        <v>100006453</v>
      </c>
      <c r="E10736" s="49">
        <v>44875</v>
      </c>
      <c r="F10736" t="s">
        <v>7294</v>
      </c>
      <c r="G10736" t="s">
        <v>2098</v>
      </c>
      <c r="H10736">
        <v>3</v>
      </c>
      <c r="I10736">
        <v>55.68</v>
      </c>
      <c r="J10736" s="50">
        <v>167.04</v>
      </c>
      <c r="K10736" t="s">
        <v>1618</v>
      </c>
      <c r="M10736" t="s">
        <v>1624</v>
      </c>
      <c r="N10736">
        <v>29.39</v>
      </c>
      <c r="O10736" s="49">
        <v>44880</v>
      </c>
      <c r="P10736" s="50">
        <v>75.167999999999992</v>
      </c>
    </row>
    <row r="10737" spans="4:16" x14ac:dyDescent="0.2">
      <c r="D10737">
        <v>100006453</v>
      </c>
      <c r="E10737" s="49">
        <v>44688</v>
      </c>
      <c r="F10737" t="s">
        <v>7294</v>
      </c>
      <c r="G10737" t="s">
        <v>2387</v>
      </c>
      <c r="H10737">
        <v>3</v>
      </c>
      <c r="I10737">
        <v>49.49</v>
      </c>
      <c r="J10737" s="50">
        <v>148.47</v>
      </c>
      <c r="K10737" t="s">
        <v>1618</v>
      </c>
      <c r="M10737" t="s">
        <v>1627</v>
      </c>
      <c r="N10737">
        <v>26.12</v>
      </c>
      <c r="O10737" s="49">
        <v>44690</v>
      </c>
      <c r="P10737" s="50">
        <v>66.811499999999995</v>
      </c>
    </row>
    <row r="10738" spans="4:16" x14ac:dyDescent="0.2">
      <c r="D10738">
        <v>100006455</v>
      </c>
      <c r="E10738" s="49">
        <v>44745</v>
      </c>
      <c r="F10738" t="s">
        <v>7295</v>
      </c>
      <c r="G10738" t="s">
        <v>1720</v>
      </c>
      <c r="H10738">
        <v>6</v>
      </c>
      <c r="I10738">
        <v>33.74</v>
      </c>
      <c r="J10738" s="50">
        <v>202.44</v>
      </c>
      <c r="K10738" t="s">
        <v>1632</v>
      </c>
      <c r="M10738" t="s">
        <v>1619</v>
      </c>
      <c r="N10738">
        <v>17.809999999999999</v>
      </c>
      <c r="O10738" s="49">
        <v>44747</v>
      </c>
      <c r="P10738" s="50">
        <v>91.097999999999999</v>
      </c>
    </row>
    <row r="10739" spans="4:16" x14ac:dyDescent="0.2">
      <c r="D10739">
        <v>100006455</v>
      </c>
      <c r="E10739" s="49">
        <v>45636</v>
      </c>
      <c r="F10739" t="s">
        <v>7295</v>
      </c>
      <c r="G10739" t="s">
        <v>1825</v>
      </c>
      <c r="H10739">
        <v>6</v>
      </c>
      <c r="I10739">
        <v>32.26</v>
      </c>
      <c r="J10739" s="50">
        <v>193.56</v>
      </c>
      <c r="K10739" t="s">
        <v>1632</v>
      </c>
      <c r="M10739" t="s">
        <v>1629</v>
      </c>
      <c r="N10739">
        <v>17.03</v>
      </c>
      <c r="O10739" s="49">
        <v>45637</v>
      </c>
      <c r="P10739" s="50">
        <v>87.102000000000004</v>
      </c>
    </row>
    <row r="10740" spans="4:16" x14ac:dyDescent="0.2">
      <c r="D10740">
        <v>100006455</v>
      </c>
      <c r="E10740" s="49">
        <v>45499</v>
      </c>
      <c r="F10740" t="s">
        <v>7295</v>
      </c>
      <c r="G10740" t="s">
        <v>2346</v>
      </c>
      <c r="H10740">
        <v>2</v>
      </c>
      <c r="I10740">
        <v>29.28</v>
      </c>
      <c r="J10740" s="50">
        <v>58.56</v>
      </c>
      <c r="K10740" t="s">
        <v>1632</v>
      </c>
      <c r="M10740" t="s">
        <v>1627</v>
      </c>
      <c r="N10740">
        <v>15.45</v>
      </c>
      <c r="O10740" s="49">
        <v>45501</v>
      </c>
      <c r="P10740" s="50">
        <v>26.352</v>
      </c>
    </row>
    <row r="10741" spans="4:16" x14ac:dyDescent="0.2">
      <c r="D10741">
        <v>100006456</v>
      </c>
      <c r="E10741" s="49">
        <v>44507</v>
      </c>
      <c r="F10741" t="s">
        <v>7296</v>
      </c>
      <c r="G10741" t="s">
        <v>1637</v>
      </c>
      <c r="H10741">
        <v>7</v>
      </c>
      <c r="I10741">
        <v>60.59</v>
      </c>
      <c r="J10741" s="50">
        <v>424.13</v>
      </c>
      <c r="K10741" t="s">
        <v>1618</v>
      </c>
      <c r="L10741" t="s">
        <v>3731</v>
      </c>
      <c r="M10741" t="s">
        <v>1627</v>
      </c>
      <c r="N10741">
        <v>31.98</v>
      </c>
      <c r="O10741" s="49">
        <v>44510</v>
      </c>
      <c r="P10741" s="50">
        <v>190.85849999999999</v>
      </c>
    </row>
    <row r="10742" spans="4:16" x14ac:dyDescent="0.2">
      <c r="D10742">
        <v>100006456</v>
      </c>
      <c r="E10742" s="49">
        <v>45479</v>
      </c>
      <c r="F10742" t="s">
        <v>7296</v>
      </c>
      <c r="G10742" t="s">
        <v>2150</v>
      </c>
      <c r="H10742">
        <v>7</v>
      </c>
      <c r="I10742">
        <v>89.29</v>
      </c>
      <c r="J10742" s="50">
        <v>625.03000000000009</v>
      </c>
      <c r="K10742" t="s">
        <v>1618</v>
      </c>
      <c r="L10742" t="s">
        <v>3731</v>
      </c>
      <c r="M10742" t="s">
        <v>1629</v>
      </c>
      <c r="N10742">
        <v>47.12</v>
      </c>
      <c r="O10742" s="49">
        <v>45483</v>
      </c>
      <c r="P10742" s="50">
        <v>281.26350000000002</v>
      </c>
    </row>
    <row r="10743" spans="4:16" x14ac:dyDescent="0.2">
      <c r="D10743">
        <v>100006456</v>
      </c>
      <c r="E10743" s="49">
        <v>44298</v>
      </c>
      <c r="F10743" t="s">
        <v>7296</v>
      </c>
      <c r="G10743" t="s">
        <v>2344</v>
      </c>
      <c r="H10743">
        <v>9</v>
      </c>
      <c r="I10743">
        <v>12.4</v>
      </c>
      <c r="J10743" s="50">
        <v>111.6</v>
      </c>
      <c r="K10743" t="s">
        <v>1618</v>
      </c>
      <c r="L10743" t="s">
        <v>3731</v>
      </c>
      <c r="M10743" t="s">
        <v>1629</v>
      </c>
      <c r="N10743">
        <v>6.54</v>
      </c>
      <c r="O10743" s="49">
        <v>44302</v>
      </c>
      <c r="P10743" s="50">
        <v>50.22</v>
      </c>
    </row>
    <row r="10744" spans="4:16" x14ac:dyDescent="0.2">
      <c r="D10744">
        <v>100006456</v>
      </c>
      <c r="E10744" s="49">
        <v>45577</v>
      </c>
      <c r="F10744" t="s">
        <v>7296</v>
      </c>
      <c r="G10744" t="s">
        <v>2004</v>
      </c>
      <c r="H10744">
        <v>10</v>
      </c>
      <c r="I10744">
        <v>36.33</v>
      </c>
      <c r="J10744" s="50">
        <v>363.3</v>
      </c>
      <c r="K10744" t="s">
        <v>1618</v>
      </c>
      <c r="L10744" t="s">
        <v>3731</v>
      </c>
      <c r="M10744" t="s">
        <v>1621</v>
      </c>
      <c r="N10744">
        <v>19.170000000000002</v>
      </c>
      <c r="O10744" s="49">
        <v>45578</v>
      </c>
      <c r="P10744" s="50">
        <v>163.48500000000001</v>
      </c>
    </row>
    <row r="10745" spans="4:16" x14ac:dyDescent="0.2">
      <c r="D10745">
        <v>100006456</v>
      </c>
      <c r="E10745" s="49">
        <v>44424</v>
      </c>
      <c r="F10745" t="s">
        <v>7296</v>
      </c>
      <c r="G10745" t="s">
        <v>2084</v>
      </c>
      <c r="H10745">
        <v>6</v>
      </c>
      <c r="I10745">
        <v>89.96</v>
      </c>
      <c r="J10745" s="50">
        <v>539.76</v>
      </c>
      <c r="K10745" t="s">
        <v>1618</v>
      </c>
      <c r="L10745" t="s">
        <v>3731</v>
      </c>
      <c r="M10745" t="s">
        <v>1624</v>
      </c>
      <c r="N10745">
        <v>47.48</v>
      </c>
      <c r="O10745" s="49">
        <v>44425</v>
      </c>
      <c r="P10745" s="50">
        <v>242.892</v>
      </c>
    </row>
    <row r="10746" spans="4:16" x14ac:dyDescent="0.2">
      <c r="D10746">
        <v>100006456</v>
      </c>
      <c r="E10746" s="49">
        <v>44595</v>
      </c>
      <c r="F10746" t="s">
        <v>7296</v>
      </c>
      <c r="G10746" t="s">
        <v>1677</v>
      </c>
      <c r="H10746">
        <v>8</v>
      </c>
      <c r="I10746">
        <v>44.14</v>
      </c>
      <c r="J10746" s="50">
        <v>353.12</v>
      </c>
      <c r="K10746" t="s">
        <v>1618</v>
      </c>
      <c r="L10746" t="s">
        <v>3731</v>
      </c>
      <c r="M10746" t="s">
        <v>1621</v>
      </c>
      <c r="N10746">
        <v>23.3</v>
      </c>
      <c r="O10746" s="49">
        <v>44600</v>
      </c>
      <c r="P10746" s="50">
        <v>158.904</v>
      </c>
    </row>
    <row r="10747" spans="4:16" x14ac:dyDescent="0.2">
      <c r="D10747">
        <v>100006456</v>
      </c>
      <c r="E10747" s="49">
        <v>45092</v>
      </c>
      <c r="F10747" t="s">
        <v>7296</v>
      </c>
      <c r="G10747" t="s">
        <v>1842</v>
      </c>
      <c r="H10747">
        <v>2</v>
      </c>
      <c r="I10747">
        <v>112.33</v>
      </c>
      <c r="J10747" s="50">
        <v>224.66</v>
      </c>
      <c r="K10747" t="s">
        <v>1618</v>
      </c>
      <c r="L10747" t="s">
        <v>3731</v>
      </c>
      <c r="M10747" t="s">
        <v>1619</v>
      </c>
      <c r="N10747">
        <v>59.28</v>
      </c>
      <c r="O10747" s="49">
        <v>45096</v>
      </c>
      <c r="P10747" s="50">
        <v>101.09699999999999</v>
      </c>
    </row>
    <row r="10748" spans="4:16" x14ac:dyDescent="0.2">
      <c r="D10748">
        <v>100006460</v>
      </c>
      <c r="E10748" s="49">
        <v>44839</v>
      </c>
      <c r="F10748" t="s">
        <v>7297</v>
      </c>
      <c r="G10748" t="s">
        <v>2112</v>
      </c>
      <c r="H10748">
        <v>6</v>
      </c>
      <c r="I10748">
        <v>108.83</v>
      </c>
      <c r="J10748" s="50">
        <v>652.98</v>
      </c>
      <c r="K10748" t="s">
        <v>1618</v>
      </c>
      <c r="L10748" t="s">
        <v>5138</v>
      </c>
      <c r="M10748" t="s">
        <v>1621</v>
      </c>
      <c r="N10748">
        <v>57.44</v>
      </c>
      <c r="O10748" s="49">
        <v>44841</v>
      </c>
      <c r="P10748" s="50">
        <v>293.84100000000001</v>
      </c>
    </row>
    <row r="10749" spans="4:16" x14ac:dyDescent="0.2">
      <c r="D10749">
        <v>100006460</v>
      </c>
      <c r="E10749" s="49">
        <v>45278</v>
      </c>
      <c r="F10749" t="s">
        <v>7297</v>
      </c>
      <c r="G10749" t="s">
        <v>1718</v>
      </c>
      <c r="H10749">
        <v>3</v>
      </c>
      <c r="I10749">
        <v>32.75</v>
      </c>
      <c r="J10749" s="50">
        <v>98.25</v>
      </c>
      <c r="K10749" t="s">
        <v>1618</v>
      </c>
      <c r="L10749" t="s">
        <v>5138</v>
      </c>
      <c r="M10749" t="s">
        <v>1619</v>
      </c>
      <c r="N10749">
        <v>17.28</v>
      </c>
      <c r="O10749" s="49">
        <v>45283</v>
      </c>
      <c r="P10749" s="50">
        <v>44.212499999999999</v>
      </c>
    </row>
    <row r="10750" spans="4:16" x14ac:dyDescent="0.2">
      <c r="D10750">
        <v>100006461</v>
      </c>
      <c r="E10750" s="49">
        <v>44280</v>
      </c>
      <c r="F10750" t="s">
        <v>5400</v>
      </c>
      <c r="G10750" t="s">
        <v>2182</v>
      </c>
      <c r="H10750">
        <v>10</v>
      </c>
      <c r="I10750">
        <v>95.3</v>
      </c>
      <c r="J10750" s="50">
        <v>953</v>
      </c>
      <c r="K10750" t="s">
        <v>1618</v>
      </c>
      <c r="M10750" t="s">
        <v>1624</v>
      </c>
      <c r="N10750">
        <v>50.3</v>
      </c>
      <c r="O10750" s="49">
        <v>44281</v>
      </c>
      <c r="P10750" s="50">
        <v>428.85</v>
      </c>
    </row>
    <row r="10751" spans="4:16" x14ac:dyDescent="0.2">
      <c r="D10751">
        <v>100006461</v>
      </c>
      <c r="E10751" s="49">
        <v>44795</v>
      </c>
      <c r="F10751" t="s">
        <v>5400</v>
      </c>
      <c r="G10751" t="s">
        <v>1955</v>
      </c>
      <c r="H10751">
        <v>7</v>
      </c>
      <c r="I10751">
        <v>65.88</v>
      </c>
      <c r="J10751" s="50">
        <v>461.16</v>
      </c>
      <c r="K10751" t="s">
        <v>1618</v>
      </c>
      <c r="M10751" t="s">
        <v>1629</v>
      </c>
      <c r="N10751">
        <v>34.770000000000003</v>
      </c>
      <c r="O10751" s="49">
        <v>44800</v>
      </c>
      <c r="P10751" s="50">
        <v>207.52200000000002</v>
      </c>
    </row>
    <row r="10752" spans="4:16" x14ac:dyDescent="0.2">
      <c r="D10752">
        <v>100006461</v>
      </c>
      <c r="E10752" s="49">
        <v>44752</v>
      </c>
      <c r="F10752" t="s">
        <v>5400</v>
      </c>
      <c r="G10752" t="s">
        <v>2213</v>
      </c>
      <c r="H10752">
        <v>7</v>
      </c>
      <c r="I10752">
        <v>111.74</v>
      </c>
      <c r="J10752" s="50">
        <v>782.18</v>
      </c>
      <c r="K10752" t="s">
        <v>1618</v>
      </c>
      <c r="M10752" t="s">
        <v>1624</v>
      </c>
      <c r="N10752">
        <v>58.97</v>
      </c>
      <c r="O10752" s="49">
        <v>44757</v>
      </c>
      <c r="P10752" s="50">
        <v>351.98099999999999</v>
      </c>
    </row>
    <row r="10753" spans="4:16" x14ac:dyDescent="0.2">
      <c r="D10753">
        <v>100006462</v>
      </c>
      <c r="E10753" s="49">
        <v>45510</v>
      </c>
      <c r="F10753" t="s">
        <v>7298</v>
      </c>
      <c r="G10753" t="s">
        <v>1785</v>
      </c>
      <c r="H10753">
        <v>2</v>
      </c>
      <c r="I10753">
        <v>110.58</v>
      </c>
      <c r="J10753" s="50">
        <v>221.16</v>
      </c>
      <c r="K10753" t="s">
        <v>1632</v>
      </c>
      <c r="L10753" t="s">
        <v>2258</v>
      </c>
      <c r="M10753" t="s">
        <v>1621</v>
      </c>
      <c r="N10753">
        <v>58.36</v>
      </c>
      <c r="O10753" s="49">
        <v>45514</v>
      </c>
      <c r="P10753" s="50">
        <v>99.522000000000006</v>
      </c>
    </row>
    <row r="10754" spans="4:16" x14ac:dyDescent="0.2">
      <c r="D10754">
        <v>100006462</v>
      </c>
      <c r="E10754" s="49">
        <v>45407</v>
      </c>
      <c r="F10754" t="s">
        <v>7298</v>
      </c>
      <c r="G10754" t="s">
        <v>1770</v>
      </c>
      <c r="H10754">
        <v>4</v>
      </c>
      <c r="I10754">
        <v>97.19</v>
      </c>
      <c r="J10754" s="50">
        <v>388.76</v>
      </c>
      <c r="K10754" t="s">
        <v>1632</v>
      </c>
      <c r="L10754" t="s">
        <v>2258</v>
      </c>
      <c r="M10754" t="s">
        <v>1627</v>
      </c>
      <c r="N10754">
        <v>51.29</v>
      </c>
      <c r="O10754" s="49">
        <v>45410</v>
      </c>
      <c r="P10754" s="50">
        <v>174.94200000000001</v>
      </c>
    </row>
    <row r="10755" spans="4:16" x14ac:dyDescent="0.2">
      <c r="D10755">
        <v>100006463</v>
      </c>
      <c r="E10755" s="49">
        <v>45504</v>
      </c>
      <c r="F10755" t="s">
        <v>2909</v>
      </c>
      <c r="G10755" t="s">
        <v>2745</v>
      </c>
      <c r="H10755">
        <v>2</v>
      </c>
      <c r="I10755">
        <v>59.73</v>
      </c>
      <c r="J10755" s="50">
        <v>119.46</v>
      </c>
      <c r="K10755" t="s">
        <v>1618</v>
      </c>
      <c r="M10755" t="s">
        <v>1619</v>
      </c>
      <c r="N10755">
        <v>31.52</v>
      </c>
      <c r="O10755" s="49">
        <v>45509</v>
      </c>
      <c r="P10755" s="50">
        <v>53.756999999999998</v>
      </c>
    </row>
    <row r="10756" spans="4:16" x14ac:dyDescent="0.2">
      <c r="D10756">
        <v>100006463</v>
      </c>
      <c r="E10756" s="49">
        <v>44891</v>
      </c>
      <c r="F10756" t="s">
        <v>2909</v>
      </c>
      <c r="G10756" t="s">
        <v>1677</v>
      </c>
      <c r="H10756">
        <v>1</v>
      </c>
      <c r="I10756">
        <v>65.92</v>
      </c>
      <c r="J10756" s="50">
        <v>65.92</v>
      </c>
      <c r="K10756" t="s">
        <v>1618</v>
      </c>
      <c r="M10756" t="s">
        <v>1624</v>
      </c>
      <c r="N10756">
        <v>34.79</v>
      </c>
      <c r="O10756" s="49">
        <v>44896</v>
      </c>
      <c r="P10756" s="50">
        <v>29.664000000000001</v>
      </c>
    </row>
    <row r="10757" spans="4:16" x14ac:dyDescent="0.2">
      <c r="D10757">
        <v>100006463</v>
      </c>
      <c r="E10757" s="49">
        <v>45167</v>
      </c>
      <c r="F10757" t="s">
        <v>2909</v>
      </c>
      <c r="G10757" t="s">
        <v>2375</v>
      </c>
      <c r="H10757">
        <v>6</v>
      </c>
      <c r="I10757">
        <v>81.14</v>
      </c>
      <c r="J10757" s="50">
        <v>486.84</v>
      </c>
      <c r="K10757" t="s">
        <v>1618</v>
      </c>
      <c r="M10757" t="s">
        <v>1624</v>
      </c>
      <c r="N10757">
        <v>42.82</v>
      </c>
      <c r="O10757" s="49">
        <v>45172</v>
      </c>
      <c r="P10757" s="50">
        <v>219.078</v>
      </c>
    </row>
    <row r="10758" spans="4:16" x14ac:dyDescent="0.2">
      <c r="D10758">
        <v>100006463</v>
      </c>
      <c r="E10758" s="49">
        <v>44561</v>
      </c>
      <c r="F10758" t="s">
        <v>2909</v>
      </c>
      <c r="G10758" t="s">
        <v>1941</v>
      </c>
      <c r="H10758">
        <v>1</v>
      </c>
      <c r="I10758">
        <v>96.3</v>
      </c>
      <c r="J10758" s="50">
        <v>96.3</v>
      </c>
      <c r="K10758" t="s">
        <v>1618</v>
      </c>
      <c r="M10758" t="s">
        <v>1621</v>
      </c>
      <c r="N10758">
        <v>50.82</v>
      </c>
      <c r="O10758" s="49">
        <v>44564</v>
      </c>
      <c r="P10758" s="50">
        <v>43.335000000000001</v>
      </c>
    </row>
    <row r="10759" spans="4:16" x14ac:dyDescent="0.2">
      <c r="D10759">
        <v>100006463</v>
      </c>
      <c r="E10759" s="49">
        <v>45554</v>
      </c>
      <c r="F10759" t="s">
        <v>2909</v>
      </c>
      <c r="G10759" t="s">
        <v>2380</v>
      </c>
      <c r="H10759">
        <v>8</v>
      </c>
      <c r="I10759">
        <v>51.29</v>
      </c>
      <c r="J10759" s="50">
        <v>410.32</v>
      </c>
      <c r="K10759" t="s">
        <v>1618</v>
      </c>
      <c r="M10759" t="s">
        <v>1619</v>
      </c>
      <c r="N10759">
        <v>27.07</v>
      </c>
      <c r="O10759" s="49">
        <v>45555</v>
      </c>
      <c r="P10759" s="50">
        <v>184.64400000000001</v>
      </c>
    </row>
    <row r="10760" spans="4:16" x14ac:dyDescent="0.2">
      <c r="D10760">
        <v>100006463</v>
      </c>
      <c r="E10760" s="49">
        <v>44768</v>
      </c>
      <c r="F10760" t="s">
        <v>2909</v>
      </c>
      <c r="G10760" t="s">
        <v>1688</v>
      </c>
      <c r="H10760">
        <v>3</v>
      </c>
      <c r="I10760">
        <v>24.87</v>
      </c>
      <c r="J10760" s="50">
        <v>74.61</v>
      </c>
      <c r="K10760" t="s">
        <v>1618</v>
      </c>
      <c r="M10760" t="s">
        <v>1624</v>
      </c>
      <c r="N10760">
        <v>13.13</v>
      </c>
      <c r="O10760" s="49">
        <v>44772</v>
      </c>
      <c r="P10760" s="50">
        <v>33.5745</v>
      </c>
    </row>
    <row r="10761" spans="4:16" x14ac:dyDescent="0.2">
      <c r="D10761">
        <v>100006464</v>
      </c>
      <c r="E10761" s="49">
        <v>44814</v>
      </c>
      <c r="F10761" t="s">
        <v>7299</v>
      </c>
      <c r="G10761" t="s">
        <v>1882</v>
      </c>
      <c r="H10761">
        <v>3</v>
      </c>
      <c r="I10761">
        <v>86.65</v>
      </c>
      <c r="J10761" s="50">
        <v>259.95</v>
      </c>
      <c r="K10761" t="s">
        <v>1618</v>
      </c>
      <c r="M10761" t="s">
        <v>1629</v>
      </c>
      <c r="N10761">
        <v>45.73</v>
      </c>
      <c r="O10761" s="49">
        <v>44815</v>
      </c>
      <c r="P10761" s="50">
        <v>116.97749999999999</v>
      </c>
    </row>
    <row r="10762" spans="4:16" x14ac:dyDescent="0.2">
      <c r="D10762">
        <v>100006466</v>
      </c>
      <c r="E10762" s="49">
        <v>45301</v>
      </c>
      <c r="F10762" t="s">
        <v>7288</v>
      </c>
      <c r="G10762" t="s">
        <v>1985</v>
      </c>
      <c r="H10762">
        <v>8</v>
      </c>
      <c r="I10762">
        <v>80.760000000000005</v>
      </c>
      <c r="J10762" s="50">
        <v>646.08000000000004</v>
      </c>
      <c r="K10762" t="s">
        <v>1618</v>
      </c>
      <c r="M10762" t="s">
        <v>1629</v>
      </c>
      <c r="N10762">
        <v>42.62</v>
      </c>
      <c r="O10762" s="49">
        <v>45304</v>
      </c>
      <c r="P10762" s="50">
        <v>290.73600000000005</v>
      </c>
    </row>
    <row r="10763" spans="4:16" x14ac:dyDescent="0.2">
      <c r="D10763">
        <v>100006467</v>
      </c>
      <c r="E10763" s="49">
        <v>44759</v>
      </c>
      <c r="F10763" t="s">
        <v>7300</v>
      </c>
      <c r="G10763" t="s">
        <v>2484</v>
      </c>
      <c r="H10763">
        <v>6</v>
      </c>
      <c r="I10763">
        <v>109.83</v>
      </c>
      <c r="J10763" s="50">
        <v>658.98</v>
      </c>
      <c r="K10763" t="s">
        <v>1618</v>
      </c>
      <c r="M10763" t="s">
        <v>1627</v>
      </c>
      <c r="N10763">
        <v>57.97</v>
      </c>
      <c r="O10763" s="49">
        <v>44761</v>
      </c>
      <c r="P10763" s="50">
        <v>296.541</v>
      </c>
    </row>
    <row r="10764" spans="4:16" x14ac:dyDescent="0.2">
      <c r="D10764">
        <v>100006468</v>
      </c>
      <c r="E10764" s="49">
        <v>44814</v>
      </c>
      <c r="F10764" t="s">
        <v>7301</v>
      </c>
      <c r="G10764" t="s">
        <v>1715</v>
      </c>
      <c r="H10764">
        <v>2</v>
      </c>
      <c r="I10764">
        <v>23.28</v>
      </c>
      <c r="J10764" s="50">
        <v>46.56</v>
      </c>
      <c r="K10764" t="s">
        <v>1632</v>
      </c>
      <c r="M10764" t="s">
        <v>1621</v>
      </c>
      <c r="N10764">
        <v>12.29</v>
      </c>
      <c r="O10764" s="49">
        <v>44816</v>
      </c>
      <c r="P10764" s="50">
        <v>20.952000000000002</v>
      </c>
    </row>
    <row r="10765" spans="4:16" x14ac:dyDescent="0.2">
      <c r="D10765">
        <v>100006468</v>
      </c>
      <c r="E10765" s="49">
        <v>44915</v>
      </c>
      <c r="F10765" t="s">
        <v>7301</v>
      </c>
      <c r="G10765" t="s">
        <v>2416</v>
      </c>
      <c r="H10765">
        <v>6</v>
      </c>
      <c r="I10765">
        <v>31.24</v>
      </c>
      <c r="J10765" s="50">
        <v>187.44</v>
      </c>
      <c r="K10765" t="s">
        <v>1632</v>
      </c>
      <c r="M10765" t="s">
        <v>1627</v>
      </c>
      <c r="N10765">
        <v>16.489999999999998</v>
      </c>
      <c r="O10765" s="49">
        <v>44920</v>
      </c>
      <c r="P10765" s="50">
        <v>84.347999999999999</v>
      </c>
    </row>
    <row r="10766" spans="4:16" x14ac:dyDescent="0.2">
      <c r="D10766">
        <v>100006468</v>
      </c>
      <c r="E10766" s="49">
        <v>45623</v>
      </c>
      <c r="F10766" t="s">
        <v>7301</v>
      </c>
      <c r="G10766" t="s">
        <v>2155</v>
      </c>
      <c r="H10766">
        <v>9</v>
      </c>
      <c r="I10766">
        <v>75.41</v>
      </c>
      <c r="J10766" s="50">
        <v>678.68999999999994</v>
      </c>
      <c r="K10766" t="s">
        <v>1632</v>
      </c>
      <c r="M10766" t="s">
        <v>1624</v>
      </c>
      <c r="N10766">
        <v>39.799999999999997</v>
      </c>
      <c r="O10766" s="49">
        <v>45625</v>
      </c>
      <c r="P10766" s="50">
        <v>305.41049999999996</v>
      </c>
    </row>
    <row r="10767" spans="4:16" x14ac:dyDescent="0.2">
      <c r="D10767">
        <v>100006469</v>
      </c>
      <c r="E10767" s="49">
        <v>45604</v>
      </c>
      <c r="F10767" t="s">
        <v>7302</v>
      </c>
      <c r="G10767" t="s">
        <v>1929</v>
      </c>
      <c r="H10767">
        <v>8</v>
      </c>
      <c r="I10767">
        <v>51.25</v>
      </c>
      <c r="J10767" s="50">
        <v>410</v>
      </c>
      <c r="K10767" t="s">
        <v>1632</v>
      </c>
      <c r="M10767" t="s">
        <v>1624</v>
      </c>
      <c r="N10767">
        <v>27.05</v>
      </c>
      <c r="O10767" s="49">
        <v>45607</v>
      </c>
      <c r="P10767" s="50">
        <v>184.5</v>
      </c>
    </row>
    <row r="10768" spans="4:16" x14ac:dyDescent="0.2">
      <c r="D10768">
        <v>100006469</v>
      </c>
      <c r="E10768" s="49">
        <v>44200</v>
      </c>
      <c r="F10768" t="s">
        <v>7302</v>
      </c>
      <c r="G10768" t="s">
        <v>2692</v>
      </c>
      <c r="H10768">
        <v>3</v>
      </c>
      <c r="I10768">
        <v>53.88</v>
      </c>
      <c r="J10768" s="50">
        <v>161.63999999999999</v>
      </c>
      <c r="K10768" t="s">
        <v>1632</v>
      </c>
      <c r="M10768" t="s">
        <v>1619</v>
      </c>
      <c r="N10768">
        <v>28.44</v>
      </c>
      <c r="O10768" s="49">
        <v>44202</v>
      </c>
      <c r="P10768" s="50">
        <v>72.738</v>
      </c>
    </row>
    <row r="10769" spans="4:16" x14ac:dyDescent="0.2">
      <c r="D10769">
        <v>100006470</v>
      </c>
      <c r="E10769" s="49">
        <v>44723</v>
      </c>
      <c r="F10769" t="s">
        <v>7303</v>
      </c>
      <c r="G10769" t="s">
        <v>1636</v>
      </c>
      <c r="H10769">
        <v>6</v>
      </c>
      <c r="I10769">
        <v>17.29</v>
      </c>
      <c r="J10769" s="50">
        <v>103.74</v>
      </c>
      <c r="K10769" t="s">
        <v>1618</v>
      </c>
      <c r="M10769" t="s">
        <v>1627</v>
      </c>
      <c r="N10769">
        <v>9.1300000000000008</v>
      </c>
      <c r="O10769" s="49">
        <v>44727</v>
      </c>
      <c r="P10769" s="50">
        <v>46.683</v>
      </c>
    </row>
    <row r="10770" spans="4:16" x14ac:dyDescent="0.2">
      <c r="D10770">
        <v>100006470</v>
      </c>
      <c r="E10770" s="49">
        <v>45328</v>
      </c>
      <c r="F10770" t="s">
        <v>7303</v>
      </c>
      <c r="G10770" t="s">
        <v>2706</v>
      </c>
      <c r="H10770">
        <v>4</v>
      </c>
      <c r="I10770">
        <v>29.83</v>
      </c>
      <c r="J10770" s="50">
        <v>119.32</v>
      </c>
      <c r="K10770" t="s">
        <v>1618</v>
      </c>
      <c r="M10770" t="s">
        <v>1619</v>
      </c>
      <c r="N10770">
        <v>15.74</v>
      </c>
      <c r="O10770" s="49">
        <v>45331</v>
      </c>
      <c r="P10770" s="50">
        <v>53.693999999999996</v>
      </c>
    </row>
    <row r="10771" spans="4:16" x14ac:dyDescent="0.2">
      <c r="D10771">
        <v>100006471</v>
      </c>
      <c r="E10771" s="49">
        <v>44246</v>
      </c>
      <c r="F10771" t="s">
        <v>7304</v>
      </c>
      <c r="G10771" t="s">
        <v>1787</v>
      </c>
      <c r="H10771">
        <v>3</v>
      </c>
      <c r="I10771">
        <v>83.62</v>
      </c>
      <c r="J10771" s="50">
        <v>250.86</v>
      </c>
      <c r="K10771" t="s">
        <v>1632</v>
      </c>
      <c r="M10771" t="s">
        <v>1624</v>
      </c>
      <c r="N10771">
        <v>44.13</v>
      </c>
      <c r="O10771" s="49">
        <v>44248</v>
      </c>
      <c r="P10771" s="50">
        <v>112.88700000000001</v>
      </c>
    </row>
    <row r="10772" spans="4:16" x14ac:dyDescent="0.2">
      <c r="D10772">
        <v>100006471</v>
      </c>
      <c r="E10772" s="49">
        <v>44631</v>
      </c>
      <c r="F10772" t="s">
        <v>7304</v>
      </c>
      <c r="G10772" t="s">
        <v>1628</v>
      </c>
      <c r="H10772">
        <v>9</v>
      </c>
      <c r="I10772">
        <v>52.97</v>
      </c>
      <c r="J10772" s="50">
        <v>476.73</v>
      </c>
      <c r="K10772" t="s">
        <v>1632</v>
      </c>
      <c r="M10772" t="s">
        <v>1624</v>
      </c>
      <c r="N10772">
        <v>27.96</v>
      </c>
      <c r="O10772" s="49">
        <v>44634</v>
      </c>
      <c r="P10772" s="50">
        <v>214.52850000000001</v>
      </c>
    </row>
    <row r="10773" spans="4:16" x14ac:dyDescent="0.2">
      <c r="D10773">
        <v>100006471</v>
      </c>
      <c r="E10773" s="49">
        <v>44258</v>
      </c>
      <c r="F10773" t="s">
        <v>7304</v>
      </c>
      <c r="G10773" t="s">
        <v>1904</v>
      </c>
      <c r="H10773">
        <v>9</v>
      </c>
      <c r="I10773">
        <v>38.340000000000003</v>
      </c>
      <c r="J10773" s="50">
        <v>345.06000000000012</v>
      </c>
      <c r="K10773" t="s">
        <v>1632</v>
      </c>
      <c r="M10773" t="s">
        <v>1619</v>
      </c>
      <c r="N10773">
        <v>20.23</v>
      </c>
      <c r="O10773" s="49">
        <v>44259</v>
      </c>
      <c r="P10773" s="50">
        <v>155.27700000000004</v>
      </c>
    </row>
    <row r="10774" spans="4:16" x14ac:dyDescent="0.2">
      <c r="D10774">
        <v>100006472</v>
      </c>
      <c r="E10774" s="49">
        <v>44480</v>
      </c>
      <c r="F10774" t="s">
        <v>7305</v>
      </c>
      <c r="G10774" t="s">
        <v>1726</v>
      </c>
      <c r="H10774">
        <v>4</v>
      </c>
      <c r="I10774">
        <v>116.03</v>
      </c>
      <c r="J10774" s="50">
        <v>464.12</v>
      </c>
      <c r="K10774" t="s">
        <v>1618</v>
      </c>
      <c r="M10774" t="s">
        <v>1629</v>
      </c>
      <c r="N10774">
        <v>61.24</v>
      </c>
      <c r="O10774" s="49">
        <v>44482</v>
      </c>
      <c r="P10774" s="50">
        <v>208.85400000000001</v>
      </c>
    </row>
    <row r="10775" spans="4:16" x14ac:dyDescent="0.2">
      <c r="D10775">
        <v>100006473</v>
      </c>
      <c r="E10775" s="49">
        <v>44501</v>
      </c>
      <c r="F10775" t="s">
        <v>7306</v>
      </c>
      <c r="G10775" t="s">
        <v>2033</v>
      </c>
      <c r="H10775">
        <v>4</v>
      </c>
      <c r="I10775">
        <v>30.36</v>
      </c>
      <c r="J10775" s="50">
        <v>121.44</v>
      </c>
      <c r="K10775" t="s">
        <v>1632</v>
      </c>
      <c r="M10775" t="s">
        <v>1619</v>
      </c>
      <c r="N10775">
        <v>16.02</v>
      </c>
      <c r="O10775" s="49">
        <v>44505</v>
      </c>
      <c r="P10775" s="50">
        <v>54.648000000000003</v>
      </c>
    </row>
    <row r="10776" spans="4:16" x14ac:dyDescent="0.2">
      <c r="D10776">
        <v>100006473</v>
      </c>
      <c r="E10776" s="49">
        <v>45490</v>
      </c>
      <c r="F10776" t="s">
        <v>7306</v>
      </c>
      <c r="G10776" t="s">
        <v>2603</v>
      </c>
      <c r="H10776">
        <v>1</v>
      </c>
      <c r="I10776">
        <v>72.69</v>
      </c>
      <c r="J10776" s="50">
        <v>72.69</v>
      </c>
      <c r="K10776" t="s">
        <v>1632</v>
      </c>
      <c r="M10776" t="s">
        <v>1629</v>
      </c>
      <c r="N10776">
        <v>38.36</v>
      </c>
      <c r="O10776" s="49">
        <v>45494</v>
      </c>
      <c r="P10776" s="50">
        <v>32.710500000000003</v>
      </c>
    </row>
    <row r="10777" spans="4:16" x14ac:dyDescent="0.2">
      <c r="D10777">
        <v>100006474</v>
      </c>
      <c r="E10777" s="49">
        <v>45100</v>
      </c>
      <c r="F10777" t="s">
        <v>7307</v>
      </c>
      <c r="G10777" t="s">
        <v>2603</v>
      </c>
      <c r="H10777">
        <v>8</v>
      </c>
      <c r="I10777">
        <v>11.86</v>
      </c>
      <c r="J10777" s="50">
        <v>94.88</v>
      </c>
      <c r="K10777" t="s">
        <v>1632</v>
      </c>
      <c r="L10777" t="s">
        <v>7308</v>
      </c>
      <c r="M10777" t="s">
        <v>1621</v>
      </c>
      <c r="N10777">
        <v>6.26</v>
      </c>
      <c r="O10777" s="49">
        <v>45101</v>
      </c>
      <c r="P10777" s="50">
        <v>42.695999999999998</v>
      </c>
    </row>
    <row r="10778" spans="4:16" x14ac:dyDescent="0.2">
      <c r="D10778">
        <v>100006474</v>
      </c>
      <c r="E10778" s="49">
        <v>44525</v>
      </c>
      <c r="F10778" t="s">
        <v>7307</v>
      </c>
      <c r="G10778" t="s">
        <v>2571</v>
      </c>
      <c r="H10778">
        <v>3</v>
      </c>
      <c r="I10778">
        <v>33.4</v>
      </c>
      <c r="J10778" s="50">
        <v>100.2</v>
      </c>
      <c r="K10778" t="s">
        <v>1632</v>
      </c>
      <c r="L10778" t="s">
        <v>7308</v>
      </c>
      <c r="M10778" t="s">
        <v>1619</v>
      </c>
      <c r="N10778">
        <v>17.63</v>
      </c>
      <c r="O10778" s="49">
        <v>44529</v>
      </c>
      <c r="P10778" s="50">
        <v>45.09</v>
      </c>
    </row>
    <row r="10779" spans="4:16" x14ac:dyDescent="0.2">
      <c r="D10779">
        <v>100006475</v>
      </c>
      <c r="E10779" s="49">
        <v>44417</v>
      </c>
      <c r="F10779" t="s">
        <v>7309</v>
      </c>
      <c r="G10779" t="s">
        <v>1941</v>
      </c>
      <c r="H10779">
        <v>10</v>
      </c>
      <c r="I10779">
        <v>59.58</v>
      </c>
      <c r="J10779" s="50">
        <v>595.79999999999995</v>
      </c>
      <c r="K10779" t="s">
        <v>1618</v>
      </c>
      <c r="M10779" t="s">
        <v>1619</v>
      </c>
      <c r="N10779">
        <v>31.44</v>
      </c>
      <c r="O10779" s="49">
        <v>44418</v>
      </c>
      <c r="P10779" s="50">
        <v>268.11</v>
      </c>
    </row>
    <row r="10780" spans="4:16" x14ac:dyDescent="0.2">
      <c r="D10780">
        <v>100006475</v>
      </c>
      <c r="E10780" s="49">
        <v>44505</v>
      </c>
      <c r="F10780" t="s">
        <v>7309</v>
      </c>
      <c r="G10780" t="s">
        <v>1787</v>
      </c>
      <c r="H10780">
        <v>9</v>
      </c>
      <c r="I10780">
        <v>112.94</v>
      </c>
      <c r="J10780" s="50">
        <v>1016.46</v>
      </c>
      <c r="K10780" t="s">
        <v>1618</v>
      </c>
      <c r="M10780" t="s">
        <v>1629</v>
      </c>
      <c r="N10780">
        <v>59.61</v>
      </c>
      <c r="O10780" s="49">
        <v>44508</v>
      </c>
      <c r="P10780" s="50">
        <v>457.40700000000004</v>
      </c>
    </row>
    <row r="10781" spans="4:16" x14ac:dyDescent="0.2">
      <c r="D10781">
        <v>100006475</v>
      </c>
      <c r="E10781" s="49">
        <v>44361</v>
      </c>
      <c r="F10781" t="s">
        <v>7309</v>
      </c>
      <c r="G10781" t="s">
        <v>1726</v>
      </c>
      <c r="H10781">
        <v>8</v>
      </c>
      <c r="I10781">
        <v>96.88</v>
      </c>
      <c r="J10781" s="50">
        <v>775.04</v>
      </c>
      <c r="K10781" t="s">
        <v>1618</v>
      </c>
      <c r="M10781" t="s">
        <v>1629</v>
      </c>
      <c r="N10781">
        <v>51.13</v>
      </c>
      <c r="O10781" s="49">
        <v>44362</v>
      </c>
      <c r="P10781" s="50">
        <v>348.76799999999997</v>
      </c>
    </row>
    <row r="10782" spans="4:16" x14ac:dyDescent="0.2">
      <c r="D10782">
        <v>100006475</v>
      </c>
      <c r="E10782" s="49">
        <v>44355</v>
      </c>
      <c r="F10782" t="s">
        <v>7309</v>
      </c>
      <c r="G10782" t="s">
        <v>2057</v>
      </c>
      <c r="H10782">
        <v>8</v>
      </c>
      <c r="I10782">
        <v>84.51</v>
      </c>
      <c r="J10782" s="50">
        <v>676.08</v>
      </c>
      <c r="K10782" t="s">
        <v>1618</v>
      </c>
      <c r="M10782" t="s">
        <v>1624</v>
      </c>
      <c r="N10782">
        <v>44.6</v>
      </c>
      <c r="O10782" s="49">
        <v>44356</v>
      </c>
      <c r="P10782" s="50">
        <v>304.23600000000005</v>
      </c>
    </row>
    <row r="10783" spans="4:16" x14ac:dyDescent="0.2">
      <c r="D10783">
        <v>100006475</v>
      </c>
      <c r="E10783" s="49">
        <v>45164</v>
      </c>
      <c r="F10783" t="s">
        <v>7309</v>
      </c>
      <c r="G10783" t="s">
        <v>1665</v>
      </c>
      <c r="H10783">
        <v>3</v>
      </c>
      <c r="I10783">
        <v>115.58</v>
      </c>
      <c r="J10783" s="50">
        <v>346.74</v>
      </c>
      <c r="K10783" t="s">
        <v>1618</v>
      </c>
      <c r="M10783" t="s">
        <v>1624</v>
      </c>
      <c r="N10783">
        <v>61</v>
      </c>
      <c r="O10783" s="49">
        <v>45166</v>
      </c>
      <c r="P10783" s="50">
        <v>156.03300000000002</v>
      </c>
    </row>
    <row r="10784" spans="4:16" x14ac:dyDescent="0.2">
      <c r="D10784">
        <v>100006476</v>
      </c>
      <c r="E10784" s="49">
        <v>45577</v>
      </c>
      <c r="F10784" t="s">
        <v>7310</v>
      </c>
      <c r="G10784" t="s">
        <v>1828</v>
      </c>
      <c r="H10784">
        <v>6</v>
      </c>
      <c r="I10784">
        <v>62.03</v>
      </c>
      <c r="J10784" s="50">
        <v>372.18</v>
      </c>
      <c r="K10784" t="s">
        <v>1618</v>
      </c>
      <c r="M10784" t="s">
        <v>1621</v>
      </c>
      <c r="N10784">
        <v>32.74</v>
      </c>
      <c r="O10784" s="49">
        <v>45581</v>
      </c>
      <c r="P10784" s="50">
        <v>167.48099999999999</v>
      </c>
    </row>
    <row r="10785" spans="4:16" x14ac:dyDescent="0.2">
      <c r="D10785">
        <v>100006476</v>
      </c>
      <c r="E10785" s="49">
        <v>44901</v>
      </c>
      <c r="F10785" t="s">
        <v>7310</v>
      </c>
      <c r="G10785" t="s">
        <v>2550</v>
      </c>
      <c r="H10785">
        <v>1</v>
      </c>
      <c r="I10785">
        <v>65.8</v>
      </c>
      <c r="J10785" s="50">
        <v>65.8</v>
      </c>
      <c r="K10785" t="s">
        <v>1618</v>
      </c>
      <c r="M10785" t="s">
        <v>1629</v>
      </c>
      <c r="N10785">
        <v>34.729999999999997</v>
      </c>
      <c r="O10785" s="49">
        <v>44904</v>
      </c>
      <c r="P10785" s="50">
        <v>29.61</v>
      </c>
    </row>
    <row r="10786" spans="4:16" x14ac:dyDescent="0.2">
      <c r="D10786">
        <v>100006476</v>
      </c>
      <c r="E10786" s="49">
        <v>45312</v>
      </c>
      <c r="F10786" t="s">
        <v>7310</v>
      </c>
      <c r="G10786" t="s">
        <v>2357</v>
      </c>
      <c r="H10786">
        <v>3</v>
      </c>
      <c r="I10786">
        <v>80.569999999999993</v>
      </c>
      <c r="J10786" s="50">
        <v>241.71</v>
      </c>
      <c r="K10786" t="s">
        <v>1618</v>
      </c>
      <c r="M10786" t="s">
        <v>1629</v>
      </c>
      <c r="N10786">
        <v>42.52</v>
      </c>
      <c r="O10786" s="49">
        <v>45314</v>
      </c>
      <c r="P10786" s="50">
        <v>108.76950000000001</v>
      </c>
    </row>
    <row r="10787" spans="4:16" x14ac:dyDescent="0.2">
      <c r="D10787">
        <v>100006476</v>
      </c>
      <c r="E10787" s="49">
        <v>45599</v>
      </c>
      <c r="F10787" t="s">
        <v>7310</v>
      </c>
      <c r="G10787" t="s">
        <v>1696</v>
      </c>
      <c r="H10787">
        <v>1</v>
      </c>
      <c r="I10787">
        <v>109.14</v>
      </c>
      <c r="J10787" s="50">
        <v>109.14</v>
      </c>
      <c r="K10787" t="s">
        <v>1618</v>
      </c>
      <c r="M10787" t="s">
        <v>1621</v>
      </c>
      <c r="N10787">
        <v>57.6</v>
      </c>
      <c r="O10787" s="49">
        <v>45600</v>
      </c>
      <c r="P10787" s="50">
        <v>49.113</v>
      </c>
    </row>
    <row r="10788" spans="4:16" x14ac:dyDescent="0.2">
      <c r="D10788">
        <v>100006478</v>
      </c>
      <c r="E10788" s="49">
        <v>45580</v>
      </c>
      <c r="F10788" t="s">
        <v>7311</v>
      </c>
      <c r="G10788" t="s">
        <v>1739</v>
      </c>
      <c r="H10788">
        <v>6</v>
      </c>
      <c r="I10788">
        <v>53.14</v>
      </c>
      <c r="J10788" s="50">
        <v>318.83999999999997</v>
      </c>
      <c r="K10788" t="s">
        <v>1618</v>
      </c>
      <c r="L10788" t="s">
        <v>7312</v>
      </c>
      <c r="M10788" t="s">
        <v>1627</v>
      </c>
      <c r="N10788">
        <v>28.05</v>
      </c>
      <c r="O10788" s="49">
        <v>45585</v>
      </c>
      <c r="P10788" s="50">
        <v>143.47799999999998</v>
      </c>
    </row>
    <row r="10789" spans="4:16" x14ac:dyDescent="0.2">
      <c r="D10789">
        <v>100006478</v>
      </c>
      <c r="E10789" s="49">
        <v>45594</v>
      </c>
      <c r="F10789" t="s">
        <v>7311</v>
      </c>
      <c r="G10789" t="s">
        <v>2093</v>
      </c>
      <c r="H10789">
        <v>4</v>
      </c>
      <c r="I10789">
        <v>36.28</v>
      </c>
      <c r="J10789" s="50">
        <v>145.12</v>
      </c>
      <c r="K10789" t="s">
        <v>1618</v>
      </c>
      <c r="L10789" t="s">
        <v>7312</v>
      </c>
      <c r="M10789" t="s">
        <v>1621</v>
      </c>
      <c r="N10789">
        <v>19.149999999999999</v>
      </c>
      <c r="O10789" s="49">
        <v>45596</v>
      </c>
      <c r="P10789" s="50">
        <v>65.304000000000002</v>
      </c>
    </row>
    <row r="10790" spans="4:16" x14ac:dyDescent="0.2">
      <c r="D10790">
        <v>100006478</v>
      </c>
      <c r="E10790" s="49">
        <v>45002</v>
      </c>
      <c r="F10790" t="s">
        <v>7311</v>
      </c>
      <c r="G10790" t="s">
        <v>2357</v>
      </c>
      <c r="H10790">
        <v>1</v>
      </c>
      <c r="I10790">
        <v>82.89</v>
      </c>
      <c r="J10790" s="50">
        <v>82.89</v>
      </c>
      <c r="K10790" t="s">
        <v>1618</v>
      </c>
      <c r="L10790" t="s">
        <v>7312</v>
      </c>
      <c r="M10790" t="s">
        <v>1621</v>
      </c>
      <c r="N10790">
        <v>43.75</v>
      </c>
      <c r="O10790" s="49">
        <v>45006</v>
      </c>
      <c r="P10790" s="50">
        <v>37.3005</v>
      </c>
    </row>
    <row r="10791" spans="4:16" x14ac:dyDescent="0.2">
      <c r="D10791">
        <v>100006479</v>
      </c>
      <c r="E10791" s="49">
        <v>44655</v>
      </c>
      <c r="F10791" t="s">
        <v>7313</v>
      </c>
      <c r="G10791" t="s">
        <v>1921</v>
      </c>
      <c r="H10791">
        <v>5</v>
      </c>
      <c r="I10791">
        <v>33.75</v>
      </c>
      <c r="J10791" s="50">
        <v>168.75</v>
      </c>
      <c r="K10791" t="s">
        <v>1632</v>
      </c>
      <c r="M10791" t="s">
        <v>1629</v>
      </c>
      <c r="N10791">
        <v>17.809999999999999</v>
      </c>
      <c r="O10791" s="49">
        <v>44656</v>
      </c>
      <c r="P10791" s="50">
        <v>75.9375</v>
      </c>
    </row>
    <row r="10792" spans="4:16" x14ac:dyDescent="0.2">
      <c r="D10792">
        <v>100006480</v>
      </c>
      <c r="E10792" s="49">
        <v>44493</v>
      </c>
      <c r="F10792" t="s">
        <v>7314</v>
      </c>
      <c r="G10792" t="s">
        <v>2068</v>
      </c>
      <c r="H10792">
        <v>3</v>
      </c>
      <c r="I10792">
        <v>77.16</v>
      </c>
      <c r="J10792" s="50">
        <v>231.48</v>
      </c>
      <c r="K10792" t="s">
        <v>1618</v>
      </c>
      <c r="M10792" t="s">
        <v>1621</v>
      </c>
      <c r="N10792">
        <v>40.72</v>
      </c>
      <c r="O10792" s="49">
        <v>44497</v>
      </c>
      <c r="P10792" s="50">
        <v>104.166</v>
      </c>
    </row>
    <row r="10793" spans="4:16" x14ac:dyDescent="0.2">
      <c r="D10793">
        <v>100006480</v>
      </c>
      <c r="E10793" s="49">
        <v>44968</v>
      </c>
      <c r="F10793" t="s">
        <v>7314</v>
      </c>
      <c r="G10793" t="s">
        <v>2007</v>
      </c>
      <c r="H10793">
        <v>9</v>
      </c>
      <c r="I10793">
        <v>36.99</v>
      </c>
      <c r="J10793" s="50">
        <v>332.91</v>
      </c>
      <c r="K10793" t="s">
        <v>1618</v>
      </c>
      <c r="M10793" t="s">
        <v>1624</v>
      </c>
      <c r="N10793">
        <v>19.52</v>
      </c>
      <c r="O10793" s="49">
        <v>44971</v>
      </c>
      <c r="P10793" s="50">
        <v>149.80950000000001</v>
      </c>
    </row>
    <row r="10794" spans="4:16" x14ac:dyDescent="0.2">
      <c r="D10794">
        <v>100006480</v>
      </c>
      <c r="E10794" s="49">
        <v>45006</v>
      </c>
      <c r="F10794" t="s">
        <v>7314</v>
      </c>
      <c r="G10794" t="s">
        <v>1723</v>
      </c>
      <c r="H10794">
        <v>7</v>
      </c>
      <c r="I10794">
        <v>40.130000000000003</v>
      </c>
      <c r="J10794" s="50">
        <v>280.91000000000003</v>
      </c>
      <c r="K10794" t="s">
        <v>1618</v>
      </c>
      <c r="M10794" t="s">
        <v>1629</v>
      </c>
      <c r="N10794">
        <v>21.18</v>
      </c>
      <c r="O10794" s="49">
        <v>45010</v>
      </c>
      <c r="P10794" s="50">
        <v>126.40950000000001</v>
      </c>
    </row>
    <row r="10795" spans="4:16" x14ac:dyDescent="0.2">
      <c r="D10795">
        <v>100006480</v>
      </c>
      <c r="E10795" s="49">
        <v>44906</v>
      </c>
      <c r="F10795" t="s">
        <v>7314</v>
      </c>
      <c r="G10795" t="s">
        <v>2306</v>
      </c>
      <c r="H10795">
        <v>8</v>
      </c>
      <c r="I10795">
        <v>22.52</v>
      </c>
      <c r="J10795" s="50">
        <v>180.16</v>
      </c>
      <c r="K10795" t="s">
        <v>1618</v>
      </c>
      <c r="M10795" t="s">
        <v>1624</v>
      </c>
      <c r="N10795">
        <v>11.89</v>
      </c>
      <c r="O10795" s="49">
        <v>44907</v>
      </c>
      <c r="P10795" s="50">
        <v>81.072000000000003</v>
      </c>
    </row>
    <row r="10796" spans="4:16" x14ac:dyDescent="0.2">
      <c r="D10796">
        <v>100006480</v>
      </c>
      <c r="E10796" s="49">
        <v>44804</v>
      </c>
      <c r="F10796" t="s">
        <v>7314</v>
      </c>
      <c r="G10796" t="s">
        <v>1666</v>
      </c>
      <c r="H10796">
        <v>7</v>
      </c>
      <c r="I10796">
        <v>106.7</v>
      </c>
      <c r="J10796" s="50">
        <v>746.9</v>
      </c>
      <c r="K10796" t="s">
        <v>1618</v>
      </c>
      <c r="M10796" t="s">
        <v>1624</v>
      </c>
      <c r="N10796">
        <v>56.31</v>
      </c>
      <c r="O10796" s="49">
        <v>44805</v>
      </c>
      <c r="P10796" s="50">
        <v>336.10500000000002</v>
      </c>
    </row>
    <row r="10797" spans="4:16" x14ac:dyDescent="0.2">
      <c r="D10797">
        <v>100006481</v>
      </c>
      <c r="E10797" s="49">
        <v>45533</v>
      </c>
      <c r="F10797" t="s">
        <v>7315</v>
      </c>
      <c r="G10797" t="s">
        <v>1802</v>
      </c>
      <c r="H10797">
        <v>5</v>
      </c>
      <c r="I10797">
        <v>109.46</v>
      </c>
      <c r="J10797" s="50">
        <v>547.29999999999995</v>
      </c>
      <c r="K10797" t="s">
        <v>1618</v>
      </c>
      <c r="L10797" t="s">
        <v>5313</v>
      </c>
      <c r="M10797" t="s">
        <v>1621</v>
      </c>
      <c r="N10797">
        <v>57.77</v>
      </c>
      <c r="O10797" s="49">
        <v>45538</v>
      </c>
      <c r="P10797" s="50">
        <v>246.285</v>
      </c>
    </row>
    <row r="10798" spans="4:16" x14ac:dyDescent="0.2">
      <c r="D10798">
        <v>100006481</v>
      </c>
      <c r="E10798" s="49">
        <v>45080</v>
      </c>
      <c r="F10798" t="s">
        <v>7315</v>
      </c>
      <c r="G10798" t="s">
        <v>2431</v>
      </c>
      <c r="H10798">
        <v>5</v>
      </c>
      <c r="I10798">
        <v>106.36</v>
      </c>
      <c r="J10798" s="50">
        <v>531.79999999999995</v>
      </c>
      <c r="K10798" t="s">
        <v>1618</v>
      </c>
      <c r="L10798" t="s">
        <v>5313</v>
      </c>
      <c r="M10798" t="s">
        <v>1619</v>
      </c>
      <c r="N10798">
        <v>56.13</v>
      </c>
      <c r="O10798" s="49">
        <v>45081</v>
      </c>
      <c r="P10798" s="50">
        <v>239.30999999999997</v>
      </c>
    </row>
    <row r="10799" spans="4:16" x14ac:dyDescent="0.2">
      <c r="D10799">
        <v>100006481</v>
      </c>
      <c r="E10799" s="49">
        <v>44546</v>
      </c>
      <c r="F10799" t="s">
        <v>7315</v>
      </c>
      <c r="G10799" t="s">
        <v>1702</v>
      </c>
      <c r="H10799">
        <v>9</v>
      </c>
      <c r="I10799">
        <v>73.7</v>
      </c>
      <c r="J10799" s="50">
        <v>663.30000000000007</v>
      </c>
      <c r="K10799" t="s">
        <v>1618</v>
      </c>
      <c r="L10799" t="s">
        <v>5313</v>
      </c>
      <c r="M10799" t="s">
        <v>1627</v>
      </c>
      <c r="N10799">
        <v>38.9</v>
      </c>
      <c r="O10799" s="49">
        <v>44551</v>
      </c>
      <c r="P10799" s="50">
        <v>298.48500000000001</v>
      </c>
    </row>
    <row r="10800" spans="4:16" x14ac:dyDescent="0.2">
      <c r="D10800">
        <v>100006481</v>
      </c>
      <c r="E10800" s="49">
        <v>44339</v>
      </c>
      <c r="F10800" t="s">
        <v>7315</v>
      </c>
      <c r="G10800" t="s">
        <v>3135</v>
      </c>
      <c r="H10800">
        <v>3</v>
      </c>
      <c r="I10800">
        <v>18.850000000000001</v>
      </c>
      <c r="J10800" s="50">
        <v>56.55</v>
      </c>
      <c r="K10800" t="s">
        <v>1618</v>
      </c>
      <c r="L10800" t="s">
        <v>5313</v>
      </c>
      <c r="M10800" t="s">
        <v>1621</v>
      </c>
      <c r="N10800">
        <v>9.9499999999999993</v>
      </c>
      <c r="O10800" s="49">
        <v>44341</v>
      </c>
      <c r="P10800" s="50">
        <v>25.447499999999998</v>
      </c>
    </row>
    <row r="10801" spans="4:16" x14ac:dyDescent="0.2">
      <c r="D10801">
        <v>100006481</v>
      </c>
      <c r="E10801" s="49">
        <v>44218</v>
      </c>
      <c r="F10801" t="s">
        <v>7315</v>
      </c>
      <c r="G10801" t="s">
        <v>1789</v>
      </c>
      <c r="H10801">
        <v>2</v>
      </c>
      <c r="I10801">
        <v>95.76</v>
      </c>
      <c r="J10801" s="50">
        <v>191.52</v>
      </c>
      <c r="K10801" t="s">
        <v>1618</v>
      </c>
      <c r="L10801" t="s">
        <v>5313</v>
      </c>
      <c r="M10801" t="s">
        <v>1629</v>
      </c>
      <c r="N10801">
        <v>50.54</v>
      </c>
      <c r="O10801" s="49">
        <v>44223</v>
      </c>
      <c r="P10801" s="50">
        <v>86.184000000000012</v>
      </c>
    </row>
    <row r="10802" spans="4:16" x14ac:dyDescent="0.2">
      <c r="D10802">
        <v>100006482</v>
      </c>
      <c r="E10802" s="49">
        <v>44231</v>
      </c>
      <c r="F10802" t="s">
        <v>7316</v>
      </c>
      <c r="G10802" t="s">
        <v>1718</v>
      </c>
      <c r="H10802">
        <v>5</v>
      </c>
      <c r="I10802">
        <v>81.45</v>
      </c>
      <c r="J10802" s="50">
        <v>407.25</v>
      </c>
      <c r="K10802" t="s">
        <v>1632</v>
      </c>
      <c r="M10802" t="s">
        <v>1627</v>
      </c>
      <c r="N10802">
        <v>42.99</v>
      </c>
      <c r="O10802" s="49">
        <v>44235</v>
      </c>
      <c r="P10802" s="50">
        <v>183.26250000000002</v>
      </c>
    </row>
    <row r="10803" spans="4:16" x14ac:dyDescent="0.2">
      <c r="D10803">
        <v>100006483</v>
      </c>
      <c r="E10803" s="49">
        <v>45070</v>
      </c>
      <c r="F10803" t="s">
        <v>7317</v>
      </c>
      <c r="G10803" t="s">
        <v>2174</v>
      </c>
      <c r="H10803">
        <v>4</v>
      </c>
      <c r="I10803">
        <v>116.65</v>
      </c>
      <c r="J10803" s="50">
        <v>466.6</v>
      </c>
      <c r="K10803" t="s">
        <v>1618</v>
      </c>
      <c r="M10803" t="s">
        <v>1627</v>
      </c>
      <c r="N10803">
        <v>61.56</v>
      </c>
      <c r="O10803" s="49">
        <v>45074</v>
      </c>
      <c r="P10803" s="50">
        <v>209.97000000000003</v>
      </c>
    </row>
    <row r="10804" spans="4:16" x14ac:dyDescent="0.2">
      <c r="D10804">
        <v>100006484</v>
      </c>
      <c r="E10804" s="49">
        <v>44712</v>
      </c>
      <c r="F10804" t="s">
        <v>7318</v>
      </c>
      <c r="G10804" t="s">
        <v>1671</v>
      </c>
      <c r="H10804">
        <v>7</v>
      </c>
      <c r="I10804">
        <v>36.549999999999997</v>
      </c>
      <c r="J10804" s="50">
        <v>255.85</v>
      </c>
      <c r="K10804" t="s">
        <v>1618</v>
      </c>
      <c r="M10804" t="s">
        <v>1619</v>
      </c>
      <c r="N10804">
        <v>19.29</v>
      </c>
      <c r="O10804" s="49">
        <v>44715</v>
      </c>
      <c r="P10804" s="50">
        <v>115.13249999999999</v>
      </c>
    </row>
    <row r="10805" spans="4:16" x14ac:dyDescent="0.2">
      <c r="D10805">
        <v>100006484</v>
      </c>
      <c r="E10805" s="49">
        <v>45339</v>
      </c>
      <c r="F10805" t="s">
        <v>7318</v>
      </c>
      <c r="G10805" t="s">
        <v>1651</v>
      </c>
      <c r="H10805">
        <v>2</v>
      </c>
      <c r="I10805">
        <v>117.1</v>
      </c>
      <c r="J10805" s="50">
        <v>234.2</v>
      </c>
      <c r="K10805" t="s">
        <v>1618</v>
      </c>
      <c r="M10805" t="s">
        <v>1619</v>
      </c>
      <c r="N10805">
        <v>61.8</v>
      </c>
      <c r="O10805" s="49">
        <v>45341</v>
      </c>
      <c r="P10805" s="50">
        <v>105.39</v>
      </c>
    </row>
    <row r="10806" spans="4:16" x14ac:dyDescent="0.2">
      <c r="D10806">
        <v>100006484</v>
      </c>
      <c r="E10806" s="49">
        <v>45223</v>
      </c>
      <c r="F10806" t="s">
        <v>7318</v>
      </c>
      <c r="G10806" t="s">
        <v>1752</v>
      </c>
      <c r="H10806">
        <v>10</v>
      </c>
      <c r="I10806">
        <v>67.39</v>
      </c>
      <c r="J10806" s="50">
        <v>673.9</v>
      </c>
      <c r="K10806" t="s">
        <v>1618</v>
      </c>
      <c r="M10806" t="s">
        <v>1629</v>
      </c>
      <c r="N10806">
        <v>35.57</v>
      </c>
      <c r="O10806" s="49">
        <v>45225</v>
      </c>
      <c r="P10806" s="50">
        <v>303.255</v>
      </c>
    </row>
    <row r="10807" spans="4:16" x14ac:dyDescent="0.2">
      <c r="D10807">
        <v>100006485</v>
      </c>
      <c r="E10807" s="49">
        <v>45573</v>
      </c>
      <c r="F10807" t="s">
        <v>3675</v>
      </c>
      <c r="G10807" t="s">
        <v>1740</v>
      </c>
      <c r="H10807">
        <v>10</v>
      </c>
      <c r="I10807">
        <v>100.94</v>
      </c>
      <c r="J10807" s="50">
        <v>1009.4</v>
      </c>
      <c r="K10807" t="s">
        <v>1632</v>
      </c>
      <c r="M10807" t="s">
        <v>1629</v>
      </c>
      <c r="N10807">
        <v>53.27</v>
      </c>
      <c r="O10807" s="49">
        <v>45577</v>
      </c>
      <c r="P10807" s="50">
        <v>454.23</v>
      </c>
    </row>
    <row r="10808" spans="4:16" x14ac:dyDescent="0.2">
      <c r="D10808">
        <v>100006485</v>
      </c>
      <c r="E10808" s="49">
        <v>45574</v>
      </c>
      <c r="F10808" t="s">
        <v>3675</v>
      </c>
      <c r="G10808" t="s">
        <v>1637</v>
      </c>
      <c r="H10808">
        <v>1</v>
      </c>
      <c r="I10808">
        <v>78.33</v>
      </c>
      <c r="J10808" s="50">
        <v>78.33</v>
      </c>
      <c r="K10808" t="s">
        <v>1632</v>
      </c>
      <c r="M10808" t="s">
        <v>1619</v>
      </c>
      <c r="N10808">
        <v>41.34</v>
      </c>
      <c r="O10808" s="49">
        <v>45576</v>
      </c>
      <c r="P10808" s="50">
        <v>35.2485</v>
      </c>
    </row>
    <row r="10809" spans="4:16" x14ac:dyDescent="0.2">
      <c r="D10809">
        <v>100006486</v>
      </c>
      <c r="E10809" s="49">
        <v>44534</v>
      </c>
      <c r="F10809" t="s">
        <v>7319</v>
      </c>
      <c r="G10809" t="s">
        <v>1941</v>
      </c>
      <c r="H10809">
        <v>5</v>
      </c>
      <c r="I10809">
        <v>40.630000000000003</v>
      </c>
      <c r="J10809" s="50">
        <v>203.15</v>
      </c>
      <c r="K10809" t="s">
        <v>1618</v>
      </c>
      <c r="M10809" t="s">
        <v>1624</v>
      </c>
      <c r="N10809">
        <v>21.44</v>
      </c>
      <c r="O10809" s="49">
        <v>44539</v>
      </c>
      <c r="P10809" s="50">
        <v>91.417500000000004</v>
      </c>
    </row>
    <row r="10810" spans="4:16" x14ac:dyDescent="0.2">
      <c r="D10810">
        <v>100006486</v>
      </c>
      <c r="E10810" s="49">
        <v>44851</v>
      </c>
      <c r="F10810" t="s">
        <v>7319</v>
      </c>
      <c r="G10810" t="s">
        <v>1801</v>
      </c>
      <c r="H10810">
        <v>5</v>
      </c>
      <c r="I10810">
        <v>44.93</v>
      </c>
      <c r="J10810" s="50">
        <v>224.65</v>
      </c>
      <c r="K10810" t="s">
        <v>1618</v>
      </c>
      <c r="M10810" t="s">
        <v>1621</v>
      </c>
      <c r="N10810">
        <v>23.71</v>
      </c>
      <c r="O10810" s="49">
        <v>44852</v>
      </c>
      <c r="P10810" s="50">
        <v>101.0925</v>
      </c>
    </row>
    <row r="10811" spans="4:16" x14ac:dyDescent="0.2">
      <c r="D10811">
        <v>100006488</v>
      </c>
      <c r="E10811" s="49">
        <v>44315</v>
      </c>
      <c r="F10811" t="s">
        <v>7320</v>
      </c>
      <c r="G10811" t="s">
        <v>2136</v>
      </c>
      <c r="H10811">
        <v>6</v>
      </c>
      <c r="I10811">
        <v>112.1</v>
      </c>
      <c r="J10811" s="50">
        <v>672.59999999999991</v>
      </c>
      <c r="K10811" t="s">
        <v>1632</v>
      </c>
      <c r="M10811" t="s">
        <v>1624</v>
      </c>
      <c r="N10811">
        <v>59.16</v>
      </c>
      <c r="O10811" s="49">
        <v>44318</v>
      </c>
      <c r="P10811" s="50">
        <v>302.66999999999996</v>
      </c>
    </row>
    <row r="10812" spans="4:16" x14ac:dyDescent="0.2">
      <c r="D10812">
        <v>100006488</v>
      </c>
      <c r="E10812" s="49">
        <v>45628</v>
      </c>
      <c r="F10812" t="s">
        <v>7320</v>
      </c>
      <c r="G10812" t="s">
        <v>1631</v>
      </c>
      <c r="H10812">
        <v>9</v>
      </c>
      <c r="I10812">
        <v>75.849999999999994</v>
      </c>
      <c r="J10812" s="50">
        <v>682.65</v>
      </c>
      <c r="K10812" t="s">
        <v>1632</v>
      </c>
      <c r="M10812" t="s">
        <v>1629</v>
      </c>
      <c r="N10812">
        <v>40.03</v>
      </c>
      <c r="O10812" s="49">
        <v>45632</v>
      </c>
      <c r="P10812" s="50">
        <v>307.1925</v>
      </c>
    </row>
    <row r="10813" spans="4:16" x14ac:dyDescent="0.2">
      <c r="D10813">
        <v>100006488</v>
      </c>
      <c r="E10813" s="49">
        <v>45204</v>
      </c>
      <c r="F10813" t="s">
        <v>7320</v>
      </c>
      <c r="G10813" t="s">
        <v>1766</v>
      </c>
      <c r="H10813">
        <v>3</v>
      </c>
      <c r="I10813">
        <v>117.19</v>
      </c>
      <c r="J10813" s="50">
        <v>351.57</v>
      </c>
      <c r="K10813" t="s">
        <v>1632</v>
      </c>
      <c r="M10813" t="s">
        <v>1621</v>
      </c>
      <c r="N10813">
        <v>61.85</v>
      </c>
      <c r="O10813" s="49">
        <v>45206</v>
      </c>
      <c r="P10813" s="50">
        <v>158.20650000000001</v>
      </c>
    </row>
    <row r="10814" spans="4:16" x14ac:dyDescent="0.2">
      <c r="D10814">
        <v>100006488</v>
      </c>
      <c r="E10814" s="49">
        <v>44848</v>
      </c>
      <c r="F10814" t="s">
        <v>7320</v>
      </c>
      <c r="G10814" t="s">
        <v>1815</v>
      </c>
      <c r="H10814">
        <v>4</v>
      </c>
      <c r="I10814">
        <v>100.21</v>
      </c>
      <c r="J10814" s="50">
        <v>400.84</v>
      </c>
      <c r="K10814" t="s">
        <v>1632</v>
      </c>
      <c r="M10814" t="s">
        <v>1619</v>
      </c>
      <c r="N10814">
        <v>52.89</v>
      </c>
      <c r="O10814" s="49">
        <v>44853</v>
      </c>
      <c r="P10814" s="50">
        <v>180.37799999999999</v>
      </c>
    </row>
    <row r="10815" spans="4:16" x14ac:dyDescent="0.2">
      <c r="D10815">
        <v>100006488</v>
      </c>
      <c r="E10815" s="49">
        <v>44888</v>
      </c>
      <c r="F10815" t="s">
        <v>7320</v>
      </c>
      <c r="G10815" t="s">
        <v>1726</v>
      </c>
      <c r="H10815">
        <v>6</v>
      </c>
      <c r="I10815">
        <v>103.69</v>
      </c>
      <c r="J10815" s="50">
        <v>622.14</v>
      </c>
      <c r="K10815" t="s">
        <v>1632</v>
      </c>
      <c r="M10815" t="s">
        <v>1629</v>
      </c>
      <c r="N10815">
        <v>54.72</v>
      </c>
      <c r="O10815" s="49">
        <v>44891</v>
      </c>
      <c r="P10815" s="50">
        <v>279.96300000000002</v>
      </c>
    </row>
    <row r="10816" spans="4:16" x14ac:dyDescent="0.2">
      <c r="D10816">
        <v>100006488</v>
      </c>
      <c r="E10816" s="49">
        <v>44868</v>
      </c>
      <c r="F10816" t="s">
        <v>7320</v>
      </c>
      <c r="G10816" t="s">
        <v>1939</v>
      </c>
      <c r="H10816">
        <v>9</v>
      </c>
      <c r="I10816">
        <v>26.72</v>
      </c>
      <c r="J10816" s="50">
        <v>240.48</v>
      </c>
      <c r="K10816" t="s">
        <v>1632</v>
      </c>
      <c r="M10816" t="s">
        <v>1627</v>
      </c>
      <c r="N10816">
        <v>14.1</v>
      </c>
      <c r="O10816" s="49">
        <v>44869</v>
      </c>
      <c r="P10816" s="50">
        <v>108.21599999999999</v>
      </c>
    </row>
    <row r="10817" spans="4:16" x14ac:dyDescent="0.2">
      <c r="D10817">
        <v>100006488</v>
      </c>
      <c r="E10817" s="49">
        <v>45119</v>
      </c>
      <c r="F10817" t="s">
        <v>7320</v>
      </c>
      <c r="G10817" t="s">
        <v>1690</v>
      </c>
      <c r="H10817">
        <v>4</v>
      </c>
      <c r="I10817">
        <v>36.65</v>
      </c>
      <c r="J10817" s="50">
        <v>146.6</v>
      </c>
      <c r="K10817" t="s">
        <v>1632</v>
      </c>
      <c r="M10817" t="s">
        <v>1619</v>
      </c>
      <c r="N10817">
        <v>19.34</v>
      </c>
      <c r="O10817" s="49">
        <v>45124</v>
      </c>
      <c r="P10817" s="50">
        <v>65.97</v>
      </c>
    </row>
    <row r="10818" spans="4:16" x14ac:dyDescent="0.2">
      <c r="D10818">
        <v>100006489</v>
      </c>
      <c r="E10818" s="49">
        <v>44940</v>
      </c>
      <c r="F10818" t="s">
        <v>7321</v>
      </c>
      <c r="G10818" t="s">
        <v>1885</v>
      </c>
      <c r="H10818">
        <v>10</v>
      </c>
      <c r="I10818">
        <v>101.49</v>
      </c>
      <c r="J10818" s="50">
        <v>1014.9</v>
      </c>
      <c r="K10818" t="s">
        <v>1632</v>
      </c>
      <c r="M10818" t="s">
        <v>1624</v>
      </c>
      <c r="N10818">
        <v>53.56</v>
      </c>
      <c r="O10818" s="49">
        <v>44941</v>
      </c>
      <c r="P10818" s="50">
        <v>456.70499999999998</v>
      </c>
    </row>
    <row r="10819" spans="4:16" x14ac:dyDescent="0.2">
      <c r="D10819">
        <v>100006492</v>
      </c>
      <c r="E10819" s="49">
        <v>45443</v>
      </c>
      <c r="F10819" t="s">
        <v>7322</v>
      </c>
      <c r="G10819" t="s">
        <v>2057</v>
      </c>
      <c r="H10819">
        <v>6</v>
      </c>
      <c r="I10819">
        <v>70.099999999999994</v>
      </c>
      <c r="J10819" s="50">
        <v>420.6</v>
      </c>
      <c r="K10819" t="s">
        <v>1632</v>
      </c>
      <c r="M10819" t="s">
        <v>1621</v>
      </c>
      <c r="N10819">
        <v>37</v>
      </c>
      <c r="O10819" s="49">
        <v>45447</v>
      </c>
      <c r="P10819" s="50">
        <v>189.27</v>
      </c>
    </row>
    <row r="10820" spans="4:16" x14ac:dyDescent="0.2">
      <c r="D10820">
        <v>100006493</v>
      </c>
      <c r="E10820" s="49">
        <v>44416</v>
      </c>
      <c r="F10820" t="s">
        <v>7323</v>
      </c>
      <c r="G10820" t="s">
        <v>1702</v>
      </c>
      <c r="H10820">
        <v>8</v>
      </c>
      <c r="I10820">
        <v>95.75</v>
      </c>
      <c r="J10820" s="50">
        <v>766</v>
      </c>
      <c r="K10820" t="s">
        <v>1632</v>
      </c>
      <c r="M10820" t="s">
        <v>1627</v>
      </c>
      <c r="N10820">
        <v>50.53</v>
      </c>
      <c r="O10820" s="49">
        <v>44418</v>
      </c>
      <c r="P10820" s="50">
        <v>344.7</v>
      </c>
    </row>
    <row r="10821" spans="4:16" x14ac:dyDescent="0.2">
      <c r="D10821">
        <v>100006493</v>
      </c>
      <c r="E10821" s="49">
        <v>45253</v>
      </c>
      <c r="F10821" t="s">
        <v>7323</v>
      </c>
      <c r="G10821" t="s">
        <v>2348</v>
      </c>
      <c r="H10821">
        <v>4</v>
      </c>
      <c r="I10821">
        <v>16.16</v>
      </c>
      <c r="J10821" s="50">
        <v>64.64</v>
      </c>
      <c r="K10821" t="s">
        <v>1632</v>
      </c>
      <c r="M10821" t="s">
        <v>1629</v>
      </c>
      <c r="N10821">
        <v>8.5299999999999994</v>
      </c>
      <c r="O10821" s="49">
        <v>45254</v>
      </c>
      <c r="P10821" s="50">
        <v>29.088000000000001</v>
      </c>
    </row>
    <row r="10822" spans="4:16" x14ac:dyDescent="0.2">
      <c r="D10822">
        <v>100006493</v>
      </c>
      <c r="E10822" s="49">
        <v>44207</v>
      </c>
      <c r="F10822" t="s">
        <v>7323</v>
      </c>
      <c r="G10822" t="s">
        <v>2305</v>
      </c>
      <c r="H10822">
        <v>3</v>
      </c>
      <c r="I10822">
        <v>74.069999999999993</v>
      </c>
      <c r="J10822" s="50">
        <v>222.21</v>
      </c>
      <c r="K10822" t="s">
        <v>1632</v>
      </c>
      <c r="M10822" t="s">
        <v>1627</v>
      </c>
      <c r="N10822">
        <v>39.090000000000003</v>
      </c>
      <c r="O10822" s="49">
        <v>44212</v>
      </c>
      <c r="P10822" s="50">
        <v>99.994500000000002</v>
      </c>
    </row>
    <row r="10823" spans="4:16" x14ac:dyDescent="0.2">
      <c r="D10823">
        <v>100006495</v>
      </c>
      <c r="E10823" s="49">
        <v>44304</v>
      </c>
      <c r="F10823" t="s">
        <v>7324</v>
      </c>
      <c r="G10823" t="s">
        <v>1808</v>
      </c>
      <c r="H10823">
        <v>9</v>
      </c>
      <c r="I10823">
        <v>74.06</v>
      </c>
      <c r="J10823" s="50">
        <v>666.54</v>
      </c>
      <c r="K10823" t="s">
        <v>1632</v>
      </c>
      <c r="M10823" t="s">
        <v>1619</v>
      </c>
      <c r="N10823">
        <v>39.090000000000003</v>
      </c>
      <c r="O10823" s="49">
        <v>44307</v>
      </c>
      <c r="P10823" s="50">
        <v>299.94299999999998</v>
      </c>
    </row>
    <row r="10824" spans="4:16" x14ac:dyDescent="0.2">
      <c r="D10824">
        <v>100006495</v>
      </c>
      <c r="E10824" s="49">
        <v>44793</v>
      </c>
      <c r="F10824" t="s">
        <v>7324</v>
      </c>
      <c r="G10824" t="s">
        <v>2047</v>
      </c>
      <c r="H10824">
        <v>1</v>
      </c>
      <c r="I10824">
        <v>83.72</v>
      </c>
      <c r="J10824" s="50">
        <v>83.72</v>
      </c>
      <c r="K10824" t="s">
        <v>1632</v>
      </c>
      <c r="M10824" t="s">
        <v>1629</v>
      </c>
      <c r="N10824">
        <v>44.19</v>
      </c>
      <c r="O10824" s="49">
        <v>44794</v>
      </c>
      <c r="P10824" s="50">
        <v>37.673999999999999</v>
      </c>
    </row>
    <row r="10825" spans="4:16" x14ac:dyDescent="0.2">
      <c r="D10825">
        <v>100006497</v>
      </c>
      <c r="E10825" s="49">
        <v>45283</v>
      </c>
      <c r="F10825" t="s">
        <v>7325</v>
      </c>
      <c r="G10825" t="s">
        <v>1787</v>
      </c>
      <c r="H10825">
        <v>2</v>
      </c>
      <c r="I10825">
        <v>100.79</v>
      </c>
      <c r="J10825" s="50">
        <v>201.58</v>
      </c>
      <c r="K10825" t="s">
        <v>1632</v>
      </c>
      <c r="M10825" t="s">
        <v>1621</v>
      </c>
      <c r="N10825">
        <v>53.19</v>
      </c>
      <c r="O10825" s="49">
        <v>45284</v>
      </c>
      <c r="P10825" s="50">
        <v>90.711000000000013</v>
      </c>
    </row>
    <row r="10826" spans="4:16" x14ac:dyDescent="0.2">
      <c r="D10826">
        <v>100006498</v>
      </c>
      <c r="E10826" s="49">
        <v>44811</v>
      </c>
      <c r="F10826" t="s">
        <v>7326</v>
      </c>
      <c r="G10826" t="s">
        <v>1705</v>
      </c>
      <c r="H10826">
        <v>3</v>
      </c>
      <c r="I10826">
        <v>80.16</v>
      </c>
      <c r="J10826" s="50">
        <v>240.48</v>
      </c>
      <c r="K10826" t="s">
        <v>1618</v>
      </c>
      <c r="M10826" t="s">
        <v>1619</v>
      </c>
      <c r="N10826">
        <v>42.31</v>
      </c>
      <c r="O10826" s="49">
        <v>44812</v>
      </c>
      <c r="P10826" s="50">
        <v>108.21599999999999</v>
      </c>
    </row>
    <row r="10827" spans="4:16" x14ac:dyDescent="0.2">
      <c r="D10827">
        <v>100006500</v>
      </c>
      <c r="E10827" s="49">
        <v>44873</v>
      </c>
      <c r="F10827" t="s">
        <v>7327</v>
      </c>
      <c r="G10827" t="s">
        <v>1717</v>
      </c>
      <c r="H10827">
        <v>5</v>
      </c>
      <c r="I10827">
        <v>109.17</v>
      </c>
      <c r="J10827" s="50">
        <v>545.85</v>
      </c>
      <c r="K10827" t="s">
        <v>1618</v>
      </c>
      <c r="M10827" t="s">
        <v>1619</v>
      </c>
      <c r="N10827">
        <v>57.62</v>
      </c>
      <c r="O10827" s="49">
        <v>44875</v>
      </c>
      <c r="P10827" s="50">
        <v>245.63250000000002</v>
      </c>
    </row>
    <row r="10828" spans="4:16" x14ac:dyDescent="0.2">
      <c r="D10828">
        <v>100006500</v>
      </c>
      <c r="E10828" s="49">
        <v>44649</v>
      </c>
      <c r="F10828" t="s">
        <v>7327</v>
      </c>
      <c r="G10828" t="s">
        <v>1885</v>
      </c>
      <c r="H10828">
        <v>5</v>
      </c>
      <c r="I10828">
        <v>92.98</v>
      </c>
      <c r="J10828" s="50">
        <v>464.9</v>
      </c>
      <c r="K10828" t="s">
        <v>1618</v>
      </c>
      <c r="M10828" t="s">
        <v>1621</v>
      </c>
      <c r="N10828">
        <v>49.07</v>
      </c>
      <c r="O10828" s="49">
        <v>44652</v>
      </c>
      <c r="P10828" s="50">
        <v>209.20499999999998</v>
      </c>
    </row>
    <row r="10829" spans="4:16" x14ac:dyDescent="0.2">
      <c r="D10829">
        <v>100006500</v>
      </c>
      <c r="E10829" s="49">
        <v>45191</v>
      </c>
      <c r="F10829" t="s">
        <v>7327</v>
      </c>
      <c r="G10829" t="s">
        <v>1792</v>
      </c>
      <c r="H10829">
        <v>7</v>
      </c>
      <c r="I10829">
        <v>18.89</v>
      </c>
      <c r="J10829" s="50">
        <v>132.22999999999999</v>
      </c>
      <c r="K10829" t="s">
        <v>1618</v>
      </c>
      <c r="M10829" t="s">
        <v>1629</v>
      </c>
      <c r="N10829">
        <v>9.9700000000000006</v>
      </c>
      <c r="O10829" s="49">
        <v>45194</v>
      </c>
      <c r="P10829" s="50">
        <v>59.503499999999995</v>
      </c>
    </row>
    <row r="10830" spans="4:16" x14ac:dyDescent="0.2">
      <c r="D10830">
        <v>100006502</v>
      </c>
      <c r="E10830" s="49">
        <v>44944</v>
      </c>
      <c r="F10830" t="s">
        <v>7328</v>
      </c>
      <c r="G10830" t="s">
        <v>1956</v>
      </c>
      <c r="H10830">
        <v>5</v>
      </c>
      <c r="I10830">
        <v>31</v>
      </c>
      <c r="J10830" s="50">
        <v>155</v>
      </c>
      <c r="K10830" t="s">
        <v>1618</v>
      </c>
      <c r="M10830" t="s">
        <v>1629</v>
      </c>
      <c r="N10830">
        <v>16.36</v>
      </c>
      <c r="O10830" s="49">
        <v>44946</v>
      </c>
      <c r="P10830" s="50">
        <v>69.75</v>
      </c>
    </row>
    <row r="10831" spans="4:16" x14ac:dyDescent="0.2">
      <c r="D10831">
        <v>100006503</v>
      </c>
      <c r="E10831" s="49">
        <v>44715</v>
      </c>
      <c r="F10831" t="s">
        <v>7329</v>
      </c>
      <c r="G10831" t="s">
        <v>1877</v>
      </c>
      <c r="H10831">
        <v>9</v>
      </c>
      <c r="I10831">
        <v>27.24</v>
      </c>
      <c r="J10831" s="50">
        <v>245.16</v>
      </c>
      <c r="K10831" t="s">
        <v>1618</v>
      </c>
      <c r="L10831" t="s">
        <v>6015</v>
      </c>
      <c r="M10831" t="s">
        <v>1627</v>
      </c>
      <c r="N10831">
        <v>14.38</v>
      </c>
      <c r="O10831" s="49">
        <v>44719</v>
      </c>
      <c r="P10831" s="50">
        <v>110.322</v>
      </c>
    </row>
    <row r="10832" spans="4:16" x14ac:dyDescent="0.2">
      <c r="D10832">
        <v>100006506</v>
      </c>
      <c r="E10832" s="49">
        <v>44288</v>
      </c>
      <c r="F10832" t="s">
        <v>7330</v>
      </c>
      <c r="G10832" t="s">
        <v>1664</v>
      </c>
      <c r="H10832">
        <v>8</v>
      </c>
      <c r="I10832">
        <v>113.18</v>
      </c>
      <c r="J10832" s="50">
        <v>905.44</v>
      </c>
      <c r="K10832" t="s">
        <v>1632</v>
      </c>
      <c r="M10832" t="s">
        <v>1621</v>
      </c>
      <c r="N10832">
        <v>59.73</v>
      </c>
      <c r="O10832" s="49">
        <v>44290</v>
      </c>
      <c r="P10832" s="50">
        <v>407.44800000000004</v>
      </c>
    </row>
    <row r="10833" spans="4:16" x14ac:dyDescent="0.2">
      <c r="D10833">
        <v>100006506</v>
      </c>
      <c r="E10833" s="49">
        <v>44896</v>
      </c>
      <c r="F10833" t="s">
        <v>7330</v>
      </c>
      <c r="G10833" t="s">
        <v>1967</v>
      </c>
      <c r="H10833">
        <v>8</v>
      </c>
      <c r="I10833">
        <v>79.510000000000005</v>
      </c>
      <c r="J10833" s="50">
        <v>636.08000000000004</v>
      </c>
      <c r="K10833" t="s">
        <v>1632</v>
      </c>
      <c r="M10833" t="s">
        <v>1629</v>
      </c>
      <c r="N10833">
        <v>41.96</v>
      </c>
      <c r="O10833" s="49">
        <v>44899</v>
      </c>
      <c r="P10833" s="50">
        <v>286.23600000000005</v>
      </c>
    </row>
    <row r="10834" spans="4:16" x14ac:dyDescent="0.2">
      <c r="D10834">
        <v>100006508</v>
      </c>
      <c r="E10834" s="49">
        <v>45640</v>
      </c>
      <c r="F10834" t="s">
        <v>7331</v>
      </c>
      <c r="G10834" t="s">
        <v>1982</v>
      </c>
      <c r="H10834">
        <v>10</v>
      </c>
      <c r="I10834">
        <v>34.340000000000003</v>
      </c>
      <c r="J10834" s="50">
        <v>343.4</v>
      </c>
      <c r="K10834" t="s">
        <v>1632</v>
      </c>
      <c r="M10834" t="s">
        <v>1621</v>
      </c>
      <c r="N10834">
        <v>18.12</v>
      </c>
      <c r="O10834" s="49">
        <v>45644</v>
      </c>
      <c r="P10834" s="50">
        <v>154.53</v>
      </c>
    </row>
    <row r="10835" spans="4:16" x14ac:dyDescent="0.2">
      <c r="D10835">
        <v>100006509</v>
      </c>
      <c r="E10835" s="49">
        <v>44534</v>
      </c>
      <c r="F10835" t="s">
        <v>7332</v>
      </c>
      <c r="G10835" t="s">
        <v>1895</v>
      </c>
      <c r="H10835">
        <v>2</v>
      </c>
      <c r="I10835">
        <v>59.66</v>
      </c>
      <c r="J10835" s="50">
        <v>119.32</v>
      </c>
      <c r="K10835" t="s">
        <v>1618</v>
      </c>
      <c r="M10835" t="s">
        <v>1619</v>
      </c>
      <c r="N10835">
        <v>31.49</v>
      </c>
      <c r="O10835" s="49">
        <v>44538</v>
      </c>
      <c r="P10835" s="50">
        <v>53.693999999999996</v>
      </c>
    </row>
    <row r="10836" spans="4:16" x14ac:dyDescent="0.2">
      <c r="D10836">
        <v>100006509</v>
      </c>
      <c r="E10836" s="49">
        <v>45579</v>
      </c>
      <c r="F10836" t="s">
        <v>7332</v>
      </c>
      <c r="G10836" t="s">
        <v>2064</v>
      </c>
      <c r="H10836">
        <v>6</v>
      </c>
      <c r="I10836">
        <v>117.04</v>
      </c>
      <c r="J10836" s="50">
        <v>702.24</v>
      </c>
      <c r="K10836" t="s">
        <v>1618</v>
      </c>
      <c r="M10836" t="s">
        <v>1624</v>
      </c>
      <c r="N10836">
        <v>61.77</v>
      </c>
      <c r="O10836" s="49">
        <v>45583</v>
      </c>
      <c r="P10836" s="50">
        <v>316.00800000000004</v>
      </c>
    </row>
    <row r="10837" spans="4:16" x14ac:dyDescent="0.2">
      <c r="D10837">
        <v>100006509</v>
      </c>
      <c r="E10837" s="49">
        <v>44815</v>
      </c>
      <c r="F10837" t="s">
        <v>7332</v>
      </c>
      <c r="G10837" t="s">
        <v>2762</v>
      </c>
      <c r="H10837">
        <v>7</v>
      </c>
      <c r="I10837">
        <v>105.14</v>
      </c>
      <c r="J10837" s="50">
        <v>735.98</v>
      </c>
      <c r="K10837" t="s">
        <v>1618</v>
      </c>
      <c r="M10837" t="s">
        <v>1627</v>
      </c>
      <c r="N10837">
        <v>55.49</v>
      </c>
      <c r="O10837" s="49">
        <v>44820</v>
      </c>
      <c r="P10837" s="50">
        <v>331.19100000000003</v>
      </c>
    </row>
    <row r="10838" spans="4:16" x14ac:dyDescent="0.2">
      <c r="D10838">
        <v>100006509</v>
      </c>
      <c r="E10838" s="49">
        <v>45315</v>
      </c>
      <c r="F10838" t="s">
        <v>7332</v>
      </c>
      <c r="G10838" t="s">
        <v>2485</v>
      </c>
      <c r="H10838">
        <v>8</v>
      </c>
      <c r="I10838">
        <v>18.14</v>
      </c>
      <c r="J10838" s="50">
        <v>145.12</v>
      </c>
      <c r="K10838" t="s">
        <v>1618</v>
      </c>
      <c r="M10838" t="s">
        <v>1619</v>
      </c>
      <c r="N10838">
        <v>9.57</v>
      </c>
      <c r="O10838" s="49">
        <v>45316</v>
      </c>
      <c r="P10838" s="50">
        <v>65.304000000000002</v>
      </c>
    </row>
    <row r="10839" spans="4:16" x14ac:dyDescent="0.2">
      <c r="D10839">
        <v>100006509</v>
      </c>
      <c r="E10839" s="49">
        <v>45593</v>
      </c>
      <c r="F10839" t="s">
        <v>7332</v>
      </c>
      <c r="G10839" t="s">
        <v>1783</v>
      </c>
      <c r="H10839">
        <v>7</v>
      </c>
      <c r="I10839">
        <v>113.58</v>
      </c>
      <c r="J10839" s="50">
        <v>795.06</v>
      </c>
      <c r="K10839" t="s">
        <v>1618</v>
      </c>
      <c r="M10839" t="s">
        <v>1624</v>
      </c>
      <c r="N10839">
        <v>59.94</v>
      </c>
      <c r="O10839" s="49">
        <v>45598</v>
      </c>
      <c r="P10839" s="50">
        <v>357.77699999999999</v>
      </c>
    </row>
    <row r="10840" spans="4:16" x14ac:dyDescent="0.2">
      <c r="D10840">
        <v>100006510</v>
      </c>
      <c r="E10840" s="49">
        <v>45450</v>
      </c>
      <c r="F10840" t="s">
        <v>7333</v>
      </c>
      <c r="G10840" t="s">
        <v>2039</v>
      </c>
      <c r="H10840">
        <v>8</v>
      </c>
      <c r="I10840">
        <v>114.11</v>
      </c>
      <c r="J10840" s="50">
        <v>912.88</v>
      </c>
      <c r="K10840" t="s">
        <v>1618</v>
      </c>
      <c r="M10840" t="s">
        <v>1627</v>
      </c>
      <c r="N10840">
        <v>60.22</v>
      </c>
      <c r="O10840" s="49">
        <v>45451</v>
      </c>
      <c r="P10840" s="50">
        <v>410.79599999999999</v>
      </c>
    </row>
    <row r="10841" spans="4:16" x14ac:dyDescent="0.2">
      <c r="D10841">
        <v>100006510</v>
      </c>
      <c r="E10841" s="49">
        <v>44976</v>
      </c>
      <c r="F10841" t="s">
        <v>7333</v>
      </c>
      <c r="G10841" t="s">
        <v>1674</v>
      </c>
      <c r="H10841">
        <v>4</v>
      </c>
      <c r="I10841">
        <v>22.82</v>
      </c>
      <c r="J10841" s="50">
        <v>91.28</v>
      </c>
      <c r="K10841" t="s">
        <v>1618</v>
      </c>
      <c r="M10841" t="s">
        <v>1621</v>
      </c>
      <c r="N10841">
        <v>12.04</v>
      </c>
      <c r="O10841" s="49">
        <v>44979</v>
      </c>
      <c r="P10841" s="50">
        <v>41.076000000000001</v>
      </c>
    </row>
    <row r="10842" spans="4:16" x14ac:dyDescent="0.2">
      <c r="D10842">
        <v>100006510</v>
      </c>
      <c r="E10842" s="49">
        <v>44742</v>
      </c>
      <c r="F10842" t="s">
        <v>7333</v>
      </c>
      <c r="G10842" t="s">
        <v>2240</v>
      </c>
      <c r="H10842">
        <v>3</v>
      </c>
      <c r="I10842">
        <v>39.6</v>
      </c>
      <c r="J10842" s="50">
        <v>118.8</v>
      </c>
      <c r="K10842" t="s">
        <v>1618</v>
      </c>
      <c r="M10842" t="s">
        <v>1619</v>
      </c>
      <c r="N10842">
        <v>20.9</v>
      </c>
      <c r="O10842" s="49">
        <v>44745</v>
      </c>
      <c r="P10842" s="50">
        <v>53.46</v>
      </c>
    </row>
    <row r="10843" spans="4:16" x14ac:dyDescent="0.2">
      <c r="D10843">
        <v>100006510</v>
      </c>
      <c r="E10843" s="49">
        <v>44545</v>
      </c>
      <c r="F10843" t="s">
        <v>7333</v>
      </c>
      <c r="G10843" t="s">
        <v>1939</v>
      </c>
      <c r="H10843">
        <v>2</v>
      </c>
      <c r="I10843">
        <v>17.29</v>
      </c>
      <c r="J10843" s="50">
        <v>34.58</v>
      </c>
      <c r="K10843" t="s">
        <v>1618</v>
      </c>
      <c r="M10843" t="s">
        <v>1629</v>
      </c>
      <c r="N10843">
        <v>9.1300000000000008</v>
      </c>
      <c r="O10843" s="49">
        <v>44549</v>
      </c>
      <c r="P10843" s="50">
        <v>15.561</v>
      </c>
    </row>
    <row r="10844" spans="4:16" x14ac:dyDescent="0.2">
      <c r="D10844">
        <v>100006511</v>
      </c>
      <c r="E10844" s="49">
        <v>44212</v>
      </c>
      <c r="F10844" t="s">
        <v>7334</v>
      </c>
      <c r="G10844" t="s">
        <v>1740</v>
      </c>
      <c r="H10844">
        <v>6</v>
      </c>
      <c r="I10844">
        <v>69.150000000000006</v>
      </c>
      <c r="J10844" s="50">
        <v>414.9</v>
      </c>
      <c r="K10844" t="s">
        <v>1618</v>
      </c>
      <c r="L10844" t="s">
        <v>3380</v>
      </c>
      <c r="M10844" t="s">
        <v>1627</v>
      </c>
      <c r="N10844">
        <v>36.5</v>
      </c>
      <c r="O10844" s="49">
        <v>44214</v>
      </c>
      <c r="P10844" s="50">
        <v>186.70499999999998</v>
      </c>
    </row>
    <row r="10845" spans="4:16" x14ac:dyDescent="0.2">
      <c r="D10845">
        <v>100006514</v>
      </c>
      <c r="E10845" s="49">
        <v>45624</v>
      </c>
      <c r="F10845" t="s">
        <v>7335</v>
      </c>
      <c r="G10845" t="s">
        <v>2019</v>
      </c>
      <c r="H10845">
        <v>7</v>
      </c>
      <c r="I10845">
        <v>44.36</v>
      </c>
      <c r="J10845" s="50">
        <v>310.52</v>
      </c>
      <c r="K10845" t="s">
        <v>1632</v>
      </c>
      <c r="M10845" t="s">
        <v>1627</v>
      </c>
      <c r="N10845">
        <v>23.41</v>
      </c>
      <c r="O10845" s="49">
        <v>45625</v>
      </c>
      <c r="P10845" s="50">
        <v>139.73400000000001</v>
      </c>
    </row>
    <row r="10846" spans="4:16" x14ac:dyDescent="0.2">
      <c r="D10846">
        <v>100006514</v>
      </c>
      <c r="E10846" s="49">
        <v>45247</v>
      </c>
      <c r="F10846" t="s">
        <v>7335</v>
      </c>
      <c r="G10846" t="s">
        <v>2261</v>
      </c>
      <c r="H10846">
        <v>1</v>
      </c>
      <c r="I10846">
        <v>50.07</v>
      </c>
      <c r="J10846" s="50">
        <v>50.07</v>
      </c>
      <c r="K10846" t="s">
        <v>1632</v>
      </c>
      <c r="M10846" t="s">
        <v>1621</v>
      </c>
      <c r="N10846">
        <v>26.43</v>
      </c>
      <c r="O10846" s="49">
        <v>45250</v>
      </c>
      <c r="P10846" s="50">
        <v>22.531500000000001</v>
      </c>
    </row>
    <row r="10847" spans="4:16" x14ac:dyDescent="0.2">
      <c r="D10847">
        <v>100006514</v>
      </c>
      <c r="E10847" s="49">
        <v>45655</v>
      </c>
      <c r="F10847" t="s">
        <v>7335</v>
      </c>
      <c r="G10847" t="s">
        <v>1864</v>
      </c>
      <c r="H10847">
        <v>6</v>
      </c>
      <c r="I10847">
        <v>72.47</v>
      </c>
      <c r="J10847" s="50">
        <v>434.82</v>
      </c>
      <c r="K10847" t="s">
        <v>1632</v>
      </c>
      <c r="M10847" t="s">
        <v>1629</v>
      </c>
      <c r="N10847">
        <v>38.25</v>
      </c>
      <c r="O10847" s="49">
        <v>45657</v>
      </c>
      <c r="P10847" s="50">
        <v>195.66900000000001</v>
      </c>
    </row>
    <row r="10848" spans="4:16" x14ac:dyDescent="0.2">
      <c r="D10848">
        <v>100006514</v>
      </c>
      <c r="E10848" s="49">
        <v>44352</v>
      </c>
      <c r="F10848" t="s">
        <v>7335</v>
      </c>
      <c r="G10848" t="s">
        <v>1781</v>
      </c>
      <c r="H10848">
        <v>8</v>
      </c>
      <c r="I10848">
        <v>88.23</v>
      </c>
      <c r="J10848" s="50">
        <v>705.84</v>
      </c>
      <c r="K10848" t="s">
        <v>1632</v>
      </c>
      <c r="M10848" t="s">
        <v>1629</v>
      </c>
      <c r="N10848">
        <v>46.57</v>
      </c>
      <c r="O10848" s="49">
        <v>44354</v>
      </c>
      <c r="P10848" s="50">
        <v>317.62800000000004</v>
      </c>
    </row>
    <row r="10849" spans="4:16" x14ac:dyDescent="0.2">
      <c r="D10849">
        <v>100006515</v>
      </c>
      <c r="E10849" s="49">
        <v>45153</v>
      </c>
      <c r="F10849" t="s">
        <v>7336</v>
      </c>
      <c r="G10849" t="s">
        <v>1739</v>
      </c>
      <c r="H10849">
        <v>5</v>
      </c>
      <c r="I10849">
        <v>105.77</v>
      </c>
      <c r="J10849" s="50">
        <v>528.85</v>
      </c>
      <c r="K10849" t="s">
        <v>1618</v>
      </c>
      <c r="L10849" t="s">
        <v>1662</v>
      </c>
      <c r="M10849" t="s">
        <v>1624</v>
      </c>
      <c r="N10849">
        <v>55.82</v>
      </c>
      <c r="O10849" s="49">
        <v>45155</v>
      </c>
      <c r="P10849" s="50">
        <v>237.98250000000002</v>
      </c>
    </row>
    <row r="10850" spans="4:16" x14ac:dyDescent="0.2">
      <c r="D10850">
        <v>100006515</v>
      </c>
      <c r="E10850" s="49">
        <v>44636</v>
      </c>
      <c r="F10850" t="s">
        <v>7336</v>
      </c>
      <c r="G10850" t="s">
        <v>1789</v>
      </c>
      <c r="H10850">
        <v>8</v>
      </c>
      <c r="I10850">
        <v>82.49</v>
      </c>
      <c r="J10850" s="50">
        <v>659.92</v>
      </c>
      <c r="K10850" t="s">
        <v>1618</v>
      </c>
      <c r="L10850" t="s">
        <v>1662</v>
      </c>
      <c r="M10850" t="s">
        <v>1621</v>
      </c>
      <c r="N10850">
        <v>43.54</v>
      </c>
      <c r="O10850" s="49">
        <v>44640</v>
      </c>
      <c r="P10850" s="50">
        <v>296.964</v>
      </c>
    </row>
    <row r="10851" spans="4:16" x14ac:dyDescent="0.2">
      <c r="D10851">
        <v>100006517</v>
      </c>
      <c r="E10851" s="49">
        <v>44289</v>
      </c>
      <c r="F10851" t="s">
        <v>7337</v>
      </c>
      <c r="G10851" t="s">
        <v>1904</v>
      </c>
      <c r="H10851">
        <v>6</v>
      </c>
      <c r="I10851">
        <v>71.53</v>
      </c>
      <c r="J10851" s="50">
        <v>429.18</v>
      </c>
      <c r="K10851" t="s">
        <v>1632</v>
      </c>
      <c r="L10851" t="s">
        <v>7338</v>
      </c>
      <c r="M10851" t="s">
        <v>1619</v>
      </c>
      <c r="N10851">
        <v>37.75</v>
      </c>
      <c r="O10851" s="49">
        <v>44294</v>
      </c>
      <c r="P10851" s="50">
        <v>193.131</v>
      </c>
    </row>
    <row r="10852" spans="4:16" x14ac:dyDescent="0.2">
      <c r="D10852">
        <v>100006517</v>
      </c>
      <c r="E10852" s="49">
        <v>45019</v>
      </c>
      <c r="F10852" t="s">
        <v>7337</v>
      </c>
      <c r="G10852" t="s">
        <v>1783</v>
      </c>
      <c r="H10852">
        <v>8</v>
      </c>
      <c r="I10852">
        <v>60.83</v>
      </c>
      <c r="J10852" s="50">
        <v>486.64</v>
      </c>
      <c r="K10852" t="s">
        <v>1632</v>
      </c>
      <c r="L10852" t="s">
        <v>7338</v>
      </c>
      <c r="M10852" t="s">
        <v>1629</v>
      </c>
      <c r="N10852">
        <v>32.1</v>
      </c>
      <c r="O10852" s="49">
        <v>45023</v>
      </c>
      <c r="P10852" s="50">
        <v>218.988</v>
      </c>
    </row>
    <row r="10853" spans="4:16" x14ac:dyDescent="0.2">
      <c r="D10853">
        <v>100006519</v>
      </c>
      <c r="E10853" s="49">
        <v>44293</v>
      </c>
      <c r="F10853" t="s">
        <v>7339</v>
      </c>
      <c r="G10853" t="s">
        <v>1874</v>
      </c>
      <c r="H10853">
        <v>10</v>
      </c>
      <c r="I10853">
        <v>10.07</v>
      </c>
      <c r="J10853" s="50">
        <v>100.7</v>
      </c>
      <c r="K10853" t="s">
        <v>1618</v>
      </c>
      <c r="L10853" t="s">
        <v>7340</v>
      </c>
      <c r="M10853" t="s">
        <v>1629</v>
      </c>
      <c r="N10853">
        <v>5.31</v>
      </c>
      <c r="O10853" s="49">
        <v>44298</v>
      </c>
      <c r="P10853" s="50">
        <v>45.315000000000005</v>
      </c>
    </row>
    <row r="10854" spans="4:16" x14ac:dyDescent="0.2">
      <c r="D10854">
        <v>100006520</v>
      </c>
      <c r="E10854" s="49">
        <v>45453</v>
      </c>
      <c r="F10854" t="s">
        <v>7341</v>
      </c>
      <c r="G10854" t="s">
        <v>1953</v>
      </c>
      <c r="H10854">
        <v>5</v>
      </c>
      <c r="I10854">
        <v>117.96</v>
      </c>
      <c r="J10854" s="50">
        <v>589.79999999999995</v>
      </c>
      <c r="K10854" t="s">
        <v>1618</v>
      </c>
      <c r="M10854" t="s">
        <v>1624</v>
      </c>
      <c r="N10854">
        <v>62.26</v>
      </c>
      <c r="O10854" s="49">
        <v>45458</v>
      </c>
      <c r="P10854" s="50">
        <v>265.40999999999997</v>
      </c>
    </row>
    <row r="10855" spans="4:16" x14ac:dyDescent="0.2">
      <c r="D10855">
        <v>100006521</v>
      </c>
      <c r="E10855" s="49">
        <v>44465</v>
      </c>
      <c r="F10855" t="s">
        <v>7342</v>
      </c>
      <c r="G10855" t="s">
        <v>1833</v>
      </c>
      <c r="H10855">
        <v>3</v>
      </c>
      <c r="I10855">
        <v>113.18</v>
      </c>
      <c r="J10855" s="50">
        <v>339.54</v>
      </c>
      <c r="K10855" t="s">
        <v>1618</v>
      </c>
      <c r="M10855" t="s">
        <v>1619</v>
      </c>
      <c r="N10855">
        <v>59.73</v>
      </c>
      <c r="O10855" s="49">
        <v>44470</v>
      </c>
      <c r="P10855" s="50">
        <v>152.79300000000001</v>
      </c>
    </row>
    <row r="10856" spans="4:16" x14ac:dyDescent="0.2">
      <c r="D10856">
        <v>100006521</v>
      </c>
      <c r="E10856" s="49">
        <v>44799</v>
      </c>
      <c r="F10856" t="s">
        <v>7342</v>
      </c>
      <c r="G10856" t="s">
        <v>1637</v>
      </c>
      <c r="H10856">
        <v>7</v>
      </c>
      <c r="I10856">
        <v>23.46</v>
      </c>
      <c r="J10856" s="50">
        <v>164.22</v>
      </c>
      <c r="K10856" t="s">
        <v>1618</v>
      </c>
      <c r="M10856" t="s">
        <v>1619</v>
      </c>
      <c r="N10856">
        <v>12.38</v>
      </c>
      <c r="O10856" s="49">
        <v>44800</v>
      </c>
      <c r="P10856" s="50">
        <v>73.899000000000001</v>
      </c>
    </row>
    <row r="10857" spans="4:16" x14ac:dyDescent="0.2">
      <c r="D10857">
        <v>100006521</v>
      </c>
      <c r="E10857" s="49">
        <v>45242</v>
      </c>
      <c r="F10857" t="s">
        <v>7342</v>
      </c>
      <c r="G10857" t="s">
        <v>2269</v>
      </c>
      <c r="H10857">
        <v>2</v>
      </c>
      <c r="I10857">
        <v>115.48</v>
      </c>
      <c r="J10857" s="50">
        <v>230.96</v>
      </c>
      <c r="K10857" t="s">
        <v>1618</v>
      </c>
      <c r="M10857" t="s">
        <v>1624</v>
      </c>
      <c r="N10857">
        <v>60.95</v>
      </c>
      <c r="O10857" s="49">
        <v>45243</v>
      </c>
      <c r="P10857" s="50">
        <v>103.932</v>
      </c>
    </row>
    <row r="10858" spans="4:16" x14ac:dyDescent="0.2">
      <c r="D10858">
        <v>100006522</v>
      </c>
      <c r="E10858" s="49">
        <v>44839</v>
      </c>
      <c r="F10858" t="s">
        <v>7343</v>
      </c>
      <c r="G10858" t="s">
        <v>2255</v>
      </c>
      <c r="H10858">
        <v>2</v>
      </c>
      <c r="I10858">
        <v>37.409999999999997</v>
      </c>
      <c r="J10858" s="50">
        <v>74.819999999999993</v>
      </c>
      <c r="K10858" t="s">
        <v>1632</v>
      </c>
      <c r="M10858" t="s">
        <v>1627</v>
      </c>
      <c r="N10858">
        <v>19.739999999999998</v>
      </c>
      <c r="O10858" s="49">
        <v>44840</v>
      </c>
      <c r="P10858" s="50">
        <v>33.668999999999997</v>
      </c>
    </row>
    <row r="10859" spans="4:16" x14ac:dyDescent="0.2">
      <c r="D10859">
        <v>100006522</v>
      </c>
      <c r="E10859" s="49">
        <v>45612</v>
      </c>
      <c r="F10859" t="s">
        <v>7343</v>
      </c>
      <c r="G10859" t="s">
        <v>1910</v>
      </c>
      <c r="H10859">
        <v>2</v>
      </c>
      <c r="I10859">
        <v>46.93</v>
      </c>
      <c r="J10859" s="50">
        <v>93.86</v>
      </c>
      <c r="K10859" t="s">
        <v>1632</v>
      </c>
      <c r="M10859" t="s">
        <v>1629</v>
      </c>
      <c r="N10859">
        <v>24.77</v>
      </c>
      <c r="O10859" s="49">
        <v>45616</v>
      </c>
      <c r="P10859" s="50">
        <v>42.237000000000002</v>
      </c>
    </row>
    <row r="10860" spans="4:16" x14ac:dyDescent="0.2">
      <c r="D10860">
        <v>100006524</v>
      </c>
      <c r="E10860" s="49">
        <v>45650</v>
      </c>
      <c r="F10860" t="s">
        <v>5568</v>
      </c>
      <c r="G10860" t="s">
        <v>1853</v>
      </c>
      <c r="H10860">
        <v>3</v>
      </c>
      <c r="I10860">
        <v>72.989999999999995</v>
      </c>
      <c r="J10860" s="50">
        <v>218.97</v>
      </c>
      <c r="K10860" t="s">
        <v>1618</v>
      </c>
      <c r="M10860" t="s">
        <v>1621</v>
      </c>
      <c r="N10860">
        <v>38.520000000000003</v>
      </c>
      <c r="O10860" s="49">
        <v>45654</v>
      </c>
      <c r="P10860" s="50">
        <v>98.536500000000004</v>
      </c>
    </row>
    <row r="10861" spans="4:16" x14ac:dyDescent="0.2">
      <c r="D10861">
        <v>100006524</v>
      </c>
      <c r="E10861" s="49">
        <v>44765</v>
      </c>
      <c r="F10861" t="s">
        <v>5568</v>
      </c>
      <c r="G10861" t="s">
        <v>2346</v>
      </c>
      <c r="H10861">
        <v>5</v>
      </c>
      <c r="I10861">
        <v>18.87</v>
      </c>
      <c r="J10861" s="50">
        <v>94.350000000000009</v>
      </c>
      <c r="K10861" t="s">
        <v>1618</v>
      </c>
      <c r="M10861" t="s">
        <v>1627</v>
      </c>
      <c r="N10861">
        <v>9.9600000000000009</v>
      </c>
      <c r="O10861" s="49">
        <v>44769</v>
      </c>
      <c r="P10861" s="50">
        <v>42.457500000000003</v>
      </c>
    </row>
    <row r="10862" spans="4:16" x14ac:dyDescent="0.2">
      <c r="D10862">
        <v>100006524</v>
      </c>
      <c r="E10862" s="49">
        <v>45206</v>
      </c>
      <c r="F10862" t="s">
        <v>5568</v>
      </c>
      <c r="G10862" t="s">
        <v>1948</v>
      </c>
      <c r="H10862">
        <v>9</v>
      </c>
      <c r="I10862">
        <v>86.79</v>
      </c>
      <c r="J10862" s="50">
        <v>781.11</v>
      </c>
      <c r="K10862" t="s">
        <v>1618</v>
      </c>
      <c r="M10862" t="s">
        <v>1629</v>
      </c>
      <c r="N10862">
        <v>45.81</v>
      </c>
      <c r="O10862" s="49">
        <v>45209</v>
      </c>
      <c r="P10862" s="50">
        <v>351.49950000000001</v>
      </c>
    </row>
    <row r="10863" spans="4:16" x14ac:dyDescent="0.2">
      <c r="D10863">
        <v>100006524</v>
      </c>
      <c r="E10863" s="49">
        <v>44776</v>
      </c>
      <c r="F10863" t="s">
        <v>5568</v>
      </c>
      <c r="G10863" t="s">
        <v>1848</v>
      </c>
      <c r="H10863">
        <v>8</v>
      </c>
      <c r="I10863">
        <v>110.24</v>
      </c>
      <c r="J10863" s="50">
        <v>881.92</v>
      </c>
      <c r="K10863" t="s">
        <v>1618</v>
      </c>
      <c r="M10863" t="s">
        <v>1627</v>
      </c>
      <c r="N10863">
        <v>58.18</v>
      </c>
      <c r="O10863" s="49">
        <v>44780</v>
      </c>
      <c r="P10863" s="50">
        <v>396.86399999999998</v>
      </c>
    </row>
    <row r="10864" spans="4:16" x14ac:dyDescent="0.2">
      <c r="D10864">
        <v>100006524</v>
      </c>
      <c r="E10864" s="49">
        <v>45315</v>
      </c>
      <c r="F10864" t="s">
        <v>5568</v>
      </c>
      <c r="G10864" t="s">
        <v>1901</v>
      </c>
      <c r="H10864">
        <v>10</v>
      </c>
      <c r="I10864">
        <v>105.74</v>
      </c>
      <c r="J10864" s="50">
        <v>1057.4000000000001</v>
      </c>
      <c r="K10864" t="s">
        <v>1618</v>
      </c>
      <c r="M10864" t="s">
        <v>1624</v>
      </c>
      <c r="N10864">
        <v>55.81</v>
      </c>
      <c r="O10864" s="49">
        <v>45318</v>
      </c>
      <c r="P10864" s="50">
        <v>475.83000000000004</v>
      </c>
    </row>
    <row r="10865" spans="4:16" x14ac:dyDescent="0.2">
      <c r="D10865">
        <v>100006525</v>
      </c>
      <c r="E10865" s="49">
        <v>44600</v>
      </c>
      <c r="F10865" t="s">
        <v>7344</v>
      </c>
      <c r="G10865" t="s">
        <v>2766</v>
      </c>
      <c r="H10865">
        <v>5</v>
      </c>
      <c r="I10865">
        <v>49.32</v>
      </c>
      <c r="J10865" s="50">
        <v>246.6</v>
      </c>
      <c r="K10865" t="s">
        <v>1618</v>
      </c>
      <c r="M10865" t="s">
        <v>1629</v>
      </c>
      <c r="N10865">
        <v>26.03</v>
      </c>
      <c r="O10865" s="49">
        <v>44605</v>
      </c>
      <c r="P10865" s="50">
        <v>110.97</v>
      </c>
    </row>
    <row r="10866" spans="4:16" x14ac:dyDescent="0.2">
      <c r="D10866">
        <v>100006526</v>
      </c>
      <c r="E10866" s="49">
        <v>45254</v>
      </c>
      <c r="F10866" t="s">
        <v>7345</v>
      </c>
      <c r="G10866" t="s">
        <v>1848</v>
      </c>
      <c r="H10866">
        <v>5</v>
      </c>
      <c r="I10866">
        <v>38.81</v>
      </c>
      <c r="J10866" s="50">
        <v>194.05</v>
      </c>
      <c r="K10866" t="s">
        <v>1618</v>
      </c>
      <c r="M10866" t="s">
        <v>1621</v>
      </c>
      <c r="N10866">
        <v>20.48</v>
      </c>
      <c r="O10866" s="49">
        <v>45258</v>
      </c>
      <c r="P10866" s="50">
        <v>87.322500000000005</v>
      </c>
    </row>
    <row r="10867" spans="4:16" x14ac:dyDescent="0.2">
      <c r="D10867">
        <v>100006526</v>
      </c>
      <c r="E10867" s="49">
        <v>45142</v>
      </c>
      <c r="F10867" t="s">
        <v>7345</v>
      </c>
      <c r="G10867" t="s">
        <v>1885</v>
      </c>
      <c r="H10867">
        <v>1</v>
      </c>
      <c r="I10867">
        <v>84.94</v>
      </c>
      <c r="J10867" s="50">
        <v>84.94</v>
      </c>
      <c r="K10867" t="s">
        <v>1618</v>
      </c>
      <c r="M10867" t="s">
        <v>1621</v>
      </c>
      <c r="N10867">
        <v>44.83</v>
      </c>
      <c r="O10867" s="49">
        <v>45146</v>
      </c>
      <c r="P10867" s="50">
        <v>38.222999999999999</v>
      </c>
    </row>
    <row r="10868" spans="4:16" x14ac:dyDescent="0.2">
      <c r="D10868">
        <v>100006526</v>
      </c>
      <c r="E10868" s="49">
        <v>45083</v>
      </c>
      <c r="F10868" t="s">
        <v>7345</v>
      </c>
      <c r="G10868" t="s">
        <v>1872</v>
      </c>
      <c r="H10868">
        <v>6</v>
      </c>
      <c r="I10868">
        <v>76.81</v>
      </c>
      <c r="J10868" s="50">
        <v>460.86</v>
      </c>
      <c r="K10868" t="s">
        <v>1618</v>
      </c>
      <c r="M10868" t="s">
        <v>1619</v>
      </c>
      <c r="N10868">
        <v>40.54</v>
      </c>
      <c r="O10868" s="49">
        <v>45084</v>
      </c>
      <c r="P10868" s="50">
        <v>207.387</v>
      </c>
    </row>
    <row r="10869" spans="4:16" x14ac:dyDescent="0.2">
      <c r="D10869">
        <v>100006527</v>
      </c>
      <c r="E10869" s="49">
        <v>44794</v>
      </c>
      <c r="F10869" t="s">
        <v>7346</v>
      </c>
      <c r="G10869" t="s">
        <v>2692</v>
      </c>
      <c r="H10869">
        <v>1</v>
      </c>
      <c r="I10869">
        <v>60.63</v>
      </c>
      <c r="J10869" s="50">
        <v>60.63</v>
      </c>
      <c r="K10869" t="s">
        <v>1618</v>
      </c>
      <c r="L10869" t="s">
        <v>7347</v>
      </c>
      <c r="M10869" t="s">
        <v>1624</v>
      </c>
      <c r="N10869">
        <v>32</v>
      </c>
      <c r="O10869" s="49">
        <v>44798</v>
      </c>
      <c r="P10869" s="50">
        <v>27.2835</v>
      </c>
    </row>
    <row r="10870" spans="4:16" x14ac:dyDescent="0.2">
      <c r="D10870">
        <v>100006527</v>
      </c>
      <c r="E10870" s="49">
        <v>45528</v>
      </c>
      <c r="F10870" t="s">
        <v>7346</v>
      </c>
      <c r="G10870" t="s">
        <v>1842</v>
      </c>
      <c r="H10870">
        <v>5</v>
      </c>
      <c r="I10870">
        <v>60.3</v>
      </c>
      <c r="J10870" s="50">
        <v>301.5</v>
      </c>
      <c r="K10870" t="s">
        <v>1618</v>
      </c>
      <c r="L10870" t="s">
        <v>7347</v>
      </c>
      <c r="M10870" t="s">
        <v>1624</v>
      </c>
      <c r="N10870">
        <v>31.82</v>
      </c>
      <c r="O10870" s="49">
        <v>45529</v>
      </c>
      <c r="P10870" s="50">
        <v>135.67500000000001</v>
      </c>
    </row>
    <row r="10871" spans="4:16" x14ac:dyDescent="0.2">
      <c r="D10871">
        <v>100006528</v>
      </c>
      <c r="E10871" s="49">
        <v>45119</v>
      </c>
      <c r="F10871" t="s">
        <v>7348</v>
      </c>
      <c r="G10871" t="s">
        <v>1760</v>
      </c>
      <c r="H10871">
        <v>7</v>
      </c>
      <c r="I10871">
        <v>42.01</v>
      </c>
      <c r="J10871" s="50">
        <v>294.07</v>
      </c>
      <c r="K10871" t="s">
        <v>1618</v>
      </c>
      <c r="M10871" t="s">
        <v>1629</v>
      </c>
      <c r="N10871">
        <v>22.17</v>
      </c>
      <c r="O10871" s="49">
        <v>45122</v>
      </c>
      <c r="P10871" s="50">
        <v>132.33150000000001</v>
      </c>
    </row>
    <row r="10872" spans="4:16" x14ac:dyDescent="0.2">
      <c r="D10872">
        <v>100006529</v>
      </c>
      <c r="E10872" s="49">
        <v>45206</v>
      </c>
      <c r="F10872" t="s">
        <v>7349</v>
      </c>
      <c r="G10872" t="s">
        <v>2261</v>
      </c>
      <c r="H10872">
        <v>1</v>
      </c>
      <c r="I10872">
        <v>39.11</v>
      </c>
      <c r="J10872" s="50">
        <v>39.11</v>
      </c>
      <c r="K10872" t="s">
        <v>1632</v>
      </c>
      <c r="M10872" t="s">
        <v>1627</v>
      </c>
      <c r="N10872">
        <v>20.64</v>
      </c>
      <c r="O10872" s="49">
        <v>45207</v>
      </c>
      <c r="P10872" s="50">
        <v>17.599499999999999</v>
      </c>
    </row>
    <row r="10873" spans="4:16" x14ac:dyDescent="0.2">
      <c r="D10873">
        <v>100006529</v>
      </c>
      <c r="E10873" s="49">
        <v>44391</v>
      </c>
      <c r="F10873" t="s">
        <v>7349</v>
      </c>
      <c r="G10873" t="s">
        <v>1768</v>
      </c>
      <c r="H10873">
        <v>6</v>
      </c>
      <c r="I10873">
        <v>119.74</v>
      </c>
      <c r="J10873" s="50">
        <v>718.43999999999994</v>
      </c>
      <c r="K10873" t="s">
        <v>1632</v>
      </c>
      <c r="M10873" t="s">
        <v>1624</v>
      </c>
      <c r="N10873">
        <v>63.2</v>
      </c>
      <c r="O10873" s="49">
        <v>44396</v>
      </c>
      <c r="P10873" s="50">
        <v>323.298</v>
      </c>
    </row>
    <row r="10874" spans="4:16" x14ac:dyDescent="0.2">
      <c r="D10874">
        <v>100006529</v>
      </c>
      <c r="E10874" s="49">
        <v>45614</v>
      </c>
      <c r="F10874" t="s">
        <v>7349</v>
      </c>
      <c r="G10874" t="s">
        <v>1980</v>
      </c>
      <c r="H10874">
        <v>2</v>
      </c>
      <c r="I10874">
        <v>79.38</v>
      </c>
      <c r="J10874" s="50">
        <v>158.76</v>
      </c>
      <c r="K10874" t="s">
        <v>1632</v>
      </c>
      <c r="M10874" t="s">
        <v>1627</v>
      </c>
      <c r="N10874">
        <v>41.89</v>
      </c>
      <c r="O10874" s="49">
        <v>45615</v>
      </c>
      <c r="P10874" s="50">
        <v>71.441999999999993</v>
      </c>
    </row>
    <row r="10875" spans="4:16" x14ac:dyDescent="0.2">
      <c r="D10875">
        <v>100006530</v>
      </c>
      <c r="E10875" s="49">
        <v>44414</v>
      </c>
      <c r="F10875" t="s">
        <v>7350</v>
      </c>
      <c r="G10875" t="s">
        <v>1702</v>
      </c>
      <c r="H10875">
        <v>1</v>
      </c>
      <c r="I10875">
        <v>22.76</v>
      </c>
      <c r="J10875" s="50">
        <v>22.76</v>
      </c>
      <c r="K10875" t="s">
        <v>1618</v>
      </c>
      <c r="M10875" t="s">
        <v>1619</v>
      </c>
      <c r="N10875">
        <v>12.01</v>
      </c>
      <c r="O10875" s="49">
        <v>44417</v>
      </c>
      <c r="P10875" s="50">
        <v>10.242000000000001</v>
      </c>
    </row>
    <row r="10876" spans="4:16" x14ac:dyDescent="0.2">
      <c r="D10876">
        <v>100006531</v>
      </c>
      <c r="E10876" s="49">
        <v>45159</v>
      </c>
      <c r="F10876" t="s">
        <v>2235</v>
      </c>
      <c r="G10876" t="s">
        <v>1646</v>
      </c>
      <c r="H10876">
        <v>10</v>
      </c>
      <c r="I10876">
        <v>94.65</v>
      </c>
      <c r="J10876" s="50">
        <v>946.5</v>
      </c>
      <c r="K10876" t="s">
        <v>1632</v>
      </c>
      <c r="M10876" t="s">
        <v>1621</v>
      </c>
      <c r="N10876">
        <v>49.95</v>
      </c>
      <c r="O10876" s="49">
        <v>45163</v>
      </c>
      <c r="P10876" s="50">
        <v>425.92500000000001</v>
      </c>
    </row>
    <row r="10877" spans="4:16" x14ac:dyDescent="0.2">
      <c r="D10877">
        <v>100006531</v>
      </c>
      <c r="E10877" s="49">
        <v>44972</v>
      </c>
      <c r="F10877" t="s">
        <v>2235</v>
      </c>
      <c r="G10877" t="s">
        <v>2766</v>
      </c>
      <c r="H10877">
        <v>8</v>
      </c>
      <c r="I10877">
        <v>77.849999999999994</v>
      </c>
      <c r="J10877" s="50">
        <v>622.79999999999995</v>
      </c>
      <c r="K10877" t="s">
        <v>1632</v>
      </c>
      <c r="M10877" t="s">
        <v>1629</v>
      </c>
      <c r="N10877">
        <v>41.09</v>
      </c>
      <c r="O10877" s="49">
        <v>44977</v>
      </c>
      <c r="P10877" s="50">
        <v>280.26</v>
      </c>
    </row>
    <row r="10878" spans="4:16" x14ac:dyDescent="0.2">
      <c r="D10878">
        <v>100006532</v>
      </c>
      <c r="E10878" s="49">
        <v>45532</v>
      </c>
      <c r="F10878" t="s">
        <v>7351</v>
      </c>
      <c r="G10878" t="s">
        <v>1677</v>
      </c>
      <c r="H10878">
        <v>8</v>
      </c>
      <c r="I10878">
        <v>43.48</v>
      </c>
      <c r="J10878" s="50">
        <v>347.84</v>
      </c>
      <c r="K10878" t="s">
        <v>1632</v>
      </c>
      <c r="L10878" t="s">
        <v>7352</v>
      </c>
      <c r="M10878" t="s">
        <v>1624</v>
      </c>
      <c r="N10878">
        <v>22.95</v>
      </c>
      <c r="O10878" s="49">
        <v>45535</v>
      </c>
      <c r="P10878" s="50">
        <v>156.52799999999999</v>
      </c>
    </row>
    <row r="10879" spans="4:16" x14ac:dyDescent="0.2">
      <c r="D10879">
        <v>100006533</v>
      </c>
      <c r="E10879" s="49">
        <v>44330</v>
      </c>
      <c r="F10879" t="s">
        <v>7353</v>
      </c>
      <c r="G10879" t="s">
        <v>2232</v>
      </c>
      <c r="H10879">
        <v>4</v>
      </c>
      <c r="I10879">
        <v>77.27</v>
      </c>
      <c r="J10879" s="50">
        <v>309.08</v>
      </c>
      <c r="K10879" t="s">
        <v>1618</v>
      </c>
      <c r="L10879" t="s">
        <v>7354</v>
      </c>
      <c r="M10879" t="s">
        <v>1624</v>
      </c>
      <c r="N10879">
        <v>40.78</v>
      </c>
      <c r="O10879" s="49">
        <v>44332</v>
      </c>
      <c r="P10879" s="50">
        <v>139.08599999999998</v>
      </c>
    </row>
    <row r="10880" spans="4:16" x14ac:dyDescent="0.2">
      <c r="D10880">
        <v>100006534</v>
      </c>
      <c r="E10880" s="49">
        <v>44898</v>
      </c>
      <c r="F10880" t="s">
        <v>7355</v>
      </c>
      <c r="G10880" t="s">
        <v>2084</v>
      </c>
      <c r="H10880">
        <v>1</v>
      </c>
      <c r="I10880">
        <v>91.75</v>
      </c>
      <c r="J10880" s="50">
        <v>91.75</v>
      </c>
      <c r="K10880" t="s">
        <v>1618</v>
      </c>
      <c r="M10880" t="s">
        <v>1619</v>
      </c>
      <c r="N10880">
        <v>48.42</v>
      </c>
      <c r="O10880" s="49">
        <v>44899</v>
      </c>
      <c r="P10880" s="50">
        <v>41.287500000000001</v>
      </c>
    </row>
    <row r="10881" spans="4:16" x14ac:dyDescent="0.2">
      <c r="D10881">
        <v>100006534</v>
      </c>
      <c r="E10881" s="49">
        <v>45644</v>
      </c>
      <c r="F10881" t="s">
        <v>7355</v>
      </c>
      <c r="G10881" t="s">
        <v>1955</v>
      </c>
      <c r="H10881">
        <v>3</v>
      </c>
      <c r="I10881">
        <v>35.31</v>
      </c>
      <c r="J10881" s="50">
        <v>105.93</v>
      </c>
      <c r="K10881" t="s">
        <v>1618</v>
      </c>
      <c r="M10881" t="s">
        <v>1627</v>
      </c>
      <c r="N10881">
        <v>18.64</v>
      </c>
      <c r="O10881" s="49">
        <v>45646</v>
      </c>
      <c r="P10881" s="50">
        <v>47.668500000000002</v>
      </c>
    </row>
    <row r="10882" spans="4:16" x14ac:dyDescent="0.2">
      <c r="D10882">
        <v>100006534</v>
      </c>
      <c r="E10882" s="49">
        <v>44413</v>
      </c>
      <c r="F10882" t="s">
        <v>7355</v>
      </c>
      <c r="G10882" t="s">
        <v>1958</v>
      </c>
      <c r="H10882">
        <v>9</v>
      </c>
      <c r="I10882">
        <v>50.07</v>
      </c>
      <c r="J10882" s="50">
        <v>450.63</v>
      </c>
      <c r="K10882" t="s">
        <v>1618</v>
      </c>
      <c r="M10882" t="s">
        <v>1621</v>
      </c>
      <c r="N10882">
        <v>26.43</v>
      </c>
      <c r="O10882" s="49">
        <v>44416</v>
      </c>
      <c r="P10882" s="50">
        <v>202.7835</v>
      </c>
    </row>
    <row r="10883" spans="4:16" x14ac:dyDescent="0.2">
      <c r="D10883">
        <v>100006534</v>
      </c>
      <c r="E10883" s="49">
        <v>44975</v>
      </c>
      <c r="F10883" t="s">
        <v>7355</v>
      </c>
      <c r="G10883" t="s">
        <v>1731</v>
      </c>
      <c r="H10883">
        <v>9</v>
      </c>
      <c r="I10883">
        <v>24.52</v>
      </c>
      <c r="J10883" s="50">
        <v>220.68</v>
      </c>
      <c r="K10883" t="s">
        <v>1618</v>
      </c>
      <c r="M10883" t="s">
        <v>1619</v>
      </c>
      <c r="N10883">
        <v>12.94</v>
      </c>
      <c r="O10883" s="49">
        <v>44978</v>
      </c>
      <c r="P10883" s="50">
        <v>99.306000000000012</v>
      </c>
    </row>
    <row r="10884" spans="4:16" x14ac:dyDescent="0.2">
      <c r="D10884">
        <v>100006534</v>
      </c>
      <c r="E10884" s="49">
        <v>45099</v>
      </c>
      <c r="F10884" t="s">
        <v>7355</v>
      </c>
      <c r="G10884" t="s">
        <v>1652</v>
      </c>
      <c r="H10884">
        <v>10</v>
      </c>
      <c r="I10884">
        <v>10.72</v>
      </c>
      <c r="J10884" s="50">
        <v>107.2</v>
      </c>
      <c r="K10884" t="s">
        <v>1618</v>
      </c>
      <c r="M10884" t="s">
        <v>1629</v>
      </c>
      <c r="N10884">
        <v>5.66</v>
      </c>
      <c r="O10884" s="49">
        <v>45101</v>
      </c>
      <c r="P10884" s="50">
        <v>48.24</v>
      </c>
    </row>
    <row r="10885" spans="4:16" x14ac:dyDescent="0.2">
      <c r="D10885">
        <v>100006534</v>
      </c>
      <c r="E10885" s="49">
        <v>44533</v>
      </c>
      <c r="F10885" t="s">
        <v>7355</v>
      </c>
      <c r="G10885" t="s">
        <v>1738</v>
      </c>
      <c r="H10885">
        <v>8</v>
      </c>
      <c r="I10885">
        <v>18.3</v>
      </c>
      <c r="J10885" s="50">
        <v>146.4</v>
      </c>
      <c r="K10885" t="s">
        <v>1618</v>
      </c>
      <c r="M10885" t="s">
        <v>1619</v>
      </c>
      <c r="N10885">
        <v>9.66</v>
      </c>
      <c r="O10885" s="49">
        <v>44538</v>
      </c>
      <c r="P10885" s="50">
        <v>65.88000000000001</v>
      </c>
    </row>
    <row r="10886" spans="4:16" x14ac:dyDescent="0.2">
      <c r="D10886">
        <v>100006534</v>
      </c>
      <c r="E10886" s="49">
        <v>44590</v>
      </c>
      <c r="F10886" t="s">
        <v>7355</v>
      </c>
      <c r="G10886" t="s">
        <v>1671</v>
      </c>
      <c r="H10886">
        <v>4</v>
      </c>
      <c r="I10886">
        <v>87.47</v>
      </c>
      <c r="J10886" s="50">
        <v>349.88</v>
      </c>
      <c r="K10886" t="s">
        <v>1618</v>
      </c>
      <c r="M10886" t="s">
        <v>1624</v>
      </c>
      <c r="N10886">
        <v>46.16</v>
      </c>
      <c r="O10886" s="49">
        <v>44595</v>
      </c>
      <c r="P10886" s="50">
        <v>157.446</v>
      </c>
    </row>
    <row r="10887" spans="4:16" x14ac:dyDescent="0.2">
      <c r="D10887">
        <v>100006535</v>
      </c>
      <c r="E10887" s="49">
        <v>45451</v>
      </c>
      <c r="F10887" t="s">
        <v>7356</v>
      </c>
      <c r="G10887" t="s">
        <v>2480</v>
      </c>
      <c r="H10887">
        <v>6</v>
      </c>
      <c r="I10887">
        <v>110.11</v>
      </c>
      <c r="J10887" s="50">
        <v>660.66</v>
      </c>
      <c r="K10887" t="s">
        <v>1632</v>
      </c>
      <c r="M10887" t="s">
        <v>1624</v>
      </c>
      <c r="N10887">
        <v>58.11</v>
      </c>
      <c r="O10887" s="49">
        <v>45452</v>
      </c>
      <c r="P10887" s="50">
        <v>297.29699999999997</v>
      </c>
    </row>
    <row r="10888" spans="4:16" x14ac:dyDescent="0.2">
      <c r="D10888">
        <v>100006535</v>
      </c>
      <c r="E10888" s="49">
        <v>44996</v>
      </c>
      <c r="F10888" t="s">
        <v>7356</v>
      </c>
      <c r="G10888" t="s">
        <v>1973</v>
      </c>
      <c r="H10888">
        <v>6</v>
      </c>
      <c r="I10888">
        <v>86.38</v>
      </c>
      <c r="J10888" s="50">
        <v>518.28</v>
      </c>
      <c r="K10888" t="s">
        <v>1632</v>
      </c>
      <c r="M10888" t="s">
        <v>1621</v>
      </c>
      <c r="N10888">
        <v>45.59</v>
      </c>
      <c r="O10888" s="49">
        <v>44998</v>
      </c>
      <c r="P10888" s="50">
        <v>233.226</v>
      </c>
    </row>
    <row r="10889" spans="4:16" x14ac:dyDescent="0.2">
      <c r="D10889">
        <v>100006535</v>
      </c>
      <c r="E10889" s="49">
        <v>44819</v>
      </c>
      <c r="F10889" t="s">
        <v>7356</v>
      </c>
      <c r="G10889" t="s">
        <v>2192</v>
      </c>
      <c r="H10889">
        <v>5</v>
      </c>
      <c r="I10889">
        <v>106.02</v>
      </c>
      <c r="J10889" s="50">
        <v>530.1</v>
      </c>
      <c r="K10889" t="s">
        <v>1632</v>
      </c>
      <c r="M10889" t="s">
        <v>1619</v>
      </c>
      <c r="N10889">
        <v>55.95</v>
      </c>
      <c r="O10889" s="49">
        <v>44823</v>
      </c>
      <c r="P10889" s="50">
        <v>238.54500000000002</v>
      </c>
    </row>
    <row r="10890" spans="4:16" x14ac:dyDescent="0.2">
      <c r="D10890">
        <v>100006536</v>
      </c>
      <c r="E10890" s="49">
        <v>44970</v>
      </c>
      <c r="F10890" t="s">
        <v>7357</v>
      </c>
      <c r="G10890" t="s">
        <v>2762</v>
      </c>
      <c r="H10890">
        <v>3</v>
      </c>
      <c r="I10890">
        <v>79.819999999999993</v>
      </c>
      <c r="J10890" s="50">
        <v>239.46</v>
      </c>
      <c r="K10890" t="s">
        <v>1618</v>
      </c>
      <c r="M10890" t="s">
        <v>1627</v>
      </c>
      <c r="N10890">
        <v>42.13</v>
      </c>
      <c r="O10890" s="49">
        <v>44971</v>
      </c>
      <c r="P10890" s="50">
        <v>107.75700000000001</v>
      </c>
    </row>
    <row r="10891" spans="4:16" x14ac:dyDescent="0.2">
      <c r="D10891">
        <v>100006536</v>
      </c>
      <c r="E10891" s="49">
        <v>44384</v>
      </c>
      <c r="F10891" t="s">
        <v>7357</v>
      </c>
      <c r="G10891" t="s">
        <v>1639</v>
      </c>
      <c r="H10891">
        <v>3</v>
      </c>
      <c r="I10891">
        <v>21.97</v>
      </c>
      <c r="J10891" s="50">
        <v>65.91</v>
      </c>
      <c r="K10891" t="s">
        <v>1618</v>
      </c>
      <c r="M10891" t="s">
        <v>1627</v>
      </c>
      <c r="N10891">
        <v>11.6</v>
      </c>
      <c r="O10891" s="49">
        <v>44389</v>
      </c>
      <c r="P10891" s="50">
        <v>29.659499999999998</v>
      </c>
    </row>
    <row r="10892" spans="4:16" x14ac:dyDescent="0.2">
      <c r="D10892">
        <v>100006536</v>
      </c>
      <c r="E10892" s="49">
        <v>44743</v>
      </c>
      <c r="F10892" t="s">
        <v>7357</v>
      </c>
      <c r="G10892" t="s">
        <v>2182</v>
      </c>
      <c r="H10892">
        <v>6</v>
      </c>
      <c r="I10892">
        <v>70.09</v>
      </c>
      <c r="J10892" s="50">
        <v>420.54</v>
      </c>
      <c r="K10892" t="s">
        <v>1618</v>
      </c>
      <c r="M10892" t="s">
        <v>1621</v>
      </c>
      <c r="N10892">
        <v>36.99</v>
      </c>
      <c r="O10892" s="49">
        <v>44748</v>
      </c>
      <c r="P10892" s="50">
        <v>189.24300000000002</v>
      </c>
    </row>
    <row r="10893" spans="4:16" x14ac:dyDescent="0.2">
      <c r="D10893">
        <v>100006536</v>
      </c>
      <c r="E10893" s="49">
        <v>45563</v>
      </c>
      <c r="F10893" t="s">
        <v>7357</v>
      </c>
      <c r="G10893" t="s">
        <v>1719</v>
      </c>
      <c r="H10893">
        <v>9</v>
      </c>
      <c r="I10893">
        <v>36.24</v>
      </c>
      <c r="J10893" s="50">
        <v>326.16000000000003</v>
      </c>
      <c r="K10893" t="s">
        <v>1618</v>
      </c>
      <c r="M10893" t="s">
        <v>1621</v>
      </c>
      <c r="N10893">
        <v>19.13</v>
      </c>
      <c r="O10893" s="49">
        <v>45566</v>
      </c>
      <c r="P10893" s="50">
        <v>146.77200000000002</v>
      </c>
    </row>
    <row r="10894" spans="4:16" x14ac:dyDescent="0.2">
      <c r="D10894">
        <v>100006536</v>
      </c>
      <c r="E10894" s="49">
        <v>45489</v>
      </c>
      <c r="F10894" t="s">
        <v>7357</v>
      </c>
      <c r="G10894" t="s">
        <v>1719</v>
      </c>
      <c r="H10894">
        <v>6</v>
      </c>
      <c r="I10894">
        <v>87.71</v>
      </c>
      <c r="J10894" s="50">
        <v>526.26</v>
      </c>
      <c r="K10894" t="s">
        <v>1618</v>
      </c>
      <c r="M10894" t="s">
        <v>1621</v>
      </c>
      <c r="N10894">
        <v>46.29</v>
      </c>
      <c r="O10894" s="49">
        <v>45492</v>
      </c>
      <c r="P10894" s="50">
        <v>236.81700000000001</v>
      </c>
    </row>
    <row r="10895" spans="4:16" x14ac:dyDescent="0.2">
      <c r="D10895">
        <v>100006536</v>
      </c>
      <c r="E10895" s="49">
        <v>45346</v>
      </c>
      <c r="F10895" t="s">
        <v>7357</v>
      </c>
      <c r="G10895" t="s">
        <v>1626</v>
      </c>
      <c r="H10895">
        <v>10</v>
      </c>
      <c r="I10895">
        <v>102.61</v>
      </c>
      <c r="J10895" s="50">
        <v>1026.0999999999999</v>
      </c>
      <c r="K10895" t="s">
        <v>1618</v>
      </c>
      <c r="M10895" t="s">
        <v>1627</v>
      </c>
      <c r="N10895">
        <v>54.15</v>
      </c>
      <c r="O10895" s="49">
        <v>45347</v>
      </c>
      <c r="P10895" s="50">
        <v>461.74499999999995</v>
      </c>
    </row>
    <row r="10896" spans="4:16" x14ac:dyDescent="0.2">
      <c r="D10896">
        <v>100006536</v>
      </c>
      <c r="E10896" s="49">
        <v>44609</v>
      </c>
      <c r="F10896" t="s">
        <v>7357</v>
      </c>
      <c r="G10896" t="s">
        <v>1674</v>
      </c>
      <c r="H10896">
        <v>1</v>
      </c>
      <c r="I10896">
        <v>16.11</v>
      </c>
      <c r="J10896" s="50">
        <v>16.11</v>
      </c>
      <c r="K10896" t="s">
        <v>1618</v>
      </c>
      <c r="M10896" t="s">
        <v>1621</v>
      </c>
      <c r="N10896">
        <v>8.5</v>
      </c>
      <c r="O10896" s="49">
        <v>44612</v>
      </c>
      <c r="P10896" s="50">
        <v>7.2495000000000003</v>
      </c>
    </row>
    <row r="10897" spans="4:16" x14ac:dyDescent="0.2">
      <c r="D10897">
        <v>100006536</v>
      </c>
      <c r="E10897" s="49">
        <v>44295</v>
      </c>
      <c r="F10897" t="s">
        <v>7357</v>
      </c>
      <c r="G10897" t="s">
        <v>1744</v>
      </c>
      <c r="H10897">
        <v>4</v>
      </c>
      <c r="I10897">
        <v>78.45</v>
      </c>
      <c r="J10897" s="50">
        <v>313.8</v>
      </c>
      <c r="K10897" t="s">
        <v>1618</v>
      </c>
      <c r="M10897" t="s">
        <v>1619</v>
      </c>
      <c r="N10897">
        <v>41.4</v>
      </c>
      <c r="O10897" s="49">
        <v>44296</v>
      </c>
      <c r="P10897" s="50">
        <v>141.21</v>
      </c>
    </row>
    <row r="10898" spans="4:16" x14ac:dyDescent="0.2">
      <c r="D10898">
        <v>100006536</v>
      </c>
      <c r="E10898" s="49">
        <v>44683</v>
      </c>
      <c r="F10898" t="s">
        <v>7357</v>
      </c>
      <c r="G10898" t="s">
        <v>2301</v>
      </c>
      <c r="H10898">
        <v>9</v>
      </c>
      <c r="I10898">
        <v>28.56</v>
      </c>
      <c r="J10898" s="50">
        <v>257.04000000000002</v>
      </c>
      <c r="K10898" t="s">
        <v>1618</v>
      </c>
      <c r="M10898" t="s">
        <v>1621</v>
      </c>
      <c r="N10898">
        <v>15.07</v>
      </c>
      <c r="O10898" s="49">
        <v>44684</v>
      </c>
      <c r="P10898" s="50">
        <v>115.66800000000001</v>
      </c>
    </row>
    <row r="10899" spans="4:16" x14ac:dyDescent="0.2">
      <c r="D10899">
        <v>100006537</v>
      </c>
      <c r="E10899" s="49">
        <v>44576</v>
      </c>
      <c r="F10899" t="s">
        <v>7358</v>
      </c>
      <c r="G10899" t="s">
        <v>1945</v>
      </c>
      <c r="H10899">
        <v>2</v>
      </c>
      <c r="I10899">
        <v>74.31</v>
      </c>
      <c r="J10899" s="50">
        <v>148.62</v>
      </c>
      <c r="K10899" t="s">
        <v>1618</v>
      </c>
      <c r="M10899" t="s">
        <v>1619</v>
      </c>
      <c r="N10899">
        <v>39.22</v>
      </c>
      <c r="O10899" s="49">
        <v>44578</v>
      </c>
      <c r="P10899" s="50">
        <v>66.879000000000005</v>
      </c>
    </row>
    <row r="10900" spans="4:16" x14ac:dyDescent="0.2">
      <c r="D10900">
        <v>100006537</v>
      </c>
      <c r="E10900" s="49">
        <v>44330</v>
      </c>
      <c r="F10900" t="s">
        <v>7358</v>
      </c>
      <c r="G10900" t="s">
        <v>1799</v>
      </c>
      <c r="H10900">
        <v>4</v>
      </c>
      <c r="I10900">
        <v>117.98</v>
      </c>
      <c r="J10900" s="50">
        <v>471.92</v>
      </c>
      <c r="K10900" t="s">
        <v>1618</v>
      </c>
      <c r="M10900" t="s">
        <v>1619</v>
      </c>
      <c r="N10900">
        <v>62.27</v>
      </c>
      <c r="O10900" s="49">
        <v>44331</v>
      </c>
      <c r="P10900" s="50">
        <v>212.364</v>
      </c>
    </row>
    <row r="10901" spans="4:16" x14ac:dyDescent="0.2">
      <c r="D10901">
        <v>100006537</v>
      </c>
      <c r="E10901" s="49">
        <v>44300</v>
      </c>
      <c r="F10901" t="s">
        <v>7358</v>
      </c>
      <c r="G10901" t="s">
        <v>1830</v>
      </c>
      <c r="H10901">
        <v>3</v>
      </c>
      <c r="I10901">
        <v>19.98</v>
      </c>
      <c r="J10901" s="50">
        <v>59.94</v>
      </c>
      <c r="K10901" t="s">
        <v>1618</v>
      </c>
      <c r="M10901" t="s">
        <v>1621</v>
      </c>
      <c r="N10901">
        <v>10.54</v>
      </c>
      <c r="O10901" s="49">
        <v>44301</v>
      </c>
      <c r="P10901" s="50">
        <v>26.972999999999999</v>
      </c>
    </row>
    <row r="10902" spans="4:16" x14ac:dyDescent="0.2">
      <c r="D10902">
        <v>100006538</v>
      </c>
      <c r="E10902" s="49">
        <v>44609</v>
      </c>
      <c r="F10902" t="s">
        <v>7359</v>
      </c>
      <c r="G10902" t="s">
        <v>1691</v>
      </c>
      <c r="H10902">
        <v>9</v>
      </c>
      <c r="I10902">
        <v>22.29</v>
      </c>
      <c r="J10902" s="50">
        <v>200.61</v>
      </c>
      <c r="K10902" t="s">
        <v>1632</v>
      </c>
      <c r="M10902" t="s">
        <v>1621</v>
      </c>
      <c r="N10902">
        <v>11.76</v>
      </c>
      <c r="O10902" s="49">
        <v>44612</v>
      </c>
      <c r="P10902" s="50">
        <v>90.274500000000003</v>
      </c>
    </row>
    <row r="10903" spans="4:16" x14ac:dyDescent="0.2">
      <c r="D10903">
        <v>100006538</v>
      </c>
      <c r="E10903" s="49">
        <v>44485</v>
      </c>
      <c r="F10903" t="s">
        <v>7359</v>
      </c>
      <c r="G10903" t="s">
        <v>2337</v>
      </c>
      <c r="H10903">
        <v>10</v>
      </c>
      <c r="I10903">
        <v>18.39</v>
      </c>
      <c r="J10903" s="50">
        <v>183.9</v>
      </c>
      <c r="K10903" t="s">
        <v>1632</v>
      </c>
      <c r="M10903" t="s">
        <v>1619</v>
      </c>
      <c r="N10903">
        <v>9.7100000000000009</v>
      </c>
      <c r="O10903" s="49">
        <v>44489</v>
      </c>
      <c r="P10903" s="50">
        <v>82.75500000000001</v>
      </c>
    </row>
    <row r="10904" spans="4:16" x14ac:dyDescent="0.2">
      <c r="D10904">
        <v>100006539</v>
      </c>
      <c r="E10904" s="49">
        <v>44487</v>
      </c>
      <c r="F10904" t="s">
        <v>7360</v>
      </c>
      <c r="G10904" t="s">
        <v>1941</v>
      </c>
      <c r="H10904">
        <v>1</v>
      </c>
      <c r="I10904">
        <v>61.21</v>
      </c>
      <c r="J10904" s="50">
        <v>61.21</v>
      </c>
      <c r="K10904" t="s">
        <v>1632</v>
      </c>
      <c r="M10904" t="s">
        <v>1619</v>
      </c>
      <c r="N10904">
        <v>32.31</v>
      </c>
      <c r="O10904" s="49">
        <v>44492</v>
      </c>
      <c r="P10904" s="50">
        <v>27.544499999999999</v>
      </c>
    </row>
    <row r="10905" spans="4:16" x14ac:dyDescent="0.2">
      <c r="D10905">
        <v>100006539</v>
      </c>
      <c r="E10905" s="49">
        <v>45515</v>
      </c>
      <c r="F10905" t="s">
        <v>7360</v>
      </c>
      <c r="G10905" t="s">
        <v>2023</v>
      </c>
      <c r="H10905">
        <v>1</v>
      </c>
      <c r="I10905">
        <v>28.18</v>
      </c>
      <c r="J10905" s="50">
        <v>28.18</v>
      </c>
      <c r="K10905" t="s">
        <v>1632</v>
      </c>
      <c r="M10905" t="s">
        <v>1621</v>
      </c>
      <c r="N10905">
        <v>14.87</v>
      </c>
      <c r="O10905" s="49">
        <v>45520</v>
      </c>
      <c r="P10905" s="50">
        <v>12.681000000000001</v>
      </c>
    </row>
    <row r="10906" spans="4:16" x14ac:dyDescent="0.2">
      <c r="D10906">
        <v>100006539</v>
      </c>
      <c r="E10906" s="49">
        <v>45264</v>
      </c>
      <c r="F10906" t="s">
        <v>7360</v>
      </c>
      <c r="G10906" t="s">
        <v>1766</v>
      </c>
      <c r="H10906">
        <v>8</v>
      </c>
      <c r="I10906">
        <v>51.58</v>
      </c>
      <c r="J10906" s="50">
        <v>412.64</v>
      </c>
      <c r="K10906" t="s">
        <v>1632</v>
      </c>
      <c r="M10906" t="s">
        <v>1621</v>
      </c>
      <c r="N10906">
        <v>27.22</v>
      </c>
      <c r="O10906" s="49">
        <v>45269</v>
      </c>
      <c r="P10906" s="50">
        <v>185.68799999999999</v>
      </c>
    </row>
    <row r="10907" spans="4:16" x14ac:dyDescent="0.2">
      <c r="D10907">
        <v>100006539</v>
      </c>
      <c r="E10907" s="49">
        <v>45447</v>
      </c>
      <c r="F10907" t="s">
        <v>7360</v>
      </c>
      <c r="G10907" t="s">
        <v>2420</v>
      </c>
      <c r="H10907">
        <v>6</v>
      </c>
      <c r="I10907">
        <v>107.53</v>
      </c>
      <c r="J10907" s="50">
        <v>645.18000000000006</v>
      </c>
      <c r="K10907" t="s">
        <v>1632</v>
      </c>
      <c r="M10907" t="s">
        <v>1629</v>
      </c>
      <c r="N10907">
        <v>56.75</v>
      </c>
      <c r="O10907" s="49">
        <v>45449</v>
      </c>
      <c r="P10907" s="50">
        <v>290.33100000000002</v>
      </c>
    </row>
    <row r="10908" spans="4:16" x14ac:dyDescent="0.2">
      <c r="D10908">
        <v>100006540</v>
      </c>
      <c r="E10908" s="49">
        <v>45172</v>
      </c>
      <c r="F10908" t="s">
        <v>7361</v>
      </c>
      <c r="G10908" t="s">
        <v>1939</v>
      </c>
      <c r="H10908">
        <v>7</v>
      </c>
      <c r="I10908">
        <v>79.290000000000006</v>
      </c>
      <c r="J10908" s="50">
        <v>555.03000000000009</v>
      </c>
      <c r="K10908" t="s">
        <v>1632</v>
      </c>
      <c r="L10908" t="s">
        <v>6358</v>
      </c>
      <c r="M10908" t="s">
        <v>1621</v>
      </c>
      <c r="N10908">
        <v>41.85</v>
      </c>
      <c r="O10908" s="49">
        <v>45176</v>
      </c>
      <c r="P10908" s="50">
        <v>249.76350000000005</v>
      </c>
    </row>
    <row r="10909" spans="4:16" x14ac:dyDescent="0.2">
      <c r="D10909">
        <v>100006540</v>
      </c>
      <c r="E10909" s="49">
        <v>44679</v>
      </c>
      <c r="F10909" t="s">
        <v>7361</v>
      </c>
      <c r="G10909" t="s">
        <v>1626</v>
      </c>
      <c r="H10909">
        <v>5</v>
      </c>
      <c r="I10909">
        <v>72.19</v>
      </c>
      <c r="J10909" s="50">
        <v>360.95</v>
      </c>
      <c r="K10909" t="s">
        <v>1632</v>
      </c>
      <c r="L10909" t="s">
        <v>6358</v>
      </c>
      <c r="M10909" t="s">
        <v>1621</v>
      </c>
      <c r="N10909">
        <v>38.1</v>
      </c>
      <c r="O10909" s="49">
        <v>44680</v>
      </c>
      <c r="P10909" s="50">
        <v>162.42750000000001</v>
      </c>
    </row>
    <row r="10910" spans="4:16" x14ac:dyDescent="0.2">
      <c r="D10910">
        <v>100006541</v>
      </c>
      <c r="E10910" s="49">
        <v>45184</v>
      </c>
      <c r="F10910" t="s">
        <v>7362</v>
      </c>
      <c r="G10910" t="s">
        <v>1749</v>
      </c>
      <c r="H10910">
        <v>5</v>
      </c>
      <c r="I10910">
        <v>21.2</v>
      </c>
      <c r="J10910" s="50">
        <v>106</v>
      </c>
      <c r="K10910" t="s">
        <v>1632</v>
      </c>
      <c r="M10910" t="s">
        <v>1627</v>
      </c>
      <c r="N10910">
        <v>11.19</v>
      </c>
      <c r="O10910" s="49">
        <v>45186</v>
      </c>
      <c r="P10910" s="50">
        <v>47.7</v>
      </c>
    </row>
    <row r="10911" spans="4:16" x14ac:dyDescent="0.2">
      <c r="D10911">
        <v>100006541</v>
      </c>
      <c r="E10911" s="49">
        <v>44325</v>
      </c>
      <c r="F10911" t="s">
        <v>7362</v>
      </c>
      <c r="G10911" t="s">
        <v>2348</v>
      </c>
      <c r="H10911">
        <v>8</v>
      </c>
      <c r="I10911">
        <v>76.5</v>
      </c>
      <c r="J10911" s="50">
        <v>612</v>
      </c>
      <c r="K10911" t="s">
        <v>1632</v>
      </c>
      <c r="M10911" t="s">
        <v>1619</v>
      </c>
      <c r="N10911">
        <v>40.369999999999997</v>
      </c>
      <c r="O10911" s="49">
        <v>44329</v>
      </c>
      <c r="P10911" s="50">
        <v>275.40000000000003</v>
      </c>
    </row>
    <row r="10912" spans="4:16" x14ac:dyDescent="0.2">
      <c r="D10912">
        <v>100006542</v>
      </c>
      <c r="E10912" s="49">
        <v>44659</v>
      </c>
      <c r="F10912" t="s">
        <v>7363</v>
      </c>
      <c r="G10912" t="s">
        <v>1939</v>
      </c>
      <c r="H10912">
        <v>9</v>
      </c>
      <c r="I10912">
        <v>44.97</v>
      </c>
      <c r="J10912" s="50">
        <v>404.73</v>
      </c>
      <c r="K10912" t="s">
        <v>1632</v>
      </c>
      <c r="M10912" t="s">
        <v>1621</v>
      </c>
      <c r="N10912">
        <v>23.73</v>
      </c>
      <c r="O10912" s="49">
        <v>44660</v>
      </c>
      <c r="P10912" s="50">
        <v>182.1285</v>
      </c>
    </row>
    <row r="10913" spans="4:16" x14ac:dyDescent="0.2">
      <c r="D10913">
        <v>100006542</v>
      </c>
      <c r="E10913" s="49">
        <v>44822</v>
      </c>
      <c r="F10913" t="s">
        <v>7363</v>
      </c>
      <c r="G10913" t="s">
        <v>1655</v>
      </c>
      <c r="H10913">
        <v>8</v>
      </c>
      <c r="I10913">
        <v>15.83</v>
      </c>
      <c r="J10913" s="50">
        <v>126.64</v>
      </c>
      <c r="K10913" t="s">
        <v>1632</v>
      </c>
      <c r="M10913" t="s">
        <v>1627</v>
      </c>
      <c r="N10913">
        <v>8.35</v>
      </c>
      <c r="O10913" s="49">
        <v>44826</v>
      </c>
      <c r="P10913" s="50">
        <v>56.988</v>
      </c>
    </row>
    <row r="10914" spans="4:16" x14ac:dyDescent="0.2">
      <c r="D10914">
        <v>100006542</v>
      </c>
      <c r="E10914" s="49">
        <v>44285</v>
      </c>
      <c r="F10914" t="s">
        <v>7363</v>
      </c>
      <c r="G10914" t="s">
        <v>2145</v>
      </c>
      <c r="H10914">
        <v>8</v>
      </c>
      <c r="I10914">
        <v>90.94</v>
      </c>
      <c r="J10914" s="50">
        <v>727.52</v>
      </c>
      <c r="K10914" t="s">
        <v>1632</v>
      </c>
      <c r="M10914" t="s">
        <v>1629</v>
      </c>
      <c r="N10914">
        <v>48</v>
      </c>
      <c r="O10914" s="49">
        <v>44287</v>
      </c>
      <c r="P10914" s="50">
        <v>327.38400000000001</v>
      </c>
    </row>
    <row r="10915" spans="4:16" x14ac:dyDescent="0.2">
      <c r="D10915">
        <v>100006542</v>
      </c>
      <c r="E10915" s="49">
        <v>44684</v>
      </c>
      <c r="F10915" t="s">
        <v>7363</v>
      </c>
      <c r="G10915" t="s">
        <v>2707</v>
      </c>
      <c r="H10915">
        <v>4</v>
      </c>
      <c r="I10915">
        <v>86.23</v>
      </c>
      <c r="J10915" s="50">
        <v>344.92</v>
      </c>
      <c r="K10915" t="s">
        <v>1632</v>
      </c>
      <c r="M10915" t="s">
        <v>1619</v>
      </c>
      <c r="N10915">
        <v>45.51</v>
      </c>
      <c r="O10915" s="49">
        <v>44685</v>
      </c>
      <c r="P10915" s="50">
        <v>155.214</v>
      </c>
    </row>
    <row r="10916" spans="4:16" x14ac:dyDescent="0.2">
      <c r="D10916">
        <v>100006542</v>
      </c>
      <c r="E10916" s="49">
        <v>44545</v>
      </c>
      <c r="F10916" t="s">
        <v>7363</v>
      </c>
      <c r="G10916" t="s">
        <v>1669</v>
      </c>
      <c r="H10916">
        <v>2</v>
      </c>
      <c r="I10916">
        <v>107.36</v>
      </c>
      <c r="J10916" s="50">
        <v>214.72</v>
      </c>
      <c r="K10916" t="s">
        <v>1632</v>
      </c>
      <c r="M10916" t="s">
        <v>1624</v>
      </c>
      <c r="N10916">
        <v>56.66</v>
      </c>
      <c r="O10916" s="49">
        <v>44550</v>
      </c>
      <c r="P10916" s="50">
        <v>96.623999999999995</v>
      </c>
    </row>
    <row r="10917" spans="4:16" x14ac:dyDescent="0.2">
      <c r="D10917">
        <v>100006543</v>
      </c>
      <c r="E10917" s="49">
        <v>44252</v>
      </c>
      <c r="F10917" t="s">
        <v>7364</v>
      </c>
      <c r="G10917" t="s">
        <v>1767</v>
      </c>
      <c r="H10917">
        <v>1</v>
      </c>
      <c r="I10917">
        <v>78.44</v>
      </c>
      <c r="J10917" s="50">
        <v>78.44</v>
      </c>
      <c r="K10917" t="s">
        <v>1618</v>
      </c>
      <c r="L10917" t="s">
        <v>5948</v>
      </c>
      <c r="M10917" t="s">
        <v>1624</v>
      </c>
      <c r="N10917">
        <v>41.4</v>
      </c>
      <c r="O10917" s="49">
        <v>44255</v>
      </c>
      <c r="P10917" s="50">
        <v>35.298000000000002</v>
      </c>
    </row>
    <row r="10918" spans="4:16" x14ac:dyDescent="0.2">
      <c r="D10918">
        <v>100006543</v>
      </c>
      <c r="E10918" s="49">
        <v>44663</v>
      </c>
      <c r="F10918" t="s">
        <v>7364</v>
      </c>
      <c r="G10918" t="s">
        <v>1846</v>
      </c>
      <c r="H10918">
        <v>5</v>
      </c>
      <c r="I10918">
        <v>102.25</v>
      </c>
      <c r="J10918" s="50">
        <v>511.25</v>
      </c>
      <c r="K10918" t="s">
        <v>1618</v>
      </c>
      <c r="L10918" t="s">
        <v>5948</v>
      </c>
      <c r="M10918" t="s">
        <v>1627</v>
      </c>
      <c r="N10918">
        <v>53.96</v>
      </c>
      <c r="O10918" s="49">
        <v>44666</v>
      </c>
      <c r="P10918" s="50">
        <v>230.0625</v>
      </c>
    </row>
    <row r="10919" spans="4:16" x14ac:dyDescent="0.2">
      <c r="D10919">
        <v>100006546</v>
      </c>
      <c r="E10919" s="49">
        <v>44520</v>
      </c>
      <c r="F10919" t="s">
        <v>7365</v>
      </c>
      <c r="G10919" t="s">
        <v>1645</v>
      </c>
      <c r="H10919">
        <v>6</v>
      </c>
      <c r="I10919">
        <v>94.56</v>
      </c>
      <c r="J10919" s="50">
        <v>567.36</v>
      </c>
      <c r="K10919" t="s">
        <v>1618</v>
      </c>
      <c r="M10919" t="s">
        <v>1621</v>
      </c>
      <c r="N10919">
        <v>49.91</v>
      </c>
      <c r="O10919" s="49">
        <v>44521</v>
      </c>
      <c r="P10919" s="50">
        <v>255.31200000000001</v>
      </c>
    </row>
    <row r="10920" spans="4:16" x14ac:dyDescent="0.2">
      <c r="D10920">
        <v>100006547</v>
      </c>
      <c r="E10920" s="49">
        <v>44861</v>
      </c>
      <c r="F10920" t="s">
        <v>7366</v>
      </c>
      <c r="G10920" t="s">
        <v>1626</v>
      </c>
      <c r="H10920">
        <v>5</v>
      </c>
      <c r="I10920">
        <v>31.2</v>
      </c>
      <c r="J10920" s="50">
        <v>156</v>
      </c>
      <c r="K10920" t="s">
        <v>1618</v>
      </c>
      <c r="M10920" t="s">
        <v>1619</v>
      </c>
      <c r="N10920">
        <v>16.47</v>
      </c>
      <c r="O10920" s="49">
        <v>44863</v>
      </c>
      <c r="P10920" s="50">
        <v>70.2</v>
      </c>
    </row>
    <row r="10921" spans="4:16" x14ac:dyDescent="0.2">
      <c r="D10921">
        <v>100006547</v>
      </c>
      <c r="E10921" s="49">
        <v>44795</v>
      </c>
      <c r="F10921" t="s">
        <v>7366</v>
      </c>
      <c r="G10921" t="s">
        <v>1943</v>
      </c>
      <c r="H10921">
        <v>4</v>
      </c>
      <c r="I10921">
        <v>62.28</v>
      </c>
      <c r="J10921" s="50">
        <v>249.12</v>
      </c>
      <c r="K10921" t="s">
        <v>1618</v>
      </c>
      <c r="M10921" t="s">
        <v>1629</v>
      </c>
      <c r="N10921">
        <v>32.869999999999997</v>
      </c>
      <c r="O10921" s="49">
        <v>44800</v>
      </c>
      <c r="P10921" s="50">
        <v>112.104</v>
      </c>
    </row>
    <row r="10922" spans="4:16" x14ac:dyDescent="0.2">
      <c r="D10922">
        <v>100006547</v>
      </c>
      <c r="E10922" s="49">
        <v>45496</v>
      </c>
      <c r="F10922" t="s">
        <v>7366</v>
      </c>
      <c r="G10922" t="s">
        <v>1827</v>
      </c>
      <c r="H10922">
        <v>7</v>
      </c>
      <c r="I10922">
        <v>110.67</v>
      </c>
      <c r="J10922" s="50">
        <v>774.69</v>
      </c>
      <c r="K10922" t="s">
        <v>1618</v>
      </c>
      <c r="M10922" t="s">
        <v>1627</v>
      </c>
      <c r="N10922">
        <v>58.41</v>
      </c>
      <c r="O10922" s="49">
        <v>45501</v>
      </c>
      <c r="P10922" s="50">
        <v>348.61050000000006</v>
      </c>
    </row>
    <row r="10923" spans="4:16" x14ac:dyDescent="0.2">
      <c r="D10923">
        <v>100006547</v>
      </c>
      <c r="E10923" s="49">
        <v>44409</v>
      </c>
      <c r="F10923" t="s">
        <v>7366</v>
      </c>
      <c r="G10923" t="s">
        <v>1649</v>
      </c>
      <c r="H10923">
        <v>1</v>
      </c>
      <c r="I10923">
        <v>88.85</v>
      </c>
      <c r="J10923" s="50">
        <v>88.85</v>
      </c>
      <c r="K10923" t="s">
        <v>1618</v>
      </c>
      <c r="M10923" t="s">
        <v>1619</v>
      </c>
      <c r="N10923">
        <v>46.89</v>
      </c>
      <c r="O10923" s="49">
        <v>44414</v>
      </c>
      <c r="P10923" s="50">
        <v>39.982500000000002</v>
      </c>
    </row>
    <row r="10924" spans="4:16" x14ac:dyDescent="0.2">
      <c r="D10924">
        <v>100006548</v>
      </c>
      <c r="E10924" s="49">
        <v>44437</v>
      </c>
      <c r="F10924" t="s">
        <v>3617</v>
      </c>
      <c r="G10924" t="s">
        <v>2323</v>
      </c>
      <c r="H10924">
        <v>10</v>
      </c>
      <c r="I10924">
        <v>69.349999999999994</v>
      </c>
      <c r="J10924" s="50">
        <v>693.5</v>
      </c>
      <c r="K10924" t="s">
        <v>1618</v>
      </c>
      <c r="M10924" t="s">
        <v>1627</v>
      </c>
      <c r="N10924">
        <v>36.6</v>
      </c>
      <c r="O10924" s="49">
        <v>44439</v>
      </c>
      <c r="P10924" s="50">
        <v>312.07499999999999</v>
      </c>
    </row>
    <row r="10925" spans="4:16" x14ac:dyDescent="0.2">
      <c r="D10925">
        <v>100006548</v>
      </c>
      <c r="E10925" s="49">
        <v>45350</v>
      </c>
      <c r="F10925" t="s">
        <v>3617</v>
      </c>
      <c r="G10925" t="s">
        <v>1831</v>
      </c>
      <c r="H10925">
        <v>4</v>
      </c>
      <c r="I10925">
        <v>110.07</v>
      </c>
      <c r="J10925" s="50">
        <v>440.28</v>
      </c>
      <c r="K10925" t="s">
        <v>1618</v>
      </c>
      <c r="M10925" t="s">
        <v>1624</v>
      </c>
      <c r="N10925">
        <v>58.09</v>
      </c>
      <c r="O10925" s="49">
        <v>45354</v>
      </c>
      <c r="P10925" s="50">
        <v>198.126</v>
      </c>
    </row>
    <row r="10926" spans="4:16" x14ac:dyDescent="0.2">
      <c r="D10926">
        <v>100006548</v>
      </c>
      <c r="E10926" s="49">
        <v>45645</v>
      </c>
      <c r="F10926" t="s">
        <v>3617</v>
      </c>
      <c r="G10926" t="s">
        <v>1945</v>
      </c>
      <c r="H10926">
        <v>3</v>
      </c>
      <c r="I10926">
        <v>116.79</v>
      </c>
      <c r="J10926" s="50">
        <v>350.37</v>
      </c>
      <c r="K10926" t="s">
        <v>1618</v>
      </c>
      <c r="M10926" t="s">
        <v>1627</v>
      </c>
      <c r="N10926">
        <v>61.64</v>
      </c>
      <c r="O10926" s="49">
        <v>45650</v>
      </c>
      <c r="P10926" s="50">
        <v>157.66650000000001</v>
      </c>
    </row>
    <row r="10927" spans="4:16" x14ac:dyDescent="0.2">
      <c r="D10927">
        <v>100006548</v>
      </c>
      <c r="E10927" s="49">
        <v>44745</v>
      </c>
      <c r="F10927" t="s">
        <v>3617</v>
      </c>
      <c r="G10927" t="s">
        <v>1655</v>
      </c>
      <c r="H10927">
        <v>3</v>
      </c>
      <c r="I10927">
        <v>86.93</v>
      </c>
      <c r="J10927" s="50">
        <v>260.79000000000002</v>
      </c>
      <c r="K10927" t="s">
        <v>1618</v>
      </c>
      <c r="M10927" t="s">
        <v>1624</v>
      </c>
      <c r="N10927">
        <v>45.88</v>
      </c>
      <c r="O10927" s="49">
        <v>44748</v>
      </c>
      <c r="P10927" s="50">
        <v>117.35550000000001</v>
      </c>
    </row>
    <row r="10928" spans="4:16" x14ac:dyDescent="0.2">
      <c r="D10928">
        <v>100006549</v>
      </c>
      <c r="E10928" s="49">
        <v>44253</v>
      </c>
      <c r="F10928" t="s">
        <v>7367</v>
      </c>
      <c r="G10928" t="s">
        <v>1675</v>
      </c>
      <c r="H10928">
        <v>7</v>
      </c>
      <c r="I10928">
        <v>24.57</v>
      </c>
      <c r="J10928" s="50">
        <v>171.99</v>
      </c>
      <c r="K10928" t="s">
        <v>1618</v>
      </c>
      <c r="L10928" t="s">
        <v>2244</v>
      </c>
      <c r="M10928" t="s">
        <v>1624</v>
      </c>
      <c r="N10928">
        <v>12.97</v>
      </c>
      <c r="O10928" s="49">
        <v>44257</v>
      </c>
      <c r="P10928" s="50">
        <v>77.395500000000013</v>
      </c>
    </row>
    <row r="10929" spans="4:16" x14ac:dyDescent="0.2">
      <c r="D10929">
        <v>100006549</v>
      </c>
      <c r="E10929" s="49">
        <v>44238</v>
      </c>
      <c r="F10929" t="s">
        <v>7367</v>
      </c>
      <c r="G10929" t="s">
        <v>2147</v>
      </c>
      <c r="H10929">
        <v>6</v>
      </c>
      <c r="I10929">
        <v>68.39</v>
      </c>
      <c r="J10929" s="50">
        <v>410.34</v>
      </c>
      <c r="K10929" t="s">
        <v>1618</v>
      </c>
      <c r="L10929" t="s">
        <v>2244</v>
      </c>
      <c r="M10929" t="s">
        <v>1624</v>
      </c>
      <c r="N10929">
        <v>36.090000000000003</v>
      </c>
      <c r="O10929" s="49">
        <v>44239</v>
      </c>
      <c r="P10929" s="50">
        <v>184.65299999999999</v>
      </c>
    </row>
    <row r="10930" spans="4:16" x14ac:dyDescent="0.2">
      <c r="D10930">
        <v>100006549</v>
      </c>
      <c r="E10930" s="49">
        <v>45486</v>
      </c>
      <c r="F10930" t="s">
        <v>7367</v>
      </c>
      <c r="G10930" t="s">
        <v>2306</v>
      </c>
      <c r="H10930">
        <v>8</v>
      </c>
      <c r="I10930">
        <v>76.48</v>
      </c>
      <c r="J10930" s="50">
        <v>611.84</v>
      </c>
      <c r="K10930" t="s">
        <v>1618</v>
      </c>
      <c r="L10930" t="s">
        <v>2244</v>
      </c>
      <c r="M10930" t="s">
        <v>1621</v>
      </c>
      <c r="N10930">
        <v>40.36</v>
      </c>
      <c r="O10930" s="49">
        <v>45491</v>
      </c>
      <c r="P10930" s="50">
        <v>275.32800000000003</v>
      </c>
    </row>
    <row r="10931" spans="4:16" x14ac:dyDescent="0.2">
      <c r="D10931">
        <v>100006549</v>
      </c>
      <c r="E10931" s="49">
        <v>44339</v>
      </c>
      <c r="F10931" t="s">
        <v>7367</v>
      </c>
      <c r="G10931" t="s">
        <v>1855</v>
      </c>
      <c r="H10931">
        <v>8</v>
      </c>
      <c r="I10931">
        <v>43.95</v>
      </c>
      <c r="J10931" s="50">
        <v>351.6</v>
      </c>
      <c r="K10931" t="s">
        <v>1618</v>
      </c>
      <c r="L10931" t="s">
        <v>2244</v>
      </c>
      <c r="M10931" t="s">
        <v>1619</v>
      </c>
      <c r="N10931">
        <v>23.2</v>
      </c>
      <c r="O10931" s="49">
        <v>44340</v>
      </c>
      <c r="P10931" s="50">
        <v>158.22000000000003</v>
      </c>
    </row>
    <row r="10932" spans="4:16" x14ac:dyDescent="0.2">
      <c r="D10932">
        <v>100006550</v>
      </c>
      <c r="E10932" s="49">
        <v>44494</v>
      </c>
      <c r="F10932" t="s">
        <v>7368</v>
      </c>
      <c r="G10932" t="s">
        <v>1671</v>
      </c>
      <c r="H10932">
        <v>5</v>
      </c>
      <c r="I10932">
        <v>81.8</v>
      </c>
      <c r="J10932" s="50">
        <v>409</v>
      </c>
      <c r="K10932" t="s">
        <v>1632</v>
      </c>
      <c r="L10932" t="s">
        <v>7369</v>
      </c>
      <c r="M10932" t="s">
        <v>1627</v>
      </c>
      <c r="N10932">
        <v>43.17</v>
      </c>
      <c r="O10932" s="49">
        <v>44497</v>
      </c>
      <c r="P10932" s="50">
        <v>184.05</v>
      </c>
    </row>
    <row r="10933" spans="4:16" x14ac:dyDescent="0.2">
      <c r="D10933">
        <v>100006550</v>
      </c>
      <c r="E10933" s="49">
        <v>44515</v>
      </c>
      <c r="F10933" t="s">
        <v>7368</v>
      </c>
      <c r="G10933" t="s">
        <v>1900</v>
      </c>
      <c r="H10933">
        <v>9</v>
      </c>
      <c r="I10933">
        <v>82.85</v>
      </c>
      <c r="J10933" s="50">
        <v>745.65</v>
      </c>
      <c r="K10933" t="s">
        <v>1632</v>
      </c>
      <c r="L10933" t="s">
        <v>7369</v>
      </c>
      <c r="M10933" t="s">
        <v>1621</v>
      </c>
      <c r="N10933">
        <v>43.73</v>
      </c>
      <c r="O10933" s="49">
        <v>44518</v>
      </c>
      <c r="P10933" s="50">
        <v>335.54250000000002</v>
      </c>
    </row>
    <row r="10934" spans="4:16" x14ac:dyDescent="0.2">
      <c r="D10934">
        <v>100006550</v>
      </c>
      <c r="E10934" s="49">
        <v>45587</v>
      </c>
      <c r="F10934" t="s">
        <v>7368</v>
      </c>
      <c r="G10934" t="s">
        <v>2574</v>
      </c>
      <c r="H10934">
        <v>3</v>
      </c>
      <c r="I10934">
        <v>56.43</v>
      </c>
      <c r="J10934" s="50">
        <v>169.29</v>
      </c>
      <c r="K10934" t="s">
        <v>1632</v>
      </c>
      <c r="L10934" t="s">
        <v>7369</v>
      </c>
      <c r="M10934" t="s">
        <v>1627</v>
      </c>
      <c r="N10934">
        <v>29.78</v>
      </c>
      <c r="O10934" s="49">
        <v>45589</v>
      </c>
      <c r="P10934" s="50">
        <v>76.180499999999995</v>
      </c>
    </row>
    <row r="10935" spans="4:16" x14ac:dyDescent="0.2">
      <c r="D10935">
        <v>100006551</v>
      </c>
      <c r="E10935" s="49">
        <v>45339</v>
      </c>
      <c r="F10935" t="s">
        <v>7370</v>
      </c>
      <c r="G10935" t="s">
        <v>1924</v>
      </c>
      <c r="H10935">
        <v>7</v>
      </c>
      <c r="I10935">
        <v>47.76</v>
      </c>
      <c r="J10935" s="50">
        <v>334.32</v>
      </c>
      <c r="K10935" t="s">
        <v>1618</v>
      </c>
      <c r="M10935" t="s">
        <v>1621</v>
      </c>
      <c r="N10935">
        <v>25.21</v>
      </c>
      <c r="O10935" s="49">
        <v>45342</v>
      </c>
      <c r="P10935" s="50">
        <v>150.44399999999999</v>
      </c>
    </row>
    <row r="10936" spans="4:16" x14ac:dyDescent="0.2">
      <c r="D10936">
        <v>100006551</v>
      </c>
      <c r="E10936" s="49">
        <v>44492</v>
      </c>
      <c r="F10936" t="s">
        <v>7370</v>
      </c>
      <c r="G10936" t="s">
        <v>2232</v>
      </c>
      <c r="H10936">
        <v>8</v>
      </c>
      <c r="I10936">
        <v>99.94</v>
      </c>
      <c r="J10936" s="50">
        <v>799.52</v>
      </c>
      <c r="K10936" t="s">
        <v>1618</v>
      </c>
      <c r="M10936" t="s">
        <v>1619</v>
      </c>
      <c r="N10936">
        <v>52.75</v>
      </c>
      <c r="O10936" s="49">
        <v>44494</v>
      </c>
      <c r="P10936" s="50">
        <v>359.78399999999999</v>
      </c>
    </row>
    <row r="10937" spans="4:16" x14ac:dyDescent="0.2">
      <c r="D10937">
        <v>100006553</v>
      </c>
      <c r="E10937" s="49">
        <v>45050</v>
      </c>
      <c r="F10937" t="s">
        <v>7371</v>
      </c>
      <c r="G10937" t="s">
        <v>2198</v>
      </c>
      <c r="H10937">
        <v>2</v>
      </c>
      <c r="I10937">
        <v>111.04</v>
      </c>
      <c r="J10937" s="50">
        <v>222.08</v>
      </c>
      <c r="K10937" t="s">
        <v>1618</v>
      </c>
      <c r="M10937" t="s">
        <v>1621</v>
      </c>
      <c r="N10937">
        <v>58.6</v>
      </c>
      <c r="O10937" s="49">
        <v>45052</v>
      </c>
      <c r="P10937" s="50">
        <v>99.936000000000007</v>
      </c>
    </row>
    <row r="10938" spans="4:16" x14ac:dyDescent="0.2">
      <c r="D10938">
        <v>100006554</v>
      </c>
      <c r="E10938" s="49">
        <v>45616</v>
      </c>
      <c r="F10938" t="s">
        <v>7372</v>
      </c>
      <c r="G10938" t="s">
        <v>2074</v>
      </c>
      <c r="H10938">
        <v>7</v>
      </c>
      <c r="I10938">
        <v>99.22</v>
      </c>
      <c r="J10938" s="50">
        <v>694.54</v>
      </c>
      <c r="K10938" t="s">
        <v>1618</v>
      </c>
      <c r="M10938" t="s">
        <v>1627</v>
      </c>
      <c r="N10938">
        <v>52.37</v>
      </c>
      <c r="O10938" s="49">
        <v>45617</v>
      </c>
      <c r="P10938" s="50">
        <v>312.54300000000001</v>
      </c>
    </row>
    <row r="10939" spans="4:16" x14ac:dyDescent="0.2">
      <c r="D10939">
        <v>100006554</v>
      </c>
      <c r="E10939" s="49">
        <v>45205</v>
      </c>
      <c r="F10939" t="s">
        <v>7372</v>
      </c>
      <c r="G10939" t="s">
        <v>1801</v>
      </c>
      <c r="H10939">
        <v>9</v>
      </c>
      <c r="I10939">
        <v>51</v>
      </c>
      <c r="J10939" s="50">
        <v>459</v>
      </c>
      <c r="K10939" t="s">
        <v>1618</v>
      </c>
      <c r="M10939" t="s">
        <v>1621</v>
      </c>
      <c r="N10939">
        <v>26.92</v>
      </c>
      <c r="O10939" s="49">
        <v>45209</v>
      </c>
      <c r="P10939" s="50">
        <v>206.55</v>
      </c>
    </row>
    <row r="10940" spans="4:16" x14ac:dyDescent="0.2">
      <c r="D10940">
        <v>100006554</v>
      </c>
      <c r="E10940" s="49">
        <v>44640</v>
      </c>
      <c r="F10940" t="s">
        <v>7372</v>
      </c>
      <c r="G10940" t="s">
        <v>1924</v>
      </c>
      <c r="H10940">
        <v>1</v>
      </c>
      <c r="I10940">
        <v>27.26</v>
      </c>
      <c r="J10940" s="50">
        <v>27.26</v>
      </c>
      <c r="K10940" t="s">
        <v>1618</v>
      </c>
      <c r="M10940" t="s">
        <v>1627</v>
      </c>
      <c r="N10940">
        <v>14.39</v>
      </c>
      <c r="O10940" s="49">
        <v>44644</v>
      </c>
      <c r="P10940" s="50">
        <v>12.267000000000001</v>
      </c>
    </row>
    <row r="10941" spans="4:16" x14ac:dyDescent="0.2">
      <c r="D10941">
        <v>100006554</v>
      </c>
      <c r="E10941" s="49">
        <v>45223</v>
      </c>
      <c r="F10941" t="s">
        <v>7372</v>
      </c>
      <c r="G10941" t="s">
        <v>2305</v>
      </c>
      <c r="H10941">
        <v>7</v>
      </c>
      <c r="I10941">
        <v>26.57</v>
      </c>
      <c r="J10941" s="50">
        <v>185.99</v>
      </c>
      <c r="K10941" t="s">
        <v>1618</v>
      </c>
      <c r="M10941" t="s">
        <v>1624</v>
      </c>
      <c r="N10941">
        <v>14.02</v>
      </c>
      <c r="O10941" s="49">
        <v>45228</v>
      </c>
      <c r="P10941" s="50">
        <v>83.69550000000001</v>
      </c>
    </row>
    <row r="10942" spans="4:16" x14ac:dyDescent="0.2">
      <c r="D10942">
        <v>100006555</v>
      </c>
      <c r="E10942" s="49">
        <v>45263</v>
      </c>
      <c r="F10942" t="s">
        <v>7373</v>
      </c>
      <c r="G10942" t="s">
        <v>1727</v>
      </c>
      <c r="H10942">
        <v>7</v>
      </c>
      <c r="I10942">
        <v>115.68</v>
      </c>
      <c r="J10942" s="50">
        <v>809.76</v>
      </c>
      <c r="K10942" t="s">
        <v>1618</v>
      </c>
      <c r="M10942" t="s">
        <v>1624</v>
      </c>
      <c r="N10942">
        <v>61.05</v>
      </c>
      <c r="O10942" s="49">
        <v>45267</v>
      </c>
      <c r="P10942" s="50">
        <v>364.392</v>
      </c>
    </row>
    <row r="10943" spans="4:16" x14ac:dyDescent="0.2">
      <c r="D10943">
        <v>100006555</v>
      </c>
      <c r="E10943" s="49">
        <v>45108</v>
      </c>
      <c r="F10943" t="s">
        <v>7373</v>
      </c>
      <c r="G10943" t="s">
        <v>1872</v>
      </c>
      <c r="H10943">
        <v>9</v>
      </c>
      <c r="I10943">
        <v>57.39</v>
      </c>
      <c r="J10943" s="50">
        <v>516.51</v>
      </c>
      <c r="K10943" t="s">
        <v>1618</v>
      </c>
      <c r="M10943" t="s">
        <v>1619</v>
      </c>
      <c r="N10943">
        <v>30.29</v>
      </c>
      <c r="O10943" s="49">
        <v>45111</v>
      </c>
      <c r="P10943" s="50">
        <v>232.42949999999999</v>
      </c>
    </row>
    <row r="10944" spans="4:16" x14ac:dyDescent="0.2">
      <c r="D10944">
        <v>100006556</v>
      </c>
      <c r="E10944" s="49">
        <v>45033</v>
      </c>
      <c r="F10944" t="s">
        <v>3215</v>
      </c>
      <c r="G10944" t="s">
        <v>1985</v>
      </c>
      <c r="H10944">
        <v>2</v>
      </c>
      <c r="I10944">
        <v>34.36</v>
      </c>
      <c r="J10944" s="50">
        <v>68.72</v>
      </c>
      <c r="K10944" t="s">
        <v>1632</v>
      </c>
      <c r="L10944" t="s">
        <v>7374</v>
      </c>
      <c r="M10944" t="s">
        <v>1621</v>
      </c>
      <c r="N10944">
        <v>18.13</v>
      </c>
      <c r="O10944" s="49">
        <v>45036</v>
      </c>
      <c r="P10944" s="50">
        <v>30.923999999999999</v>
      </c>
    </row>
    <row r="10945" spans="4:16" x14ac:dyDescent="0.2">
      <c r="D10945">
        <v>100006557</v>
      </c>
      <c r="E10945" s="49">
        <v>44358</v>
      </c>
      <c r="F10945" t="s">
        <v>7375</v>
      </c>
      <c r="G10945" t="s">
        <v>2269</v>
      </c>
      <c r="H10945">
        <v>1</v>
      </c>
      <c r="I10945">
        <v>24.45</v>
      </c>
      <c r="J10945" s="50">
        <v>24.45</v>
      </c>
      <c r="K10945" t="s">
        <v>1632</v>
      </c>
      <c r="L10945" t="s">
        <v>7347</v>
      </c>
      <c r="M10945" t="s">
        <v>1619</v>
      </c>
      <c r="N10945">
        <v>12.9</v>
      </c>
      <c r="O10945" s="49">
        <v>44363</v>
      </c>
      <c r="P10945" s="50">
        <v>11.0025</v>
      </c>
    </row>
    <row r="10946" spans="4:16" x14ac:dyDescent="0.2">
      <c r="D10946">
        <v>100006559</v>
      </c>
      <c r="E10946" s="49">
        <v>45380</v>
      </c>
      <c r="F10946" t="s">
        <v>7376</v>
      </c>
      <c r="G10946" t="s">
        <v>1947</v>
      </c>
      <c r="H10946">
        <v>8</v>
      </c>
      <c r="I10946">
        <v>114.72</v>
      </c>
      <c r="J10946" s="50">
        <v>917.76</v>
      </c>
      <c r="K10946" t="s">
        <v>1632</v>
      </c>
      <c r="M10946" t="s">
        <v>1629</v>
      </c>
      <c r="N10946">
        <v>60.55</v>
      </c>
      <c r="O10946" s="49">
        <v>45381</v>
      </c>
      <c r="P10946" s="50">
        <v>412.99200000000002</v>
      </c>
    </row>
    <row r="10947" spans="4:16" x14ac:dyDescent="0.2">
      <c r="D10947">
        <v>100006560</v>
      </c>
      <c r="E10947" s="49">
        <v>45514</v>
      </c>
      <c r="F10947" t="s">
        <v>7377</v>
      </c>
      <c r="G10947" t="s">
        <v>2150</v>
      </c>
      <c r="H10947">
        <v>9</v>
      </c>
      <c r="I10947">
        <v>18.079999999999998</v>
      </c>
      <c r="J10947" s="50">
        <v>162.72</v>
      </c>
      <c r="K10947" t="s">
        <v>1618</v>
      </c>
      <c r="M10947" t="s">
        <v>1627</v>
      </c>
      <c r="N10947">
        <v>9.5399999999999991</v>
      </c>
      <c r="O10947" s="49">
        <v>45518</v>
      </c>
      <c r="P10947" s="50">
        <v>73.224000000000004</v>
      </c>
    </row>
    <row r="10948" spans="4:16" x14ac:dyDescent="0.2">
      <c r="D10948">
        <v>100006566</v>
      </c>
      <c r="E10948" s="49">
        <v>45262</v>
      </c>
      <c r="F10948" t="s">
        <v>7378</v>
      </c>
      <c r="G10948" t="s">
        <v>1628</v>
      </c>
      <c r="H10948">
        <v>8</v>
      </c>
      <c r="I10948">
        <v>114.88</v>
      </c>
      <c r="J10948" s="50">
        <v>919.04</v>
      </c>
      <c r="K10948" t="s">
        <v>1618</v>
      </c>
      <c r="L10948" t="s">
        <v>7379</v>
      </c>
      <c r="M10948" t="s">
        <v>1621</v>
      </c>
      <c r="N10948">
        <v>60.63</v>
      </c>
      <c r="O10948" s="49">
        <v>45266</v>
      </c>
      <c r="P10948" s="50">
        <v>413.56799999999998</v>
      </c>
    </row>
    <row r="10949" spans="4:16" x14ac:dyDescent="0.2">
      <c r="D10949">
        <v>100006566</v>
      </c>
      <c r="E10949" s="49">
        <v>45129</v>
      </c>
      <c r="F10949" t="s">
        <v>7378</v>
      </c>
      <c r="G10949" t="s">
        <v>2431</v>
      </c>
      <c r="H10949">
        <v>9</v>
      </c>
      <c r="I10949">
        <v>16.36</v>
      </c>
      <c r="J10949" s="50">
        <v>147.24</v>
      </c>
      <c r="K10949" t="s">
        <v>1618</v>
      </c>
      <c r="L10949" t="s">
        <v>7379</v>
      </c>
      <c r="M10949" t="s">
        <v>1624</v>
      </c>
      <c r="N10949">
        <v>8.6300000000000008</v>
      </c>
      <c r="O10949" s="49">
        <v>45131</v>
      </c>
      <c r="P10949" s="50">
        <v>66.25800000000001</v>
      </c>
    </row>
    <row r="10950" spans="4:16" x14ac:dyDescent="0.2">
      <c r="D10950">
        <v>100006567</v>
      </c>
      <c r="E10950" s="49">
        <v>44591</v>
      </c>
      <c r="F10950" t="s">
        <v>7380</v>
      </c>
      <c r="G10950" t="s">
        <v>1987</v>
      </c>
      <c r="H10950">
        <v>7</v>
      </c>
      <c r="I10950">
        <v>47.61</v>
      </c>
      <c r="J10950" s="50">
        <v>333.27</v>
      </c>
      <c r="K10950" t="s">
        <v>1632</v>
      </c>
      <c r="M10950" t="s">
        <v>1629</v>
      </c>
      <c r="N10950">
        <v>25.13</v>
      </c>
      <c r="O10950" s="49">
        <v>44596</v>
      </c>
      <c r="P10950" s="50">
        <v>149.97149999999999</v>
      </c>
    </row>
    <row r="10951" spans="4:16" x14ac:dyDescent="0.2">
      <c r="D10951">
        <v>100006567</v>
      </c>
      <c r="E10951" s="49">
        <v>44543</v>
      </c>
      <c r="F10951" t="s">
        <v>7380</v>
      </c>
      <c r="G10951" t="s">
        <v>1739</v>
      </c>
      <c r="H10951">
        <v>2</v>
      </c>
      <c r="I10951">
        <v>100.75</v>
      </c>
      <c r="J10951" s="50">
        <v>201.5</v>
      </c>
      <c r="K10951" t="s">
        <v>1632</v>
      </c>
      <c r="M10951" t="s">
        <v>1621</v>
      </c>
      <c r="N10951">
        <v>53.17</v>
      </c>
      <c r="O10951" s="49">
        <v>44546</v>
      </c>
      <c r="P10951" s="50">
        <v>90.674999999999997</v>
      </c>
    </row>
    <row r="10952" spans="4:16" x14ac:dyDescent="0.2">
      <c r="D10952">
        <v>100006569</v>
      </c>
      <c r="E10952" s="49">
        <v>45351</v>
      </c>
      <c r="F10952" t="s">
        <v>7381</v>
      </c>
      <c r="G10952" t="s">
        <v>1808</v>
      </c>
      <c r="H10952">
        <v>5</v>
      </c>
      <c r="I10952">
        <v>114.48</v>
      </c>
      <c r="J10952" s="50">
        <v>572.4</v>
      </c>
      <c r="K10952" t="s">
        <v>1618</v>
      </c>
      <c r="M10952" t="s">
        <v>1629</v>
      </c>
      <c r="N10952">
        <v>60.42</v>
      </c>
      <c r="O10952" s="49">
        <v>45355</v>
      </c>
      <c r="P10952" s="50">
        <v>257.58</v>
      </c>
    </row>
    <row r="10953" spans="4:16" x14ac:dyDescent="0.2">
      <c r="D10953">
        <v>100006569</v>
      </c>
      <c r="E10953" s="49">
        <v>45644</v>
      </c>
      <c r="F10953" t="s">
        <v>7381</v>
      </c>
      <c r="G10953" t="s">
        <v>2302</v>
      </c>
      <c r="H10953">
        <v>2</v>
      </c>
      <c r="I10953">
        <v>94.73</v>
      </c>
      <c r="J10953" s="50">
        <v>189.46</v>
      </c>
      <c r="K10953" t="s">
        <v>1618</v>
      </c>
      <c r="M10953" t="s">
        <v>1629</v>
      </c>
      <c r="N10953">
        <v>50</v>
      </c>
      <c r="O10953" s="49">
        <v>45649</v>
      </c>
      <c r="P10953" s="50">
        <v>85.257000000000005</v>
      </c>
    </row>
    <row r="10954" spans="4:16" x14ac:dyDescent="0.2">
      <c r="D10954">
        <v>100006569</v>
      </c>
      <c r="E10954" s="49">
        <v>45275</v>
      </c>
      <c r="F10954" t="s">
        <v>7381</v>
      </c>
      <c r="G10954" t="s">
        <v>1904</v>
      </c>
      <c r="H10954">
        <v>10</v>
      </c>
      <c r="I10954">
        <v>55.74</v>
      </c>
      <c r="J10954" s="50">
        <v>557.4</v>
      </c>
      <c r="K10954" t="s">
        <v>1618</v>
      </c>
      <c r="M10954" t="s">
        <v>1621</v>
      </c>
      <c r="N10954">
        <v>29.42</v>
      </c>
      <c r="O10954" s="49">
        <v>45279</v>
      </c>
      <c r="P10954" s="50">
        <v>250.82999999999998</v>
      </c>
    </row>
    <row r="10955" spans="4:16" x14ac:dyDescent="0.2">
      <c r="D10955">
        <v>100006571</v>
      </c>
      <c r="E10955" s="49">
        <v>45029</v>
      </c>
      <c r="F10955" t="s">
        <v>2056</v>
      </c>
      <c r="G10955" t="s">
        <v>1943</v>
      </c>
      <c r="H10955">
        <v>3</v>
      </c>
      <c r="I10955">
        <v>73.94</v>
      </c>
      <c r="J10955" s="50">
        <v>221.82</v>
      </c>
      <c r="K10955" t="s">
        <v>1618</v>
      </c>
      <c r="M10955" t="s">
        <v>1627</v>
      </c>
      <c r="N10955">
        <v>39.020000000000003</v>
      </c>
      <c r="O10955" s="49">
        <v>45033</v>
      </c>
      <c r="P10955" s="50">
        <v>99.819000000000003</v>
      </c>
    </row>
    <row r="10956" spans="4:16" x14ac:dyDescent="0.2">
      <c r="D10956">
        <v>100006573</v>
      </c>
      <c r="E10956" s="49">
        <v>44548</v>
      </c>
      <c r="F10956" t="s">
        <v>7382</v>
      </c>
      <c r="G10956" t="s">
        <v>1846</v>
      </c>
      <c r="H10956">
        <v>5</v>
      </c>
      <c r="I10956">
        <v>101</v>
      </c>
      <c r="J10956" s="50">
        <v>505</v>
      </c>
      <c r="K10956" t="s">
        <v>1632</v>
      </c>
      <c r="M10956" t="s">
        <v>1621</v>
      </c>
      <c r="N10956">
        <v>53.31</v>
      </c>
      <c r="O10956" s="49">
        <v>44550</v>
      </c>
      <c r="P10956" s="50">
        <v>227.25</v>
      </c>
    </row>
    <row r="10957" spans="4:16" x14ac:dyDescent="0.2">
      <c r="D10957">
        <v>100006574</v>
      </c>
      <c r="E10957" s="49">
        <v>45169</v>
      </c>
      <c r="F10957" t="s">
        <v>7383</v>
      </c>
      <c r="G10957" t="s">
        <v>1693</v>
      </c>
      <c r="H10957">
        <v>10</v>
      </c>
      <c r="I10957">
        <v>38.619999999999997</v>
      </c>
      <c r="J10957" s="50">
        <v>386.2</v>
      </c>
      <c r="K10957" t="s">
        <v>1618</v>
      </c>
      <c r="M10957" t="s">
        <v>1621</v>
      </c>
      <c r="N10957">
        <v>20.38</v>
      </c>
      <c r="O10957" s="49">
        <v>45171</v>
      </c>
      <c r="P10957" s="50">
        <v>173.79</v>
      </c>
    </row>
    <row r="10958" spans="4:16" x14ac:dyDescent="0.2">
      <c r="D10958">
        <v>100006576</v>
      </c>
      <c r="E10958" s="49">
        <v>45602</v>
      </c>
      <c r="F10958" t="s">
        <v>5952</v>
      </c>
      <c r="G10958" t="s">
        <v>1823</v>
      </c>
      <c r="H10958">
        <v>6</v>
      </c>
      <c r="I10958">
        <v>32.81</v>
      </c>
      <c r="J10958" s="50">
        <v>196.86</v>
      </c>
      <c r="K10958" t="s">
        <v>1618</v>
      </c>
      <c r="M10958" t="s">
        <v>1629</v>
      </c>
      <c r="N10958">
        <v>17.32</v>
      </c>
      <c r="O10958" s="49">
        <v>45607</v>
      </c>
      <c r="P10958" s="50">
        <v>88.587000000000003</v>
      </c>
    </row>
    <row r="10959" spans="4:16" x14ac:dyDescent="0.2">
      <c r="D10959">
        <v>100006577</v>
      </c>
      <c r="E10959" s="49">
        <v>44251</v>
      </c>
      <c r="F10959" t="s">
        <v>7384</v>
      </c>
      <c r="G10959" t="s">
        <v>1718</v>
      </c>
      <c r="H10959">
        <v>1</v>
      </c>
      <c r="I10959">
        <v>78.47</v>
      </c>
      <c r="J10959" s="50">
        <v>78.47</v>
      </c>
      <c r="K10959" t="s">
        <v>1632</v>
      </c>
      <c r="M10959" t="s">
        <v>1619</v>
      </c>
      <c r="N10959">
        <v>41.41</v>
      </c>
      <c r="O10959" s="49">
        <v>44254</v>
      </c>
      <c r="P10959" s="50">
        <v>35.311500000000002</v>
      </c>
    </row>
    <row r="10960" spans="4:16" x14ac:dyDescent="0.2">
      <c r="D10960">
        <v>100006580</v>
      </c>
      <c r="E10960" s="49">
        <v>45571</v>
      </c>
      <c r="F10960" t="s">
        <v>7385</v>
      </c>
      <c r="G10960" t="s">
        <v>2706</v>
      </c>
      <c r="H10960">
        <v>2</v>
      </c>
      <c r="I10960">
        <v>38.14</v>
      </c>
      <c r="J10960" s="50">
        <v>76.28</v>
      </c>
      <c r="K10960" t="s">
        <v>1632</v>
      </c>
      <c r="L10960" t="s">
        <v>6855</v>
      </c>
      <c r="M10960" t="s">
        <v>1627</v>
      </c>
      <c r="N10960">
        <v>20.13</v>
      </c>
      <c r="O10960" s="49">
        <v>45576</v>
      </c>
      <c r="P10960" s="50">
        <v>34.326000000000001</v>
      </c>
    </row>
    <row r="10961" spans="4:16" x14ac:dyDescent="0.2">
      <c r="D10961">
        <v>100006580</v>
      </c>
      <c r="E10961" s="49">
        <v>45132</v>
      </c>
      <c r="F10961" t="s">
        <v>7385</v>
      </c>
      <c r="G10961" t="s">
        <v>2150</v>
      </c>
      <c r="H10961">
        <v>2</v>
      </c>
      <c r="I10961">
        <v>71.400000000000006</v>
      </c>
      <c r="J10961" s="50">
        <v>142.80000000000001</v>
      </c>
      <c r="K10961" t="s">
        <v>1632</v>
      </c>
      <c r="L10961" t="s">
        <v>6855</v>
      </c>
      <c r="M10961" t="s">
        <v>1621</v>
      </c>
      <c r="N10961">
        <v>37.68</v>
      </c>
      <c r="O10961" s="49">
        <v>45133</v>
      </c>
      <c r="P10961" s="50">
        <v>64.260000000000005</v>
      </c>
    </row>
    <row r="10962" spans="4:16" x14ac:dyDescent="0.2">
      <c r="D10962">
        <v>100006581</v>
      </c>
      <c r="E10962" s="49">
        <v>44944</v>
      </c>
      <c r="F10962" t="s">
        <v>7386</v>
      </c>
      <c r="G10962" t="s">
        <v>2078</v>
      </c>
      <c r="H10962">
        <v>8</v>
      </c>
      <c r="I10962">
        <v>70.83</v>
      </c>
      <c r="J10962" s="50">
        <v>566.64</v>
      </c>
      <c r="K10962" t="s">
        <v>1632</v>
      </c>
      <c r="M10962" t="s">
        <v>1624</v>
      </c>
      <c r="N10962">
        <v>37.380000000000003</v>
      </c>
      <c r="O10962" s="49">
        <v>44948</v>
      </c>
      <c r="P10962" s="50">
        <v>254.988</v>
      </c>
    </row>
    <row r="10963" spans="4:16" x14ac:dyDescent="0.2">
      <c r="D10963">
        <v>100006581</v>
      </c>
      <c r="E10963" s="49">
        <v>44858</v>
      </c>
      <c r="F10963" t="s">
        <v>7386</v>
      </c>
      <c r="G10963" t="s">
        <v>2291</v>
      </c>
      <c r="H10963">
        <v>4</v>
      </c>
      <c r="I10963">
        <v>15.45</v>
      </c>
      <c r="J10963" s="50">
        <v>61.8</v>
      </c>
      <c r="K10963" t="s">
        <v>1632</v>
      </c>
      <c r="M10963" t="s">
        <v>1621</v>
      </c>
      <c r="N10963">
        <v>8.15</v>
      </c>
      <c r="O10963" s="49">
        <v>44861</v>
      </c>
      <c r="P10963" s="50">
        <v>27.81</v>
      </c>
    </row>
    <row r="10964" spans="4:16" x14ac:dyDescent="0.2">
      <c r="D10964">
        <v>100006582</v>
      </c>
      <c r="E10964" s="49">
        <v>44906</v>
      </c>
      <c r="F10964" t="s">
        <v>7387</v>
      </c>
      <c r="G10964" t="s">
        <v>1794</v>
      </c>
      <c r="H10964">
        <v>5</v>
      </c>
      <c r="I10964">
        <v>19.89</v>
      </c>
      <c r="J10964" s="50">
        <v>99.45</v>
      </c>
      <c r="K10964" t="s">
        <v>1618</v>
      </c>
      <c r="L10964" t="s">
        <v>5742</v>
      </c>
      <c r="M10964" t="s">
        <v>1621</v>
      </c>
      <c r="N10964">
        <v>10.5</v>
      </c>
      <c r="O10964" s="49">
        <v>44909</v>
      </c>
      <c r="P10964" s="50">
        <v>44.752500000000005</v>
      </c>
    </row>
    <row r="10965" spans="4:16" x14ac:dyDescent="0.2">
      <c r="D10965">
        <v>100006583</v>
      </c>
      <c r="E10965" s="49">
        <v>45154</v>
      </c>
      <c r="F10965" t="s">
        <v>7388</v>
      </c>
      <c r="G10965" t="s">
        <v>1844</v>
      </c>
      <c r="H10965">
        <v>7</v>
      </c>
      <c r="I10965">
        <v>29.69</v>
      </c>
      <c r="J10965" s="50">
        <v>207.83</v>
      </c>
      <c r="K10965" t="s">
        <v>1632</v>
      </c>
      <c r="L10965" t="s">
        <v>7389</v>
      </c>
      <c r="M10965" t="s">
        <v>1627</v>
      </c>
      <c r="N10965">
        <v>15.67</v>
      </c>
      <c r="O10965" s="49">
        <v>45157</v>
      </c>
      <c r="P10965" s="50">
        <v>93.523500000000013</v>
      </c>
    </row>
    <row r="10966" spans="4:16" x14ac:dyDescent="0.2">
      <c r="D10966">
        <v>100006583</v>
      </c>
      <c r="E10966" s="49">
        <v>44255</v>
      </c>
      <c r="F10966" t="s">
        <v>7388</v>
      </c>
      <c r="G10966" t="s">
        <v>1812</v>
      </c>
      <c r="H10966">
        <v>5</v>
      </c>
      <c r="I10966">
        <v>115.27</v>
      </c>
      <c r="J10966" s="50">
        <v>576.35</v>
      </c>
      <c r="K10966" t="s">
        <v>1632</v>
      </c>
      <c r="L10966" t="s">
        <v>7389</v>
      </c>
      <c r="M10966" t="s">
        <v>1619</v>
      </c>
      <c r="N10966">
        <v>60.84</v>
      </c>
      <c r="O10966" s="49">
        <v>44260</v>
      </c>
      <c r="P10966" s="50">
        <v>259.35750000000002</v>
      </c>
    </row>
    <row r="10967" spans="4:16" x14ac:dyDescent="0.2">
      <c r="D10967">
        <v>100006585</v>
      </c>
      <c r="E10967" s="49">
        <v>44230</v>
      </c>
      <c r="F10967" t="s">
        <v>7390</v>
      </c>
      <c r="G10967" t="s">
        <v>1939</v>
      </c>
      <c r="H10967">
        <v>1</v>
      </c>
      <c r="I10967">
        <v>40.130000000000003</v>
      </c>
      <c r="J10967" s="50">
        <v>40.130000000000003</v>
      </c>
      <c r="K10967" t="s">
        <v>1632</v>
      </c>
      <c r="L10967" t="s">
        <v>5787</v>
      </c>
      <c r="M10967" t="s">
        <v>1621</v>
      </c>
      <c r="N10967">
        <v>21.18</v>
      </c>
      <c r="O10967" s="49">
        <v>44235</v>
      </c>
      <c r="P10967" s="50">
        <v>18.058500000000002</v>
      </c>
    </row>
    <row r="10968" spans="4:16" x14ac:dyDescent="0.2">
      <c r="D10968">
        <v>100006585</v>
      </c>
      <c r="E10968" s="49">
        <v>44479</v>
      </c>
      <c r="F10968" t="s">
        <v>7390</v>
      </c>
      <c r="G10968" t="s">
        <v>1754</v>
      </c>
      <c r="H10968">
        <v>1</v>
      </c>
      <c r="I10968">
        <v>25.17</v>
      </c>
      <c r="J10968" s="50">
        <v>25.17</v>
      </c>
      <c r="K10968" t="s">
        <v>1632</v>
      </c>
      <c r="L10968" t="s">
        <v>5787</v>
      </c>
      <c r="M10968" t="s">
        <v>1619</v>
      </c>
      <c r="N10968">
        <v>13.28</v>
      </c>
      <c r="O10968" s="49">
        <v>44482</v>
      </c>
      <c r="P10968" s="50">
        <v>11.326500000000001</v>
      </c>
    </row>
    <row r="10969" spans="4:16" x14ac:dyDescent="0.2">
      <c r="D10969">
        <v>100006586</v>
      </c>
      <c r="E10969" s="49">
        <v>44441</v>
      </c>
      <c r="F10969" t="s">
        <v>7391</v>
      </c>
      <c r="G10969" t="s">
        <v>2344</v>
      </c>
      <c r="H10969">
        <v>10</v>
      </c>
      <c r="I10969">
        <v>33.090000000000003</v>
      </c>
      <c r="J10969" s="50">
        <v>330.9</v>
      </c>
      <c r="K10969" t="s">
        <v>1632</v>
      </c>
      <c r="M10969" t="s">
        <v>1619</v>
      </c>
      <c r="N10969">
        <v>17.46</v>
      </c>
      <c r="O10969" s="49">
        <v>44442</v>
      </c>
      <c r="P10969" s="50">
        <v>148.905</v>
      </c>
    </row>
    <row r="10970" spans="4:16" x14ac:dyDescent="0.2">
      <c r="D10970">
        <v>100006586</v>
      </c>
      <c r="E10970" s="49">
        <v>44802</v>
      </c>
      <c r="F10970" t="s">
        <v>7391</v>
      </c>
      <c r="G10970" t="s">
        <v>1868</v>
      </c>
      <c r="H10970">
        <v>10</v>
      </c>
      <c r="I10970">
        <v>86.5</v>
      </c>
      <c r="J10970" s="50">
        <v>865</v>
      </c>
      <c r="K10970" t="s">
        <v>1632</v>
      </c>
      <c r="M10970" t="s">
        <v>1621</v>
      </c>
      <c r="N10970">
        <v>45.65</v>
      </c>
      <c r="O10970" s="49">
        <v>44803</v>
      </c>
      <c r="P10970" s="50">
        <v>389.25</v>
      </c>
    </row>
    <row r="10971" spans="4:16" x14ac:dyDescent="0.2">
      <c r="D10971">
        <v>100006586</v>
      </c>
      <c r="E10971" s="49">
        <v>44373</v>
      </c>
      <c r="F10971" t="s">
        <v>7391</v>
      </c>
      <c r="G10971" t="s">
        <v>1675</v>
      </c>
      <c r="H10971">
        <v>6</v>
      </c>
      <c r="I10971">
        <v>38.380000000000003</v>
      </c>
      <c r="J10971" s="50">
        <v>230.28</v>
      </c>
      <c r="K10971" t="s">
        <v>1632</v>
      </c>
      <c r="M10971" t="s">
        <v>1621</v>
      </c>
      <c r="N10971">
        <v>20.260000000000002</v>
      </c>
      <c r="O10971" s="49">
        <v>44377</v>
      </c>
      <c r="P10971" s="50">
        <v>103.626</v>
      </c>
    </row>
    <row r="10972" spans="4:16" x14ac:dyDescent="0.2">
      <c r="D10972">
        <v>100006586</v>
      </c>
      <c r="E10972" s="49">
        <v>44345</v>
      </c>
      <c r="F10972" t="s">
        <v>7391</v>
      </c>
      <c r="G10972" t="s">
        <v>1637</v>
      </c>
      <c r="H10972">
        <v>8</v>
      </c>
      <c r="I10972">
        <v>40.08</v>
      </c>
      <c r="J10972" s="50">
        <v>320.64</v>
      </c>
      <c r="K10972" t="s">
        <v>1632</v>
      </c>
      <c r="M10972" t="s">
        <v>1629</v>
      </c>
      <c r="N10972">
        <v>21.15</v>
      </c>
      <c r="O10972" s="49">
        <v>44348</v>
      </c>
      <c r="P10972" s="50">
        <v>144.28800000000001</v>
      </c>
    </row>
    <row r="10973" spans="4:16" x14ac:dyDescent="0.2">
      <c r="D10973">
        <v>100006586</v>
      </c>
      <c r="E10973" s="49">
        <v>44950</v>
      </c>
      <c r="F10973" t="s">
        <v>7391</v>
      </c>
      <c r="G10973" t="s">
        <v>1719</v>
      </c>
      <c r="H10973">
        <v>9</v>
      </c>
      <c r="I10973">
        <v>14.86</v>
      </c>
      <c r="J10973" s="50">
        <v>133.74</v>
      </c>
      <c r="K10973" t="s">
        <v>1632</v>
      </c>
      <c r="M10973" t="s">
        <v>1627</v>
      </c>
      <c r="N10973">
        <v>7.84</v>
      </c>
      <c r="O10973" s="49">
        <v>44952</v>
      </c>
      <c r="P10973" s="50">
        <v>60.183000000000007</v>
      </c>
    </row>
    <row r="10974" spans="4:16" x14ac:dyDescent="0.2">
      <c r="D10974">
        <v>100006586</v>
      </c>
      <c r="E10974" s="49">
        <v>45038</v>
      </c>
      <c r="F10974" t="s">
        <v>7391</v>
      </c>
      <c r="G10974" t="s">
        <v>1695</v>
      </c>
      <c r="H10974">
        <v>4</v>
      </c>
      <c r="I10974">
        <v>56.37</v>
      </c>
      <c r="J10974" s="50">
        <v>225.48</v>
      </c>
      <c r="K10974" t="s">
        <v>1632</v>
      </c>
      <c r="M10974" t="s">
        <v>1629</v>
      </c>
      <c r="N10974">
        <v>29.75</v>
      </c>
      <c r="O10974" s="49">
        <v>45039</v>
      </c>
      <c r="P10974" s="50">
        <v>101.46599999999999</v>
      </c>
    </row>
    <row r="10975" spans="4:16" x14ac:dyDescent="0.2">
      <c r="D10975">
        <v>100006586</v>
      </c>
      <c r="E10975" s="49">
        <v>45087</v>
      </c>
      <c r="F10975" t="s">
        <v>7391</v>
      </c>
      <c r="G10975" t="s">
        <v>1677</v>
      </c>
      <c r="H10975">
        <v>4</v>
      </c>
      <c r="I10975">
        <v>56.19</v>
      </c>
      <c r="J10975" s="50">
        <v>224.76</v>
      </c>
      <c r="K10975" t="s">
        <v>1632</v>
      </c>
      <c r="M10975" t="s">
        <v>1629</v>
      </c>
      <c r="N10975">
        <v>29.66</v>
      </c>
      <c r="O10975" s="49">
        <v>45092</v>
      </c>
      <c r="P10975" s="50">
        <v>101.142</v>
      </c>
    </row>
    <row r="10976" spans="4:16" x14ac:dyDescent="0.2">
      <c r="D10976">
        <v>100006587</v>
      </c>
      <c r="E10976" s="49">
        <v>45120</v>
      </c>
      <c r="F10976" t="s">
        <v>7392</v>
      </c>
      <c r="G10976" t="s">
        <v>2039</v>
      </c>
      <c r="H10976">
        <v>7</v>
      </c>
      <c r="I10976">
        <v>24.82</v>
      </c>
      <c r="J10976" s="50">
        <v>173.74</v>
      </c>
      <c r="K10976" t="s">
        <v>1618</v>
      </c>
      <c r="M10976" t="s">
        <v>1624</v>
      </c>
      <c r="N10976">
        <v>13.1</v>
      </c>
      <c r="O10976" s="49">
        <v>45123</v>
      </c>
      <c r="P10976" s="50">
        <v>78.183000000000007</v>
      </c>
    </row>
    <row r="10977" spans="4:16" x14ac:dyDescent="0.2">
      <c r="D10977">
        <v>100006587</v>
      </c>
      <c r="E10977" s="49">
        <v>45612</v>
      </c>
      <c r="F10977" t="s">
        <v>7392</v>
      </c>
      <c r="G10977" t="s">
        <v>1787</v>
      </c>
      <c r="H10977">
        <v>4</v>
      </c>
      <c r="I10977">
        <v>75.56</v>
      </c>
      <c r="J10977" s="50">
        <v>302.24</v>
      </c>
      <c r="K10977" t="s">
        <v>1618</v>
      </c>
      <c r="M10977" t="s">
        <v>1619</v>
      </c>
      <c r="N10977">
        <v>39.880000000000003</v>
      </c>
      <c r="O10977" s="49">
        <v>45614</v>
      </c>
      <c r="P10977" s="50">
        <v>136.00800000000001</v>
      </c>
    </row>
    <row r="10978" spans="4:16" x14ac:dyDescent="0.2">
      <c r="D10978">
        <v>100006587</v>
      </c>
      <c r="E10978" s="49">
        <v>45459</v>
      </c>
      <c r="F10978" t="s">
        <v>7392</v>
      </c>
      <c r="G10978" t="s">
        <v>2306</v>
      </c>
      <c r="H10978">
        <v>10</v>
      </c>
      <c r="I10978">
        <v>10.220000000000001</v>
      </c>
      <c r="J10978" s="50">
        <v>102.2</v>
      </c>
      <c r="K10978" t="s">
        <v>1618</v>
      </c>
      <c r="M10978" t="s">
        <v>1624</v>
      </c>
      <c r="N10978">
        <v>5.39</v>
      </c>
      <c r="O10978" s="49">
        <v>45464</v>
      </c>
      <c r="P10978" s="50">
        <v>45.99</v>
      </c>
    </row>
    <row r="10979" spans="4:16" x14ac:dyDescent="0.2">
      <c r="D10979">
        <v>100006587</v>
      </c>
      <c r="E10979" s="49">
        <v>44827</v>
      </c>
      <c r="F10979" t="s">
        <v>7392</v>
      </c>
      <c r="G10979" t="s">
        <v>1775</v>
      </c>
      <c r="H10979">
        <v>1</v>
      </c>
      <c r="I10979">
        <v>14.8</v>
      </c>
      <c r="J10979" s="50">
        <v>14.8</v>
      </c>
      <c r="K10979" t="s">
        <v>1618</v>
      </c>
      <c r="M10979" t="s">
        <v>1627</v>
      </c>
      <c r="N10979">
        <v>7.81</v>
      </c>
      <c r="O10979" s="49">
        <v>44831</v>
      </c>
      <c r="P10979" s="50">
        <v>6.66</v>
      </c>
    </row>
    <row r="10980" spans="4:16" x14ac:dyDescent="0.2">
      <c r="D10980">
        <v>100006587</v>
      </c>
      <c r="E10980" s="49">
        <v>44982</v>
      </c>
      <c r="F10980" t="s">
        <v>7392</v>
      </c>
      <c r="G10980" t="s">
        <v>1973</v>
      </c>
      <c r="H10980">
        <v>1</v>
      </c>
      <c r="I10980">
        <v>95.33</v>
      </c>
      <c r="J10980" s="50">
        <v>95.33</v>
      </c>
      <c r="K10980" t="s">
        <v>1618</v>
      </c>
      <c r="M10980" t="s">
        <v>1629</v>
      </c>
      <c r="N10980">
        <v>50.31</v>
      </c>
      <c r="O10980" s="49">
        <v>44985</v>
      </c>
      <c r="P10980" s="50">
        <v>42.898499999999999</v>
      </c>
    </row>
    <row r="10981" spans="4:16" x14ac:dyDescent="0.2">
      <c r="D10981">
        <v>100006587</v>
      </c>
      <c r="E10981" s="49">
        <v>44448</v>
      </c>
      <c r="F10981" t="s">
        <v>7392</v>
      </c>
      <c r="G10981" t="s">
        <v>1971</v>
      </c>
      <c r="H10981">
        <v>8</v>
      </c>
      <c r="I10981">
        <v>24.9</v>
      </c>
      <c r="J10981" s="50">
        <v>199.2</v>
      </c>
      <c r="K10981" t="s">
        <v>1618</v>
      </c>
      <c r="M10981" t="s">
        <v>1629</v>
      </c>
      <c r="N10981">
        <v>13.14</v>
      </c>
      <c r="O10981" s="49">
        <v>44450</v>
      </c>
      <c r="P10981" s="50">
        <v>89.64</v>
      </c>
    </row>
    <row r="10982" spans="4:16" x14ac:dyDescent="0.2">
      <c r="D10982">
        <v>100006589</v>
      </c>
      <c r="E10982" s="49">
        <v>45415</v>
      </c>
      <c r="F10982" t="s">
        <v>7393</v>
      </c>
      <c r="G10982" t="s">
        <v>2063</v>
      </c>
      <c r="H10982">
        <v>2</v>
      </c>
      <c r="I10982">
        <v>91.75</v>
      </c>
      <c r="J10982" s="50">
        <v>183.5</v>
      </c>
      <c r="K10982" t="s">
        <v>1618</v>
      </c>
      <c r="L10982" t="s">
        <v>5291</v>
      </c>
      <c r="M10982" t="s">
        <v>1629</v>
      </c>
      <c r="N10982">
        <v>48.42</v>
      </c>
      <c r="O10982" s="49">
        <v>45420</v>
      </c>
      <c r="P10982" s="50">
        <v>82.575000000000003</v>
      </c>
    </row>
    <row r="10983" spans="4:16" x14ac:dyDescent="0.2">
      <c r="D10983">
        <v>100006590</v>
      </c>
      <c r="E10983" s="49">
        <v>44787</v>
      </c>
      <c r="F10983" t="s">
        <v>7394</v>
      </c>
      <c r="G10983" t="s">
        <v>2373</v>
      </c>
      <c r="H10983">
        <v>3</v>
      </c>
      <c r="I10983">
        <v>61.42</v>
      </c>
      <c r="J10983" s="50">
        <v>184.26</v>
      </c>
      <c r="K10983" t="s">
        <v>1632</v>
      </c>
      <c r="M10983" t="s">
        <v>1619</v>
      </c>
      <c r="N10983">
        <v>32.42</v>
      </c>
      <c r="O10983" s="49">
        <v>44789</v>
      </c>
      <c r="P10983" s="50">
        <v>82.917000000000002</v>
      </c>
    </row>
    <row r="10984" spans="4:16" x14ac:dyDescent="0.2">
      <c r="D10984">
        <v>100006590</v>
      </c>
      <c r="E10984" s="49">
        <v>44505</v>
      </c>
      <c r="F10984" t="s">
        <v>7394</v>
      </c>
      <c r="G10984" t="s">
        <v>2062</v>
      </c>
      <c r="H10984">
        <v>3</v>
      </c>
      <c r="I10984">
        <v>94.69</v>
      </c>
      <c r="J10984" s="50">
        <v>284.07</v>
      </c>
      <c r="K10984" t="s">
        <v>1632</v>
      </c>
      <c r="M10984" t="s">
        <v>1624</v>
      </c>
      <c r="N10984">
        <v>49.97</v>
      </c>
      <c r="O10984" s="49">
        <v>44506</v>
      </c>
      <c r="P10984" s="50">
        <v>127.83150000000001</v>
      </c>
    </row>
    <row r="10985" spans="4:16" x14ac:dyDescent="0.2">
      <c r="D10985">
        <v>100006591</v>
      </c>
      <c r="E10985" s="49">
        <v>45260</v>
      </c>
      <c r="F10985" t="s">
        <v>3451</v>
      </c>
      <c r="G10985" t="s">
        <v>1941</v>
      </c>
      <c r="H10985">
        <v>3</v>
      </c>
      <c r="I10985">
        <v>39.29</v>
      </c>
      <c r="J10985" s="50">
        <v>117.87</v>
      </c>
      <c r="K10985" t="s">
        <v>1618</v>
      </c>
      <c r="M10985" t="s">
        <v>1619</v>
      </c>
      <c r="N10985">
        <v>20.74</v>
      </c>
      <c r="O10985" s="49">
        <v>45264</v>
      </c>
      <c r="P10985" s="50">
        <v>53.041500000000006</v>
      </c>
    </row>
    <row r="10986" spans="4:16" x14ac:dyDescent="0.2">
      <c r="D10986">
        <v>100006591</v>
      </c>
      <c r="E10986" s="49">
        <v>45583</v>
      </c>
      <c r="F10986" t="s">
        <v>3451</v>
      </c>
      <c r="G10986" t="s">
        <v>2571</v>
      </c>
      <c r="H10986">
        <v>10</v>
      </c>
      <c r="I10986">
        <v>21.78</v>
      </c>
      <c r="J10986" s="50">
        <v>217.8</v>
      </c>
      <c r="K10986" t="s">
        <v>1618</v>
      </c>
      <c r="M10986" t="s">
        <v>1627</v>
      </c>
      <c r="N10986">
        <v>11.49</v>
      </c>
      <c r="O10986" s="49">
        <v>45587</v>
      </c>
      <c r="P10986" s="50">
        <v>98.01</v>
      </c>
    </row>
    <row r="10987" spans="4:16" x14ac:dyDescent="0.2">
      <c r="D10987">
        <v>100006591</v>
      </c>
      <c r="E10987" s="49">
        <v>44237</v>
      </c>
      <c r="F10987" t="s">
        <v>3451</v>
      </c>
      <c r="G10987" t="s">
        <v>2291</v>
      </c>
      <c r="H10987">
        <v>8</v>
      </c>
      <c r="I10987">
        <v>41.82</v>
      </c>
      <c r="J10987" s="50">
        <v>334.56</v>
      </c>
      <c r="K10987" t="s">
        <v>1618</v>
      </c>
      <c r="M10987" t="s">
        <v>1624</v>
      </c>
      <c r="N10987">
        <v>22.07</v>
      </c>
      <c r="O10987" s="49">
        <v>44242</v>
      </c>
      <c r="P10987" s="50">
        <v>150.55199999999999</v>
      </c>
    </row>
    <row r="10988" spans="4:16" x14ac:dyDescent="0.2">
      <c r="D10988">
        <v>100006591</v>
      </c>
      <c r="E10988" s="49">
        <v>45019</v>
      </c>
      <c r="F10988" t="s">
        <v>3451</v>
      </c>
      <c r="G10988" t="s">
        <v>1726</v>
      </c>
      <c r="H10988">
        <v>10</v>
      </c>
      <c r="I10988">
        <v>62.4</v>
      </c>
      <c r="J10988" s="50">
        <v>624</v>
      </c>
      <c r="K10988" t="s">
        <v>1618</v>
      </c>
      <c r="M10988" t="s">
        <v>1621</v>
      </c>
      <c r="N10988">
        <v>32.93</v>
      </c>
      <c r="O10988" s="49">
        <v>45024</v>
      </c>
      <c r="P10988" s="50">
        <v>280.8</v>
      </c>
    </row>
    <row r="10989" spans="4:16" x14ac:dyDescent="0.2">
      <c r="D10989">
        <v>100006591</v>
      </c>
      <c r="E10989" s="49">
        <v>44301</v>
      </c>
      <c r="F10989" t="s">
        <v>3451</v>
      </c>
      <c r="G10989" t="s">
        <v>2138</v>
      </c>
      <c r="H10989">
        <v>8</v>
      </c>
      <c r="I10989">
        <v>58.04</v>
      </c>
      <c r="J10989" s="50">
        <v>464.32</v>
      </c>
      <c r="K10989" t="s">
        <v>1618</v>
      </c>
      <c r="M10989" t="s">
        <v>1619</v>
      </c>
      <c r="N10989">
        <v>30.63</v>
      </c>
      <c r="O10989" s="49">
        <v>44305</v>
      </c>
      <c r="P10989" s="50">
        <v>208.94399999999999</v>
      </c>
    </row>
    <row r="10990" spans="4:16" x14ac:dyDescent="0.2">
      <c r="D10990">
        <v>100006592</v>
      </c>
      <c r="E10990" s="49">
        <v>44400</v>
      </c>
      <c r="F10990" t="s">
        <v>7395</v>
      </c>
      <c r="G10990" t="s">
        <v>1789</v>
      </c>
      <c r="H10990">
        <v>10</v>
      </c>
      <c r="I10990">
        <v>12.81</v>
      </c>
      <c r="J10990" s="50">
        <v>128.1</v>
      </c>
      <c r="K10990" t="s">
        <v>1618</v>
      </c>
      <c r="M10990" t="s">
        <v>1621</v>
      </c>
      <c r="N10990">
        <v>6.76</v>
      </c>
      <c r="O10990" s="49">
        <v>44404</v>
      </c>
      <c r="P10990" s="50">
        <v>57.644999999999996</v>
      </c>
    </row>
    <row r="10991" spans="4:16" x14ac:dyDescent="0.2">
      <c r="D10991">
        <v>100006592</v>
      </c>
      <c r="E10991" s="49">
        <v>44436</v>
      </c>
      <c r="F10991" t="s">
        <v>7395</v>
      </c>
      <c r="G10991" t="s">
        <v>1664</v>
      </c>
      <c r="H10991">
        <v>7</v>
      </c>
      <c r="I10991">
        <v>72.08</v>
      </c>
      <c r="J10991" s="50">
        <v>504.56</v>
      </c>
      <c r="K10991" t="s">
        <v>1618</v>
      </c>
      <c r="M10991" t="s">
        <v>1629</v>
      </c>
      <c r="N10991">
        <v>38.04</v>
      </c>
      <c r="O10991" s="49">
        <v>44441</v>
      </c>
      <c r="P10991" s="50">
        <v>227.05199999999999</v>
      </c>
    </row>
    <row r="10992" spans="4:16" x14ac:dyDescent="0.2">
      <c r="D10992">
        <v>100006592</v>
      </c>
      <c r="E10992" s="49">
        <v>44954</v>
      </c>
      <c r="F10992" t="s">
        <v>7395</v>
      </c>
      <c r="G10992" t="s">
        <v>1737</v>
      </c>
      <c r="H10992">
        <v>9</v>
      </c>
      <c r="I10992">
        <v>106.57</v>
      </c>
      <c r="J10992" s="50">
        <v>959.12999999999988</v>
      </c>
      <c r="K10992" t="s">
        <v>1618</v>
      </c>
      <c r="M10992" t="s">
        <v>1624</v>
      </c>
      <c r="N10992">
        <v>56.24</v>
      </c>
      <c r="O10992" s="49">
        <v>44958</v>
      </c>
      <c r="P10992" s="50">
        <v>431.60849999999994</v>
      </c>
    </row>
    <row r="10993" spans="4:16" x14ac:dyDescent="0.2">
      <c r="D10993">
        <v>100006592</v>
      </c>
      <c r="E10993" s="49">
        <v>44982</v>
      </c>
      <c r="F10993" t="s">
        <v>7395</v>
      </c>
      <c r="G10993" t="s">
        <v>2151</v>
      </c>
      <c r="H10993">
        <v>6</v>
      </c>
      <c r="I10993">
        <v>107.57</v>
      </c>
      <c r="J10993" s="50">
        <v>645.41999999999996</v>
      </c>
      <c r="K10993" t="s">
        <v>1618</v>
      </c>
      <c r="M10993" t="s">
        <v>1624</v>
      </c>
      <c r="N10993">
        <v>56.77</v>
      </c>
      <c r="O10993" s="49">
        <v>44986</v>
      </c>
      <c r="P10993" s="50">
        <v>290.43899999999996</v>
      </c>
    </row>
    <row r="10994" spans="4:16" x14ac:dyDescent="0.2">
      <c r="D10994">
        <v>100006593</v>
      </c>
      <c r="E10994" s="49">
        <v>44279</v>
      </c>
      <c r="F10994" t="s">
        <v>7396</v>
      </c>
      <c r="G10994" t="s">
        <v>1834</v>
      </c>
      <c r="H10994">
        <v>6</v>
      </c>
      <c r="I10994">
        <v>10.1</v>
      </c>
      <c r="J10994" s="50">
        <v>60.599999999999987</v>
      </c>
      <c r="K10994" t="s">
        <v>1632</v>
      </c>
      <c r="L10994" t="s">
        <v>7397</v>
      </c>
      <c r="M10994" t="s">
        <v>1629</v>
      </c>
      <c r="N10994">
        <v>5.33</v>
      </c>
      <c r="O10994" s="49">
        <v>44281</v>
      </c>
      <c r="P10994" s="50">
        <v>27.269999999999996</v>
      </c>
    </row>
    <row r="10995" spans="4:16" x14ac:dyDescent="0.2">
      <c r="D10995">
        <v>100006593</v>
      </c>
      <c r="E10995" s="49">
        <v>44504</v>
      </c>
      <c r="F10995" t="s">
        <v>7396</v>
      </c>
      <c r="G10995" t="s">
        <v>1857</v>
      </c>
      <c r="H10995">
        <v>8</v>
      </c>
      <c r="I10995">
        <v>61.54</v>
      </c>
      <c r="J10995" s="50">
        <v>492.32</v>
      </c>
      <c r="K10995" t="s">
        <v>1632</v>
      </c>
      <c r="L10995" t="s">
        <v>7397</v>
      </c>
      <c r="M10995" t="s">
        <v>1619</v>
      </c>
      <c r="N10995">
        <v>32.479999999999997</v>
      </c>
      <c r="O10995" s="49">
        <v>44507</v>
      </c>
      <c r="P10995" s="50">
        <v>221.54400000000001</v>
      </c>
    </row>
    <row r="10996" spans="4:16" x14ac:dyDescent="0.2">
      <c r="D10996">
        <v>100006593</v>
      </c>
      <c r="E10996" s="49">
        <v>45031</v>
      </c>
      <c r="F10996" t="s">
        <v>7396</v>
      </c>
      <c r="G10996" t="s">
        <v>1830</v>
      </c>
      <c r="H10996">
        <v>7</v>
      </c>
      <c r="I10996">
        <v>30.14</v>
      </c>
      <c r="J10996" s="50">
        <v>210.98</v>
      </c>
      <c r="K10996" t="s">
        <v>1632</v>
      </c>
      <c r="L10996" t="s">
        <v>7397</v>
      </c>
      <c r="M10996" t="s">
        <v>1627</v>
      </c>
      <c r="N10996">
        <v>15.91</v>
      </c>
      <c r="O10996" s="49">
        <v>45036</v>
      </c>
      <c r="P10996" s="50">
        <v>94.941000000000003</v>
      </c>
    </row>
    <row r="10997" spans="4:16" x14ac:dyDescent="0.2">
      <c r="D10997">
        <v>100006594</v>
      </c>
      <c r="E10997" s="49">
        <v>45573</v>
      </c>
      <c r="F10997" t="s">
        <v>7398</v>
      </c>
      <c r="G10997" t="s">
        <v>1982</v>
      </c>
      <c r="H10997">
        <v>4</v>
      </c>
      <c r="I10997">
        <v>30.68</v>
      </c>
      <c r="J10997" s="50">
        <v>122.72</v>
      </c>
      <c r="K10997" t="s">
        <v>1618</v>
      </c>
      <c r="L10997" t="s">
        <v>3463</v>
      </c>
      <c r="M10997" t="s">
        <v>1627</v>
      </c>
      <c r="N10997">
        <v>16.190000000000001</v>
      </c>
      <c r="O10997" s="49">
        <v>45576</v>
      </c>
      <c r="P10997" s="50">
        <v>55.224000000000004</v>
      </c>
    </row>
    <row r="10998" spans="4:16" x14ac:dyDescent="0.2">
      <c r="D10998">
        <v>100006595</v>
      </c>
      <c r="E10998" s="49">
        <v>45432</v>
      </c>
      <c r="F10998" t="s">
        <v>7399</v>
      </c>
      <c r="G10998" t="s">
        <v>1969</v>
      </c>
      <c r="H10998">
        <v>4</v>
      </c>
      <c r="I10998">
        <v>108.99</v>
      </c>
      <c r="J10998" s="50">
        <v>435.96</v>
      </c>
      <c r="K10998" t="s">
        <v>1632</v>
      </c>
      <c r="M10998" t="s">
        <v>1624</v>
      </c>
      <c r="N10998">
        <v>57.52</v>
      </c>
      <c r="O10998" s="49">
        <v>45436</v>
      </c>
      <c r="P10998" s="50">
        <v>196.18199999999999</v>
      </c>
    </row>
    <row r="10999" spans="4:16" x14ac:dyDescent="0.2">
      <c r="D10999">
        <v>100006596</v>
      </c>
      <c r="E10999" s="49">
        <v>45230</v>
      </c>
      <c r="F10999" t="s">
        <v>7400</v>
      </c>
      <c r="G10999" t="s">
        <v>2076</v>
      </c>
      <c r="H10999">
        <v>7</v>
      </c>
      <c r="I10999">
        <v>32.03</v>
      </c>
      <c r="J10999" s="50">
        <v>224.21</v>
      </c>
      <c r="K10999" t="s">
        <v>1618</v>
      </c>
      <c r="L10999" t="s">
        <v>2711</v>
      </c>
      <c r="M10999" t="s">
        <v>1627</v>
      </c>
      <c r="N10999">
        <v>16.899999999999999</v>
      </c>
      <c r="O10999" s="49">
        <v>45233</v>
      </c>
      <c r="P10999" s="50">
        <v>100.89450000000001</v>
      </c>
    </row>
    <row r="11000" spans="4:16" x14ac:dyDescent="0.2">
      <c r="D11000">
        <v>100006596</v>
      </c>
      <c r="E11000" s="49">
        <v>45510</v>
      </c>
      <c r="F11000" t="s">
        <v>7400</v>
      </c>
      <c r="G11000" t="s">
        <v>2198</v>
      </c>
      <c r="H11000">
        <v>4</v>
      </c>
      <c r="I11000">
        <v>53.11</v>
      </c>
      <c r="J11000" s="50">
        <v>212.44</v>
      </c>
      <c r="K11000" t="s">
        <v>1618</v>
      </c>
      <c r="L11000" t="s">
        <v>2711</v>
      </c>
      <c r="M11000" t="s">
        <v>1621</v>
      </c>
      <c r="N11000">
        <v>28.03</v>
      </c>
      <c r="O11000" s="49">
        <v>45511</v>
      </c>
      <c r="P11000" s="50">
        <v>95.597999999999999</v>
      </c>
    </row>
    <row r="11001" spans="4:16" x14ac:dyDescent="0.2">
      <c r="D11001">
        <v>100006597</v>
      </c>
      <c r="E11001" s="49">
        <v>44616</v>
      </c>
      <c r="F11001" t="s">
        <v>7401</v>
      </c>
      <c r="G11001" t="s">
        <v>1691</v>
      </c>
      <c r="H11001">
        <v>8</v>
      </c>
      <c r="I11001">
        <v>31.05</v>
      </c>
      <c r="J11001" s="50">
        <v>248.4</v>
      </c>
      <c r="K11001" t="s">
        <v>1632</v>
      </c>
      <c r="L11001" t="s">
        <v>7402</v>
      </c>
      <c r="M11001" t="s">
        <v>1624</v>
      </c>
      <c r="N11001">
        <v>16.39</v>
      </c>
      <c r="O11001" s="49">
        <v>44617</v>
      </c>
      <c r="P11001" s="50">
        <v>111.78</v>
      </c>
    </row>
    <row r="11002" spans="4:16" x14ac:dyDescent="0.2">
      <c r="D11002">
        <v>100006599</v>
      </c>
      <c r="E11002" s="49">
        <v>45116</v>
      </c>
      <c r="F11002" t="s">
        <v>2049</v>
      </c>
      <c r="G11002" t="s">
        <v>3135</v>
      </c>
      <c r="H11002">
        <v>5</v>
      </c>
      <c r="I11002">
        <v>10.49</v>
      </c>
      <c r="J11002" s="50">
        <v>52.45</v>
      </c>
      <c r="K11002" t="s">
        <v>1632</v>
      </c>
      <c r="L11002" t="s">
        <v>5168</v>
      </c>
      <c r="M11002" t="s">
        <v>1621</v>
      </c>
      <c r="N11002">
        <v>5.54</v>
      </c>
      <c r="O11002" s="49">
        <v>45118</v>
      </c>
      <c r="P11002" s="50">
        <v>23.602500000000003</v>
      </c>
    </row>
    <row r="11003" spans="4:16" x14ac:dyDescent="0.2">
      <c r="D11003">
        <v>100006599</v>
      </c>
      <c r="E11003" s="49">
        <v>45104</v>
      </c>
      <c r="F11003" t="s">
        <v>2049</v>
      </c>
      <c r="G11003" t="s">
        <v>3135</v>
      </c>
      <c r="H11003">
        <v>10</v>
      </c>
      <c r="I11003">
        <v>100.13</v>
      </c>
      <c r="J11003" s="50">
        <v>1001.3</v>
      </c>
      <c r="K11003" t="s">
        <v>1632</v>
      </c>
      <c r="L11003" t="s">
        <v>5168</v>
      </c>
      <c r="M11003" t="s">
        <v>1627</v>
      </c>
      <c r="N11003">
        <v>52.85</v>
      </c>
      <c r="O11003" s="49">
        <v>45109</v>
      </c>
      <c r="P11003" s="50">
        <v>450.58499999999998</v>
      </c>
    </row>
    <row r="11004" spans="4:16" x14ac:dyDescent="0.2">
      <c r="D11004">
        <v>100006600</v>
      </c>
      <c r="E11004" s="49">
        <v>45167</v>
      </c>
      <c r="F11004" t="s">
        <v>7403</v>
      </c>
      <c r="G11004" t="s">
        <v>2063</v>
      </c>
      <c r="H11004">
        <v>2</v>
      </c>
      <c r="I11004">
        <v>70.3</v>
      </c>
      <c r="J11004" s="50">
        <v>140.6</v>
      </c>
      <c r="K11004" t="s">
        <v>1632</v>
      </c>
      <c r="M11004" t="s">
        <v>1629</v>
      </c>
      <c r="N11004">
        <v>37.1</v>
      </c>
      <c r="O11004" s="49">
        <v>45171</v>
      </c>
      <c r="P11004" s="50">
        <v>63.269999999999996</v>
      </c>
    </row>
    <row r="11005" spans="4:16" x14ac:dyDescent="0.2">
      <c r="D11005">
        <v>100006600</v>
      </c>
      <c r="E11005" s="49">
        <v>44435</v>
      </c>
      <c r="F11005" t="s">
        <v>7403</v>
      </c>
      <c r="G11005" t="s">
        <v>1830</v>
      </c>
      <c r="H11005">
        <v>1</v>
      </c>
      <c r="I11005">
        <v>33.08</v>
      </c>
      <c r="J11005" s="50">
        <v>33.08</v>
      </c>
      <c r="K11005" t="s">
        <v>1632</v>
      </c>
      <c r="M11005" t="s">
        <v>1629</v>
      </c>
      <c r="N11005">
        <v>17.46</v>
      </c>
      <c r="O11005" s="49">
        <v>44436</v>
      </c>
      <c r="P11005" s="50">
        <v>14.885999999999999</v>
      </c>
    </row>
    <row r="11006" spans="4:16" x14ac:dyDescent="0.2">
      <c r="D11006">
        <v>100006601</v>
      </c>
      <c r="E11006" s="49">
        <v>45021</v>
      </c>
      <c r="F11006" t="s">
        <v>7404</v>
      </c>
      <c r="G11006" t="s">
        <v>1807</v>
      </c>
      <c r="H11006">
        <v>10</v>
      </c>
      <c r="I11006">
        <v>60.79</v>
      </c>
      <c r="J11006" s="50">
        <v>607.9</v>
      </c>
      <c r="K11006" t="s">
        <v>1632</v>
      </c>
      <c r="M11006" t="s">
        <v>1627</v>
      </c>
      <c r="N11006">
        <v>32.08</v>
      </c>
      <c r="O11006" s="49">
        <v>45023</v>
      </c>
      <c r="P11006" s="50">
        <v>273.55500000000001</v>
      </c>
    </row>
    <row r="11007" spans="4:16" x14ac:dyDescent="0.2">
      <c r="D11007">
        <v>100006604</v>
      </c>
      <c r="E11007" s="49">
        <v>44656</v>
      </c>
      <c r="F11007" t="s">
        <v>7405</v>
      </c>
      <c r="G11007" t="s">
        <v>2039</v>
      </c>
      <c r="H11007">
        <v>10</v>
      </c>
      <c r="I11007">
        <v>85.55</v>
      </c>
      <c r="J11007" s="50">
        <v>855.5</v>
      </c>
      <c r="K11007" t="s">
        <v>1632</v>
      </c>
      <c r="M11007" t="s">
        <v>1624</v>
      </c>
      <c r="N11007">
        <v>45.15</v>
      </c>
      <c r="O11007" s="49">
        <v>44659</v>
      </c>
      <c r="P11007" s="50">
        <v>384.97500000000002</v>
      </c>
    </row>
    <row r="11008" spans="4:16" x14ac:dyDescent="0.2">
      <c r="D11008">
        <v>100006606</v>
      </c>
      <c r="E11008" s="49">
        <v>44371</v>
      </c>
      <c r="F11008" t="s">
        <v>6127</v>
      </c>
      <c r="G11008" t="s">
        <v>1856</v>
      </c>
      <c r="H11008">
        <v>6</v>
      </c>
      <c r="I11008">
        <v>38.409999999999997</v>
      </c>
      <c r="J11008" s="50">
        <v>230.46</v>
      </c>
      <c r="K11008" t="s">
        <v>1618</v>
      </c>
      <c r="L11008" t="s">
        <v>3274</v>
      </c>
      <c r="M11008" t="s">
        <v>1629</v>
      </c>
      <c r="N11008">
        <v>20.27</v>
      </c>
      <c r="O11008" s="49">
        <v>44374</v>
      </c>
      <c r="P11008" s="50">
        <v>103.70700000000001</v>
      </c>
    </row>
    <row r="11009" spans="4:16" x14ac:dyDescent="0.2">
      <c r="D11009">
        <v>100006607</v>
      </c>
      <c r="E11009" s="49">
        <v>45513</v>
      </c>
      <c r="F11009" t="s">
        <v>3153</v>
      </c>
      <c r="G11009" t="s">
        <v>2063</v>
      </c>
      <c r="H11009">
        <v>8</v>
      </c>
      <c r="I11009">
        <v>42.44</v>
      </c>
      <c r="J11009" s="50">
        <v>339.52</v>
      </c>
      <c r="K11009" t="s">
        <v>1618</v>
      </c>
      <c r="M11009" t="s">
        <v>1624</v>
      </c>
      <c r="N11009">
        <v>22.4</v>
      </c>
      <c r="O11009" s="49">
        <v>45518</v>
      </c>
      <c r="P11009" s="50">
        <v>152.78399999999999</v>
      </c>
    </row>
    <row r="11010" spans="4:16" x14ac:dyDescent="0.2">
      <c r="D11010">
        <v>100006607</v>
      </c>
      <c r="E11010" s="49">
        <v>44262</v>
      </c>
      <c r="F11010" t="s">
        <v>3153</v>
      </c>
      <c r="G11010" t="s">
        <v>2003</v>
      </c>
      <c r="H11010">
        <v>6</v>
      </c>
      <c r="I11010">
        <v>88.95</v>
      </c>
      <c r="J11010" s="50">
        <v>533.70000000000005</v>
      </c>
      <c r="K11010" t="s">
        <v>1618</v>
      </c>
      <c r="M11010" t="s">
        <v>1619</v>
      </c>
      <c r="N11010">
        <v>46.95</v>
      </c>
      <c r="O11010" s="49">
        <v>44263</v>
      </c>
      <c r="P11010" s="50">
        <v>240.16500000000002</v>
      </c>
    </row>
    <row r="11011" spans="4:16" x14ac:dyDescent="0.2">
      <c r="D11011">
        <v>100006607</v>
      </c>
      <c r="E11011" s="49">
        <v>44457</v>
      </c>
      <c r="F11011" t="s">
        <v>3153</v>
      </c>
      <c r="G11011" t="s">
        <v>2151</v>
      </c>
      <c r="H11011">
        <v>1</v>
      </c>
      <c r="I11011">
        <v>34.92</v>
      </c>
      <c r="J11011" s="50">
        <v>34.92</v>
      </c>
      <c r="K11011" t="s">
        <v>1618</v>
      </c>
      <c r="M11011" t="s">
        <v>1621</v>
      </c>
      <c r="N11011">
        <v>18.43</v>
      </c>
      <c r="O11011" s="49">
        <v>44461</v>
      </c>
      <c r="P11011" s="50">
        <v>15.714</v>
      </c>
    </row>
    <row r="11012" spans="4:16" x14ac:dyDescent="0.2">
      <c r="D11012">
        <v>100006608</v>
      </c>
      <c r="E11012" s="49">
        <v>44772</v>
      </c>
      <c r="F11012" t="s">
        <v>6374</v>
      </c>
      <c r="G11012" t="s">
        <v>2174</v>
      </c>
      <c r="H11012">
        <v>7</v>
      </c>
      <c r="I11012">
        <v>16.18</v>
      </c>
      <c r="J11012" s="50">
        <v>113.26</v>
      </c>
      <c r="K11012" t="s">
        <v>1618</v>
      </c>
      <c r="L11012" t="s">
        <v>7406</v>
      </c>
      <c r="M11012" t="s">
        <v>1621</v>
      </c>
      <c r="N11012">
        <v>8.5399999999999991</v>
      </c>
      <c r="O11012" s="49">
        <v>44774</v>
      </c>
      <c r="P11012" s="50">
        <v>50.967000000000006</v>
      </c>
    </row>
    <row r="11013" spans="4:16" x14ac:dyDescent="0.2">
      <c r="D11013">
        <v>100006609</v>
      </c>
      <c r="E11013" s="49">
        <v>44687</v>
      </c>
      <c r="F11013" t="s">
        <v>7407</v>
      </c>
      <c r="G11013" t="s">
        <v>1801</v>
      </c>
      <c r="H11013">
        <v>3</v>
      </c>
      <c r="I11013">
        <v>19.71</v>
      </c>
      <c r="J11013" s="50">
        <v>59.13</v>
      </c>
      <c r="K11013" t="s">
        <v>1618</v>
      </c>
      <c r="L11013" t="s">
        <v>7408</v>
      </c>
      <c r="M11013" t="s">
        <v>1627</v>
      </c>
      <c r="N11013">
        <v>10.4</v>
      </c>
      <c r="O11013" s="49">
        <v>44691</v>
      </c>
      <c r="P11013" s="50">
        <v>26.608500000000003</v>
      </c>
    </row>
    <row r="11014" spans="4:16" x14ac:dyDescent="0.2">
      <c r="D11014">
        <v>100006609</v>
      </c>
      <c r="E11014" s="49">
        <v>44710</v>
      </c>
      <c r="F11014" t="s">
        <v>7407</v>
      </c>
      <c r="G11014" t="s">
        <v>1830</v>
      </c>
      <c r="H11014">
        <v>9</v>
      </c>
      <c r="I11014">
        <v>89.96</v>
      </c>
      <c r="J11014" s="50">
        <v>809.64</v>
      </c>
      <c r="K11014" t="s">
        <v>1618</v>
      </c>
      <c r="L11014" t="s">
        <v>7408</v>
      </c>
      <c r="M11014" t="s">
        <v>1619</v>
      </c>
      <c r="N11014">
        <v>47.48</v>
      </c>
      <c r="O11014" s="49">
        <v>44713</v>
      </c>
      <c r="P11014" s="50">
        <v>364.33800000000002</v>
      </c>
    </row>
    <row r="11015" spans="4:16" x14ac:dyDescent="0.2">
      <c r="D11015">
        <v>100006609</v>
      </c>
      <c r="E11015" s="49">
        <v>44463</v>
      </c>
      <c r="F11015" t="s">
        <v>7407</v>
      </c>
      <c r="G11015" t="s">
        <v>1805</v>
      </c>
      <c r="H11015">
        <v>7</v>
      </c>
      <c r="I11015">
        <v>113.2</v>
      </c>
      <c r="J11015" s="50">
        <v>792.4</v>
      </c>
      <c r="K11015" t="s">
        <v>1618</v>
      </c>
      <c r="L11015" t="s">
        <v>7408</v>
      </c>
      <c r="M11015" t="s">
        <v>1619</v>
      </c>
      <c r="N11015">
        <v>59.74</v>
      </c>
      <c r="O11015" s="49">
        <v>44468</v>
      </c>
      <c r="P11015" s="50">
        <v>356.58</v>
      </c>
    </row>
    <row r="11016" spans="4:16" x14ac:dyDescent="0.2">
      <c r="D11016">
        <v>100006611</v>
      </c>
      <c r="E11016" s="49">
        <v>44786</v>
      </c>
      <c r="F11016" t="s">
        <v>7409</v>
      </c>
      <c r="G11016" t="s">
        <v>2202</v>
      </c>
      <c r="H11016">
        <v>10</v>
      </c>
      <c r="I11016">
        <v>93.15</v>
      </c>
      <c r="J11016" s="50">
        <v>931.5</v>
      </c>
      <c r="K11016" t="s">
        <v>1618</v>
      </c>
      <c r="M11016" t="s">
        <v>1619</v>
      </c>
      <c r="N11016">
        <v>49.16</v>
      </c>
      <c r="O11016" s="49">
        <v>44787</v>
      </c>
      <c r="P11016" s="50">
        <v>419.17500000000001</v>
      </c>
    </row>
    <row r="11017" spans="4:16" x14ac:dyDescent="0.2">
      <c r="D11017">
        <v>100006611</v>
      </c>
      <c r="E11017" s="49">
        <v>44658</v>
      </c>
      <c r="F11017" t="s">
        <v>7409</v>
      </c>
      <c r="G11017" t="s">
        <v>1812</v>
      </c>
      <c r="H11017">
        <v>5</v>
      </c>
      <c r="I11017">
        <v>71.930000000000007</v>
      </c>
      <c r="J11017" s="50">
        <v>359.65</v>
      </c>
      <c r="K11017" t="s">
        <v>1618</v>
      </c>
      <c r="M11017" t="s">
        <v>1629</v>
      </c>
      <c r="N11017">
        <v>37.96</v>
      </c>
      <c r="O11017" s="49">
        <v>44663</v>
      </c>
      <c r="P11017" s="50">
        <v>161.8425</v>
      </c>
    </row>
    <row r="11018" spans="4:16" x14ac:dyDescent="0.2">
      <c r="D11018">
        <v>100006613</v>
      </c>
      <c r="E11018" s="49">
        <v>44795</v>
      </c>
      <c r="F11018" t="s">
        <v>7410</v>
      </c>
      <c r="G11018" t="s">
        <v>2112</v>
      </c>
      <c r="H11018">
        <v>1</v>
      </c>
      <c r="I11018">
        <v>68.77</v>
      </c>
      <c r="J11018" s="50">
        <v>68.77</v>
      </c>
      <c r="K11018" t="s">
        <v>1618</v>
      </c>
      <c r="M11018" t="s">
        <v>1624</v>
      </c>
      <c r="N11018">
        <v>36.299999999999997</v>
      </c>
      <c r="O11018" s="49">
        <v>44796</v>
      </c>
      <c r="P11018" s="50">
        <v>30.9465</v>
      </c>
    </row>
    <row r="11019" spans="4:16" x14ac:dyDescent="0.2">
      <c r="D11019">
        <v>100006615</v>
      </c>
      <c r="E11019" s="49">
        <v>44916</v>
      </c>
      <c r="F11019" t="s">
        <v>7411</v>
      </c>
      <c r="G11019" t="s">
        <v>1948</v>
      </c>
      <c r="H11019">
        <v>7</v>
      </c>
      <c r="I11019">
        <v>79.88</v>
      </c>
      <c r="J11019" s="50">
        <v>559.16</v>
      </c>
      <c r="K11019" t="s">
        <v>1632</v>
      </c>
      <c r="M11019" t="s">
        <v>1621</v>
      </c>
      <c r="N11019">
        <v>42.16</v>
      </c>
      <c r="O11019" s="49">
        <v>44920</v>
      </c>
      <c r="P11019" s="50">
        <v>251.62199999999999</v>
      </c>
    </row>
    <row r="11020" spans="4:16" x14ac:dyDescent="0.2">
      <c r="D11020">
        <v>100006615</v>
      </c>
      <c r="E11020" s="49">
        <v>44990</v>
      </c>
      <c r="F11020" t="s">
        <v>7411</v>
      </c>
      <c r="G11020" t="s">
        <v>1675</v>
      </c>
      <c r="H11020">
        <v>7</v>
      </c>
      <c r="I11020">
        <v>83.92</v>
      </c>
      <c r="J11020" s="50">
        <v>587.44000000000005</v>
      </c>
      <c r="K11020" t="s">
        <v>1632</v>
      </c>
      <c r="M11020" t="s">
        <v>1629</v>
      </c>
      <c r="N11020">
        <v>44.29</v>
      </c>
      <c r="O11020" s="49">
        <v>44995</v>
      </c>
      <c r="P11020" s="50">
        <v>264.34800000000001</v>
      </c>
    </row>
    <row r="11021" spans="4:16" x14ac:dyDescent="0.2">
      <c r="D11021">
        <v>100006615</v>
      </c>
      <c r="E11021" s="49">
        <v>44350</v>
      </c>
      <c r="F11021" t="s">
        <v>7411</v>
      </c>
      <c r="G11021" t="s">
        <v>2090</v>
      </c>
      <c r="H11021">
        <v>4</v>
      </c>
      <c r="I11021">
        <v>28.51</v>
      </c>
      <c r="J11021" s="50">
        <v>114.04</v>
      </c>
      <c r="K11021" t="s">
        <v>1632</v>
      </c>
      <c r="M11021" t="s">
        <v>1627</v>
      </c>
      <c r="N11021">
        <v>15.05</v>
      </c>
      <c r="O11021" s="49">
        <v>44351</v>
      </c>
      <c r="P11021" s="50">
        <v>51.318000000000005</v>
      </c>
    </row>
    <row r="11022" spans="4:16" x14ac:dyDescent="0.2">
      <c r="D11022">
        <v>100006615</v>
      </c>
      <c r="E11022" s="49">
        <v>45180</v>
      </c>
      <c r="F11022" t="s">
        <v>7411</v>
      </c>
      <c r="G11022" t="s">
        <v>1838</v>
      </c>
      <c r="H11022">
        <v>7</v>
      </c>
      <c r="I11022">
        <v>30.6</v>
      </c>
      <c r="J11022" s="50">
        <v>214.2</v>
      </c>
      <c r="K11022" t="s">
        <v>1632</v>
      </c>
      <c r="M11022" t="s">
        <v>1629</v>
      </c>
      <c r="N11022">
        <v>16.149999999999999</v>
      </c>
      <c r="O11022" s="49">
        <v>45184</v>
      </c>
      <c r="P11022" s="50">
        <v>96.39</v>
      </c>
    </row>
    <row r="11023" spans="4:16" x14ac:dyDescent="0.2">
      <c r="D11023">
        <v>100006615</v>
      </c>
      <c r="E11023" s="49">
        <v>45293</v>
      </c>
      <c r="F11023" t="s">
        <v>7411</v>
      </c>
      <c r="G11023" t="s">
        <v>1866</v>
      </c>
      <c r="H11023">
        <v>9</v>
      </c>
      <c r="I11023">
        <v>69.59</v>
      </c>
      <c r="J11023" s="50">
        <v>626.31000000000006</v>
      </c>
      <c r="K11023" t="s">
        <v>1632</v>
      </c>
      <c r="M11023" t="s">
        <v>1621</v>
      </c>
      <c r="N11023">
        <v>36.729999999999997</v>
      </c>
      <c r="O11023" s="49">
        <v>45294</v>
      </c>
      <c r="P11023" s="50">
        <v>281.83950000000004</v>
      </c>
    </row>
    <row r="11024" spans="4:16" x14ac:dyDescent="0.2">
      <c r="D11024">
        <v>100006616</v>
      </c>
      <c r="E11024" s="49">
        <v>44867</v>
      </c>
      <c r="F11024" t="s">
        <v>7412</v>
      </c>
      <c r="G11024" t="s">
        <v>1844</v>
      </c>
      <c r="H11024">
        <v>8</v>
      </c>
      <c r="I11024">
        <v>23.7</v>
      </c>
      <c r="J11024" s="50">
        <v>189.6</v>
      </c>
      <c r="K11024" t="s">
        <v>1618</v>
      </c>
      <c r="M11024" t="s">
        <v>1627</v>
      </c>
      <c r="N11024">
        <v>12.51</v>
      </c>
      <c r="O11024" s="49">
        <v>44871</v>
      </c>
      <c r="P11024" s="50">
        <v>85.32</v>
      </c>
    </row>
    <row r="11025" spans="4:16" x14ac:dyDescent="0.2">
      <c r="D11025">
        <v>100006616</v>
      </c>
      <c r="E11025" s="49">
        <v>45509</v>
      </c>
      <c r="F11025" t="s">
        <v>7412</v>
      </c>
      <c r="G11025" t="s">
        <v>1712</v>
      </c>
      <c r="H11025">
        <v>3</v>
      </c>
      <c r="I11025">
        <v>111.36</v>
      </c>
      <c r="J11025" s="50">
        <v>334.08</v>
      </c>
      <c r="K11025" t="s">
        <v>1618</v>
      </c>
      <c r="M11025" t="s">
        <v>1619</v>
      </c>
      <c r="N11025">
        <v>58.77</v>
      </c>
      <c r="O11025" s="49">
        <v>45512</v>
      </c>
      <c r="P11025" s="50">
        <v>150.33599999999998</v>
      </c>
    </row>
    <row r="11026" spans="4:16" x14ac:dyDescent="0.2">
      <c r="D11026">
        <v>100006616</v>
      </c>
      <c r="E11026" s="49">
        <v>44234</v>
      </c>
      <c r="F11026" t="s">
        <v>7412</v>
      </c>
      <c r="G11026" t="s">
        <v>1955</v>
      </c>
      <c r="H11026">
        <v>1</v>
      </c>
      <c r="I11026">
        <v>10.43</v>
      </c>
      <c r="J11026" s="50">
        <v>10.43</v>
      </c>
      <c r="K11026" t="s">
        <v>1618</v>
      </c>
      <c r="M11026" t="s">
        <v>1627</v>
      </c>
      <c r="N11026">
        <v>5.5</v>
      </c>
      <c r="O11026" s="49">
        <v>44239</v>
      </c>
      <c r="P11026" s="50">
        <v>4.6935000000000002</v>
      </c>
    </row>
    <row r="11027" spans="4:16" x14ac:dyDescent="0.2">
      <c r="D11027">
        <v>100006616</v>
      </c>
      <c r="E11027" s="49">
        <v>45279</v>
      </c>
      <c r="F11027" t="s">
        <v>7412</v>
      </c>
      <c r="G11027" t="s">
        <v>1634</v>
      </c>
      <c r="H11027">
        <v>1</v>
      </c>
      <c r="I11027">
        <v>26.98</v>
      </c>
      <c r="J11027" s="50">
        <v>26.98</v>
      </c>
      <c r="K11027" t="s">
        <v>1618</v>
      </c>
      <c r="M11027" t="s">
        <v>1624</v>
      </c>
      <c r="N11027">
        <v>14.24</v>
      </c>
      <c r="O11027" s="49">
        <v>45280</v>
      </c>
      <c r="P11027" s="50">
        <v>12.141</v>
      </c>
    </row>
    <row r="11028" spans="4:16" x14ac:dyDescent="0.2">
      <c r="D11028">
        <v>100006617</v>
      </c>
      <c r="E11028" s="49">
        <v>44758</v>
      </c>
      <c r="F11028" t="s">
        <v>7413</v>
      </c>
      <c r="G11028" t="s">
        <v>1937</v>
      </c>
      <c r="H11028">
        <v>6</v>
      </c>
      <c r="I11028">
        <v>88.43</v>
      </c>
      <c r="J11028" s="50">
        <v>530.58000000000004</v>
      </c>
      <c r="K11028" t="s">
        <v>1618</v>
      </c>
      <c r="M11028" t="s">
        <v>1624</v>
      </c>
      <c r="N11028">
        <v>46.67</v>
      </c>
      <c r="O11028" s="49">
        <v>44761</v>
      </c>
      <c r="P11028" s="50">
        <v>238.76100000000002</v>
      </c>
    </row>
    <row r="11029" spans="4:16" x14ac:dyDescent="0.2">
      <c r="D11029">
        <v>100006617</v>
      </c>
      <c r="E11029" s="49">
        <v>45047</v>
      </c>
      <c r="F11029" t="s">
        <v>7413</v>
      </c>
      <c r="G11029" t="s">
        <v>2553</v>
      </c>
      <c r="H11029">
        <v>6</v>
      </c>
      <c r="I11029">
        <v>44.44</v>
      </c>
      <c r="J11029" s="50">
        <v>266.64</v>
      </c>
      <c r="K11029" t="s">
        <v>1618</v>
      </c>
      <c r="M11029" t="s">
        <v>1619</v>
      </c>
      <c r="N11029">
        <v>23.45</v>
      </c>
      <c r="O11029" s="49">
        <v>45051</v>
      </c>
      <c r="P11029" s="50">
        <v>119.988</v>
      </c>
    </row>
    <row r="11030" spans="4:16" x14ac:dyDescent="0.2">
      <c r="D11030">
        <v>100006618</v>
      </c>
      <c r="E11030" s="49">
        <v>44630</v>
      </c>
      <c r="F11030" t="s">
        <v>7414</v>
      </c>
      <c r="G11030" t="s">
        <v>1731</v>
      </c>
      <c r="H11030">
        <v>5</v>
      </c>
      <c r="I11030">
        <v>14.24</v>
      </c>
      <c r="J11030" s="50">
        <v>71.2</v>
      </c>
      <c r="K11030" t="s">
        <v>1618</v>
      </c>
      <c r="M11030" t="s">
        <v>1627</v>
      </c>
      <c r="N11030">
        <v>7.52</v>
      </c>
      <c r="O11030" s="49">
        <v>44634</v>
      </c>
      <c r="P11030" s="50">
        <v>32.04</v>
      </c>
    </row>
    <row r="11031" spans="4:16" x14ac:dyDescent="0.2">
      <c r="D11031">
        <v>100006619</v>
      </c>
      <c r="E11031" s="49">
        <v>44446</v>
      </c>
      <c r="F11031" t="s">
        <v>7415</v>
      </c>
      <c r="G11031" t="s">
        <v>1628</v>
      </c>
      <c r="H11031">
        <v>1</v>
      </c>
      <c r="I11031">
        <v>100.11</v>
      </c>
      <c r="J11031" s="50">
        <v>100.11</v>
      </c>
      <c r="K11031" t="s">
        <v>1618</v>
      </c>
      <c r="L11031" t="s">
        <v>5861</v>
      </c>
      <c r="M11031" t="s">
        <v>1624</v>
      </c>
      <c r="N11031">
        <v>52.84</v>
      </c>
      <c r="O11031" s="49">
        <v>44451</v>
      </c>
      <c r="P11031" s="50">
        <v>45.049500000000002</v>
      </c>
    </row>
    <row r="11032" spans="4:16" x14ac:dyDescent="0.2">
      <c r="D11032">
        <v>100006620</v>
      </c>
      <c r="E11032" s="49">
        <v>44784</v>
      </c>
      <c r="F11032" t="s">
        <v>7416</v>
      </c>
      <c r="G11032" t="s">
        <v>2269</v>
      </c>
      <c r="H11032">
        <v>3</v>
      </c>
      <c r="I11032">
        <v>27.16</v>
      </c>
      <c r="J11032" s="50">
        <v>81.48</v>
      </c>
      <c r="K11032" t="s">
        <v>1632</v>
      </c>
      <c r="M11032" t="s">
        <v>1629</v>
      </c>
      <c r="N11032">
        <v>14.33</v>
      </c>
      <c r="O11032" s="49">
        <v>44785</v>
      </c>
      <c r="P11032" s="50">
        <v>36.666000000000004</v>
      </c>
    </row>
    <row r="11033" spans="4:16" x14ac:dyDescent="0.2">
      <c r="D11033">
        <v>100006620</v>
      </c>
      <c r="E11033" s="49">
        <v>45444</v>
      </c>
      <c r="F11033" t="s">
        <v>7416</v>
      </c>
      <c r="G11033" t="s">
        <v>2074</v>
      </c>
      <c r="H11033">
        <v>6</v>
      </c>
      <c r="I11033">
        <v>45.4</v>
      </c>
      <c r="J11033" s="50">
        <v>272.39999999999998</v>
      </c>
      <c r="K11033" t="s">
        <v>1632</v>
      </c>
      <c r="M11033" t="s">
        <v>1619</v>
      </c>
      <c r="N11033">
        <v>23.96</v>
      </c>
      <c r="O11033" s="49">
        <v>45446</v>
      </c>
      <c r="P11033" s="50">
        <v>122.58</v>
      </c>
    </row>
    <row r="11034" spans="4:16" x14ac:dyDescent="0.2">
      <c r="D11034">
        <v>100006620</v>
      </c>
      <c r="E11034" s="49">
        <v>44342</v>
      </c>
      <c r="F11034" t="s">
        <v>7416</v>
      </c>
      <c r="G11034" t="s">
        <v>2074</v>
      </c>
      <c r="H11034">
        <v>5</v>
      </c>
      <c r="I11034">
        <v>95.95</v>
      </c>
      <c r="J11034" s="50">
        <v>479.75</v>
      </c>
      <c r="K11034" t="s">
        <v>1632</v>
      </c>
      <c r="M11034" t="s">
        <v>1627</v>
      </c>
      <c r="N11034">
        <v>50.64</v>
      </c>
      <c r="O11034" s="49">
        <v>44343</v>
      </c>
      <c r="P11034" s="50">
        <v>215.88750000000002</v>
      </c>
    </row>
    <row r="11035" spans="4:16" x14ac:dyDescent="0.2">
      <c r="D11035">
        <v>100006621</v>
      </c>
      <c r="E11035" s="49">
        <v>45655</v>
      </c>
      <c r="F11035" t="s">
        <v>7417</v>
      </c>
      <c r="G11035" t="s">
        <v>2121</v>
      </c>
      <c r="H11035">
        <v>2</v>
      </c>
      <c r="I11035">
        <v>106.7</v>
      </c>
      <c r="J11035" s="50">
        <v>213.4</v>
      </c>
      <c r="K11035" t="s">
        <v>1618</v>
      </c>
      <c r="M11035" t="s">
        <v>1629</v>
      </c>
      <c r="N11035">
        <v>56.31</v>
      </c>
      <c r="O11035" s="49">
        <v>45658</v>
      </c>
      <c r="P11035" s="50">
        <v>96.03</v>
      </c>
    </row>
    <row r="11036" spans="4:16" x14ac:dyDescent="0.2">
      <c r="D11036">
        <v>100006624</v>
      </c>
      <c r="E11036" s="49">
        <v>45012</v>
      </c>
      <c r="F11036" t="s">
        <v>3356</v>
      </c>
      <c r="G11036" t="s">
        <v>2163</v>
      </c>
      <c r="H11036">
        <v>6</v>
      </c>
      <c r="I11036">
        <v>89.76</v>
      </c>
      <c r="J11036" s="50">
        <v>538.56000000000006</v>
      </c>
      <c r="K11036" t="s">
        <v>1618</v>
      </c>
      <c r="M11036" t="s">
        <v>1619</v>
      </c>
      <c r="N11036">
        <v>47.37</v>
      </c>
      <c r="O11036" s="49">
        <v>45013</v>
      </c>
      <c r="P11036" s="50">
        <v>242.35200000000003</v>
      </c>
    </row>
    <row r="11037" spans="4:16" x14ac:dyDescent="0.2">
      <c r="D11037">
        <v>100006626</v>
      </c>
      <c r="E11037" s="49">
        <v>44318</v>
      </c>
      <c r="F11037" t="s">
        <v>7418</v>
      </c>
      <c r="G11037" t="s">
        <v>2436</v>
      </c>
      <c r="H11037">
        <v>6</v>
      </c>
      <c r="I11037">
        <v>113.52</v>
      </c>
      <c r="J11037" s="50">
        <v>681.12</v>
      </c>
      <c r="K11037" t="s">
        <v>1632</v>
      </c>
      <c r="M11037" t="s">
        <v>1619</v>
      </c>
      <c r="N11037">
        <v>59.91</v>
      </c>
      <c r="O11037" s="49">
        <v>44322</v>
      </c>
      <c r="P11037" s="50">
        <v>306.50400000000002</v>
      </c>
    </row>
    <row r="11038" spans="4:16" x14ac:dyDescent="0.2">
      <c r="D11038">
        <v>100006627</v>
      </c>
      <c r="E11038" s="49">
        <v>44235</v>
      </c>
      <c r="F11038" t="s">
        <v>7419</v>
      </c>
      <c r="G11038" t="s">
        <v>2393</v>
      </c>
      <c r="H11038">
        <v>2</v>
      </c>
      <c r="I11038">
        <v>115.22</v>
      </c>
      <c r="J11038" s="50">
        <v>230.44</v>
      </c>
      <c r="K11038" t="s">
        <v>1632</v>
      </c>
      <c r="M11038" t="s">
        <v>1624</v>
      </c>
      <c r="N11038">
        <v>60.81</v>
      </c>
      <c r="O11038" s="49">
        <v>44240</v>
      </c>
      <c r="P11038" s="50">
        <v>103.69800000000001</v>
      </c>
    </row>
    <row r="11039" spans="4:16" x14ac:dyDescent="0.2">
      <c r="D11039">
        <v>100006627</v>
      </c>
      <c r="E11039" s="49">
        <v>44453</v>
      </c>
      <c r="F11039" t="s">
        <v>7419</v>
      </c>
      <c r="G11039" t="s">
        <v>1797</v>
      </c>
      <c r="H11039">
        <v>7</v>
      </c>
      <c r="I11039">
        <v>20</v>
      </c>
      <c r="J11039" s="50">
        <v>140</v>
      </c>
      <c r="K11039" t="s">
        <v>1632</v>
      </c>
      <c r="M11039" t="s">
        <v>1624</v>
      </c>
      <c r="N11039">
        <v>10.56</v>
      </c>
      <c r="O11039" s="49">
        <v>44454</v>
      </c>
      <c r="P11039" s="50">
        <v>63</v>
      </c>
    </row>
    <row r="11040" spans="4:16" x14ac:dyDescent="0.2">
      <c r="D11040">
        <v>100006628</v>
      </c>
      <c r="E11040" s="49">
        <v>44312</v>
      </c>
      <c r="F11040" t="s">
        <v>3851</v>
      </c>
      <c r="G11040" t="s">
        <v>1709</v>
      </c>
      <c r="H11040">
        <v>2</v>
      </c>
      <c r="I11040">
        <v>22.51</v>
      </c>
      <c r="J11040" s="50">
        <v>45.02</v>
      </c>
      <c r="K11040" t="s">
        <v>1632</v>
      </c>
      <c r="M11040" t="s">
        <v>1629</v>
      </c>
      <c r="N11040">
        <v>11.88</v>
      </c>
      <c r="O11040" s="49">
        <v>44316</v>
      </c>
      <c r="P11040" s="50">
        <v>20.259</v>
      </c>
    </row>
    <row r="11041" spans="4:16" x14ac:dyDescent="0.2">
      <c r="D11041">
        <v>100006628</v>
      </c>
      <c r="E11041" s="49">
        <v>44611</v>
      </c>
      <c r="F11041" t="s">
        <v>3851</v>
      </c>
      <c r="G11041" t="s">
        <v>1721</v>
      </c>
      <c r="H11041">
        <v>10</v>
      </c>
      <c r="I11041">
        <v>63.53</v>
      </c>
      <c r="J11041" s="50">
        <v>635.29999999999995</v>
      </c>
      <c r="K11041" t="s">
        <v>1632</v>
      </c>
      <c r="M11041" t="s">
        <v>1621</v>
      </c>
      <c r="N11041">
        <v>33.53</v>
      </c>
      <c r="O11041" s="49">
        <v>44614</v>
      </c>
      <c r="P11041" s="50">
        <v>285.88499999999999</v>
      </c>
    </row>
    <row r="11042" spans="4:16" x14ac:dyDescent="0.2">
      <c r="D11042">
        <v>100006628</v>
      </c>
      <c r="E11042" s="49">
        <v>45442</v>
      </c>
      <c r="F11042" t="s">
        <v>3851</v>
      </c>
      <c r="G11042" t="s">
        <v>1691</v>
      </c>
      <c r="H11042">
        <v>8</v>
      </c>
      <c r="I11042">
        <v>100.19</v>
      </c>
      <c r="J11042" s="50">
        <v>801.52</v>
      </c>
      <c r="K11042" t="s">
        <v>1632</v>
      </c>
      <c r="M11042" t="s">
        <v>1627</v>
      </c>
      <c r="N11042">
        <v>52.88</v>
      </c>
      <c r="O11042" s="49">
        <v>45444</v>
      </c>
      <c r="P11042" s="50">
        <v>360.68400000000003</v>
      </c>
    </row>
    <row r="11043" spans="4:16" x14ac:dyDescent="0.2">
      <c r="D11043">
        <v>100006628</v>
      </c>
      <c r="E11043" s="49">
        <v>44265</v>
      </c>
      <c r="F11043" t="s">
        <v>3851</v>
      </c>
      <c r="G11043" t="s">
        <v>2581</v>
      </c>
      <c r="H11043">
        <v>8</v>
      </c>
      <c r="I11043">
        <v>90.11</v>
      </c>
      <c r="J11043" s="50">
        <v>720.88</v>
      </c>
      <c r="K11043" t="s">
        <v>1632</v>
      </c>
      <c r="M11043" t="s">
        <v>1619</v>
      </c>
      <c r="N11043">
        <v>47.56</v>
      </c>
      <c r="O11043" s="49">
        <v>44266</v>
      </c>
      <c r="P11043" s="50">
        <v>324.39600000000002</v>
      </c>
    </row>
    <row r="11044" spans="4:16" x14ac:dyDescent="0.2">
      <c r="D11044">
        <v>100006628</v>
      </c>
      <c r="E11044" s="49">
        <v>45548</v>
      </c>
      <c r="F11044" t="s">
        <v>3851</v>
      </c>
      <c r="G11044" t="s">
        <v>1617</v>
      </c>
      <c r="H11044">
        <v>1</v>
      </c>
      <c r="I11044">
        <v>21.47</v>
      </c>
      <c r="J11044" s="50">
        <v>21.47</v>
      </c>
      <c r="K11044" t="s">
        <v>1632</v>
      </c>
      <c r="M11044" t="s">
        <v>1619</v>
      </c>
      <c r="N11044">
        <v>11.33</v>
      </c>
      <c r="O11044" s="49">
        <v>45552</v>
      </c>
      <c r="P11044" s="50">
        <v>9.6615000000000002</v>
      </c>
    </row>
    <row r="11045" spans="4:16" x14ac:dyDescent="0.2">
      <c r="D11045">
        <v>100006628</v>
      </c>
      <c r="E11045" s="49">
        <v>45639</v>
      </c>
      <c r="F11045" t="s">
        <v>3851</v>
      </c>
      <c r="G11045" t="s">
        <v>1817</v>
      </c>
      <c r="H11045">
        <v>5</v>
      </c>
      <c r="I11045">
        <v>54.63</v>
      </c>
      <c r="J11045" s="50">
        <v>273.14999999999998</v>
      </c>
      <c r="K11045" t="s">
        <v>1632</v>
      </c>
      <c r="M11045" t="s">
        <v>1619</v>
      </c>
      <c r="N11045">
        <v>28.83</v>
      </c>
      <c r="O11045" s="49">
        <v>45642</v>
      </c>
      <c r="P11045" s="50">
        <v>122.91749999999999</v>
      </c>
    </row>
    <row r="11046" spans="4:16" x14ac:dyDescent="0.2">
      <c r="D11046">
        <v>100006629</v>
      </c>
      <c r="E11046" s="49">
        <v>45260</v>
      </c>
      <c r="F11046" t="s">
        <v>7420</v>
      </c>
      <c r="G11046" t="s">
        <v>2207</v>
      </c>
      <c r="H11046">
        <v>3</v>
      </c>
      <c r="I11046">
        <v>100.34</v>
      </c>
      <c r="J11046" s="50">
        <v>301.02</v>
      </c>
      <c r="K11046" t="s">
        <v>1618</v>
      </c>
      <c r="M11046" t="s">
        <v>1629</v>
      </c>
      <c r="N11046">
        <v>52.96</v>
      </c>
      <c r="O11046" s="49">
        <v>45264</v>
      </c>
      <c r="P11046" s="50">
        <v>135.459</v>
      </c>
    </row>
    <row r="11047" spans="4:16" x14ac:dyDescent="0.2">
      <c r="D11047">
        <v>100006629</v>
      </c>
      <c r="E11047" s="49">
        <v>45631</v>
      </c>
      <c r="F11047" t="s">
        <v>7420</v>
      </c>
      <c r="G11047" t="s">
        <v>1671</v>
      </c>
      <c r="H11047">
        <v>3</v>
      </c>
      <c r="I11047">
        <v>35.979999999999997</v>
      </c>
      <c r="J11047" s="50">
        <v>107.94</v>
      </c>
      <c r="K11047" t="s">
        <v>1618</v>
      </c>
      <c r="M11047" t="s">
        <v>1627</v>
      </c>
      <c r="N11047">
        <v>18.989999999999998</v>
      </c>
      <c r="O11047" s="49">
        <v>45632</v>
      </c>
      <c r="P11047" s="50">
        <v>48.573</v>
      </c>
    </row>
    <row r="11048" spans="4:16" x14ac:dyDescent="0.2">
      <c r="D11048">
        <v>100006630</v>
      </c>
      <c r="E11048" s="49">
        <v>44238</v>
      </c>
      <c r="F11048" t="s">
        <v>7421</v>
      </c>
      <c r="G11048" t="s">
        <v>2485</v>
      </c>
      <c r="H11048">
        <v>10</v>
      </c>
      <c r="I11048">
        <v>70.27</v>
      </c>
      <c r="J11048" s="50">
        <v>702.69999999999993</v>
      </c>
      <c r="K11048" t="s">
        <v>1618</v>
      </c>
      <c r="M11048" t="s">
        <v>1619</v>
      </c>
      <c r="N11048">
        <v>37.090000000000003</v>
      </c>
      <c r="O11048" s="49">
        <v>44241</v>
      </c>
      <c r="P11048" s="50">
        <v>316.21499999999997</v>
      </c>
    </row>
    <row r="11049" spans="4:16" x14ac:dyDescent="0.2">
      <c r="D11049">
        <v>100006630</v>
      </c>
      <c r="E11049" s="49">
        <v>44638</v>
      </c>
      <c r="F11049" t="s">
        <v>7421</v>
      </c>
      <c r="G11049" t="s">
        <v>1695</v>
      </c>
      <c r="H11049">
        <v>1</v>
      </c>
      <c r="I11049">
        <v>53.24</v>
      </c>
      <c r="J11049" s="50">
        <v>53.24</v>
      </c>
      <c r="K11049" t="s">
        <v>1618</v>
      </c>
      <c r="M11049" t="s">
        <v>1619</v>
      </c>
      <c r="N11049">
        <v>28.1</v>
      </c>
      <c r="O11049" s="49">
        <v>44641</v>
      </c>
      <c r="P11049" s="50">
        <v>23.958000000000002</v>
      </c>
    </row>
    <row r="11050" spans="4:16" x14ac:dyDescent="0.2">
      <c r="D11050">
        <v>100006631</v>
      </c>
      <c r="E11050" s="49">
        <v>44774</v>
      </c>
      <c r="F11050" t="s">
        <v>7422</v>
      </c>
      <c r="G11050" t="s">
        <v>1676</v>
      </c>
      <c r="H11050">
        <v>5</v>
      </c>
      <c r="I11050">
        <v>42.24</v>
      </c>
      <c r="J11050" s="50">
        <v>211.2</v>
      </c>
      <c r="K11050" t="s">
        <v>1618</v>
      </c>
      <c r="M11050" t="s">
        <v>1619</v>
      </c>
      <c r="N11050">
        <v>22.29</v>
      </c>
      <c r="O11050" s="49">
        <v>44775</v>
      </c>
      <c r="P11050" s="50">
        <v>95.039999999999992</v>
      </c>
    </row>
    <row r="11051" spans="4:16" x14ac:dyDescent="0.2">
      <c r="D11051">
        <v>100006631</v>
      </c>
      <c r="E11051" s="49">
        <v>44767</v>
      </c>
      <c r="F11051" t="s">
        <v>7422</v>
      </c>
      <c r="G11051" t="s">
        <v>2263</v>
      </c>
      <c r="H11051">
        <v>8</v>
      </c>
      <c r="I11051">
        <v>76.45</v>
      </c>
      <c r="J11051" s="50">
        <v>611.6</v>
      </c>
      <c r="K11051" t="s">
        <v>1618</v>
      </c>
      <c r="M11051" t="s">
        <v>1621</v>
      </c>
      <c r="N11051">
        <v>40.35</v>
      </c>
      <c r="O11051" s="49">
        <v>44771</v>
      </c>
      <c r="P11051" s="50">
        <v>275.22000000000003</v>
      </c>
    </row>
    <row r="11052" spans="4:16" x14ac:dyDescent="0.2">
      <c r="D11052">
        <v>100006631</v>
      </c>
      <c r="E11052" s="49">
        <v>45211</v>
      </c>
      <c r="F11052" t="s">
        <v>7422</v>
      </c>
      <c r="G11052" t="s">
        <v>1661</v>
      </c>
      <c r="H11052">
        <v>7</v>
      </c>
      <c r="I11052">
        <v>108.82</v>
      </c>
      <c r="J11052" s="50">
        <v>761.74</v>
      </c>
      <c r="K11052" t="s">
        <v>1618</v>
      </c>
      <c r="M11052" t="s">
        <v>1629</v>
      </c>
      <c r="N11052">
        <v>57.43</v>
      </c>
      <c r="O11052" s="49">
        <v>45212</v>
      </c>
      <c r="P11052" s="50">
        <v>342.78300000000002</v>
      </c>
    </row>
    <row r="11053" spans="4:16" x14ac:dyDescent="0.2">
      <c r="D11053">
        <v>100006632</v>
      </c>
      <c r="E11053" s="49">
        <v>45244</v>
      </c>
      <c r="F11053" t="s">
        <v>7423</v>
      </c>
      <c r="G11053" t="s">
        <v>1830</v>
      </c>
      <c r="H11053">
        <v>3</v>
      </c>
      <c r="I11053">
        <v>64.48</v>
      </c>
      <c r="J11053" s="50">
        <v>193.44</v>
      </c>
      <c r="K11053" t="s">
        <v>1618</v>
      </c>
      <c r="M11053" t="s">
        <v>1627</v>
      </c>
      <c r="N11053">
        <v>34.03</v>
      </c>
      <c r="O11053" s="49">
        <v>45245</v>
      </c>
      <c r="P11053" s="50">
        <v>87.048000000000002</v>
      </c>
    </row>
    <row r="11054" spans="4:16" x14ac:dyDescent="0.2">
      <c r="D11054">
        <v>100006632</v>
      </c>
      <c r="E11054" s="49">
        <v>44496</v>
      </c>
      <c r="F11054" t="s">
        <v>7423</v>
      </c>
      <c r="G11054" t="s">
        <v>2147</v>
      </c>
      <c r="H11054">
        <v>6</v>
      </c>
      <c r="I11054">
        <v>45.57</v>
      </c>
      <c r="J11054" s="50">
        <v>273.42</v>
      </c>
      <c r="K11054" t="s">
        <v>1618</v>
      </c>
      <c r="M11054" t="s">
        <v>1627</v>
      </c>
      <c r="N11054">
        <v>24.05</v>
      </c>
      <c r="O11054" s="49">
        <v>44497</v>
      </c>
      <c r="P11054" s="50">
        <v>123.03900000000002</v>
      </c>
    </row>
    <row r="11055" spans="4:16" x14ac:dyDescent="0.2">
      <c r="D11055">
        <v>100006633</v>
      </c>
      <c r="E11055" s="49">
        <v>44335</v>
      </c>
      <c r="F11055" t="s">
        <v>6290</v>
      </c>
      <c r="G11055" t="s">
        <v>2603</v>
      </c>
      <c r="H11055">
        <v>1</v>
      </c>
      <c r="I11055">
        <v>98.08</v>
      </c>
      <c r="J11055" s="50">
        <v>98.08</v>
      </c>
      <c r="K11055" t="s">
        <v>1618</v>
      </c>
      <c r="M11055" t="s">
        <v>1624</v>
      </c>
      <c r="N11055">
        <v>51.76</v>
      </c>
      <c r="O11055" s="49">
        <v>44338</v>
      </c>
      <c r="P11055" s="50">
        <v>44.136000000000003</v>
      </c>
    </row>
    <row r="11056" spans="4:16" x14ac:dyDescent="0.2">
      <c r="D11056">
        <v>100006633</v>
      </c>
      <c r="E11056" s="49">
        <v>45512</v>
      </c>
      <c r="F11056" t="s">
        <v>6290</v>
      </c>
      <c r="G11056" t="s">
        <v>2436</v>
      </c>
      <c r="H11056">
        <v>3</v>
      </c>
      <c r="I11056">
        <v>94.93</v>
      </c>
      <c r="J11056" s="50">
        <v>284.79000000000002</v>
      </c>
      <c r="K11056" t="s">
        <v>1618</v>
      </c>
      <c r="M11056" t="s">
        <v>1627</v>
      </c>
      <c r="N11056">
        <v>50.1</v>
      </c>
      <c r="O11056" s="49">
        <v>45514</v>
      </c>
      <c r="P11056" s="50">
        <v>128.15550000000002</v>
      </c>
    </row>
    <row r="11057" spans="4:16" x14ac:dyDescent="0.2">
      <c r="D11057">
        <v>100006633</v>
      </c>
      <c r="E11057" s="49">
        <v>45463</v>
      </c>
      <c r="F11057" t="s">
        <v>6290</v>
      </c>
      <c r="G11057" t="s">
        <v>1667</v>
      </c>
      <c r="H11057">
        <v>9</v>
      </c>
      <c r="I11057">
        <v>18.350000000000001</v>
      </c>
      <c r="J11057" s="50">
        <v>165.15</v>
      </c>
      <c r="K11057" t="s">
        <v>1618</v>
      </c>
      <c r="M11057" t="s">
        <v>1621</v>
      </c>
      <c r="N11057">
        <v>9.68</v>
      </c>
      <c r="O11057" s="49">
        <v>45466</v>
      </c>
      <c r="P11057" s="50">
        <v>74.31750000000001</v>
      </c>
    </row>
    <row r="11058" spans="4:16" x14ac:dyDescent="0.2">
      <c r="D11058">
        <v>100006633</v>
      </c>
      <c r="E11058" s="49">
        <v>45076</v>
      </c>
      <c r="F11058" t="s">
        <v>6290</v>
      </c>
      <c r="G11058" t="s">
        <v>2581</v>
      </c>
      <c r="H11058">
        <v>10</v>
      </c>
      <c r="I11058">
        <v>17.21</v>
      </c>
      <c r="J11058" s="50">
        <v>172.1</v>
      </c>
      <c r="K11058" t="s">
        <v>1618</v>
      </c>
      <c r="M11058" t="s">
        <v>1619</v>
      </c>
      <c r="N11058">
        <v>9.08</v>
      </c>
      <c r="O11058" s="49">
        <v>45081</v>
      </c>
      <c r="P11058" s="50">
        <v>77.444999999999993</v>
      </c>
    </row>
    <row r="11059" spans="4:16" x14ac:dyDescent="0.2">
      <c r="D11059">
        <v>100006634</v>
      </c>
      <c r="E11059" s="49">
        <v>45417</v>
      </c>
      <c r="F11059" t="s">
        <v>7424</v>
      </c>
      <c r="G11059" t="s">
        <v>1756</v>
      </c>
      <c r="H11059">
        <v>5</v>
      </c>
      <c r="I11059">
        <v>55.9</v>
      </c>
      <c r="J11059" s="50">
        <v>279.5</v>
      </c>
      <c r="K11059" t="s">
        <v>1632</v>
      </c>
      <c r="L11059" t="s">
        <v>7425</v>
      </c>
      <c r="M11059" t="s">
        <v>1629</v>
      </c>
      <c r="N11059">
        <v>29.5</v>
      </c>
      <c r="O11059" s="49">
        <v>45420</v>
      </c>
      <c r="P11059" s="50">
        <v>125.77500000000001</v>
      </c>
    </row>
    <row r="11060" spans="4:16" x14ac:dyDescent="0.2">
      <c r="D11060">
        <v>100006634</v>
      </c>
      <c r="E11060" s="49">
        <v>44280</v>
      </c>
      <c r="F11060" t="s">
        <v>7424</v>
      </c>
      <c r="G11060" t="s">
        <v>2431</v>
      </c>
      <c r="H11060">
        <v>1</v>
      </c>
      <c r="I11060">
        <v>64.260000000000005</v>
      </c>
      <c r="J11060" s="50">
        <v>64.260000000000005</v>
      </c>
      <c r="K11060" t="s">
        <v>1632</v>
      </c>
      <c r="L11060" t="s">
        <v>7425</v>
      </c>
      <c r="M11060" t="s">
        <v>1624</v>
      </c>
      <c r="N11060">
        <v>33.909999999999997</v>
      </c>
      <c r="O11060" s="49">
        <v>44282</v>
      </c>
      <c r="P11060" s="50">
        <v>28.917000000000002</v>
      </c>
    </row>
    <row r="11061" spans="4:16" x14ac:dyDescent="0.2">
      <c r="D11061">
        <v>100006635</v>
      </c>
      <c r="E11061" s="49">
        <v>44384</v>
      </c>
      <c r="F11061" t="s">
        <v>7426</v>
      </c>
      <c r="G11061" t="s">
        <v>2323</v>
      </c>
      <c r="H11061">
        <v>7</v>
      </c>
      <c r="I11061">
        <v>50.53</v>
      </c>
      <c r="J11061" s="50">
        <v>353.71</v>
      </c>
      <c r="K11061" t="s">
        <v>1618</v>
      </c>
      <c r="L11061" t="s">
        <v>2127</v>
      </c>
      <c r="M11061" t="s">
        <v>1627</v>
      </c>
      <c r="N11061">
        <v>26.67</v>
      </c>
      <c r="O11061" s="49">
        <v>44386</v>
      </c>
      <c r="P11061" s="50">
        <v>159.1695</v>
      </c>
    </row>
    <row r="11062" spans="4:16" x14ac:dyDescent="0.2">
      <c r="D11062">
        <v>100006635</v>
      </c>
      <c r="E11062" s="49">
        <v>45586</v>
      </c>
      <c r="F11062" t="s">
        <v>7426</v>
      </c>
      <c r="G11062" t="s">
        <v>1731</v>
      </c>
      <c r="H11062">
        <v>2</v>
      </c>
      <c r="I11062">
        <v>113</v>
      </c>
      <c r="J11062" s="50">
        <v>226</v>
      </c>
      <c r="K11062" t="s">
        <v>1618</v>
      </c>
      <c r="L11062" t="s">
        <v>2127</v>
      </c>
      <c r="M11062" t="s">
        <v>1629</v>
      </c>
      <c r="N11062">
        <v>59.64</v>
      </c>
      <c r="O11062" s="49">
        <v>45590</v>
      </c>
      <c r="P11062" s="50">
        <v>101.7</v>
      </c>
    </row>
    <row r="11063" spans="4:16" x14ac:dyDescent="0.2">
      <c r="D11063">
        <v>100006636</v>
      </c>
      <c r="E11063" s="49">
        <v>44656</v>
      </c>
      <c r="F11063" t="s">
        <v>7427</v>
      </c>
      <c r="G11063" t="s">
        <v>1789</v>
      </c>
      <c r="H11063">
        <v>2</v>
      </c>
      <c r="I11063">
        <v>71.89</v>
      </c>
      <c r="J11063" s="50">
        <v>143.78</v>
      </c>
      <c r="K11063" t="s">
        <v>1632</v>
      </c>
      <c r="M11063" t="s">
        <v>1619</v>
      </c>
      <c r="N11063">
        <v>37.94</v>
      </c>
      <c r="O11063" s="49">
        <v>44657</v>
      </c>
      <c r="P11063" s="50">
        <v>64.701000000000008</v>
      </c>
    </row>
    <row r="11064" spans="4:16" x14ac:dyDescent="0.2">
      <c r="D11064">
        <v>100006637</v>
      </c>
      <c r="E11064" s="49">
        <v>44863</v>
      </c>
      <c r="F11064" t="s">
        <v>7097</v>
      </c>
      <c r="G11064" t="s">
        <v>1834</v>
      </c>
      <c r="H11064">
        <v>3</v>
      </c>
      <c r="I11064">
        <v>89.09</v>
      </c>
      <c r="J11064" s="50">
        <v>267.27</v>
      </c>
      <c r="K11064" t="s">
        <v>1618</v>
      </c>
      <c r="M11064" t="s">
        <v>1621</v>
      </c>
      <c r="N11064">
        <v>47.02</v>
      </c>
      <c r="O11064" s="49">
        <v>44868</v>
      </c>
      <c r="P11064" s="50">
        <v>120.27149999999999</v>
      </c>
    </row>
    <row r="11065" spans="4:16" x14ac:dyDescent="0.2">
      <c r="D11065">
        <v>100006638</v>
      </c>
      <c r="E11065" s="49">
        <v>44587</v>
      </c>
      <c r="F11065" t="s">
        <v>7428</v>
      </c>
      <c r="G11065" t="s">
        <v>2063</v>
      </c>
      <c r="H11065">
        <v>8</v>
      </c>
      <c r="I11065">
        <v>82.42</v>
      </c>
      <c r="J11065" s="50">
        <v>659.36</v>
      </c>
      <c r="K11065" t="s">
        <v>1618</v>
      </c>
      <c r="M11065" t="s">
        <v>1624</v>
      </c>
      <c r="N11065">
        <v>43.5</v>
      </c>
      <c r="O11065" s="49">
        <v>44591</v>
      </c>
      <c r="P11065" s="50">
        <v>296.71199999999999</v>
      </c>
    </row>
    <row r="11066" spans="4:16" x14ac:dyDescent="0.2">
      <c r="D11066">
        <v>100006640</v>
      </c>
      <c r="E11066" s="49">
        <v>45600</v>
      </c>
      <c r="F11066" t="s">
        <v>7429</v>
      </c>
      <c r="G11066" t="s">
        <v>2485</v>
      </c>
      <c r="H11066">
        <v>8</v>
      </c>
      <c r="I11066">
        <v>65.84</v>
      </c>
      <c r="J11066" s="50">
        <v>526.72</v>
      </c>
      <c r="K11066" t="s">
        <v>1632</v>
      </c>
      <c r="M11066" t="s">
        <v>1619</v>
      </c>
      <c r="N11066">
        <v>34.75</v>
      </c>
      <c r="O11066" s="49">
        <v>45605</v>
      </c>
      <c r="P11066" s="50">
        <v>237.02400000000003</v>
      </c>
    </row>
    <row r="11067" spans="4:16" x14ac:dyDescent="0.2">
      <c r="D11067">
        <v>100006640</v>
      </c>
      <c r="E11067" s="49">
        <v>44652</v>
      </c>
      <c r="F11067" t="s">
        <v>7429</v>
      </c>
      <c r="G11067" t="s">
        <v>2180</v>
      </c>
      <c r="H11067">
        <v>1</v>
      </c>
      <c r="I11067">
        <v>96.44</v>
      </c>
      <c r="J11067" s="50">
        <v>96.44</v>
      </c>
      <c r="K11067" t="s">
        <v>1632</v>
      </c>
      <c r="M11067" t="s">
        <v>1621</v>
      </c>
      <c r="N11067">
        <v>50.9</v>
      </c>
      <c r="O11067" s="49">
        <v>44657</v>
      </c>
      <c r="P11067" s="50">
        <v>43.398000000000003</v>
      </c>
    </row>
    <row r="11068" spans="4:16" x14ac:dyDescent="0.2">
      <c r="D11068">
        <v>100006640</v>
      </c>
      <c r="E11068" s="49">
        <v>44703</v>
      </c>
      <c r="F11068" t="s">
        <v>7429</v>
      </c>
      <c r="G11068" t="s">
        <v>1893</v>
      </c>
      <c r="H11068">
        <v>7</v>
      </c>
      <c r="I11068">
        <v>53.24</v>
      </c>
      <c r="J11068" s="50">
        <v>372.68</v>
      </c>
      <c r="K11068" t="s">
        <v>1632</v>
      </c>
      <c r="M11068" t="s">
        <v>1624</v>
      </c>
      <c r="N11068">
        <v>28.1</v>
      </c>
      <c r="O11068" s="49">
        <v>44707</v>
      </c>
      <c r="P11068" s="50">
        <v>167.70600000000002</v>
      </c>
    </row>
    <row r="11069" spans="4:16" x14ac:dyDescent="0.2">
      <c r="D11069">
        <v>100006640</v>
      </c>
      <c r="E11069" s="49">
        <v>44390</v>
      </c>
      <c r="F11069" t="s">
        <v>7429</v>
      </c>
      <c r="G11069" t="s">
        <v>2017</v>
      </c>
      <c r="H11069">
        <v>5</v>
      </c>
      <c r="I11069">
        <v>100.56</v>
      </c>
      <c r="J11069" s="50">
        <v>502.8</v>
      </c>
      <c r="K11069" t="s">
        <v>1632</v>
      </c>
      <c r="M11069" t="s">
        <v>1629</v>
      </c>
      <c r="N11069">
        <v>53.07</v>
      </c>
      <c r="O11069" s="49">
        <v>44391</v>
      </c>
      <c r="P11069" s="50">
        <v>226.26000000000002</v>
      </c>
    </row>
    <row r="11070" spans="4:16" x14ac:dyDescent="0.2">
      <c r="D11070">
        <v>100006640</v>
      </c>
      <c r="E11070" s="49">
        <v>45210</v>
      </c>
      <c r="F11070" t="s">
        <v>7429</v>
      </c>
      <c r="G11070" t="s">
        <v>2331</v>
      </c>
      <c r="H11070">
        <v>10</v>
      </c>
      <c r="I11070">
        <v>17.170000000000002</v>
      </c>
      <c r="J11070" s="50">
        <v>171.7</v>
      </c>
      <c r="K11070" t="s">
        <v>1632</v>
      </c>
      <c r="M11070" t="s">
        <v>1619</v>
      </c>
      <c r="N11070">
        <v>9.06</v>
      </c>
      <c r="O11070" s="49">
        <v>45211</v>
      </c>
      <c r="P11070" s="50">
        <v>77.265000000000001</v>
      </c>
    </row>
    <row r="11071" spans="4:16" x14ac:dyDescent="0.2">
      <c r="D11071">
        <v>100006641</v>
      </c>
      <c r="E11071" s="49">
        <v>45433</v>
      </c>
      <c r="F11071" t="s">
        <v>7430</v>
      </c>
      <c r="G11071" t="s">
        <v>2550</v>
      </c>
      <c r="H11071">
        <v>8</v>
      </c>
      <c r="I11071">
        <v>75.77</v>
      </c>
      <c r="J11071" s="50">
        <v>606.16</v>
      </c>
      <c r="K11071" t="s">
        <v>1618</v>
      </c>
      <c r="M11071" t="s">
        <v>1627</v>
      </c>
      <c r="N11071">
        <v>39.99</v>
      </c>
      <c r="O11071" s="49">
        <v>45435</v>
      </c>
      <c r="P11071" s="50">
        <v>272.77199999999999</v>
      </c>
    </row>
    <row r="11072" spans="4:16" x14ac:dyDescent="0.2">
      <c r="D11072">
        <v>100006641</v>
      </c>
      <c r="E11072" s="49">
        <v>44725</v>
      </c>
      <c r="F11072" t="s">
        <v>7430</v>
      </c>
      <c r="G11072" t="s">
        <v>2068</v>
      </c>
      <c r="H11072">
        <v>8</v>
      </c>
      <c r="I11072">
        <v>66.430000000000007</v>
      </c>
      <c r="J11072" s="50">
        <v>531.44000000000005</v>
      </c>
      <c r="K11072" t="s">
        <v>1618</v>
      </c>
      <c r="M11072" t="s">
        <v>1619</v>
      </c>
      <c r="N11072">
        <v>35.06</v>
      </c>
      <c r="O11072" s="49">
        <v>44728</v>
      </c>
      <c r="P11072" s="50">
        <v>239.14800000000002</v>
      </c>
    </row>
    <row r="11073" spans="4:16" x14ac:dyDescent="0.2">
      <c r="D11073">
        <v>100006642</v>
      </c>
      <c r="E11073" s="49">
        <v>44931</v>
      </c>
      <c r="F11073" t="s">
        <v>7431</v>
      </c>
      <c r="G11073" t="s">
        <v>1722</v>
      </c>
      <c r="H11073">
        <v>5</v>
      </c>
      <c r="I11073">
        <v>105.82</v>
      </c>
      <c r="J11073" s="50">
        <v>529.09999999999991</v>
      </c>
      <c r="K11073" t="s">
        <v>1632</v>
      </c>
      <c r="L11073" t="s">
        <v>7432</v>
      </c>
      <c r="M11073" t="s">
        <v>1627</v>
      </c>
      <c r="N11073">
        <v>55.85</v>
      </c>
      <c r="O11073" s="49">
        <v>44936</v>
      </c>
      <c r="P11073" s="50">
        <v>238.09499999999997</v>
      </c>
    </row>
    <row r="11074" spans="4:16" x14ac:dyDescent="0.2">
      <c r="D11074">
        <v>100006643</v>
      </c>
      <c r="E11074" s="49">
        <v>44548</v>
      </c>
      <c r="F11074" t="s">
        <v>7433</v>
      </c>
      <c r="G11074" t="s">
        <v>1740</v>
      </c>
      <c r="H11074">
        <v>8</v>
      </c>
      <c r="I11074">
        <v>61.13</v>
      </c>
      <c r="J11074" s="50">
        <v>489.04</v>
      </c>
      <c r="K11074" t="s">
        <v>1618</v>
      </c>
      <c r="M11074" t="s">
        <v>1624</v>
      </c>
      <c r="N11074">
        <v>32.26</v>
      </c>
      <c r="O11074" s="49">
        <v>44549</v>
      </c>
      <c r="P11074" s="50">
        <v>220.06800000000001</v>
      </c>
    </row>
    <row r="11075" spans="4:16" x14ac:dyDescent="0.2">
      <c r="D11075">
        <v>100006643</v>
      </c>
      <c r="E11075" s="49">
        <v>44227</v>
      </c>
      <c r="F11075" t="s">
        <v>7433</v>
      </c>
      <c r="G11075" t="s">
        <v>2130</v>
      </c>
      <c r="H11075">
        <v>10</v>
      </c>
      <c r="I11075">
        <v>93.38</v>
      </c>
      <c r="J11075" s="50">
        <v>933.8</v>
      </c>
      <c r="K11075" t="s">
        <v>1618</v>
      </c>
      <c r="M11075" t="s">
        <v>1624</v>
      </c>
      <c r="N11075">
        <v>49.28</v>
      </c>
      <c r="O11075" s="49">
        <v>44229</v>
      </c>
      <c r="P11075" s="50">
        <v>420.21</v>
      </c>
    </row>
    <row r="11076" spans="4:16" x14ac:dyDescent="0.2">
      <c r="D11076">
        <v>100006643</v>
      </c>
      <c r="E11076" s="49">
        <v>44849</v>
      </c>
      <c r="F11076" t="s">
        <v>7433</v>
      </c>
      <c r="G11076" t="s">
        <v>1756</v>
      </c>
      <c r="H11076">
        <v>4</v>
      </c>
      <c r="I11076">
        <v>49.39</v>
      </c>
      <c r="J11076" s="50">
        <v>197.56</v>
      </c>
      <c r="K11076" t="s">
        <v>1618</v>
      </c>
      <c r="M11076" t="s">
        <v>1624</v>
      </c>
      <c r="N11076">
        <v>26.07</v>
      </c>
      <c r="O11076" s="49">
        <v>44853</v>
      </c>
      <c r="P11076" s="50">
        <v>88.902000000000001</v>
      </c>
    </row>
    <row r="11077" spans="4:16" x14ac:dyDescent="0.2">
      <c r="D11077">
        <v>100006643</v>
      </c>
      <c r="E11077" s="49">
        <v>44785</v>
      </c>
      <c r="F11077" t="s">
        <v>7433</v>
      </c>
      <c r="G11077" t="s">
        <v>1765</v>
      </c>
      <c r="H11077">
        <v>4</v>
      </c>
      <c r="I11077">
        <v>86.95</v>
      </c>
      <c r="J11077" s="50">
        <v>347.8</v>
      </c>
      <c r="K11077" t="s">
        <v>1618</v>
      </c>
      <c r="M11077" t="s">
        <v>1629</v>
      </c>
      <c r="N11077">
        <v>45.89</v>
      </c>
      <c r="O11077" s="49">
        <v>44787</v>
      </c>
      <c r="P11077" s="50">
        <v>156.51000000000002</v>
      </c>
    </row>
    <row r="11078" spans="4:16" x14ac:dyDescent="0.2">
      <c r="D11078">
        <v>100006643</v>
      </c>
      <c r="E11078" s="49">
        <v>45243</v>
      </c>
      <c r="F11078" t="s">
        <v>7433</v>
      </c>
      <c r="G11078" t="s">
        <v>1637</v>
      </c>
      <c r="H11078">
        <v>6</v>
      </c>
      <c r="I11078">
        <v>39.78</v>
      </c>
      <c r="J11078" s="50">
        <v>238.68</v>
      </c>
      <c r="K11078" t="s">
        <v>1618</v>
      </c>
      <c r="M11078" t="s">
        <v>1621</v>
      </c>
      <c r="N11078">
        <v>20.99</v>
      </c>
      <c r="O11078" s="49">
        <v>45244</v>
      </c>
      <c r="P11078" s="50">
        <v>107.40600000000001</v>
      </c>
    </row>
    <row r="11079" spans="4:16" x14ac:dyDescent="0.2">
      <c r="D11079">
        <v>100006644</v>
      </c>
      <c r="E11079" s="49">
        <v>45251</v>
      </c>
      <c r="F11079" t="s">
        <v>7434</v>
      </c>
      <c r="G11079" t="s">
        <v>3075</v>
      </c>
      <c r="H11079">
        <v>6</v>
      </c>
      <c r="I11079">
        <v>45.79</v>
      </c>
      <c r="J11079" s="50">
        <v>274.74</v>
      </c>
      <c r="K11079" t="s">
        <v>1618</v>
      </c>
      <c r="M11079" t="s">
        <v>1629</v>
      </c>
      <c r="N11079">
        <v>24.17</v>
      </c>
      <c r="O11079" s="49">
        <v>45253</v>
      </c>
      <c r="P11079" s="50">
        <v>123.63300000000001</v>
      </c>
    </row>
    <row r="11080" spans="4:16" x14ac:dyDescent="0.2">
      <c r="D11080">
        <v>100006645</v>
      </c>
      <c r="E11080" s="49">
        <v>45218</v>
      </c>
      <c r="F11080" t="s">
        <v>4557</v>
      </c>
      <c r="G11080" t="s">
        <v>2062</v>
      </c>
      <c r="H11080">
        <v>7</v>
      </c>
      <c r="I11080">
        <v>65.8</v>
      </c>
      <c r="J11080" s="50">
        <v>460.6</v>
      </c>
      <c r="K11080" t="s">
        <v>1632</v>
      </c>
      <c r="L11080" t="s">
        <v>7435</v>
      </c>
      <c r="M11080" t="s">
        <v>1629</v>
      </c>
      <c r="N11080">
        <v>34.729999999999997</v>
      </c>
      <c r="O11080" s="49">
        <v>45221</v>
      </c>
      <c r="P11080" s="50">
        <v>207.27</v>
      </c>
    </row>
    <row r="11081" spans="4:16" x14ac:dyDescent="0.2">
      <c r="D11081">
        <v>100006646</v>
      </c>
      <c r="E11081" s="49">
        <v>45178</v>
      </c>
      <c r="F11081" t="s">
        <v>7436</v>
      </c>
      <c r="G11081" t="s">
        <v>1738</v>
      </c>
      <c r="H11081">
        <v>10</v>
      </c>
      <c r="I11081">
        <v>91.32</v>
      </c>
      <c r="J11081" s="50">
        <v>913.19999999999993</v>
      </c>
      <c r="K11081" t="s">
        <v>1618</v>
      </c>
      <c r="M11081" t="s">
        <v>1621</v>
      </c>
      <c r="N11081">
        <v>48.2</v>
      </c>
      <c r="O11081" s="49">
        <v>45180</v>
      </c>
      <c r="P11081" s="50">
        <v>410.94</v>
      </c>
    </row>
    <row r="11082" spans="4:16" x14ac:dyDescent="0.2">
      <c r="D11082">
        <v>100006650</v>
      </c>
      <c r="E11082" s="49">
        <v>45594</v>
      </c>
      <c r="F11082" t="s">
        <v>7437</v>
      </c>
      <c r="G11082" t="s">
        <v>1720</v>
      </c>
      <c r="H11082">
        <v>2</v>
      </c>
      <c r="I11082">
        <v>20.66</v>
      </c>
      <c r="J11082" s="50">
        <v>41.32</v>
      </c>
      <c r="K11082" t="s">
        <v>1618</v>
      </c>
      <c r="L11082" t="s">
        <v>7438</v>
      </c>
      <c r="M11082" t="s">
        <v>1629</v>
      </c>
      <c r="N11082">
        <v>10.9</v>
      </c>
      <c r="O11082" s="49">
        <v>45597</v>
      </c>
      <c r="P11082" s="50">
        <v>18.594000000000001</v>
      </c>
    </row>
    <row r="11083" spans="4:16" x14ac:dyDescent="0.2">
      <c r="D11083">
        <v>100006650</v>
      </c>
      <c r="E11083" s="49">
        <v>45186</v>
      </c>
      <c r="F11083" t="s">
        <v>7437</v>
      </c>
      <c r="G11083" t="s">
        <v>1807</v>
      </c>
      <c r="H11083">
        <v>10</v>
      </c>
      <c r="I11083">
        <v>49.69</v>
      </c>
      <c r="J11083" s="50">
        <v>496.9</v>
      </c>
      <c r="K11083" t="s">
        <v>1618</v>
      </c>
      <c r="L11083" t="s">
        <v>7438</v>
      </c>
      <c r="M11083" t="s">
        <v>1624</v>
      </c>
      <c r="N11083">
        <v>26.23</v>
      </c>
      <c r="O11083" s="49">
        <v>45187</v>
      </c>
      <c r="P11083" s="50">
        <v>223.60499999999999</v>
      </c>
    </row>
    <row r="11084" spans="4:16" x14ac:dyDescent="0.2">
      <c r="D11084">
        <v>100006651</v>
      </c>
      <c r="E11084" s="49">
        <v>45626</v>
      </c>
      <c r="F11084" t="s">
        <v>1847</v>
      </c>
      <c r="G11084" t="s">
        <v>1973</v>
      </c>
      <c r="H11084">
        <v>3</v>
      </c>
      <c r="I11084">
        <v>77.849999999999994</v>
      </c>
      <c r="J11084" s="50">
        <v>233.55</v>
      </c>
      <c r="K11084" t="s">
        <v>1632</v>
      </c>
      <c r="M11084" t="s">
        <v>1621</v>
      </c>
      <c r="N11084">
        <v>41.09</v>
      </c>
      <c r="O11084" s="49">
        <v>45631</v>
      </c>
      <c r="P11084" s="50">
        <v>105.09750000000001</v>
      </c>
    </row>
    <row r="11085" spans="4:16" x14ac:dyDescent="0.2">
      <c r="D11085">
        <v>100006652</v>
      </c>
      <c r="E11085" s="49">
        <v>45128</v>
      </c>
      <c r="F11085" t="s">
        <v>7439</v>
      </c>
      <c r="G11085" t="s">
        <v>1987</v>
      </c>
      <c r="H11085">
        <v>1</v>
      </c>
      <c r="I11085">
        <v>19.829999999999998</v>
      </c>
      <c r="J11085" s="50">
        <v>19.829999999999998</v>
      </c>
      <c r="K11085" t="s">
        <v>1618</v>
      </c>
      <c r="M11085" t="s">
        <v>1621</v>
      </c>
      <c r="N11085">
        <v>10.47</v>
      </c>
      <c r="O11085" s="49">
        <v>45129</v>
      </c>
      <c r="P11085" s="50">
        <v>8.9234999999999989</v>
      </c>
    </row>
    <row r="11086" spans="4:16" x14ac:dyDescent="0.2">
      <c r="D11086">
        <v>100006652</v>
      </c>
      <c r="E11086" s="49">
        <v>44968</v>
      </c>
      <c r="F11086" t="s">
        <v>7439</v>
      </c>
      <c r="G11086" t="s">
        <v>1985</v>
      </c>
      <c r="H11086">
        <v>1</v>
      </c>
      <c r="I11086">
        <v>34.549999999999997</v>
      </c>
      <c r="J11086" s="50">
        <v>34.549999999999997</v>
      </c>
      <c r="K11086" t="s">
        <v>1618</v>
      </c>
      <c r="M11086" t="s">
        <v>1627</v>
      </c>
      <c r="N11086">
        <v>18.23</v>
      </c>
      <c r="O11086" s="49">
        <v>44973</v>
      </c>
      <c r="P11086" s="50">
        <v>15.547499999999999</v>
      </c>
    </row>
    <row r="11087" spans="4:16" x14ac:dyDescent="0.2">
      <c r="D11087">
        <v>100006654</v>
      </c>
      <c r="E11087" s="49">
        <v>44413</v>
      </c>
      <c r="F11087" t="s">
        <v>7440</v>
      </c>
      <c r="G11087" t="s">
        <v>2613</v>
      </c>
      <c r="H11087">
        <v>7</v>
      </c>
      <c r="I11087">
        <v>24.06</v>
      </c>
      <c r="J11087" s="50">
        <v>168.42</v>
      </c>
      <c r="K11087" t="s">
        <v>1618</v>
      </c>
      <c r="M11087" t="s">
        <v>1629</v>
      </c>
      <c r="N11087">
        <v>12.7</v>
      </c>
      <c r="O11087" s="49">
        <v>44414</v>
      </c>
      <c r="P11087" s="50">
        <v>75.789000000000001</v>
      </c>
    </row>
    <row r="11088" spans="4:16" x14ac:dyDescent="0.2">
      <c r="D11088">
        <v>100006655</v>
      </c>
      <c r="E11088" s="49">
        <v>45264</v>
      </c>
      <c r="F11088" t="s">
        <v>7441</v>
      </c>
      <c r="G11088" t="s">
        <v>1922</v>
      </c>
      <c r="H11088">
        <v>8</v>
      </c>
      <c r="I11088">
        <v>47.39</v>
      </c>
      <c r="J11088" s="50">
        <v>379.12</v>
      </c>
      <c r="K11088" t="s">
        <v>1632</v>
      </c>
      <c r="L11088" t="s">
        <v>2288</v>
      </c>
      <c r="M11088" t="s">
        <v>1624</v>
      </c>
      <c r="N11088">
        <v>25.01</v>
      </c>
      <c r="O11088" s="49">
        <v>45269</v>
      </c>
      <c r="P11088" s="50">
        <v>170.60400000000001</v>
      </c>
    </row>
    <row r="11089" spans="4:16" x14ac:dyDescent="0.2">
      <c r="D11089">
        <v>100006656</v>
      </c>
      <c r="E11089" s="49">
        <v>45611</v>
      </c>
      <c r="F11089" t="s">
        <v>7442</v>
      </c>
      <c r="G11089" t="s">
        <v>2155</v>
      </c>
      <c r="H11089">
        <v>8</v>
      </c>
      <c r="I11089">
        <v>109.37</v>
      </c>
      <c r="J11089" s="50">
        <v>874.96</v>
      </c>
      <c r="K11089" t="s">
        <v>1632</v>
      </c>
      <c r="M11089" t="s">
        <v>1629</v>
      </c>
      <c r="N11089">
        <v>57.72</v>
      </c>
      <c r="O11089" s="49">
        <v>45614</v>
      </c>
      <c r="P11089" s="50">
        <v>393.73200000000003</v>
      </c>
    </row>
    <row r="11090" spans="4:16" x14ac:dyDescent="0.2">
      <c r="D11090">
        <v>100006656</v>
      </c>
      <c r="E11090" s="49">
        <v>44942</v>
      </c>
      <c r="F11090" t="s">
        <v>7442</v>
      </c>
      <c r="G11090" t="s">
        <v>1631</v>
      </c>
      <c r="H11090">
        <v>3</v>
      </c>
      <c r="I11090">
        <v>29.9</v>
      </c>
      <c r="J11090" s="50">
        <v>89.699999999999989</v>
      </c>
      <c r="K11090" t="s">
        <v>1632</v>
      </c>
      <c r="M11090" t="s">
        <v>1619</v>
      </c>
      <c r="N11090">
        <v>15.78</v>
      </c>
      <c r="O11090" s="49">
        <v>44945</v>
      </c>
      <c r="P11090" s="50">
        <v>40.364999999999995</v>
      </c>
    </row>
    <row r="11091" spans="4:16" x14ac:dyDescent="0.2">
      <c r="D11091">
        <v>100006656</v>
      </c>
      <c r="E11091" s="49">
        <v>45083</v>
      </c>
      <c r="F11091" t="s">
        <v>7442</v>
      </c>
      <c r="G11091" t="s">
        <v>2574</v>
      </c>
      <c r="H11091">
        <v>3</v>
      </c>
      <c r="I11091">
        <v>57.09</v>
      </c>
      <c r="J11091" s="50">
        <v>171.27</v>
      </c>
      <c r="K11091" t="s">
        <v>1632</v>
      </c>
      <c r="M11091" t="s">
        <v>1621</v>
      </c>
      <c r="N11091">
        <v>30.13</v>
      </c>
      <c r="O11091" s="49">
        <v>45085</v>
      </c>
      <c r="P11091" s="50">
        <v>77.0715</v>
      </c>
    </row>
    <row r="11092" spans="4:16" x14ac:dyDescent="0.2">
      <c r="D11092">
        <v>100006658</v>
      </c>
      <c r="E11092" s="49">
        <v>44709</v>
      </c>
      <c r="F11092" t="s">
        <v>7443</v>
      </c>
      <c r="G11092" t="s">
        <v>2328</v>
      </c>
      <c r="H11092">
        <v>1</v>
      </c>
      <c r="I11092">
        <v>54.75</v>
      </c>
      <c r="J11092" s="50">
        <v>54.75</v>
      </c>
      <c r="K11092" t="s">
        <v>1632</v>
      </c>
      <c r="M11092" t="s">
        <v>1619</v>
      </c>
      <c r="N11092">
        <v>28.9</v>
      </c>
      <c r="O11092" s="49">
        <v>44710</v>
      </c>
      <c r="P11092" s="50">
        <v>24.637499999999999</v>
      </c>
    </row>
    <row r="11093" spans="4:16" x14ac:dyDescent="0.2">
      <c r="D11093">
        <v>100006658</v>
      </c>
      <c r="E11093" s="49">
        <v>45003</v>
      </c>
      <c r="F11093" t="s">
        <v>7443</v>
      </c>
      <c r="G11093" t="s">
        <v>1833</v>
      </c>
      <c r="H11093">
        <v>8</v>
      </c>
      <c r="I11093">
        <v>65.27</v>
      </c>
      <c r="J11093" s="50">
        <v>522.16</v>
      </c>
      <c r="K11093" t="s">
        <v>1632</v>
      </c>
      <c r="M11093" t="s">
        <v>1621</v>
      </c>
      <c r="N11093">
        <v>34.450000000000003</v>
      </c>
      <c r="O11093" s="49">
        <v>45008</v>
      </c>
      <c r="P11093" s="50">
        <v>234.97199999999998</v>
      </c>
    </row>
    <row r="11094" spans="4:16" x14ac:dyDescent="0.2">
      <c r="D11094">
        <v>100006658</v>
      </c>
      <c r="E11094" s="49">
        <v>45215</v>
      </c>
      <c r="F11094" t="s">
        <v>7443</v>
      </c>
      <c r="G11094" t="s">
        <v>1671</v>
      </c>
      <c r="H11094">
        <v>6</v>
      </c>
      <c r="I11094">
        <v>80.55</v>
      </c>
      <c r="J11094" s="50">
        <v>483.3</v>
      </c>
      <c r="K11094" t="s">
        <v>1632</v>
      </c>
      <c r="M11094" t="s">
        <v>1624</v>
      </c>
      <c r="N11094">
        <v>42.51</v>
      </c>
      <c r="O11094" s="49">
        <v>45216</v>
      </c>
      <c r="P11094" s="50">
        <v>217.48500000000001</v>
      </c>
    </row>
    <row r="11095" spans="4:16" x14ac:dyDescent="0.2">
      <c r="D11095">
        <v>100006659</v>
      </c>
      <c r="E11095" s="49">
        <v>45193</v>
      </c>
      <c r="F11095" t="s">
        <v>7444</v>
      </c>
      <c r="G11095" t="s">
        <v>1953</v>
      </c>
      <c r="H11095">
        <v>2</v>
      </c>
      <c r="I11095">
        <v>49.12</v>
      </c>
      <c r="J11095" s="50">
        <v>98.24</v>
      </c>
      <c r="K11095" t="s">
        <v>1618</v>
      </c>
      <c r="L11095" t="s">
        <v>6828</v>
      </c>
      <c r="M11095" t="s">
        <v>1627</v>
      </c>
      <c r="N11095">
        <v>25.92</v>
      </c>
      <c r="O11095" s="49">
        <v>45194</v>
      </c>
      <c r="P11095" s="50">
        <v>44.207999999999998</v>
      </c>
    </row>
    <row r="11096" spans="4:16" x14ac:dyDescent="0.2">
      <c r="D11096">
        <v>100006661</v>
      </c>
      <c r="E11096" s="49">
        <v>44323</v>
      </c>
      <c r="F11096" t="s">
        <v>7445</v>
      </c>
      <c r="G11096" t="s">
        <v>1714</v>
      </c>
      <c r="H11096">
        <v>7</v>
      </c>
      <c r="I11096">
        <v>40.96</v>
      </c>
      <c r="J11096" s="50">
        <v>286.72000000000003</v>
      </c>
      <c r="K11096" t="s">
        <v>1632</v>
      </c>
      <c r="M11096" t="s">
        <v>1624</v>
      </c>
      <c r="N11096">
        <v>21.62</v>
      </c>
      <c r="O11096" s="49">
        <v>44327</v>
      </c>
      <c r="P11096" s="50">
        <v>129.02400000000003</v>
      </c>
    </row>
    <row r="11097" spans="4:16" x14ac:dyDescent="0.2">
      <c r="D11097">
        <v>100006661</v>
      </c>
      <c r="E11097" s="49">
        <v>45188</v>
      </c>
      <c r="F11097" t="s">
        <v>7445</v>
      </c>
      <c r="G11097" t="s">
        <v>1626</v>
      </c>
      <c r="H11097">
        <v>7</v>
      </c>
      <c r="I11097">
        <v>70.95</v>
      </c>
      <c r="J11097" s="50">
        <v>496.65</v>
      </c>
      <c r="K11097" t="s">
        <v>1632</v>
      </c>
      <c r="M11097" t="s">
        <v>1627</v>
      </c>
      <c r="N11097">
        <v>37.450000000000003</v>
      </c>
      <c r="O11097" s="49">
        <v>45193</v>
      </c>
      <c r="P11097" s="50">
        <v>223.49250000000001</v>
      </c>
    </row>
    <row r="11098" spans="4:16" x14ac:dyDescent="0.2">
      <c r="D11098">
        <v>100006661</v>
      </c>
      <c r="E11098" s="49">
        <v>45657</v>
      </c>
      <c r="F11098" t="s">
        <v>7445</v>
      </c>
      <c r="G11098" t="s">
        <v>1737</v>
      </c>
      <c r="H11098">
        <v>4</v>
      </c>
      <c r="I11098">
        <v>102.66</v>
      </c>
      <c r="J11098" s="50">
        <v>410.64</v>
      </c>
      <c r="K11098" t="s">
        <v>1632</v>
      </c>
      <c r="M11098" t="s">
        <v>1621</v>
      </c>
      <c r="N11098">
        <v>54.18</v>
      </c>
      <c r="O11098" s="49">
        <v>45662</v>
      </c>
      <c r="P11098" s="50">
        <v>184.78800000000001</v>
      </c>
    </row>
    <row r="11099" spans="4:16" x14ac:dyDescent="0.2">
      <c r="D11099">
        <v>100006661</v>
      </c>
      <c r="E11099" s="49">
        <v>45361</v>
      </c>
      <c r="F11099" t="s">
        <v>7445</v>
      </c>
      <c r="G11099" t="s">
        <v>2331</v>
      </c>
      <c r="H11099">
        <v>7</v>
      </c>
      <c r="I11099">
        <v>65.25</v>
      </c>
      <c r="J11099" s="50">
        <v>456.75</v>
      </c>
      <c r="K11099" t="s">
        <v>1632</v>
      </c>
      <c r="M11099" t="s">
        <v>1619</v>
      </c>
      <c r="N11099">
        <v>34.44</v>
      </c>
      <c r="O11099" s="49">
        <v>45365</v>
      </c>
      <c r="P11099" s="50">
        <v>205.53749999999999</v>
      </c>
    </row>
    <row r="11100" spans="4:16" x14ac:dyDescent="0.2">
      <c r="D11100">
        <v>100006661</v>
      </c>
      <c r="E11100" s="49">
        <v>45572</v>
      </c>
      <c r="F11100" t="s">
        <v>7445</v>
      </c>
      <c r="G11100" t="s">
        <v>1921</v>
      </c>
      <c r="H11100">
        <v>8</v>
      </c>
      <c r="I11100">
        <v>95.61</v>
      </c>
      <c r="J11100" s="50">
        <v>764.88</v>
      </c>
      <c r="K11100" t="s">
        <v>1632</v>
      </c>
      <c r="M11100" t="s">
        <v>1627</v>
      </c>
      <c r="N11100">
        <v>50.46</v>
      </c>
      <c r="O11100" s="49">
        <v>45576</v>
      </c>
      <c r="P11100" s="50">
        <v>344.19600000000003</v>
      </c>
    </row>
    <row r="11101" spans="4:16" x14ac:dyDescent="0.2">
      <c r="D11101">
        <v>100006661</v>
      </c>
      <c r="E11101" s="49">
        <v>44480</v>
      </c>
      <c r="F11101" t="s">
        <v>7445</v>
      </c>
      <c r="G11101" t="s">
        <v>2074</v>
      </c>
      <c r="H11101">
        <v>9</v>
      </c>
      <c r="I11101">
        <v>51.92</v>
      </c>
      <c r="J11101" s="50">
        <v>467.28</v>
      </c>
      <c r="K11101" t="s">
        <v>1632</v>
      </c>
      <c r="M11101" t="s">
        <v>1621</v>
      </c>
      <c r="N11101">
        <v>27.4</v>
      </c>
      <c r="O11101" s="49">
        <v>44482</v>
      </c>
      <c r="P11101" s="50">
        <v>210.27599999999998</v>
      </c>
    </row>
    <row r="11102" spans="4:16" x14ac:dyDescent="0.2">
      <c r="D11102">
        <v>100006661</v>
      </c>
      <c r="E11102" s="49">
        <v>45295</v>
      </c>
      <c r="F11102" t="s">
        <v>7445</v>
      </c>
      <c r="G11102" t="s">
        <v>1792</v>
      </c>
      <c r="H11102">
        <v>9</v>
      </c>
      <c r="I11102">
        <v>83.78</v>
      </c>
      <c r="J11102" s="50">
        <v>754.02</v>
      </c>
      <c r="K11102" t="s">
        <v>1632</v>
      </c>
      <c r="M11102" t="s">
        <v>1627</v>
      </c>
      <c r="N11102">
        <v>44.22</v>
      </c>
      <c r="O11102" s="49">
        <v>45296</v>
      </c>
      <c r="P11102" s="50">
        <v>339.30900000000003</v>
      </c>
    </row>
    <row r="11103" spans="4:16" x14ac:dyDescent="0.2">
      <c r="D11103">
        <v>100006661</v>
      </c>
      <c r="E11103" s="49">
        <v>44943</v>
      </c>
      <c r="F11103" t="s">
        <v>7445</v>
      </c>
      <c r="G11103" t="s">
        <v>2039</v>
      </c>
      <c r="H11103">
        <v>9</v>
      </c>
      <c r="I11103">
        <v>61.53</v>
      </c>
      <c r="J11103" s="50">
        <v>553.77</v>
      </c>
      <c r="K11103" t="s">
        <v>1632</v>
      </c>
      <c r="M11103" t="s">
        <v>1627</v>
      </c>
      <c r="N11103">
        <v>32.47</v>
      </c>
      <c r="O11103" s="49">
        <v>44948</v>
      </c>
      <c r="P11103" s="50">
        <v>249.19649999999999</v>
      </c>
    </row>
    <row r="11104" spans="4:16" x14ac:dyDescent="0.2">
      <c r="D11104">
        <v>100006661</v>
      </c>
      <c r="E11104" s="49">
        <v>45391</v>
      </c>
      <c r="F11104" t="s">
        <v>7445</v>
      </c>
      <c r="G11104" t="s">
        <v>1736</v>
      </c>
      <c r="H11104">
        <v>9</v>
      </c>
      <c r="I11104">
        <v>80.3</v>
      </c>
      <c r="J11104" s="50">
        <v>722.69999999999993</v>
      </c>
      <c r="K11104" t="s">
        <v>1632</v>
      </c>
      <c r="M11104" t="s">
        <v>1629</v>
      </c>
      <c r="N11104">
        <v>42.38</v>
      </c>
      <c r="O11104" s="49">
        <v>45393</v>
      </c>
      <c r="P11104" s="50">
        <v>325.21499999999997</v>
      </c>
    </row>
    <row r="11105" spans="4:16" x14ac:dyDescent="0.2">
      <c r="D11105">
        <v>100006661</v>
      </c>
      <c r="E11105" s="49">
        <v>45190</v>
      </c>
      <c r="F11105" t="s">
        <v>7445</v>
      </c>
      <c r="G11105" t="s">
        <v>1844</v>
      </c>
      <c r="H11105">
        <v>7</v>
      </c>
      <c r="I11105">
        <v>20.07</v>
      </c>
      <c r="J11105" s="50">
        <v>140.49</v>
      </c>
      <c r="K11105" t="s">
        <v>1632</v>
      </c>
      <c r="M11105" t="s">
        <v>1624</v>
      </c>
      <c r="N11105">
        <v>10.59</v>
      </c>
      <c r="O11105" s="49">
        <v>45191</v>
      </c>
      <c r="P11105" s="50">
        <v>63.220500000000008</v>
      </c>
    </row>
    <row r="11106" spans="4:16" x14ac:dyDescent="0.2">
      <c r="D11106">
        <v>100006661</v>
      </c>
      <c r="E11106" s="49">
        <v>44477</v>
      </c>
      <c r="F11106" t="s">
        <v>7445</v>
      </c>
      <c r="G11106" t="s">
        <v>2240</v>
      </c>
      <c r="H11106">
        <v>6</v>
      </c>
      <c r="I11106">
        <v>45.03</v>
      </c>
      <c r="J11106" s="50">
        <v>270.18</v>
      </c>
      <c r="K11106" t="s">
        <v>1632</v>
      </c>
      <c r="M11106" t="s">
        <v>1627</v>
      </c>
      <c r="N11106">
        <v>23.77</v>
      </c>
      <c r="O11106" s="49">
        <v>44480</v>
      </c>
      <c r="P11106" s="50">
        <v>121.581</v>
      </c>
    </row>
    <row r="11107" spans="4:16" x14ac:dyDescent="0.2">
      <c r="D11107">
        <v>100006662</v>
      </c>
      <c r="E11107" s="49">
        <v>45157</v>
      </c>
      <c r="F11107" t="s">
        <v>7446</v>
      </c>
      <c r="G11107" t="s">
        <v>2198</v>
      </c>
      <c r="H11107">
        <v>9</v>
      </c>
      <c r="I11107">
        <v>23.26</v>
      </c>
      <c r="J11107" s="50">
        <v>209.34</v>
      </c>
      <c r="K11107" t="s">
        <v>1632</v>
      </c>
      <c r="L11107" t="s">
        <v>2955</v>
      </c>
      <c r="M11107" t="s">
        <v>1621</v>
      </c>
      <c r="N11107">
        <v>12.28</v>
      </c>
      <c r="O11107" s="49">
        <v>45160</v>
      </c>
      <c r="P11107" s="50">
        <v>94.203000000000003</v>
      </c>
    </row>
    <row r="11108" spans="4:16" x14ac:dyDescent="0.2">
      <c r="D11108">
        <v>100006666</v>
      </c>
      <c r="E11108" s="49">
        <v>45361</v>
      </c>
      <c r="F11108" t="s">
        <v>7447</v>
      </c>
      <c r="G11108" t="s">
        <v>2111</v>
      </c>
      <c r="H11108">
        <v>7</v>
      </c>
      <c r="I11108">
        <v>79.81</v>
      </c>
      <c r="J11108" s="50">
        <v>558.67000000000007</v>
      </c>
      <c r="K11108" t="s">
        <v>1632</v>
      </c>
      <c r="M11108" t="s">
        <v>1619</v>
      </c>
      <c r="N11108">
        <v>42.12</v>
      </c>
      <c r="O11108" s="49">
        <v>45365</v>
      </c>
      <c r="P11108" s="50">
        <v>251.40150000000003</v>
      </c>
    </row>
    <row r="11109" spans="4:16" x14ac:dyDescent="0.2">
      <c r="D11109">
        <v>100006669</v>
      </c>
      <c r="E11109" s="49">
        <v>44571</v>
      </c>
      <c r="F11109" t="s">
        <v>7448</v>
      </c>
      <c r="G11109" t="s">
        <v>2613</v>
      </c>
      <c r="H11109">
        <v>10</v>
      </c>
      <c r="I11109">
        <v>112.11</v>
      </c>
      <c r="J11109" s="50">
        <v>1121.0999999999999</v>
      </c>
      <c r="K11109" t="s">
        <v>1618</v>
      </c>
      <c r="L11109" t="s">
        <v>4351</v>
      </c>
      <c r="M11109" t="s">
        <v>1629</v>
      </c>
      <c r="N11109">
        <v>59.17</v>
      </c>
      <c r="O11109" s="49">
        <v>44574</v>
      </c>
      <c r="P11109" s="50">
        <v>504.49499999999995</v>
      </c>
    </row>
    <row r="11110" spans="4:16" x14ac:dyDescent="0.2">
      <c r="D11110">
        <v>100006670</v>
      </c>
      <c r="E11110" s="49">
        <v>45620</v>
      </c>
      <c r="F11110" t="s">
        <v>7449</v>
      </c>
      <c r="G11110" t="s">
        <v>2484</v>
      </c>
      <c r="H11110">
        <v>5</v>
      </c>
      <c r="I11110">
        <v>94.77</v>
      </c>
      <c r="J11110" s="50">
        <v>473.85</v>
      </c>
      <c r="K11110" t="s">
        <v>1632</v>
      </c>
      <c r="M11110" t="s">
        <v>1624</v>
      </c>
      <c r="N11110">
        <v>50.02</v>
      </c>
      <c r="O11110" s="49">
        <v>45625</v>
      </c>
      <c r="P11110" s="50">
        <v>213.23250000000002</v>
      </c>
    </row>
    <row r="11111" spans="4:16" x14ac:dyDescent="0.2">
      <c r="D11111">
        <v>100006670</v>
      </c>
      <c r="E11111" s="49">
        <v>44407</v>
      </c>
      <c r="F11111" t="s">
        <v>7449</v>
      </c>
      <c r="G11111" t="s">
        <v>1704</v>
      </c>
      <c r="H11111">
        <v>3</v>
      </c>
      <c r="I11111">
        <v>56.2</v>
      </c>
      <c r="J11111" s="50">
        <v>168.6</v>
      </c>
      <c r="K11111" t="s">
        <v>1632</v>
      </c>
      <c r="M11111" t="s">
        <v>1624</v>
      </c>
      <c r="N11111">
        <v>29.66</v>
      </c>
      <c r="O11111" s="49">
        <v>44410</v>
      </c>
      <c r="P11111" s="50">
        <v>75.87</v>
      </c>
    </row>
    <row r="11112" spans="4:16" x14ac:dyDescent="0.2">
      <c r="D11112">
        <v>100006670</v>
      </c>
      <c r="E11112" s="49">
        <v>45228</v>
      </c>
      <c r="F11112" t="s">
        <v>7449</v>
      </c>
      <c r="G11112" t="s">
        <v>1639</v>
      </c>
      <c r="H11112">
        <v>7</v>
      </c>
      <c r="I11112">
        <v>18.2</v>
      </c>
      <c r="J11112" s="50">
        <v>127.4</v>
      </c>
      <c r="K11112" t="s">
        <v>1632</v>
      </c>
      <c r="M11112" t="s">
        <v>1624</v>
      </c>
      <c r="N11112">
        <v>9.61</v>
      </c>
      <c r="O11112" s="49">
        <v>45232</v>
      </c>
      <c r="P11112" s="50">
        <v>57.330000000000005</v>
      </c>
    </row>
    <row r="11113" spans="4:16" x14ac:dyDescent="0.2">
      <c r="D11113">
        <v>100006671</v>
      </c>
      <c r="E11113" s="49">
        <v>45512</v>
      </c>
      <c r="F11113" t="s">
        <v>7450</v>
      </c>
      <c r="G11113" t="s">
        <v>1842</v>
      </c>
      <c r="H11113">
        <v>8</v>
      </c>
      <c r="I11113">
        <v>34.67</v>
      </c>
      <c r="J11113" s="50">
        <v>277.36</v>
      </c>
      <c r="K11113" t="s">
        <v>1618</v>
      </c>
      <c r="M11113" t="s">
        <v>1629</v>
      </c>
      <c r="N11113">
        <v>18.3</v>
      </c>
      <c r="O11113" s="49">
        <v>45517</v>
      </c>
      <c r="P11113" s="50">
        <v>124.81200000000001</v>
      </c>
    </row>
    <row r="11114" spans="4:16" x14ac:dyDescent="0.2">
      <c r="D11114">
        <v>100006671</v>
      </c>
      <c r="E11114" s="49">
        <v>45246</v>
      </c>
      <c r="F11114" t="s">
        <v>7450</v>
      </c>
      <c r="G11114" t="s">
        <v>2613</v>
      </c>
      <c r="H11114">
        <v>6</v>
      </c>
      <c r="I11114">
        <v>93.6</v>
      </c>
      <c r="J11114" s="50">
        <v>561.59999999999991</v>
      </c>
      <c r="K11114" t="s">
        <v>1618</v>
      </c>
      <c r="M11114" t="s">
        <v>1629</v>
      </c>
      <c r="N11114">
        <v>49.4</v>
      </c>
      <c r="O11114" s="49">
        <v>45247</v>
      </c>
      <c r="P11114" s="50">
        <v>252.71999999999997</v>
      </c>
    </row>
    <row r="11115" spans="4:16" x14ac:dyDescent="0.2">
      <c r="D11115">
        <v>100006672</v>
      </c>
      <c r="E11115" s="49">
        <v>44680</v>
      </c>
      <c r="F11115" t="s">
        <v>7451</v>
      </c>
      <c r="G11115" t="s">
        <v>1664</v>
      </c>
      <c r="H11115">
        <v>7</v>
      </c>
      <c r="I11115">
        <v>13.31</v>
      </c>
      <c r="J11115" s="50">
        <v>93.17</v>
      </c>
      <c r="K11115" t="s">
        <v>1618</v>
      </c>
      <c r="L11115" t="s">
        <v>7452</v>
      </c>
      <c r="M11115" t="s">
        <v>1627</v>
      </c>
      <c r="N11115">
        <v>7.02</v>
      </c>
      <c r="O11115" s="49">
        <v>44683</v>
      </c>
      <c r="P11115" s="50">
        <v>41.926500000000004</v>
      </c>
    </row>
    <row r="11116" spans="4:16" x14ac:dyDescent="0.2">
      <c r="D11116">
        <v>100006672</v>
      </c>
      <c r="E11116" s="49">
        <v>45079</v>
      </c>
      <c r="F11116" t="s">
        <v>7451</v>
      </c>
      <c r="G11116" t="s">
        <v>1828</v>
      </c>
      <c r="H11116">
        <v>1</v>
      </c>
      <c r="I11116">
        <v>110.37</v>
      </c>
      <c r="J11116" s="50">
        <v>110.37</v>
      </c>
      <c r="K11116" t="s">
        <v>1618</v>
      </c>
      <c r="L11116" t="s">
        <v>7452</v>
      </c>
      <c r="M11116" t="s">
        <v>1624</v>
      </c>
      <c r="N11116">
        <v>58.25</v>
      </c>
      <c r="O11116" s="49">
        <v>45084</v>
      </c>
      <c r="P11116" s="50">
        <v>49.666500000000006</v>
      </c>
    </row>
    <row r="11117" spans="4:16" x14ac:dyDescent="0.2">
      <c r="D11117">
        <v>100006673</v>
      </c>
      <c r="E11117" s="49">
        <v>45422</v>
      </c>
      <c r="F11117" t="s">
        <v>7453</v>
      </c>
      <c r="G11117" t="s">
        <v>2025</v>
      </c>
      <c r="H11117">
        <v>5</v>
      </c>
      <c r="I11117">
        <v>56.64</v>
      </c>
      <c r="J11117" s="50">
        <v>283.2</v>
      </c>
      <c r="K11117" t="s">
        <v>1618</v>
      </c>
      <c r="M11117" t="s">
        <v>1627</v>
      </c>
      <c r="N11117">
        <v>29.89</v>
      </c>
      <c r="O11117" s="49">
        <v>45423</v>
      </c>
      <c r="P11117" s="50">
        <v>127.44</v>
      </c>
    </row>
    <row r="11118" spans="4:16" x14ac:dyDescent="0.2">
      <c r="D11118">
        <v>100006676</v>
      </c>
      <c r="E11118" s="49">
        <v>45025</v>
      </c>
      <c r="F11118" t="s">
        <v>7454</v>
      </c>
      <c r="G11118" t="s">
        <v>1620</v>
      </c>
      <c r="H11118">
        <v>2</v>
      </c>
      <c r="I11118">
        <v>113.44</v>
      </c>
      <c r="J11118" s="50">
        <v>226.88</v>
      </c>
      <c r="K11118" t="s">
        <v>1632</v>
      </c>
      <c r="L11118" t="s">
        <v>7432</v>
      </c>
      <c r="M11118" t="s">
        <v>1627</v>
      </c>
      <c r="N11118">
        <v>59.87</v>
      </c>
      <c r="O11118" s="49">
        <v>45026</v>
      </c>
      <c r="P11118" s="50">
        <v>102.096</v>
      </c>
    </row>
    <row r="11119" spans="4:16" x14ac:dyDescent="0.2">
      <c r="D11119">
        <v>100006677</v>
      </c>
      <c r="E11119" s="49">
        <v>44996</v>
      </c>
      <c r="F11119" t="s">
        <v>7455</v>
      </c>
      <c r="G11119" t="s">
        <v>2658</v>
      </c>
      <c r="H11119">
        <v>4</v>
      </c>
      <c r="I11119">
        <v>76.650000000000006</v>
      </c>
      <c r="J11119" s="50">
        <v>306.60000000000002</v>
      </c>
      <c r="K11119" t="s">
        <v>1632</v>
      </c>
      <c r="L11119" t="s">
        <v>3429</v>
      </c>
      <c r="M11119" t="s">
        <v>1619</v>
      </c>
      <c r="N11119">
        <v>40.450000000000003</v>
      </c>
      <c r="O11119" s="49">
        <v>44998</v>
      </c>
      <c r="P11119" s="50">
        <v>137.97000000000003</v>
      </c>
    </row>
    <row r="11120" spans="4:16" x14ac:dyDescent="0.2">
      <c r="D11120">
        <v>100006677</v>
      </c>
      <c r="E11120" s="49">
        <v>44631</v>
      </c>
      <c r="F11120" t="s">
        <v>7455</v>
      </c>
      <c r="G11120" t="s">
        <v>2485</v>
      </c>
      <c r="H11120">
        <v>3</v>
      </c>
      <c r="I11120">
        <v>38.729999999999997</v>
      </c>
      <c r="J11120" s="50">
        <v>116.19</v>
      </c>
      <c r="K11120" t="s">
        <v>1632</v>
      </c>
      <c r="L11120" t="s">
        <v>3429</v>
      </c>
      <c r="M11120" t="s">
        <v>1627</v>
      </c>
      <c r="N11120">
        <v>20.440000000000001</v>
      </c>
      <c r="O11120" s="49">
        <v>44635</v>
      </c>
      <c r="P11120" s="50">
        <v>52.285499999999999</v>
      </c>
    </row>
    <row r="11121" spans="4:16" x14ac:dyDescent="0.2">
      <c r="D11121">
        <v>100006678</v>
      </c>
      <c r="E11121" s="49">
        <v>45466</v>
      </c>
      <c r="F11121" t="s">
        <v>7456</v>
      </c>
      <c r="G11121" t="s">
        <v>2412</v>
      </c>
      <c r="H11121">
        <v>7</v>
      </c>
      <c r="I11121">
        <v>53.18</v>
      </c>
      <c r="J11121" s="50">
        <v>372.26</v>
      </c>
      <c r="K11121" t="s">
        <v>1618</v>
      </c>
      <c r="M11121" t="s">
        <v>1619</v>
      </c>
      <c r="N11121">
        <v>28.07</v>
      </c>
      <c r="O11121" s="49">
        <v>45470</v>
      </c>
      <c r="P11121" s="50">
        <v>167.517</v>
      </c>
    </row>
    <row r="11122" spans="4:16" x14ac:dyDescent="0.2">
      <c r="D11122">
        <v>100006679</v>
      </c>
      <c r="E11122" s="49">
        <v>45650</v>
      </c>
      <c r="F11122" t="s">
        <v>7457</v>
      </c>
      <c r="G11122" t="s">
        <v>2155</v>
      </c>
      <c r="H11122">
        <v>8</v>
      </c>
      <c r="I11122">
        <v>87.3</v>
      </c>
      <c r="J11122" s="50">
        <v>698.4</v>
      </c>
      <c r="K11122" t="s">
        <v>1618</v>
      </c>
      <c r="M11122" t="s">
        <v>1621</v>
      </c>
      <c r="N11122">
        <v>46.07</v>
      </c>
      <c r="O11122" s="49">
        <v>45655</v>
      </c>
      <c r="P11122" s="50">
        <v>314.27999999999997</v>
      </c>
    </row>
    <row r="11123" spans="4:16" x14ac:dyDescent="0.2">
      <c r="D11123">
        <v>100006679</v>
      </c>
      <c r="E11123" s="49">
        <v>45511</v>
      </c>
      <c r="F11123" t="s">
        <v>7457</v>
      </c>
      <c r="G11123" t="s">
        <v>1672</v>
      </c>
      <c r="H11123">
        <v>9</v>
      </c>
      <c r="I11123">
        <v>31.16</v>
      </c>
      <c r="J11123" s="50">
        <v>280.44</v>
      </c>
      <c r="K11123" t="s">
        <v>1618</v>
      </c>
      <c r="M11123" t="s">
        <v>1627</v>
      </c>
      <c r="N11123">
        <v>16.45</v>
      </c>
      <c r="O11123" s="49">
        <v>45515</v>
      </c>
      <c r="P11123" s="50">
        <v>126.19800000000001</v>
      </c>
    </row>
    <row r="11124" spans="4:16" x14ac:dyDescent="0.2">
      <c r="D11124">
        <v>100006680</v>
      </c>
      <c r="E11124" s="49">
        <v>45307</v>
      </c>
      <c r="F11124" t="s">
        <v>7458</v>
      </c>
      <c r="G11124" t="s">
        <v>1893</v>
      </c>
      <c r="H11124">
        <v>6</v>
      </c>
      <c r="I11124">
        <v>69.709999999999994</v>
      </c>
      <c r="J11124" s="50">
        <v>418.26</v>
      </c>
      <c r="K11124" t="s">
        <v>1618</v>
      </c>
      <c r="M11124" t="s">
        <v>1627</v>
      </c>
      <c r="N11124">
        <v>36.79</v>
      </c>
      <c r="O11124" s="49">
        <v>45309</v>
      </c>
      <c r="P11124" s="50">
        <v>188.21700000000001</v>
      </c>
    </row>
    <row r="11125" spans="4:16" x14ac:dyDescent="0.2">
      <c r="D11125">
        <v>100006680</v>
      </c>
      <c r="E11125" s="49">
        <v>45280</v>
      </c>
      <c r="F11125" t="s">
        <v>7458</v>
      </c>
      <c r="G11125" t="s">
        <v>1874</v>
      </c>
      <c r="H11125">
        <v>3</v>
      </c>
      <c r="I11125">
        <v>32.549999999999997</v>
      </c>
      <c r="J11125" s="50">
        <v>97.649999999999991</v>
      </c>
      <c r="K11125" t="s">
        <v>1618</v>
      </c>
      <c r="M11125" t="s">
        <v>1624</v>
      </c>
      <c r="N11125">
        <v>17.18</v>
      </c>
      <c r="O11125" s="49">
        <v>45281</v>
      </c>
      <c r="P11125" s="50">
        <v>43.942499999999995</v>
      </c>
    </row>
    <row r="11126" spans="4:16" x14ac:dyDescent="0.2">
      <c r="D11126">
        <v>100006681</v>
      </c>
      <c r="E11126" s="49">
        <v>45254</v>
      </c>
      <c r="F11126" t="s">
        <v>7459</v>
      </c>
      <c r="G11126" t="s">
        <v>1941</v>
      </c>
      <c r="H11126">
        <v>8</v>
      </c>
      <c r="I11126">
        <v>43.84</v>
      </c>
      <c r="J11126" s="50">
        <v>350.72</v>
      </c>
      <c r="K11126" t="s">
        <v>1632</v>
      </c>
      <c r="M11126" t="s">
        <v>1624</v>
      </c>
      <c r="N11126">
        <v>23.14</v>
      </c>
      <c r="O11126" s="49">
        <v>45258</v>
      </c>
      <c r="P11126" s="50">
        <v>157.82400000000001</v>
      </c>
    </row>
    <row r="11127" spans="4:16" x14ac:dyDescent="0.2">
      <c r="D11127">
        <v>100006681</v>
      </c>
      <c r="E11127" s="49">
        <v>45276</v>
      </c>
      <c r="F11127" t="s">
        <v>7459</v>
      </c>
      <c r="G11127" t="s">
        <v>1830</v>
      </c>
      <c r="H11127">
        <v>2</v>
      </c>
      <c r="I11127">
        <v>108.7</v>
      </c>
      <c r="J11127" s="50">
        <v>217.4</v>
      </c>
      <c r="K11127" t="s">
        <v>1632</v>
      </c>
      <c r="M11127" t="s">
        <v>1621</v>
      </c>
      <c r="N11127">
        <v>57.37</v>
      </c>
      <c r="O11127" s="49">
        <v>45281</v>
      </c>
      <c r="P11127" s="50">
        <v>97.83</v>
      </c>
    </row>
    <row r="11128" spans="4:16" x14ac:dyDescent="0.2">
      <c r="D11128">
        <v>100006682</v>
      </c>
      <c r="E11128" s="49">
        <v>45116</v>
      </c>
      <c r="F11128" t="s">
        <v>7460</v>
      </c>
      <c r="G11128" t="s">
        <v>2305</v>
      </c>
      <c r="H11128">
        <v>4</v>
      </c>
      <c r="I11128">
        <v>21.03</v>
      </c>
      <c r="J11128" s="50">
        <v>84.12</v>
      </c>
      <c r="K11128" t="s">
        <v>1618</v>
      </c>
      <c r="M11128" t="s">
        <v>1624</v>
      </c>
      <c r="N11128">
        <v>11.1</v>
      </c>
      <c r="O11128" s="49">
        <v>45119</v>
      </c>
      <c r="P11128" s="50">
        <v>37.854000000000006</v>
      </c>
    </row>
    <row r="11129" spans="4:16" x14ac:dyDescent="0.2">
      <c r="D11129">
        <v>100006682</v>
      </c>
      <c r="E11129" s="49">
        <v>45221</v>
      </c>
      <c r="F11129" t="s">
        <v>7460</v>
      </c>
      <c r="G11129" t="s">
        <v>2159</v>
      </c>
      <c r="H11129">
        <v>8</v>
      </c>
      <c r="I11129">
        <v>36.119999999999997</v>
      </c>
      <c r="J11129" s="50">
        <v>288.95999999999998</v>
      </c>
      <c r="K11129" t="s">
        <v>1618</v>
      </c>
      <c r="M11129" t="s">
        <v>1619</v>
      </c>
      <c r="N11129">
        <v>19.059999999999999</v>
      </c>
      <c r="O11129" s="49">
        <v>45223</v>
      </c>
      <c r="P11129" s="50">
        <v>130.03199999999998</v>
      </c>
    </row>
    <row r="11130" spans="4:16" x14ac:dyDescent="0.2">
      <c r="D11130">
        <v>100006682</v>
      </c>
      <c r="E11130" s="49">
        <v>44522</v>
      </c>
      <c r="F11130" t="s">
        <v>7460</v>
      </c>
      <c r="G11130" t="s">
        <v>1958</v>
      </c>
      <c r="H11130">
        <v>5</v>
      </c>
      <c r="I11130">
        <v>111.22</v>
      </c>
      <c r="J11130" s="50">
        <v>556.1</v>
      </c>
      <c r="K11130" t="s">
        <v>1618</v>
      </c>
      <c r="M11130" t="s">
        <v>1629</v>
      </c>
      <c r="N11130">
        <v>58.7</v>
      </c>
      <c r="O11130" s="49">
        <v>44525</v>
      </c>
      <c r="P11130" s="50">
        <v>250.245</v>
      </c>
    </row>
    <row r="11131" spans="4:16" x14ac:dyDescent="0.2">
      <c r="D11131">
        <v>100006683</v>
      </c>
      <c r="E11131" s="49">
        <v>45331</v>
      </c>
      <c r="F11131" t="s">
        <v>7461</v>
      </c>
      <c r="G11131" t="s">
        <v>2698</v>
      </c>
      <c r="H11131">
        <v>8</v>
      </c>
      <c r="I11131">
        <v>42.2</v>
      </c>
      <c r="J11131" s="50">
        <v>337.6</v>
      </c>
      <c r="K11131" t="s">
        <v>1632</v>
      </c>
      <c r="M11131" t="s">
        <v>1624</v>
      </c>
      <c r="N11131">
        <v>22.27</v>
      </c>
      <c r="O11131" s="49">
        <v>45335</v>
      </c>
      <c r="P11131" s="50">
        <v>151.92000000000002</v>
      </c>
    </row>
    <row r="11132" spans="4:16" x14ac:dyDescent="0.2">
      <c r="D11132">
        <v>100006683</v>
      </c>
      <c r="E11132" s="49">
        <v>45061</v>
      </c>
      <c r="F11132" t="s">
        <v>7461</v>
      </c>
      <c r="G11132" t="s">
        <v>2460</v>
      </c>
      <c r="H11132">
        <v>3</v>
      </c>
      <c r="I11132">
        <v>27.79</v>
      </c>
      <c r="J11132" s="50">
        <v>83.37</v>
      </c>
      <c r="K11132" t="s">
        <v>1632</v>
      </c>
      <c r="M11132" t="s">
        <v>1627</v>
      </c>
      <c r="N11132">
        <v>14.67</v>
      </c>
      <c r="O11132" s="49">
        <v>45062</v>
      </c>
      <c r="P11132" s="50">
        <v>37.516500000000001</v>
      </c>
    </row>
    <row r="11133" spans="4:16" x14ac:dyDescent="0.2">
      <c r="D11133">
        <v>100006684</v>
      </c>
      <c r="E11133" s="49">
        <v>45112</v>
      </c>
      <c r="F11133" t="s">
        <v>7462</v>
      </c>
      <c r="G11133" t="s">
        <v>1691</v>
      </c>
      <c r="H11133">
        <v>6</v>
      </c>
      <c r="I11133">
        <v>82.63</v>
      </c>
      <c r="J11133" s="50">
        <v>495.78</v>
      </c>
      <c r="K11133" t="s">
        <v>1632</v>
      </c>
      <c r="M11133" t="s">
        <v>1629</v>
      </c>
      <c r="N11133">
        <v>43.61</v>
      </c>
      <c r="O11133" s="49">
        <v>45115</v>
      </c>
      <c r="P11133" s="50">
        <v>223.101</v>
      </c>
    </row>
    <row r="11134" spans="4:16" x14ac:dyDescent="0.2">
      <c r="D11134">
        <v>100006685</v>
      </c>
      <c r="E11134" s="49">
        <v>44221</v>
      </c>
      <c r="F11134" t="s">
        <v>7463</v>
      </c>
      <c r="G11134" t="s">
        <v>1967</v>
      </c>
      <c r="H11134">
        <v>2</v>
      </c>
      <c r="I11134">
        <v>100.88</v>
      </c>
      <c r="J11134" s="50">
        <v>201.76</v>
      </c>
      <c r="K11134" t="s">
        <v>1632</v>
      </c>
      <c r="M11134" t="s">
        <v>1619</v>
      </c>
      <c r="N11134">
        <v>53.24</v>
      </c>
      <c r="O11134" s="49">
        <v>44225</v>
      </c>
      <c r="P11134" s="50">
        <v>90.792000000000002</v>
      </c>
    </row>
    <row r="11135" spans="4:16" x14ac:dyDescent="0.2">
      <c r="D11135">
        <v>100006688</v>
      </c>
      <c r="E11135" s="49">
        <v>44722</v>
      </c>
      <c r="F11135" t="s">
        <v>7464</v>
      </c>
      <c r="G11135" t="s">
        <v>1702</v>
      </c>
      <c r="H11135">
        <v>6</v>
      </c>
      <c r="I11135">
        <v>106.52</v>
      </c>
      <c r="J11135" s="50">
        <v>639.12</v>
      </c>
      <c r="K11135" t="s">
        <v>1632</v>
      </c>
      <c r="L11135" t="s">
        <v>7465</v>
      </c>
      <c r="M11135" t="s">
        <v>1621</v>
      </c>
      <c r="N11135">
        <v>56.22</v>
      </c>
      <c r="O11135" s="49">
        <v>44726</v>
      </c>
      <c r="P11135" s="50">
        <v>287.60399999999998</v>
      </c>
    </row>
    <row r="11136" spans="4:16" x14ac:dyDescent="0.2">
      <c r="D11136">
        <v>100006688</v>
      </c>
      <c r="E11136" s="49">
        <v>44364</v>
      </c>
      <c r="F11136" t="s">
        <v>7464</v>
      </c>
      <c r="G11136" t="s">
        <v>2079</v>
      </c>
      <c r="H11136">
        <v>10</v>
      </c>
      <c r="I11136">
        <v>26.22</v>
      </c>
      <c r="J11136" s="50">
        <v>262.2</v>
      </c>
      <c r="K11136" t="s">
        <v>1632</v>
      </c>
      <c r="L11136" t="s">
        <v>7465</v>
      </c>
      <c r="M11136" t="s">
        <v>1624</v>
      </c>
      <c r="N11136">
        <v>13.84</v>
      </c>
      <c r="O11136" s="49">
        <v>44365</v>
      </c>
      <c r="P11136" s="50">
        <v>117.99</v>
      </c>
    </row>
    <row r="11137" spans="4:16" x14ac:dyDescent="0.2">
      <c r="D11137">
        <v>100006689</v>
      </c>
      <c r="E11137" s="49">
        <v>44595</v>
      </c>
      <c r="F11137" t="s">
        <v>7466</v>
      </c>
      <c r="G11137" t="s">
        <v>2633</v>
      </c>
      <c r="H11137">
        <v>8</v>
      </c>
      <c r="I11137">
        <v>109.67</v>
      </c>
      <c r="J11137" s="50">
        <v>877.36</v>
      </c>
      <c r="K11137" t="s">
        <v>1618</v>
      </c>
      <c r="M11137" t="s">
        <v>1629</v>
      </c>
      <c r="N11137">
        <v>57.88</v>
      </c>
      <c r="O11137" s="49">
        <v>44599</v>
      </c>
      <c r="P11137" s="50">
        <v>394.81200000000001</v>
      </c>
    </row>
    <row r="11138" spans="4:16" x14ac:dyDescent="0.2">
      <c r="D11138">
        <v>100006691</v>
      </c>
      <c r="E11138" s="49">
        <v>44974</v>
      </c>
      <c r="F11138" t="s">
        <v>7467</v>
      </c>
      <c r="G11138" t="s">
        <v>2207</v>
      </c>
      <c r="H11138">
        <v>3</v>
      </c>
      <c r="I11138">
        <v>71.010000000000005</v>
      </c>
      <c r="J11138" s="50">
        <v>213.03</v>
      </c>
      <c r="K11138" t="s">
        <v>1632</v>
      </c>
      <c r="M11138" t="s">
        <v>1627</v>
      </c>
      <c r="N11138">
        <v>37.479999999999997</v>
      </c>
      <c r="O11138" s="49">
        <v>44975</v>
      </c>
      <c r="P11138" s="50">
        <v>95.863500000000002</v>
      </c>
    </row>
    <row r="11139" spans="4:16" x14ac:dyDescent="0.2">
      <c r="D11139">
        <v>100006692</v>
      </c>
      <c r="E11139" s="49">
        <v>44797</v>
      </c>
      <c r="F11139" t="s">
        <v>6139</v>
      </c>
      <c r="G11139" t="s">
        <v>2357</v>
      </c>
      <c r="H11139">
        <v>9</v>
      </c>
      <c r="I11139">
        <v>116.72</v>
      </c>
      <c r="J11139" s="50">
        <v>1050.48</v>
      </c>
      <c r="K11139" t="s">
        <v>1618</v>
      </c>
      <c r="L11139" t="s">
        <v>7468</v>
      </c>
      <c r="M11139" t="s">
        <v>1619</v>
      </c>
      <c r="N11139">
        <v>61.6</v>
      </c>
      <c r="O11139" s="49">
        <v>44800</v>
      </c>
      <c r="P11139" s="50">
        <v>472.71600000000001</v>
      </c>
    </row>
    <row r="11140" spans="4:16" x14ac:dyDescent="0.2">
      <c r="D11140">
        <v>100006693</v>
      </c>
      <c r="E11140" s="49">
        <v>45288</v>
      </c>
      <c r="F11140" t="s">
        <v>7469</v>
      </c>
      <c r="G11140" t="s">
        <v>1702</v>
      </c>
      <c r="H11140">
        <v>9</v>
      </c>
      <c r="I11140">
        <v>46.51</v>
      </c>
      <c r="J11140" s="50">
        <v>418.59</v>
      </c>
      <c r="K11140" t="s">
        <v>1618</v>
      </c>
      <c r="M11140" t="s">
        <v>1621</v>
      </c>
      <c r="N11140">
        <v>24.55</v>
      </c>
      <c r="O11140" s="49">
        <v>45290</v>
      </c>
      <c r="P11140" s="50">
        <v>188.3655</v>
      </c>
    </row>
    <row r="11141" spans="4:16" x14ac:dyDescent="0.2">
      <c r="D11141">
        <v>100006693</v>
      </c>
      <c r="E11141" s="49">
        <v>44509</v>
      </c>
      <c r="F11141" t="s">
        <v>7469</v>
      </c>
      <c r="G11141" t="s">
        <v>1760</v>
      </c>
      <c r="H11141">
        <v>7</v>
      </c>
      <c r="I11141">
        <v>103.75</v>
      </c>
      <c r="J11141" s="50">
        <v>726.25</v>
      </c>
      <c r="K11141" t="s">
        <v>1618</v>
      </c>
      <c r="M11141" t="s">
        <v>1624</v>
      </c>
      <c r="N11141">
        <v>54.76</v>
      </c>
      <c r="O11141" s="49">
        <v>44512</v>
      </c>
      <c r="P11141" s="50">
        <v>326.8125</v>
      </c>
    </row>
    <row r="11142" spans="4:16" x14ac:dyDescent="0.2">
      <c r="D11142">
        <v>100006694</v>
      </c>
      <c r="E11142" s="49">
        <v>44924</v>
      </c>
      <c r="F11142" t="s">
        <v>7470</v>
      </c>
      <c r="G11142" t="s">
        <v>2163</v>
      </c>
      <c r="H11142">
        <v>10</v>
      </c>
      <c r="I11142">
        <v>90.42</v>
      </c>
      <c r="J11142" s="50">
        <v>904.2</v>
      </c>
      <c r="K11142" t="s">
        <v>1618</v>
      </c>
      <c r="M11142" t="s">
        <v>1629</v>
      </c>
      <c r="N11142">
        <v>47.72</v>
      </c>
      <c r="O11142" s="49">
        <v>44928</v>
      </c>
      <c r="P11142" s="50">
        <v>406.89000000000004</v>
      </c>
    </row>
    <row r="11143" spans="4:16" x14ac:dyDescent="0.2">
      <c r="D11143">
        <v>100006694</v>
      </c>
      <c r="E11143" s="49">
        <v>45192</v>
      </c>
      <c r="F11143" t="s">
        <v>7470</v>
      </c>
      <c r="G11143" t="s">
        <v>2069</v>
      </c>
      <c r="H11143">
        <v>8</v>
      </c>
      <c r="I11143">
        <v>100.96</v>
      </c>
      <c r="J11143" s="50">
        <v>807.68</v>
      </c>
      <c r="K11143" t="s">
        <v>1618</v>
      </c>
      <c r="M11143" t="s">
        <v>1627</v>
      </c>
      <c r="N11143">
        <v>53.28</v>
      </c>
      <c r="O11143" s="49">
        <v>45194</v>
      </c>
      <c r="P11143" s="50">
        <v>363.45599999999996</v>
      </c>
    </row>
    <row r="11144" spans="4:16" x14ac:dyDescent="0.2">
      <c r="D11144">
        <v>100006695</v>
      </c>
      <c r="E11144" s="49">
        <v>44938</v>
      </c>
      <c r="F11144" t="s">
        <v>7471</v>
      </c>
      <c r="G11144" t="s">
        <v>1661</v>
      </c>
      <c r="H11144">
        <v>2</v>
      </c>
      <c r="I11144">
        <v>11</v>
      </c>
      <c r="J11144" s="50">
        <v>22</v>
      </c>
      <c r="K11144" t="s">
        <v>1632</v>
      </c>
      <c r="L11144" t="s">
        <v>7472</v>
      </c>
      <c r="M11144" t="s">
        <v>1624</v>
      </c>
      <c r="N11144">
        <v>5.81</v>
      </c>
      <c r="O11144" s="49">
        <v>44939</v>
      </c>
      <c r="P11144" s="50">
        <v>9.9</v>
      </c>
    </row>
    <row r="11145" spans="4:16" x14ac:dyDescent="0.2">
      <c r="D11145">
        <v>100006695</v>
      </c>
      <c r="E11145" s="49">
        <v>44671</v>
      </c>
      <c r="F11145" t="s">
        <v>7471</v>
      </c>
      <c r="G11145" t="s">
        <v>1805</v>
      </c>
      <c r="H11145">
        <v>5</v>
      </c>
      <c r="I11145">
        <v>113.29</v>
      </c>
      <c r="J11145" s="50">
        <v>566.45000000000005</v>
      </c>
      <c r="K11145" t="s">
        <v>1632</v>
      </c>
      <c r="L11145" t="s">
        <v>7472</v>
      </c>
      <c r="M11145" t="s">
        <v>1621</v>
      </c>
      <c r="N11145">
        <v>59.79</v>
      </c>
      <c r="O11145" s="49">
        <v>44675</v>
      </c>
      <c r="P11145" s="50">
        <v>254.90250000000003</v>
      </c>
    </row>
    <row r="11146" spans="4:16" x14ac:dyDescent="0.2">
      <c r="D11146">
        <v>100006696</v>
      </c>
      <c r="E11146" s="49">
        <v>45033</v>
      </c>
      <c r="F11146" t="s">
        <v>7473</v>
      </c>
      <c r="G11146" t="s">
        <v>1885</v>
      </c>
      <c r="H11146">
        <v>2</v>
      </c>
      <c r="I11146">
        <v>112.82</v>
      </c>
      <c r="J11146" s="50">
        <v>225.64</v>
      </c>
      <c r="K11146" t="s">
        <v>1618</v>
      </c>
      <c r="L11146" t="s">
        <v>3798</v>
      </c>
      <c r="M11146" t="s">
        <v>1624</v>
      </c>
      <c r="N11146">
        <v>59.54</v>
      </c>
      <c r="O11146" s="49">
        <v>45035</v>
      </c>
      <c r="P11146" s="50">
        <v>101.538</v>
      </c>
    </row>
    <row r="11147" spans="4:16" x14ac:dyDescent="0.2">
      <c r="D11147">
        <v>100006696</v>
      </c>
      <c r="E11147" s="49">
        <v>44241</v>
      </c>
      <c r="F11147" t="s">
        <v>7473</v>
      </c>
      <c r="G11147" t="s">
        <v>1956</v>
      </c>
      <c r="H11147">
        <v>7</v>
      </c>
      <c r="I11147">
        <v>17.61</v>
      </c>
      <c r="J11147" s="50">
        <v>123.27</v>
      </c>
      <c r="K11147" t="s">
        <v>1618</v>
      </c>
      <c r="L11147" t="s">
        <v>3798</v>
      </c>
      <c r="M11147" t="s">
        <v>1624</v>
      </c>
      <c r="N11147">
        <v>9.2899999999999991</v>
      </c>
      <c r="O11147" s="49">
        <v>44244</v>
      </c>
      <c r="P11147" s="50">
        <v>55.471499999999999</v>
      </c>
    </row>
    <row r="11148" spans="4:16" x14ac:dyDescent="0.2">
      <c r="D11148">
        <v>100006696</v>
      </c>
      <c r="E11148" s="49">
        <v>44657</v>
      </c>
      <c r="F11148" t="s">
        <v>7473</v>
      </c>
      <c r="G11148" t="s">
        <v>2142</v>
      </c>
      <c r="H11148">
        <v>8</v>
      </c>
      <c r="I11148">
        <v>76.56</v>
      </c>
      <c r="J11148" s="50">
        <v>612.48</v>
      </c>
      <c r="K11148" t="s">
        <v>1618</v>
      </c>
      <c r="L11148" t="s">
        <v>3798</v>
      </c>
      <c r="M11148" t="s">
        <v>1624</v>
      </c>
      <c r="N11148">
        <v>40.409999999999997</v>
      </c>
      <c r="O11148" s="49">
        <v>44659</v>
      </c>
      <c r="P11148" s="50">
        <v>275.61600000000004</v>
      </c>
    </row>
    <row r="11149" spans="4:16" x14ac:dyDescent="0.2">
      <c r="D11149">
        <v>100006698</v>
      </c>
      <c r="E11149" s="49">
        <v>45025</v>
      </c>
      <c r="F11149" t="s">
        <v>7474</v>
      </c>
      <c r="G11149" t="s">
        <v>1663</v>
      </c>
      <c r="H11149">
        <v>8</v>
      </c>
      <c r="I11149">
        <v>80.290000000000006</v>
      </c>
      <c r="J11149" s="50">
        <v>642.32000000000005</v>
      </c>
      <c r="K11149" t="s">
        <v>1632</v>
      </c>
      <c r="M11149" t="s">
        <v>1624</v>
      </c>
      <c r="N11149">
        <v>42.37</v>
      </c>
      <c r="O11149" s="49">
        <v>45026</v>
      </c>
      <c r="P11149" s="50">
        <v>289.04400000000004</v>
      </c>
    </row>
    <row r="11150" spans="4:16" x14ac:dyDescent="0.2">
      <c r="D11150">
        <v>100006699</v>
      </c>
      <c r="E11150" s="49">
        <v>44757</v>
      </c>
      <c r="F11150" t="s">
        <v>7475</v>
      </c>
      <c r="G11150" t="s">
        <v>2145</v>
      </c>
      <c r="H11150">
        <v>6</v>
      </c>
      <c r="I11150">
        <v>69.69</v>
      </c>
      <c r="J11150" s="50">
        <v>418.14</v>
      </c>
      <c r="K11150" t="s">
        <v>1632</v>
      </c>
      <c r="L11150" t="s">
        <v>4325</v>
      </c>
      <c r="M11150" t="s">
        <v>1629</v>
      </c>
      <c r="N11150">
        <v>36.78</v>
      </c>
      <c r="O11150" s="49">
        <v>44758</v>
      </c>
      <c r="P11150" s="50">
        <v>188.16300000000001</v>
      </c>
    </row>
    <row r="11151" spans="4:16" x14ac:dyDescent="0.2">
      <c r="D11151">
        <v>100006699</v>
      </c>
      <c r="E11151" s="49">
        <v>45062</v>
      </c>
      <c r="F11151" t="s">
        <v>7475</v>
      </c>
      <c r="G11151" t="s">
        <v>2375</v>
      </c>
      <c r="H11151">
        <v>10</v>
      </c>
      <c r="I11151">
        <v>90.26</v>
      </c>
      <c r="J11151" s="50">
        <v>902.6</v>
      </c>
      <c r="K11151" t="s">
        <v>1632</v>
      </c>
      <c r="L11151" t="s">
        <v>4325</v>
      </c>
      <c r="M11151" t="s">
        <v>1624</v>
      </c>
      <c r="N11151">
        <v>47.64</v>
      </c>
      <c r="O11151" s="49">
        <v>45067</v>
      </c>
      <c r="P11151" s="50">
        <v>406.17</v>
      </c>
    </row>
    <row r="11152" spans="4:16" x14ac:dyDescent="0.2">
      <c r="D11152">
        <v>100006699</v>
      </c>
      <c r="E11152" s="49">
        <v>45581</v>
      </c>
      <c r="F11152" t="s">
        <v>7475</v>
      </c>
      <c r="G11152" t="s">
        <v>1631</v>
      </c>
      <c r="H11152">
        <v>7</v>
      </c>
      <c r="I11152">
        <v>11.21</v>
      </c>
      <c r="J11152" s="50">
        <v>78.47</v>
      </c>
      <c r="K11152" t="s">
        <v>1632</v>
      </c>
      <c r="L11152" t="s">
        <v>4325</v>
      </c>
      <c r="M11152" t="s">
        <v>1629</v>
      </c>
      <c r="N11152">
        <v>5.92</v>
      </c>
      <c r="O11152" s="49">
        <v>45584</v>
      </c>
      <c r="P11152" s="50">
        <v>35.311500000000002</v>
      </c>
    </row>
    <row r="11153" spans="4:16" x14ac:dyDescent="0.2">
      <c r="D11153">
        <v>100006699</v>
      </c>
      <c r="E11153" s="49">
        <v>44290</v>
      </c>
      <c r="F11153" t="s">
        <v>7475</v>
      </c>
      <c r="G11153" t="s">
        <v>1969</v>
      </c>
      <c r="H11153">
        <v>6</v>
      </c>
      <c r="I11153">
        <v>76.3</v>
      </c>
      <c r="J11153" s="50">
        <v>457.8</v>
      </c>
      <c r="K11153" t="s">
        <v>1632</v>
      </c>
      <c r="L11153" t="s">
        <v>4325</v>
      </c>
      <c r="M11153" t="s">
        <v>1629</v>
      </c>
      <c r="N11153">
        <v>40.270000000000003</v>
      </c>
      <c r="O11153" s="49">
        <v>44293</v>
      </c>
      <c r="P11153" s="50">
        <v>206.01000000000002</v>
      </c>
    </row>
    <row r="11154" spans="4:16" x14ac:dyDescent="0.2">
      <c r="D11154">
        <v>100006699</v>
      </c>
      <c r="E11154" s="49">
        <v>44290</v>
      </c>
      <c r="F11154" t="s">
        <v>7475</v>
      </c>
      <c r="G11154" t="s">
        <v>1701</v>
      </c>
      <c r="H11154">
        <v>7</v>
      </c>
      <c r="I11154">
        <v>19.14</v>
      </c>
      <c r="J11154" s="50">
        <v>133.97999999999999</v>
      </c>
      <c r="K11154" t="s">
        <v>1632</v>
      </c>
      <c r="L11154" t="s">
        <v>4325</v>
      </c>
      <c r="M11154" t="s">
        <v>1619</v>
      </c>
      <c r="N11154">
        <v>10.1</v>
      </c>
      <c r="O11154" s="49">
        <v>44291</v>
      </c>
      <c r="P11154" s="50">
        <v>60.290999999999997</v>
      </c>
    </row>
    <row r="11155" spans="4:16" x14ac:dyDescent="0.2">
      <c r="D11155">
        <v>100006700</v>
      </c>
      <c r="E11155" s="49">
        <v>44649</v>
      </c>
      <c r="F11155" t="s">
        <v>7476</v>
      </c>
      <c r="G11155" t="s">
        <v>2514</v>
      </c>
      <c r="H11155">
        <v>6</v>
      </c>
      <c r="I11155">
        <v>112.29</v>
      </c>
      <c r="J11155" s="50">
        <v>673.74</v>
      </c>
      <c r="K11155" t="s">
        <v>1632</v>
      </c>
      <c r="M11155" t="s">
        <v>1619</v>
      </c>
      <c r="N11155">
        <v>59.26</v>
      </c>
      <c r="O11155" s="49">
        <v>44651</v>
      </c>
      <c r="P11155" s="50">
        <v>303.18299999999999</v>
      </c>
    </row>
    <row r="11156" spans="4:16" x14ac:dyDescent="0.2">
      <c r="D11156">
        <v>100006701</v>
      </c>
      <c r="E11156" s="49">
        <v>44719</v>
      </c>
      <c r="F11156" t="s">
        <v>7477</v>
      </c>
      <c r="G11156" t="s">
        <v>1751</v>
      </c>
      <c r="H11156">
        <v>2</v>
      </c>
      <c r="I11156">
        <v>86.48</v>
      </c>
      <c r="J11156" s="50">
        <v>172.96</v>
      </c>
      <c r="K11156" t="s">
        <v>1618</v>
      </c>
      <c r="M11156" t="s">
        <v>1624</v>
      </c>
      <c r="N11156">
        <v>45.64</v>
      </c>
      <c r="O11156" s="49">
        <v>44721</v>
      </c>
      <c r="P11156" s="50">
        <v>77.832000000000008</v>
      </c>
    </row>
    <row r="11157" spans="4:16" x14ac:dyDescent="0.2">
      <c r="D11157">
        <v>100006701</v>
      </c>
      <c r="E11157" s="49">
        <v>44274</v>
      </c>
      <c r="F11157" t="s">
        <v>7477</v>
      </c>
      <c r="G11157" t="s">
        <v>1956</v>
      </c>
      <c r="H11157">
        <v>8</v>
      </c>
      <c r="I11157">
        <v>83.57</v>
      </c>
      <c r="J11157" s="50">
        <v>668.56</v>
      </c>
      <c r="K11157" t="s">
        <v>1618</v>
      </c>
      <c r="M11157" t="s">
        <v>1627</v>
      </c>
      <c r="N11157">
        <v>44.11</v>
      </c>
      <c r="O11157" s="49">
        <v>44276</v>
      </c>
      <c r="P11157" s="50">
        <v>300.85199999999998</v>
      </c>
    </row>
    <row r="11158" spans="4:16" x14ac:dyDescent="0.2">
      <c r="D11158">
        <v>100006702</v>
      </c>
      <c r="E11158" s="49">
        <v>45116</v>
      </c>
      <c r="F11158" t="s">
        <v>7478</v>
      </c>
      <c r="G11158" t="s">
        <v>2090</v>
      </c>
      <c r="H11158">
        <v>6</v>
      </c>
      <c r="I11158">
        <v>103.37</v>
      </c>
      <c r="J11158" s="50">
        <v>620.22</v>
      </c>
      <c r="K11158" t="s">
        <v>1618</v>
      </c>
      <c r="M11158" t="s">
        <v>1629</v>
      </c>
      <c r="N11158">
        <v>54.56</v>
      </c>
      <c r="O11158" s="49">
        <v>45118</v>
      </c>
      <c r="P11158" s="50">
        <v>279.09900000000005</v>
      </c>
    </row>
    <row r="11159" spans="4:16" x14ac:dyDescent="0.2">
      <c r="D11159">
        <v>100006703</v>
      </c>
      <c r="E11159" s="49">
        <v>45127</v>
      </c>
      <c r="F11159" t="s">
        <v>7479</v>
      </c>
      <c r="G11159" t="s">
        <v>1901</v>
      </c>
      <c r="H11159">
        <v>1</v>
      </c>
      <c r="I11159">
        <v>47.56</v>
      </c>
      <c r="J11159" s="50">
        <v>47.56</v>
      </c>
      <c r="K11159" t="s">
        <v>1632</v>
      </c>
      <c r="L11159" t="s">
        <v>5230</v>
      </c>
      <c r="M11159" t="s">
        <v>1627</v>
      </c>
      <c r="N11159">
        <v>25.1</v>
      </c>
      <c r="O11159" s="49">
        <v>45130</v>
      </c>
      <c r="P11159" s="50">
        <v>21.402000000000001</v>
      </c>
    </row>
    <row r="11160" spans="4:16" x14ac:dyDescent="0.2">
      <c r="D11160">
        <v>100006704</v>
      </c>
      <c r="E11160" s="49">
        <v>44563</v>
      </c>
      <c r="F11160" t="s">
        <v>7480</v>
      </c>
      <c r="G11160" t="s">
        <v>1762</v>
      </c>
      <c r="H11160">
        <v>7</v>
      </c>
      <c r="I11160">
        <v>85.95</v>
      </c>
      <c r="J11160" s="50">
        <v>601.65</v>
      </c>
      <c r="K11160" t="s">
        <v>1632</v>
      </c>
      <c r="L11160" t="s">
        <v>2830</v>
      </c>
      <c r="M11160" t="s">
        <v>1624</v>
      </c>
      <c r="N11160">
        <v>45.36</v>
      </c>
      <c r="O11160" s="49">
        <v>44567</v>
      </c>
      <c r="P11160" s="50">
        <v>270.74250000000001</v>
      </c>
    </row>
    <row r="11161" spans="4:16" x14ac:dyDescent="0.2">
      <c r="D11161">
        <v>100006704</v>
      </c>
      <c r="E11161" s="49">
        <v>44284</v>
      </c>
      <c r="F11161" t="s">
        <v>7480</v>
      </c>
      <c r="G11161" t="s">
        <v>1924</v>
      </c>
      <c r="H11161">
        <v>5</v>
      </c>
      <c r="I11161">
        <v>74.099999999999994</v>
      </c>
      <c r="J11161" s="50">
        <v>370.5</v>
      </c>
      <c r="K11161" t="s">
        <v>1632</v>
      </c>
      <c r="L11161" t="s">
        <v>2830</v>
      </c>
      <c r="M11161" t="s">
        <v>1629</v>
      </c>
      <c r="N11161">
        <v>39.11</v>
      </c>
      <c r="O11161" s="49">
        <v>44289</v>
      </c>
      <c r="P11161" s="50">
        <v>166.72499999999999</v>
      </c>
    </row>
    <row r="11162" spans="4:16" x14ac:dyDescent="0.2">
      <c r="D11162">
        <v>100006704</v>
      </c>
      <c r="E11162" s="49">
        <v>45609</v>
      </c>
      <c r="F11162" t="s">
        <v>7480</v>
      </c>
      <c r="G11162" t="s">
        <v>1636</v>
      </c>
      <c r="H11162">
        <v>10</v>
      </c>
      <c r="I11162">
        <v>91.85</v>
      </c>
      <c r="J11162" s="50">
        <v>918.5</v>
      </c>
      <c r="K11162" t="s">
        <v>1632</v>
      </c>
      <c r="L11162" t="s">
        <v>2830</v>
      </c>
      <c r="M11162" t="s">
        <v>1627</v>
      </c>
      <c r="N11162">
        <v>48.48</v>
      </c>
      <c r="O11162" s="49">
        <v>45611</v>
      </c>
      <c r="P11162" s="50">
        <v>413.32499999999999</v>
      </c>
    </row>
    <row r="11163" spans="4:16" x14ac:dyDescent="0.2">
      <c r="D11163">
        <v>100006705</v>
      </c>
      <c r="E11163" s="49">
        <v>45124</v>
      </c>
      <c r="F11163" t="s">
        <v>7481</v>
      </c>
      <c r="G11163" t="s">
        <v>2291</v>
      </c>
      <c r="H11163">
        <v>2</v>
      </c>
      <c r="I11163">
        <v>90.45</v>
      </c>
      <c r="J11163" s="50">
        <v>180.9</v>
      </c>
      <c r="K11163" t="s">
        <v>1632</v>
      </c>
      <c r="M11163" t="s">
        <v>1624</v>
      </c>
      <c r="N11163">
        <v>47.74</v>
      </c>
      <c r="O11163" s="49">
        <v>45129</v>
      </c>
      <c r="P11163" s="50">
        <v>81.405000000000001</v>
      </c>
    </row>
    <row r="11164" spans="4:16" x14ac:dyDescent="0.2">
      <c r="D11164">
        <v>100006706</v>
      </c>
      <c r="E11164" s="49">
        <v>44490</v>
      </c>
      <c r="F11164" t="s">
        <v>7482</v>
      </c>
      <c r="G11164" t="s">
        <v>1777</v>
      </c>
      <c r="H11164">
        <v>8</v>
      </c>
      <c r="I11164">
        <v>113.32</v>
      </c>
      <c r="J11164" s="50">
        <v>906.56</v>
      </c>
      <c r="K11164" t="s">
        <v>1618</v>
      </c>
      <c r="M11164" t="s">
        <v>1621</v>
      </c>
      <c r="N11164">
        <v>59.81</v>
      </c>
      <c r="O11164" s="49">
        <v>44493</v>
      </c>
      <c r="P11164" s="50">
        <v>407.952</v>
      </c>
    </row>
    <row r="11165" spans="4:16" x14ac:dyDescent="0.2">
      <c r="D11165">
        <v>100006706</v>
      </c>
      <c r="E11165" s="49">
        <v>45027</v>
      </c>
      <c r="F11165" t="s">
        <v>7482</v>
      </c>
      <c r="G11165" t="s">
        <v>2079</v>
      </c>
      <c r="H11165">
        <v>4</v>
      </c>
      <c r="I11165">
        <v>21.22</v>
      </c>
      <c r="J11165" s="50">
        <v>84.88</v>
      </c>
      <c r="K11165" t="s">
        <v>1618</v>
      </c>
      <c r="M11165" t="s">
        <v>1619</v>
      </c>
      <c r="N11165">
        <v>11.2</v>
      </c>
      <c r="O11165" s="49">
        <v>45031</v>
      </c>
      <c r="P11165" s="50">
        <v>38.195999999999998</v>
      </c>
    </row>
    <row r="11166" spans="4:16" x14ac:dyDescent="0.2">
      <c r="D11166">
        <v>100006706</v>
      </c>
      <c r="E11166" s="49">
        <v>44650</v>
      </c>
      <c r="F11166" t="s">
        <v>7482</v>
      </c>
      <c r="G11166" t="s">
        <v>2047</v>
      </c>
      <c r="H11166">
        <v>1</v>
      </c>
      <c r="I11166">
        <v>119.53</v>
      </c>
      <c r="J11166" s="50">
        <v>119.53</v>
      </c>
      <c r="K11166" t="s">
        <v>1618</v>
      </c>
      <c r="M11166" t="s">
        <v>1621</v>
      </c>
      <c r="N11166">
        <v>63.08</v>
      </c>
      <c r="O11166" s="49">
        <v>44654</v>
      </c>
      <c r="P11166" s="50">
        <v>53.788499999999999</v>
      </c>
    </row>
    <row r="11167" spans="4:16" x14ac:dyDescent="0.2">
      <c r="D11167">
        <v>100006708</v>
      </c>
      <c r="E11167" s="49">
        <v>45627</v>
      </c>
      <c r="F11167" t="s">
        <v>7483</v>
      </c>
      <c r="G11167" t="s">
        <v>1820</v>
      </c>
      <c r="H11167">
        <v>5</v>
      </c>
      <c r="I11167">
        <v>49.59</v>
      </c>
      <c r="J11167" s="50">
        <v>247.95</v>
      </c>
      <c r="K11167" t="s">
        <v>1618</v>
      </c>
      <c r="M11167" t="s">
        <v>1629</v>
      </c>
      <c r="N11167">
        <v>26.17</v>
      </c>
      <c r="O11167" s="49">
        <v>45628</v>
      </c>
      <c r="P11167" s="50">
        <v>111.5775</v>
      </c>
    </row>
    <row r="11168" spans="4:16" x14ac:dyDescent="0.2">
      <c r="D11168">
        <v>100006709</v>
      </c>
      <c r="E11168" s="49">
        <v>44321</v>
      </c>
      <c r="F11168" t="s">
        <v>7484</v>
      </c>
      <c r="G11168" t="s">
        <v>1651</v>
      </c>
      <c r="H11168">
        <v>6</v>
      </c>
      <c r="I11168">
        <v>118.47</v>
      </c>
      <c r="J11168" s="50">
        <v>710.81999999999994</v>
      </c>
      <c r="K11168" t="s">
        <v>1632</v>
      </c>
      <c r="L11168" t="s">
        <v>3988</v>
      </c>
      <c r="M11168" t="s">
        <v>1619</v>
      </c>
      <c r="N11168">
        <v>62.53</v>
      </c>
      <c r="O11168" s="49">
        <v>44322</v>
      </c>
      <c r="P11168" s="50">
        <v>319.86899999999997</v>
      </c>
    </row>
    <row r="11169" spans="4:16" x14ac:dyDescent="0.2">
      <c r="D11169">
        <v>100006711</v>
      </c>
      <c r="E11169" s="49">
        <v>44620</v>
      </c>
      <c r="F11169" t="s">
        <v>5966</v>
      </c>
      <c r="G11169" t="s">
        <v>1880</v>
      </c>
      <c r="H11169">
        <v>3</v>
      </c>
      <c r="I11169">
        <v>88.55</v>
      </c>
      <c r="J11169" s="50">
        <v>265.64999999999998</v>
      </c>
      <c r="K11169" t="s">
        <v>1632</v>
      </c>
      <c r="L11169" t="s">
        <v>6614</v>
      </c>
      <c r="M11169" t="s">
        <v>1629</v>
      </c>
      <c r="N11169">
        <v>46.73</v>
      </c>
      <c r="O11169" s="49">
        <v>44625</v>
      </c>
      <c r="P11169" s="50">
        <v>119.54249999999999</v>
      </c>
    </row>
    <row r="11170" spans="4:16" x14ac:dyDescent="0.2">
      <c r="D11170">
        <v>100006713</v>
      </c>
      <c r="E11170" s="49">
        <v>45385</v>
      </c>
      <c r="F11170" t="s">
        <v>7485</v>
      </c>
      <c r="G11170" t="s">
        <v>1855</v>
      </c>
      <c r="H11170">
        <v>4</v>
      </c>
      <c r="I11170">
        <v>95.26</v>
      </c>
      <c r="J11170" s="50">
        <v>381.04</v>
      </c>
      <c r="K11170" t="s">
        <v>1632</v>
      </c>
      <c r="L11170" t="s">
        <v>7486</v>
      </c>
      <c r="M11170" t="s">
        <v>1624</v>
      </c>
      <c r="N11170">
        <v>50.28</v>
      </c>
      <c r="O11170" s="49">
        <v>45386</v>
      </c>
      <c r="P11170" s="50">
        <v>171.46800000000002</v>
      </c>
    </row>
    <row r="11171" spans="4:16" x14ac:dyDescent="0.2">
      <c r="D11171">
        <v>100006713</v>
      </c>
      <c r="E11171" s="49">
        <v>44234</v>
      </c>
      <c r="F11171" t="s">
        <v>7485</v>
      </c>
      <c r="G11171" t="s">
        <v>1760</v>
      </c>
      <c r="H11171">
        <v>7</v>
      </c>
      <c r="I11171">
        <v>55.94</v>
      </c>
      <c r="J11171" s="50">
        <v>391.58</v>
      </c>
      <c r="K11171" t="s">
        <v>1632</v>
      </c>
      <c r="L11171" t="s">
        <v>7486</v>
      </c>
      <c r="M11171" t="s">
        <v>1619</v>
      </c>
      <c r="N11171">
        <v>29.52</v>
      </c>
      <c r="O11171" s="49">
        <v>44239</v>
      </c>
      <c r="P11171" s="50">
        <v>176.21099999999998</v>
      </c>
    </row>
    <row r="11172" spans="4:16" x14ac:dyDescent="0.2">
      <c r="D11172">
        <v>100006714</v>
      </c>
      <c r="E11172" s="49">
        <v>45445</v>
      </c>
      <c r="F11172" t="s">
        <v>7487</v>
      </c>
      <c r="G11172" t="s">
        <v>2628</v>
      </c>
      <c r="H11172">
        <v>2</v>
      </c>
      <c r="I11172">
        <v>88.39</v>
      </c>
      <c r="J11172" s="50">
        <v>176.78</v>
      </c>
      <c r="K11172" t="s">
        <v>1618</v>
      </c>
      <c r="M11172" t="s">
        <v>1627</v>
      </c>
      <c r="N11172">
        <v>46.65</v>
      </c>
      <c r="O11172" s="49">
        <v>45448</v>
      </c>
      <c r="P11172" s="50">
        <v>79.551000000000002</v>
      </c>
    </row>
    <row r="11173" spans="4:16" x14ac:dyDescent="0.2">
      <c r="D11173">
        <v>100006714</v>
      </c>
      <c r="E11173" s="49">
        <v>45264</v>
      </c>
      <c r="F11173" t="s">
        <v>7487</v>
      </c>
      <c r="G11173" t="s">
        <v>2733</v>
      </c>
      <c r="H11173">
        <v>1</v>
      </c>
      <c r="I11173">
        <v>118.45</v>
      </c>
      <c r="J11173" s="50">
        <v>118.45</v>
      </c>
      <c r="K11173" t="s">
        <v>1618</v>
      </c>
      <c r="M11173" t="s">
        <v>1629</v>
      </c>
      <c r="N11173">
        <v>62.51</v>
      </c>
      <c r="O11173" s="49">
        <v>45267</v>
      </c>
      <c r="P11173" s="50">
        <v>53.302500000000002</v>
      </c>
    </row>
    <row r="11174" spans="4:16" x14ac:dyDescent="0.2">
      <c r="D11174">
        <v>100006714</v>
      </c>
      <c r="E11174" s="49">
        <v>44835</v>
      </c>
      <c r="F11174" t="s">
        <v>7487</v>
      </c>
      <c r="G11174" t="s">
        <v>2217</v>
      </c>
      <c r="H11174">
        <v>1</v>
      </c>
      <c r="I11174">
        <v>41.64</v>
      </c>
      <c r="J11174" s="50">
        <v>41.64</v>
      </c>
      <c r="K11174" t="s">
        <v>1618</v>
      </c>
      <c r="M11174" t="s">
        <v>1621</v>
      </c>
      <c r="N11174">
        <v>21.98</v>
      </c>
      <c r="O11174" s="49">
        <v>44837</v>
      </c>
      <c r="P11174" s="50">
        <v>18.738</v>
      </c>
    </row>
    <row r="11175" spans="4:16" x14ac:dyDescent="0.2">
      <c r="D11175">
        <v>100006715</v>
      </c>
      <c r="E11175" s="49">
        <v>44872</v>
      </c>
      <c r="F11175" t="s">
        <v>5044</v>
      </c>
      <c r="G11175" t="s">
        <v>1749</v>
      </c>
      <c r="H11175">
        <v>3</v>
      </c>
      <c r="I11175">
        <v>79.599999999999994</v>
      </c>
      <c r="J11175" s="50">
        <v>238.8</v>
      </c>
      <c r="K11175" t="s">
        <v>1618</v>
      </c>
      <c r="M11175" t="s">
        <v>1629</v>
      </c>
      <c r="N11175">
        <v>42.01</v>
      </c>
      <c r="O11175" s="49">
        <v>44876</v>
      </c>
      <c r="P11175" s="50">
        <v>107.46000000000001</v>
      </c>
    </row>
    <row r="11176" spans="4:16" x14ac:dyDescent="0.2">
      <c r="D11176">
        <v>100006716</v>
      </c>
      <c r="E11176" s="49">
        <v>44893</v>
      </c>
      <c r="F11176" t="s">
        <v>3101</v>
      </c>
      <c r="G11176" t="s">
        <v>1690</v>
      </c>
      <c r="H11176">
        <v>10</v>
      </c>
      <c r="I11176">
        <v>22.81</v>
      </c>
      <c r="J11176" s="50">
        <v>228.1</v>
      </c>
      <c r="K11176" t="s">
        <v>1632</v>
      </c>
      <c r="L11176" t="s">
        <v>7488</v>
      </c>
      <c r="M11176" t="s">
        <v>1624</v>
      </c>
      <c r="N11176">
        <v>12.04</v>
      </c>
      <c r="O11176" s="49">
        <v>44898</v>
      </c>
      <c r="P11176" s="50">
        <v>102.645</v>
      </c>
    </row>
    <row r="11177" spans="4:16" x14ac:dyDescent="0.2">
      <c r="D11177">
        <v>100006718</v>
      </c>
      <c r="E11177" s="49">
        <v>44479</v>
      </c>
      <c r="F11177" t="s">
        <v>7489</v>
      </c>
      <c r="G11177" t="s">
        <v>1929</v>
      </c>
      <c r="H11177">
        <v>3</v>
      </c>
      <c r="I11177">
        <v>44.17</v>
      </c>
      <c r="J11177" s="50">
        <v>132.51</v>
      </c>
      <c r="K11177" t="s">
        <v>1632</v>
      </c>
      <c r="M11177" t="s">
        <v>1627</v>
      </c>
      <c r="N11177">
        <v>23.31</v>
      </c>
      <c r="O11177" s="49">
        <v>44481</v>
      </c>
      <c r="P11177" s="50">
        <v>59.6295</v>
      </c>
    </row>
    <row r="11178" spans="4:16" x14ac:dyDescent="0.2">
      <c r="D11178">
        <v>100006718</v>
      </c>
      <c r="E11178" s="49">
        <v>44901</v>
      </c>
      <c r="F11178" t="s">
        <v>7489</v>
      </c>
      <c r="G11178" t="s">
        <v>3135</v>
      </c>
      <c r="H11178">
        <v>4</v>
      </c>
      <c r="I11178">
        <v>115.26</v>
      </c>
      <c r="J11178" s="50">
        <v>461.04</v>
      </c>
      <c r="K11178" t="s">
        <v>1632</v>
      </c>
      <c r="M11178" t="s">
        <v>1627</v>
      </c>
      <c r="N11178">
        <v>60.83</v>
      </c>
      <c r="O11178" s="49">
        <v>44903</v>
      </c>
      <c r="P11178" s="50">
        <v>207.46800000000002</v>
      </c>
    </row>
    <row r="11179" spans="4:16" x14ac:dyDescent="0.2">
      <c r="D11179">
        <v>100006718</v>
      </c>
      <c r="E11179" s="49">
        <v>44524</v>
      </c>
      <c r="F11179" t="s">
        <v>7489</v>
      </c>
      <c r="G11179" t="s">
        <v>1617</v>
      </c>
      <c r="H11179">
        <v>6</v>
      </c>
      <c r="I11179">
        <v>46.19</v>
      </c>
      <c r="J11179" s="50">
        <v>277.14</v>
      </c>
      <c r="K11179" t="s">
        <v>1632</v>
      </c>
      <c r="M11179" t="s">
        <v>1624</v>
      </c>
      <c r="N11179">
        <v>24.38</v>
      </c>
      <c r="O11179" s="49">
        <v>44525</v>
      </c>
      <c r="P11179" s="50">
        <v>124.71299999999999</v>
      </c>
    </row>
    <row r="11180" spans="4:16" x14ac:dyDescent="0.2">
      <c r="D11180">
        <v>100006718</v>
      </c>
      <c r="E11180" s="49">
        <v>44357</v>
      </c>
      <c r="F11180" t="s">
        <v>7489</v>
      </c>
      <c r="G11180" t="s">
        <v>1874</v>
      </c>
      <c r="H11180">
        <v>9</v>
      </c>
      <c r="I11180">
        <v>90.19</v>
      </c>
      <c r="J11180" s="50">
        <v>811.71</v>
      </c>
      <c r="K11180" t="s">
        <v>1632</v>
      </c>
      <c r="M11180" t="s">
        <v>1621</v>
      </c>
      <c r="N11180">
        <v>47.6</v>
      </c>
      <c r="O11180" s="49">
        <v>44360</v>
      </c>
      <c r="P11180" s="50">
        <v>365.26950000000005</v>
      </c>
    </row>
    <row r="11181" spans="4:16" x14ac:dyDescent="0.2">
      <c r="D11181">
        <v>100006720</v>
      </c>
      <c r="E11181" s="49">
        <v>44227</v>
      </c>
      <c r="F11181" t="s">
        <v>7490</v>
      </c>
      <c r="G11181" t="s">
        <v>2375</v>
      </c>
      <c r="H11181">
        <v>4</v>
      </c>
      <c r="I11181">
        <v>109.22</v>
      </c>
      <c r="J11181" s="50">
        <v>436.88</v>
      </c>
      <c r="K11181" t="s">
        <v>1618</v>
      </c>
      <c r="L11181" t="s">
        <v>7491</v>
      </c>
      <c r="M11181" t="s">
        <v>1619</v>
      </c>
      <c r="N11181">
        <v>57.64</v>
      </c>
      <c r="O11181" s="49">
        <v>44228</v>
      </c>
      <c r="P11181" s="50">
        <v>196.596</v>
      </c>
    </row>
    <row r="11182" spans="4:16" x14ac:dyDescent="0.2">
      <c r="D11182">
        <v>100006720</v>
      </c>
      <c r="E11182" s="49">
        <v>44700</v>
      </c>
      <c r="F11182" t="s">
        <v>7490</v>
      </c>
      <c r="G11182" t="s">
        <v>1666</v>
      </c>
      <c r="H11182">
        <v>8</v>
      </c>
      <c r="I11182">
        <v>117.8</v>
      </c>
      <c r="J11182" s="50">
        <v>942.4</v>
      </c>
      <c r="K11182" t="s">
        <v>1618</v>
      </c>
      <c r="L11182" t="s">
        <v>7491</v>
      </c>
      <c r="M11182" t="s">
        <v>1619</v>
      </c>
      <c r="N11182">
        <v>62.17</v>
      </c>
      <c r="O11182" s="49">
        <v>44702</v>
      </c>
      <c r="P11182" s="50">
        <v>424.08</v>
      </c>
    </row>
    <row r="11183" spans="4:16" x14ac:dyDescent="0.2">
      <c r="D11183">
        <v>100006720</v>
      </c>
      <c r="E11183" s="49">
        <v>45599</v>
      </c>
      <c r="F11183" t="s">
        <v>7490</v>
      </c>
      <c r="G11183" t="s">
        <v>1948</v>
      </c>
      <c r="H11183">
        <v>8</v>
      </c>
      <c r="I11183">
        <v>67.41</v>
      </c>
      <c r="J11183" s="50">
        <v>539.28</v>
      </c>
      <c r="K11183" t="s">
        <v>1618</v>
      </c>
      <c r="L11183" t="s">
        <v>7491</v>
      </c>
      <c r="M11183" t="s">
        <v>1629</v>
      </c>
      <c r="N11183">
        <v>35.58</v>
      </c>
      <c r="O11183" s="49">
        <v>45600</v>
      </c>
      <c r="P11183" s="50">
        <v>242.67599999999999</v>
      </c>
    </row>
    <row r="11184" spans="4:16" x14ac:dyDescent="0.2">
      <c r="D11184">
        <v>100006720</v>
      </c>
      <c r="E11184" s="49">
        <v>45117</v>
      </c>
      <c r="F11184" t="s">
        <v>7490</v>
      </c>
      <c r="G11184" t="s">
        <v>2278</v>
      </c>
      <c r="H11184">
        <v>4</v>
      </c>
      <c r="I11184">
        <v>29.37</v>
      </c>
      <c r="J11184" s="50">
        <v>117.48</v>
      </c>
      <c r="K11184" t="s">
        <v>1618</v>
      </c>
      <c r="L11184" t="s">
        <v>7491</v>
      </c>
      <c r="M11184" t="s">
        <v>1621</v>
      </c>
      <c r="N11184">
        <v>15.5</v>
      </c>
      <c r="O11184" s="49">
        <v>45122</v>
      </c>
      <c r="P11184" s="50">
        <v>52.866</v>
      </c>
    </row>
    <row r="11185" spans="4:16" x14ac:dyDescent="0.2">
      <c r="D11185">
        <v>100006720</v>
      </c>
      <c r="E11185" s="49">
        <v>45537</v>
      </c>
      <c r="F11185" t="s">
        <v>7490</v>
      </c>
      <c r="G11185" t="s">
        <v>2393</v>
      </c>
      <c r="H11185">
        <v>3</v>
      </c>
      <c r="I11185">
        <v>51.24</v>
      </c>
      <c r="J11185" s="50">
        <v>153.72</v>
      </c>
      <c r="K11185" t="s">
        <v>1618</v>
      </c>
      <c r="L11185" t="s">
        <v>7491</v>
      </c>
      <c r="M11185" t="s">
        <v>1624</v>
      </c>
      <c r="N11185">
        <v>27.04</v>
      </c>
      <c r="O11185" s="49">
        <v>45542</v>
      </c>
      <c r="P11185" s="50">
        <v>69.174000000000007</v>
      </c>
    </row>
    <row r="11186" spans="4:16" x14ac:dyDescent="0.2">
      <c r="D11186">
        <v>100006720</v>
      </c>
      <c r="E11186" s="49">
        <v>44206</v>
      </c>
      <c r="F11186" t="s">
        <v>7490</v>
      </c>
      <c r="G11186" t="s">
        <v>2048</v>
      </c>
      <c r="H11186">
        <v>1</v>
      </c>
      <c r="I11186">
        <v>19.05</v>
      </c>
      <c r="J11186" s="50">
        <v>19.05</v>
      </c>
      <c r="K11186" t="s">
        <v>1618</v>
      </c>
      <c r="L11186" t="s">
        <v>7491</v>
      </c>
      <c r="M11186" t="s">
        <v>1621</v>
      </c>
      <c r="N11186">
        <v>10.050000000000001</v>
      </c>
      <c r="O11186" s="49">
        <v>44207</v>
      </c>
      <c r="P11186" s="50">
        <v>8.5724999999999998</v>
      </c>
    </row>
    <row r="11187" spans="4:16" x14ac:dyDescent="0.2">
      <c r="D11187">
        <v>100006721</v>
      </c>
      <c r="E11187" s="49">
        <v>44983</v>
      </c>
      <c r="F11187" t="s">
        <v>7492</v>
      </c>
      <c r="G11187" t="s">
        <v>2023</v>
      </c>
      <c r="H11187">
        <v>8</v>
      </c>
      <c r="I11187">
        <v>25.45</v>
      </c>
      <c r="J11187" s="50">
        <v>203.6</v>
      </c>
      <c r="K11187" t="s">
        <v>1632</v>
      </c>
      <c r="M11187" t="s">
        <v>1621</v>
      </c>
      <c r="N11187">
        <v>13.43</v>
      </c>
      <c r="O11187" s="49">
        <v>44988</v>
      </c>
      <c r="P11187" s="50">
        <v>91.62</v>
      </c>
    </row>
    <row r="11188" spans="4:16" x14ac:dyDescent="0.2">
      <c r="D11188">
        <v>100006721</v>
      </c>
      <c r="E11188" s="49">
        <v>44974</v>
      </c>
      <c r="F11188" t="s">
        <v>7492</v>
      </c>
      <c r="G11188" t="s">
        <v>2343</v>
      </c>
      <c r="H11188">
        <v>9</v>
      </c>
      <c r="I11188">
        <v>67.94</v>
      </c>
      <c r="J11188" s="50">
        <v>611.46</v>
      </c>
      <c r="K11188" t="s">
        <v>1632</v>
      </c>
      <c r="M11188" t="s">
        <v>1629</v>
      </c>
      <c r="N11188">
        <v>35.86</v>
      </c>
      <c r="O11188" s="49">
        <v>44976</v>
      </c>
      <c r="P11188" s="50">
        <v>275.15700000000004</v>
      </c>
    </row>
    <row r="11189" spans="4:16" x14ac:dyDescent="0.2">
      <c r="D11189">
        <v>100006721</v>
      </c>
      <c r="E11189" s="49">
        <v>45441</v>
      </c>
      <c r="F11189" t="s">
        <v>7492</v>
      </c>
      <c r="G11189" t="s">
        <v>1990</v>
      </c>
      <c r="H11189">
        <v>2</v>
      </c>
      <c r="I11189">
        <v>101.98</v>
      </c>
      <c r="J11189" s="50">
        <v>203.96</v>
      </c>
      <c r="K11189" t="s">
        <v>1632</v>
      </c>
      <c r="M11189" t="s">
        <v>1619</v>
      </c>
      <c r="N11189">
        <v>53.82</v>
      </c>
      <c r="O11189" s="49">
        <v>45445</v>
      </c>
      <c r="P11189" s="50">
        <v>91.782000000000011</v>
      </c>
    </row>
    <row r="11190" spans="4:16" x14ac:dyDescent="0.2">
      <c r="D11190">
        <v>100006721</v>
      </c>
      <c r="E11190" s="49">
        <v>44686</v>
      </c>
      <c r="F11190" t="s">
        <v>7492</v>
      </c>
      <c r="G11190" t="s">
        <v>2706</v>
      </c>
      <c r="H11190">
        <v>1</v>
      </c>
      <c r="I11190">
        <v>87.5</v>
      </c>
      <c r="J11190" s="50">
        <v>87.5</v>
      </c>
      <c r="K11190" t="s">
        <v>1632</v>
      </c>
      <c r="M11190" t="s">
        <v>1627</v>
      </c>
      <c r="N11190">
        <v>46.18</v>
      </c>
      <c r="O11190" s="49">
        <v>44688</v>
      </c>
      <c r="P11190" s="50">
        <v>39.375</v>
      </c>
    </row>
    <row r="11191" spans="4:16" x14ac:dyDescent="0.2">
      <c r="D11191">
        <v>100006721</v>
      </c>
      <c r="E11191" s="49">
        <v>45624</v>
      </c>
      <c r="F11191" t="s">
        <v>7492</v>
      </c>
      <c r="G11191" t="s">
        <v>2071</v>
      </c>
      <c r="H11191">
        <v>4</v>
      </c>
      <c r="I11191">
        <v>50.17</v>
      </c>
      <c r="J11191" s="50">
        <v>200.68</v>
      </c>
      <c r="K11191" t="s">
        <v>1632</v>
      </c>
      <c r="M11191" t="s">
        <v>1629</v>
      </c>
      <c r="N11191">
        <v>26.48</v>
      </c>
      <c r="O11191" s="49">
        <v>45628</v>
      </c>
      <c r="P11191" s="50">
        <v>90.306000000000012</v>
      </c>
    </row>
    <row r="11192" spans="4:16" x14ac:dyDescent="0.2">
      <c r="D11192">
        <v>100006721</v>
      </c>
      <c r="E11192" s="49">
        <v>44780</v>
      </c>
      <c r="F11192" t="s">
        <v>7492</v>
      </c>
      <c r="G11192" t="s">
        <v>1767</v>
      </c>
      <c r="H11192">
        <v>5</v>
      </c>
      <c r="I11192">
        <v>55.7</v>
      </c>
      <c r="J11192" s="50">
        <v>278.5</v>
      </c>
      <c r="K11192" t="s">
        <v>1632</v>
      </c>
      <c r="M11192" t="s">
        <v>1619</v>
      </c>
      <c r="N11192">
        <v>29.4</v>
      </c>
      <c r="O11192" s="49">
        <v>44785</v>
      </c>
      <c r="P11192" s="50">
        <v>125.325</v>
      </c>
    </row>
    <row r="11193" spans="4:16" x14ac:dyDescent="0.2">
      <c r="D11193">
        <v>100006721</v>
      </c>
      <c r="E11193" s="49">
        <v>45014</v>
      </c>
      <c r="F11193" t="s">
        <v>7492</v>
      </c>
      <c r="G11193" t="s">
        <v>2269</v>
      </c>
      <c r="H11193">
        <v>9</v>
      </c>
      <c r="I11193">
        <v>12.34</v>
      </c>
      <c r="J11193" s="50">
        <v>111.06</v>
      </c>
      <c r="K11193" t="s">
        <v>1632</v>
      </c>
      <c r="M11193" t="s">
        <v>1624</v>
      </c>
      <c r="N11193">
        <v>6.51</v>
      </c>
      <c r="O11193" s="49">
        <v>45017</v>
      </c>
      <c r="P11193" s="50">
        <v>49.977000000000004</v>
      </c>
    </row>
    <row r="11194" spans="4:16" x14ac:dyDescent="0.2">
      <c r="D11194">
        <v>100006721</v>
      </c>
      <c r="E11194" s="49">
        <v>45114</v>
      </c>
      <c r="F11194" t="s">
        <v>7492</v>
      </c>
      <c r="G11194" t="s">
        <v>2132</v>
      </c>
      <c r="H11194">
        <v>10</v>
      </c>
      <c r="I11194">
        <v>100.05</v>
      </c>
      <c r="J11194" s="50">
        <v>1000.5</v>
      </c>
      <c r="K11194" t="s">
        <v>1632</v>
      </c>
      <c r="M11194" t="s">
        <v>1619</v>
      </c>
      <c r="N11194">
        <v>52.8</v>
      </c>
      <c r="O11194" s="49">
        <v>45115</v>
      </c>
      <c r="P11194" s="50">
        <v>450.22500000000002</v>
      </c>
    </row>
    <row r="11195" spans="4:16" x14ac:dyDescent="0.2">
      <c r="D11195">
        <v>100006722</v>
      </c>
      <c r="E11195" s="49">
        <v>44204</v>
      </c>
      <c r="F11195" t="s">
        <v>7493</v>
      </c>
      <c r="G11195" t="s">
        <v>2041</v>
      </c>
      <c r="H11195">
        <v>5</v>
      </c>
      <c r="I11195">
        <v>36.9</v>
      </c>
      <c r="J11195" s="50">
        <v>184.5</v>
      </c>
      <c r="K11195" t="s">
        <v>1632</v>
      </c>
      <c r="M11195" t="s">
        <v>1624</v>
      </c>
      <c r="N11195">
        <v>19.47</v>
      </c>
      <c r="O11195" s="49">
        <v>44205</v>
      </c>
      <c r="P11195" s="50">
        <v>83.025000000000006</v>
      </c>
    </row>
    <row r="11196" spans="4:16" x14ac:dyDescent="0.2">
      <c r="D11196">
        <v>100006722</v>
      </c>
      <c r="E11196" s="49">
        <v>44300</v>
      </c>
      <c r="F11196" t="s">
        <v>7493</v>
      </c>
      <c r="G11196" t="s">
        <v>2042</v>
      </c>
      <c r="H11196">
        <v>9</v>
      </c>
      <c r="I11196">
        <v>90.61</v>
      </c>
      <c r="J11196" s="50">
        <v>815.49</v>
      </c>
      <c r="K11196" t="s">
        <v>1632</v>
      </c>
      <c r="M11196" t="s">
        <v>1619</v>
      </c>
      <c r="N11196">
        <v>47.82</v>
      </c>
      <c r="O11196" s="49">
        <v>44302</v>
      </c>
      <c r="P11196" s="50">
        <v>366.97050000000002</v>
      </c>
    </row>
    <row r="11197" spans="4:16" x14ac:dyDescent="0.2">
      <c r="D11197">
        <v>100006723</v>
      </c>
      <c r="E11197" s="49">
        <v>44826</v>
      </c>
      <c r="F11197" t="s">
        <v>7494</v>
      </c>
      <c r="G11197" t="s">
        <v>2357</v>
      </c>
      <c r="H11197">
        <v>3</v>
      </c>
      <c r="I11197">
        <v>108.34</v>
      </c>
      <c r="J11197" s="50">
        <v>325.02</v>
      </c>
      <c r="K11197" t="s">
        <v>1632</v>
      </c>
      <c r="M11197" t="s">
        <v>1624</v>
      </c>
      <c r="N11197">
        <v>57.18</v>
      </c>
      <c r="O11197" s="49">
        <v>44831</v>
      </c>
      <c r="P11197" s="50">
        <v>146.25899999999999</v>
      </c>
    </row>
    <row r="11198" spans="4:16" x14ac:dyDescent="0.2">
      <c r="D11198">
        <v>100006724</v>
      </c>
      <c r="E11198" s="49">
        <v>44366</v>
      </c>
      <c r="F11198" t="s">
        <v>7495</v>
      </c>
      <c r="G11198" t="s">
        <v>2068</v>
      </c>
      <c r="H11198">
        <v>7</v>
      </c>
      <c r="I11198">
        <v>67.069999999999993</v>
      </c>
      <c r="J11198" s="50">
        <v>469.49</v>
      </c>
      <c r="K11198" t="s">
        <v>1632</v>
      </c>
      <c r="L11198" t="s">
        <v>5519</v>
      </c>
      <c r="M11198" t="s">
        <v>1627</v>
      </c>
      <c r="N11198">
        <v>35.4</v>
      </c>
      <c r="O11198" s="49">
        <v>44368</v>
      </c>
      <c r="P11198" s="50">
        <v>211.2705</v>
      </c>
    </row>
    <row r="11199" spans="4:16" x14ac:dyDescent="0.2">
      <c r="D11199">
        <v>100006725</v>
      </c>
      <c r="E11199" s="49">
        <v>44393</v>
      </c>
      <c r="F11199" t="s">
        <v>7496</v>
      </c>
      <c r="G11199" t="s">
        <v>1715</v>
      </c>
      <c r="H11199">
        <v>4</v>
      </c>
      <c r="I11199">
        <v>64.52</v>
      </c>
      <c r="J11199" s="50">
        <v>258.08</v>
      </c>
      <c r="K11199" t="s">
        <v>1632</v>
      </c>
      <c r="L11199" t="s">
        <v>7497</v>
      </c>
      <c r="M11199" t="s">
        <v>1624</v>
      </c>
      <c r="N11199">
        <v>34.049999999999997</v>
      </c>
      <c r="O11199" s="49">
        <v>44397</v>
      </c>
      <c r="P11199" s="50">
        <v>116.136</v>
      </c>
    </row>
    <row r="11200" spans="4:16" x14ac:dyDescent="0.2">
      <c r="D11200">
        <v>100006725</v>
      </c>
      <c r="E11200" s="49">
        <v>45398</v>
      </c>
      <c r="F11200" t="s">
        <v>7496</v>
      </c>
      <c r="G11200" t="s">
        <v>2416</v>
      </c>
      <c r="H11200">
        <v>4</v>
      </c>
      <c r="I11200">
        <v>77.36</v>
      </c>
      <c r="J11200" s="50">
        <v>309.44</v>
      </c>
      <c r="K11200" t="s">
        <v>1632</v>
      </c>
      <c r="L11200" t="s">
        <v>7497</v>
      </c>
      <c r="M11200" t="s">
        <v>1621</v>
      </c>
      <c r="N11200">
        <v>40.83</v>
      </c>
      <c r="O11200" s="49">
        <v>45400</v>
      </c>
      <c r="P11200" s="50">
        <v>139.24799999999999</v>
      </c>
    </row>
    <row r="11201" spans="4:16" x14ac:dyDescent="0.2">
      <c r="D11201">
        <v>100006725</v>
      </c>
      <c r="E11201" s="49">
        <v>45192</v>
      </c>
      <c r="F11201" t="s">
        <v>7496</v>
      </c>
      <c r="G11201" t="s">
        <v>2707</v>
      </c>
      <c r="H11201">
        <v>2</v>
      </c>
      <c r="I11201">
        <v>83.68</v>
      </c>
      <c r="J11201" s="50">
        <v>167.36</v>
      </c>
      <c r="K11201" t="s">
        <v>1632</v>
      </c>
      <c r="L11201" t="s">
        <v>7497</v>
      </c>
      <c r="M11201" t="s">
        <v>1627</v>
      </c>
      <c r="N11201">
        <v>44.16</v>
      </c>
      <c r="O11201" s="49">
        <v>45195</v>
      </c>
      <c r="P11201" s="50">
        <v>75.312000000000012</v>
      </c>
    </row>
    <row r="11202" spans="4:16" x14ac:dyDescent="0.2">
      <c r="D11202">
        <v>100006726</v>
      </c>
      <c r="E11202" s="49">
        <v>45656</v>
      </c>
      <c r="F11202" t="s">
        <v>7498</v>
      </c>
      <c r="G11202" t="s">
        <v>1655</v>
      </c>
      <c r="H11202">
        <v>1</v>
      </c>
      <c r="I11202">
        <v>41.83</v>
      </c>
      <c r="J11202" s="50">
        <v>41.83</v>
      </c>
      <c r="K11202" t="s">
        <v>1632</v>
      </c>
      <c r="M11202" t="s">
        <v>1621</v>
      </c>
      <c r="N11202">
        <v>22.08</v>
      </c>
      <c r="O11202" s="49">
        <v>45659</v>
      </c>
      <c r="P11202" s="50">
        <v>18.823499999999999</v>
      </c>
    </row>
    <row r="11203" spans="4:16" x14ac:dyDescent="0.2">
      <c r="D11203">
        <v>100006729</v>
      </c>
      <c r="E11203" s="49">
        <v>45612</v>
      </c>
      <c r="F11203" t="s">
        <v>7499</v>
      </c>
      <c r="G11203" t="s">
        <v>2088</v>
      </c>
      <c r="H11203">
        <v>1</v>
      </c>
      <c r="I11203">
        <v>99.31</v>
      </c>
      <c r="J11203" s="50">
        <v>99.31</v>
      </c>
      <c r="K11203" t="s">
        <v>1618</v>
      </c>
      <c r="L11203" t="s">
        <v>2020</v>
      </c>
      <c r="M11203" t="s">
        <v>1619</v>
      </c>
      <c r="N11203">
        <v>52.41</v>
      </c>
      <c r="O11203" s="49">
        <v>45614</v>
      </c>
      <c r="P11203" s="50">
        <v>44.689500000000002</v>
      </c>
    </row>
    <row r="11204" spans="4:16" x14ac:dyDescent="0.2">
      <c r="D11204">
        <v>100006732</v>
      </c>
      <c r="E11204" s="49">
        <v>44746</v>
      </c>
      <c r="F11204" t="s">
        <v>5478</v>
      </c>
      <c r="G11204" t="s">
        <v>1795</v>
      </c>
      <c r="H11204">
        <v>1</v>
      </c>
      <c r="I11204">
        <v>24.1</v>
      </c>
      <c r="J11204" s="50">
        <v>24.1</v>
      </c>
      <c r="K11204" t="s">
        <v>1618</v>
      </c>
      <c r="L11204" t="s">
        <v>5576</v>
      </c>
      <c r="M11204" t="s">
        <v>1627</v>
      </c>
      <c r="N11204">
        <v>12.72</v>
      </c>
      <c r="O11204" s="49">
        <v>44747</v>
      </c>
      <c r="P11204" s="50">
        <v>10.845000000000001</v>
      </c>
    </row>
    <row r="11205" spans="4:16" x14ac:dyDescent="0.2">
      <c r="D11205">
        <v>100006732</v>
      </c>
      <c r="E11205" s="49">
        <v>44467</v>
      </c>
      <c r="F11205" t="s">
        <v>5478</v>
      </c>
      <c r="G11205" t="s">
        <v>2071</v>
      </c>
      <c r="H11205">
        <v>1</v>
      </c>
      <c r="I11205">
        <v>99.56</v>
      </c>
      <c r="J11205" s="50">
        <v>99.56</v>
      </c>
      <c r="K11205" t="s">
        <v>1618</v>
      </c>
      <c r="L11205" t="s">
        <v>5576</v>
      </c>
      <c r="M11205" t="s">
        <v>1619</v>
      </c>
      <c r="N11205">
        <v>52.55</v>
      </c>
      <c r="O11205" s="49">
        <v>44469</v>
      </c>
      <c r="P11205" s="50">
        <v>44.802</v>
      </c>
    </row>
    <row r="11206" spans="4:16" x14ac:dyDescent="0.2">
      <c r="D11206">
        <v>100006732</v>
      </c>
      <c r="E11206" s="49">
        <v>45328</v>
      </c>
      <c r="F11206" t="s">
        <v>5478</v>
      </c>
      <c r="G11206" t="s">
        <v>1740</v>
      </c>
      <c r="H11206">
        <v>10</v>
      </c>
      <c r="I11206">
        <v>111.45</v>
      </c>
      <c r="J11206" s="50">
        <v>1114.5</v>
      </c>
      <c r="K11206" t="s">
        <v>1618</v>
      </c>
      <c r="L11206" t="s">
        <v>5576</v>
      </c>
      <c r="M11206" t="s">
        <v>1629</v>
      </c>
      <c r="N11206">
        <v>58.82</v>
      </c>
      <c r="O11206" s="49">
        <v>45331</v>
      </c>
      <c r="P11206" s="50">
        <v>501.52500000000003</v>
      </c>
    </row>
    <row r="11207" spans="4:16" x14ac:dyDescent="0.2">
      <c r="D11207">
        <v>100006732</v>
      </c>
      <c r="E11207" s="49">
        <v>44981</v>
      </c>
      <c r="F11207" t="s">
        <v>5478</v>
      </c>
      <c r="G11207" t="s">
        <v>2004</v>
      </c>
      <c r="H11207">
        <v>7</v>
      </c>
      <c r="I11207">
        <v>70.87</v>
      </c>
      <c r="J11207" s="50">
        <v>496.09</v>
      </c>
      <c r="K11207" t="s">
        <v>1618</v>
      </c>
      <c r="L11207" t="s">
        <v>5576</v>
      </c>
      <c r="M11207" t="s">
        <v>1624</v>
      </c>
      <c r="N11207">
        <v>37.4</v>
      </c>
      <c r="O11207" s="49">
        <v>44985</v>
      </c>
      <c r="P11207" s="50">
        <v>223.2405</v>
      </c>
    </row>
    <row r="11208" spans="4:16" x14ac:dyDescent="0.2">
      <c r="D11208">
        <v>100006732</v>
      </c>
      <c r="E11208" s="49">
        <v>45383</v>
      </c>
      <c r="F11208" t="s">
        <v>5478</v>
      </c>
      <c r="G11208" t="s">
        <v>1812</v>
      </c>
      <c r="H11208">
        <v>3</v>
      </c>
      <c r="I11208">
        <v>97.59</v>
      </c>
      <c r="J11208" s="50">
        <v>292.77</v>
      </c>
      <c r="K11208" t="s">
        <v>1618</v>
      </c>
      <c r="L11208" t="s">
        <v>5576</v>
      </c>
      <c r="M11208" t="s">
        <v>1621</v>
      </c>
      <c r="N11208">
        <v>51.51</v>
      </c>
      <c r="O11208" s="49">
        <v>45386</v>
      </c>
      <c r="P11208" s="50">
        <v>131.7465</v>
      </c>
    </row>
    <row r="11209" spans="4:16" x14ac:dyDescent="0.2">
      <c r="D11209">
        <v>100006732</v>
      </c>
      <c r="E11209" s="49">
        <v>45163</v>
      </c>
      <c r="F11209" t="s">
        <v>5478</v>
      </c>
      <c r="G11209" t="s">
        <v>1921</v>
      </c>
      <c r="H11209">
        <v>8</v>
      </c>
      <c r="I11209">
        <v>95.81</v>
      </c>
      <c r="J11209" s="50">
        <v>766.48</v>
      </c>
      <c r="K11209" t="s">
        <v>1618</v>
      </c>
      <c r="L11209" t="s">
        <v>5576</v>
      </c>
      <c r="M11209" t="s">
        <v>1619</v>
      </c>
      <c r="N11209">
        <v>50.57</v>
      </c>
      <c r="O11209" s="49">
        <v>45168</v>
      </c>
      <c r="P11209" s="50">
        <v>344.916</v>
      </c>
    </row>
    <row r="11210" spans="4:16" x14ac:dyDescent="0.2">
      <c r="D11210">
        <v>100006732</v>
      </c>
      <c r="E11210" s="49">
        <v>44306</v>
      </c>
      <c r="F11210" t="s">
        <v>5478</v>
      </c>
      <c r="G11210" t="s">
        <v>2378</v>
      </c>
      <c r="H11210">
        <v>3</v>
      </c>
      <c r="I11210">
        <v>107.14</v>
      </c>
      <c r="J11210" s="50">
        <v>321.42</v>
      </c>
      <c r="K11210" t="s">
        <v>1618</v>
      </c>
      <c r="L11210" t="s">
        <v>5576</v>
      </c>
      <c r="M11210" t="s">
        <v>1619</v>
      </c>
      <c r="N11210">
        <v>56.55</v>
      </c>
      <c r="O11210" s="49">
        <v>44308</v>
      </c>
      <c r="P11210" s="50">
        <v>144.63900000000001</v>
      </c>
    </row>
    <row r="11211" spans="4:16" x14ac:dyDescent="0.2">
      <c r="D11211">
        <v>100006732</v>
      </c>
      <c r="E11211" s="49">
        <v>44960</v>
      </c>
      <c r="F11211" t="s">
        <v>5478</v>
      </c>
      <c r="G11211" t="s">
        <v>1844</v>
      </c>
      <c r="H11211">
        <v>8</v>
      </c>
      <c r="I11211">
        <v>53.76</v>
      </c>
      <c r="J11211" s="50">
        <v>430.08</v>
      </c>
      <c r="K11211" t="s">
        <v>1618</v>
      </c>
      <c r="L11211" t="s">
        <v>5576</v>
      </c>
      <c r="M11211" t="s">
        <v>1629</v>
      </c>
      <c r="N11211">
        <v>28.37</v>
      </c>
      <c r="O11211" s="49">
        <v>44962</v>
      </c>
      <c r="P11211" s="50">
        <v>193.536</v>
      </c>
    </row>
    <row r="11212" spans="4:16" x14ac:dyDescent="0.2">
      <c r="D11212">
        <v>100006733</v>
      </c>
      <c r="E11212" s="49">
        <v>44941</v>
      </c>
      <c r="F11212" t="s">
        <v>7500</v>
      </c>
      <c r="G11212" t="s">
        <v>1794</v>
      </c>
      <c r="H11212">
        <v>9</v>
      </c>
      <c r="I11212">
        <v>95.13</v>
      </c>
      <c r="J11212" s="50">
        <v>856.17</v>
      </c>
      <c r="K11212" t="s">
        <v>1618</v>
      </c>
      <c r="M11212" t="s">
        <v>1621</v>
      </c>
      <c r="N11212">
        <v>50.21</v>
      </c>
      <c r="O11212" s="49">
        <v>44943</v>
      </c>
      <c r="P11212" s="50">
        <v>385.2765</v>
      </c>
    </row>
    <row r="11213" spans="4:16" x14ac:dyDescent="0.2">
      <c r="D11213">
        <v>100006734</v>
      </c>
      <c r="E11213" s="49">
        <v>45179</v>
      </c>
      <c r="F11213" t="s">
        <v>7501</v>
      </c>
      <c r="G11213" t="s">
        <v>2074</v>
      </c>
      <c r="H11213">
        <v>2</v>
      </c>
      <c r="I11213">
        <v>84.32</v>
      </c>
      <c r="J11213" s="50">
        <v>168.64</v>
      </c>
      <c r="K11213" t="s">
        <v>1618</v>
      </c>
      <c r="M11213" t="s">
        <v>1624</v>
      </c>
      <c r="N11213">
        <v>44.5</v>
      </c>
      <c r="O11213" s="49">
        <v>45184</v>
      </c>
      <c r="P11213" s="50">
        <v>75.887999999999991</v>
      </c>
    </row>
    <row r="11214" spans="4:16" x14ac:dyDescent="0.2">
      <c r="D11214">
        <v>100006735</v>
      </c>
      <c r="E11214" s="49">
        <v>44511</v>
      </c>
      <c r="F11214" t="s">
        <v>7502</v>
      </c>
      <c r="G11214" t="s">
        <v>2387</v>
      </c>
      <c r="H11214">
        <v>1</v>
      </c>
      <c r="I11214">
        <v>35.119999999999997</v>
      </c>
      <c r="J11214" s="50">
        <v>35.119999999999997</v>
      </c>
      <c r="K11214" t="s">
        <v>1618</v>
      </c>
      <c r="M11214" t="s">
        <v>1624</v>
      </c>
      <c r="N11214">
        <v>18.54</v>
      </c>
      <c r="O11214" s="49">
        <v>44512</v>
      </c>
      <c r="P11214" s="50">
        <v>15.803999999999998</v>
      </c>
    </row>
    <row r="11215" spans="4:16" x14ac:dyDescent="0.2">
      <c r="D11215">
        <v>100006737</v>
      </c>
      <c r="E11215" s="49">
        <v>44386</v>
      </c>
      <c r="F11215" t="s">
        <v>7503</v>
      </c>
      <c r="G11215" t="s">
        <v>2194</v>
      </c>
      <c r="H11215">
        <v>6</v>
      </c>
      <c r="I11215">
        <v>65.53</v>
      </c>
      <c r="J11215" s="50">
        <v>393.18</v>
      </c>
      <c r="K11215" t="s">
        <v>1618</v>
      </c>
      <c r="M11215" t="s">
        <v>1627</v>
      </c>
      <c r="N11215">
        <v>34.590000000000003</v>
      </c>
      <c r="O11215" s="49">
        <v>44388</v>
      </c>
      <c r="P11215" s="50">
        <v>176.93100000000001</v>
      </c>
    </row>
    <row r="11216" spans="4:16" x14ac:dyDescent="0.2">
      <c r="D11216">
        <v>100006738</v>
      </c>
      <c r="E11216" s="49">
        <v>45457</v>
      </c>
      <c r="F11216" t="s">
        <v>7504</v>
      </c>
      <c r="G11216" t="s">
        <v>2062</v>
      </c>
      <c r="H11216">
        <v>10</v>
      </c>
      <c r="I11216">
        <v>118.82</v>
      </c>
      <c r="J11216" s="50">
        <v>1188.2</v>
      </c>
      <c r="K11216" t="s">
        <v>1618</v>
      </c>
      <c r="M11216" t="s">
        <v>1629</v>
      </c>
      <c r="N11216">
        <v>62.71</v>
      </c>
      <c r="O11216" s="49">
        <v>45462</v>
      </c>
      <c r="P11216" s="50">
        <v>534.69000000000005</v>
      </c>
    </row>
    <row r="11217" spans="4:16" x14ac:dyDescent="0.2">
      <c r="D11217">
        <v>100006738</v>
      </c>
      <c r="E11217" s="49">
        <v>44467</v>
      </c>
      <c r="F11217" t="s">
        <v>7504</v>
      </c>
      <c r="G11217" t="s">
        <v>2465</v>
      </c>
      <c r="H11217">
        <v>6</v>
      </c>
      <c r="I11217">
        <v>52.62</v>
      </c>
      <c r="J11217" s="50">
        <v>315.72000000000003</v>
      </c>
      <c r="K11217" t="s">
        <v>1618</v>
      </c>
      <c r="M11217" t="s">
        <v>1627</v>
      </c>
      <c r="N11217">
        <v>27.77</v>
      </c>
      <c r="O11217" s="49">
        <v>44469</v>
      </c>
      <c r="P11217" s="50">
        <v>142.07400000000001</v>
      </c>
    </row>
    <row r="11218" spans="4:16" x14ac:dyDescent="0.2">
      <c r="D11218">
        <v>100006741</v>
      </c>
      <c r="E11218" s="49">
        <v>45471</v>
      </c>
      <c r="F11218" t="s">
        <v>6013</v>
      </c>
      <c r="G11218" t="s">
        <v>2207</v>
      </c>
      <c r="H11218">
        <v>3</v>
      </c>
      <c r="I11218">
        <v>30.27</v>
      </c>
      <c r="J11218" s="50">
        <v>90.81</v>
      </c>
      <c r="K11218" t="s">
        <v>1618</v>
      </c>
      <c r="M11218" t="s">
        <v>1621</v>
      </c>
      <c r="N11218">
        <v>15.98</v>
      </c>
      <c r="O11218" s="49">
        <v>45475</v>
      </c>
      <c r="P11218" s="50">
        <v>40.8645</v>
      </c>
    </row>
    <row r="11219" spans="4:16" x14ac:dyDescent="0.2">
      <c r="D11219">
        <v>100006741</v>
      </c>
      <c r="E11219" s="49">
        <v>45349</v>
      </c>
      <c r="F11219" t="s">
        <v>6013</v>
      </c>
      <c r="G11219" t="s">
        <v>2418</v>
      </c>
      <c r="H11219">
        <v>10</v>
      </c>
      <c r="I11219">
        <v>88.06</v>
      </c>
      <c r="J11219" s="50">
        <v>880.6</v>
      </c>
      <c r="K11219" t="s">
        <v>1618</v>
      </c>
      <c r="M11219" t="s">
        <v>1621</v>
      </c>
      <c r="N11219">
        <v>46.48</v>
      </c>
      <c r="O11219" s="49">
        <v>45354</v>
      </c>
      <c r="P11219" s="50">
        <v>396.27000000000004</v>
      </c>
    </row>
    <row r="11220" spans="4:16" x14ac:dyDescent="0.2">
      <c r="D11220">
        <v>100006742</v>
      </c>
      <c r="E11220" s="49">
        <v>45579</v>
      </c>
      <c r="F11220" t="s">
        <v>2409</v>
      </c>
      <c r="G11220" t="s">
        <v>2301</v>
      </c>
      <c r="H11220">
        <v>10</v>
      </c>
      <c r="I11220">
        <v>55.76</v>
      </c>
      <c r="J11220" s="50">
        <v>557.6</v>
      </c>
      <c r="K11220" t="s">
        <v>1618</v>
      </c>
      <c r="M11220" t="s">
        <v>1624</v>
      </c>
      <c r="N11220">
        <v>29.43</v>
      </c>
      <c r="O11220" s="49">
        <v>45583</v>
      </c>
      <c r="P11220" s="50">
        <v>250.92000000000002</v>
      </c>
    </row>
    <row r="11221" spans="4:16" x14ac:dyDescent="0.2">
      <c r="D11221">
        <v>100006742</v>
      </c>
      <c r="E11221" s="49">
        <v>44490</v>
      </c>
      <c r="F11221" t="s">
        <v>2409</v>
      </c>
      <c r="G11221" t="s">
        <v>1672</v>
      </c>
      <c r="H11221">
        <v>1</v>
      </c>
      <c r="I11221">
        <v>113.39</v>
      </c>
      <c r="J11221" s="50">
        <v>113.39</v>
      </c>
      <c r="K11221" t="s">
        <v>1618</v>
      </c>
      <c r="M11221" t="s">
        <v>1627</v>
      </c>
      <c r="N11221">
        <v>59.84</v>
      </c>
      <c r="O11221" s="49">
        <v>44493</v>
      </c>
      <c r="P11221" s="50">
        <v>51.025500000000001</v>
      </c>
    </row>
    <row r="11222" spans="4:16" x14ac:dyDescent="0.2">
      <c r="D11222">
        <v>100006745</v>
      </c>
      <c r="E11222" s="49">
        <v>44410</v>
      </c>
      <c r="F11222" t="s">
        <v>7505</v>
      </c>
      <c r="G11222" t="s">
        <v>2130</v>
      </c>
      <c r="H11222">
        <v>7</v>
      </c>
      <c r="I11222">
        <v>56.08</v>
      </c>
      <c r="J11222" s="50">
        <v>392.56</v>
      </c>
      <c r="K11222" t="s">
        <v>1632</v>
      </c>
      <c r="M11222" t="s">
        <v>1624</v>
      </c>
      <c r="N11222">
        <v>29.6</v>
      </c>
      <c r="O11222" s="49">
        <v>44414</v>
      </c>
      <c r="P11222" s="50">
        <v>176.65200000000002</v>
      </c>
    </row>
    <row r="11223" spans="4:16" x14ac:dyDescent="0.2">
      <c r="D11223">
        <v>100006746</v>
      </c>
      <c r="E11223" s="49">
        <v>44984</v>
      </c>
      <c r="F11223" t="s">
        <v>7506</v>
      </c>
      <c r="G11223" t="s">
        <v>1642</v>
      </c>
      <c r="H11223">
        <v>2</v>
      </c>
      <c r="I11223">
        <v>39.86</v>
      </c>
      <c r="J11223" s="50">
        <v>79.72</v>
      </c>
      <c r="K11223" t="s">
        <v>1632</v>
      </c>
      <c r="M11223" t="s">
        <v>1624</v>
      </c>
      <c r="N11223">
        <v>21.04</v>
      </c>
      <c r="O11223" s="49">
        <v>44986</v>
      </c>
      <c r="P11223" s="50">
        <v>35.874000000000002</v>
      </c>
    </row>
    <row r="11224" spans="4:16" x14ac:dyDescent="0.2">
      <c r="D11224">
        <v>100006746</v>
      </c>
      <c r="E11224" s="49">
        <v>45565</v>
      </c>
      <c r="F11224" t="s">
        <v>7506</v>
      </c>
      <c r="G11224" t="s">
        <v>1707</v>
      </c>
      <c r="H11224">
        <v>9</v>
      </c>
      <c r="I11224">
        <v>21.24</v>
      </c>
      <c r="J11224" s="50">
        <v>191.16</v>
      </c>
      <c r="K11224" t="s">
        <v>1632</v>
      </c>
      <c r="M11224" t="s">
        <v>1624</v>
      </c>
      <c r="N11224">
        <v>11.21</v>
      </c>
      <c r="O11224" s="49">
        <v>45568</v>
      </c>
      <c r="P11224" s="50">
        <v>86.022000000000006</v>
      </c>
    </row>
    <row r="11225" spans="4:16" x14ac:dyDescent="0.2">
      <c r="D11225">
        <v>100006746</v>
      </c>
      <c r="E11225" s="49">
        <v>44292</v>
      </c>
      <c r="F11225" t="s">
        <v>7506</v>
      </c>
      <c r="G11225" t="s">
        <v>1661</v>
      </c>
      <c r="H11225">
        <v>3</v>
      </c>
      <c r="I11225">
        <v>113.84</v>
      </c>
      <c r="J11225" s="50">
        <v>341.52</v>
      </c>
      <c r="K11225" t="s">
        <v>1632</v>
      </c>
      <c r="M11225" t="s">
        <v>1619</v>
      </c>
      <c r="N11225">
        <v>60.08</v>
      </c>
      <c r="O11225" s="49">
        <v>44297</v>
      </c>
      <c r="P11225" s="50">
        <v>153.684</v>
      </c>
    </row>
    <row r="11226" spans="4:16" x14ac:dyDescent="0.2">
      <c r="D11226">
        <v>100006750</v>
      </c>
      <c r="E11226" s="49">
        <v>45123</v>
      </c>
      <c r="F11226" t="s">
        <v>7507</v>
      </c>
      <c r="G11226" t="s">
        <v>1955</v>
      </c>
      <c r="H11226">
        <v>8</v>
      </c>
      <c r="I11226">
        <v>42.96</v>
      </c>
      <c r="J11226" s="50">
        <v>343.68</v>
      </c>
      <c r="K11226" t="s">
        <v>1632</v>
      </c>
      <c r="M11226" t="s">
        <v>1629</v>
      </c>
      <c r="N11226">
        <v>22.67</v>
      </c>
      <c r="O11226" s="49">
        <v>45125</v>
      </c>
      <c r="P11226" s="50">
        <v>154.65600000000001</v>
      </c>
    </row>
    <row r="11227" spans="4:16" x14ac:dyDescent="0.2">
      <c r="D11227">
        <v>100006750</v>
      </c>
      <c r="E11227" s="49">
        <v>45183</v>
      </c>
      <c r="F11227" t="s">
        <v>7507</v>
      </c>
      <c r="G11227" t="s">
        <v>1820</v>
      </c>
      <c r="H11227">
        <v>1</v>
      </c>
      <c r="I11227">
        <v>108</v>
      </c>
      <c r="J11227" s="50">
        <v>108</v>
      </c>
      <c r="K11227" t="s">
        <v>1632</v>
      </c>
      <c r="M11227" t="s">
        <v>1624</v>
      </c>
      <c r="N11227">
        <v>57</v>
      </c>
      <c r="O11227" s="49">
        <v>45184</v>
      </c>
      <c r="P11227" s="50">
        <v>48.6</v>
      </c>
    </row>
    <row r="11228" spans="4:16" x14ac:dyDescent="0.2">
      <c r="D11228">
        <v>100006750</v>
      </c>
      <c r="E11228" s="49">
        <v>44818</v>
      </c>
      <c r="F11228" t="s">
        <v>7507</v>
      </c>
      <c r="G11228" t="s">
        <v>1664</v>
      </c>
      <c r="H11228">
        <v>6</v>
      </c>
      <c r="I11228">
        <v>70.040000000000006</v>
      </c>
      <c r="J11228" s="50">
        <v>420.24</v>
      </c>
      <c r="K11228" t="s">
        <v>1632</v>
      </c>
      <c r="M11228" t="s">
        <v>1621</v>
      </c>
      <c r="N11228">
        <v>36.97</v>
      </c>
      <c r="O11228" s="49">
        <v>44820</v>
      </c>
      <c r="P11228" s="50">
        <v>189.108</v>
      </c>
    </row>
    <row r="11229" spans="4:16" x14ac:dyDescent="0.2">
      <c r="D11229">
        <v>100006750</v>
      </c>
      <c r="E11229" s="49">
        <v>44239</v>
      </c>
      <c r="F11229" t="s">
        <v>7507</v>
      </c>
      <c r="G11229" t="s">
        <v>2050</v>
      </c>
      <c r="H11229">
        <v>5</v>
      </c>
      <c r="I11229">
        <v>42.46</v>
      </c>
      <c r="J11229" s="50">
        <v>212.3</v>
      </c>
      <c r="K11229" t="s">
        <v>1632</v>
      </c>
      <c r="M11229" t="s">
        <v>1619</v>
      </c>
      <c r="N11229">
        <v>22.41</v>
      </c>
      <c r="O11229" s="49">
        <v>44240</v>
      </c>
      <c r="P11229" s="50">
        <v>95.535000000000011</v>
      </c>
    </row>
    <row r="11230" spans="4:16" x14ac:dyDescent="0.2">
      <c r="D11230">
        <v>100006750</v>
      </c>
      <c r="E11230" s="49">
        <v>44249</v>
      </c>
      <c r="F11230" t="s">
        <v>7507</v>
      </c>
      <c r="G11230" t="s">
        <v>1717</v>
      </c>
      <c r="H11230">
        <v>4</v>
      </c>
      <c r="I11230">
        <v>40.200000000000003</v>
      </c>
      <c r="J11230" s="50">
        <v>160.80000000000001</v>
      </c>
      <c r="K11230" t="s">
        <v>1632</v>
      </c>
      <c r="M11230" t="s">
        <v>1621</v>
      </c>
      <c r="N11230">
        <v>21.22</v>
      </c>
      <c r="O11230" s="49">
        <v>44254</v>
      </c>
      <c r="P11230" s="50">
        <v>72.360000000000014</v>
      </c>
    </row>
    <row r="11231" spans="4:16" x14ac:dyDescent="0.2">
      <c r="D11231">
        <v>100006750</v>
      </c>
      <c r="E11231" s="49">
        <v>45098</v>
      </c>
      <c r="F11231" t="s">
        <v>7507</v>
      </c>
      <c r="G11231" t="s">
        <v>2024</v>
      </c>
      <c r="H11231">
        <v>8</v>
      </c>
      <c r="I11231">
        <v>44.79</v>
      </c>
      <c r="J11231" s="50">
        <v>358.32</v>
      </c>
      <c r="K11231" t="s">
        <v>1632</v>
      </c>
      <c r="M11231" t="s">
        <v>1621</v>
      </c>
      <c r="N11231">
        <v>23.64</v>
      </c>
      <c r="O11231" s="49">
        <v>45101</v>
      </c>
      <c r="P11231" s="50">
        <v>161.244</v>
      </c>
    </row>
    <row r="11232" spans="4:16" x14ac:dyDescent="0.2">
      <c r="D11232">
        <v>100006750</v>
      </c>
      <c r="E11232" s="49">
        <v>45547</v>
      </c>
      <c r="F11232" t="s">
        <v>7507</v>
      </c>
      <c r="G11232" t="s">
        <v>2004</v>
      </c>
      <c r="H11232">
        <v>6</v>
      </c>
      <c r="I11232">
        <v>94.54</v>
      </c>
      <c r="J11232" s="50">
        <v>567.24</v>
      </c>
      <c r="K11232" t="s">
        <v>1632</v>
      </c>
      <c r="M11232" t="s">
        <v>1629</v>
      </c>
      <c r="N11232">
        <v>49.9</v>
      </c>
      <c r="O11232" s="49">
        <v>45550</v>
      </c>
      <c r="P11232" s="50">
        <v>255.25800000000001</v>
      </c>
    </row>
    <row r="11233" spans="4:16" x14ac:dyDescent="0.2">
      <c r="D11233">
        <v>100006750</v>
      </c>
      <c r="E11233" s="49">
        <v>45085</v>
      </c>
      <c r="F11233" t="s">
        <v>7507</v>
      </c>
      <c r="G11233" t="s">
        <v>1976</v>
      </c>
      <c r="H11233">
        <v>3</v>
      </c>
      <c r="I11233">
        <v>96.66</v>
      </c>
      <c r="J11233" s="50">
        <v>289.98</v>
      </c>
      <c r="K11233" t="s">
        <v>1632</v>
      </c>
      <c r="M11233" t="s">
        <v>1624</v>
      </c>
      <c r="N11233">
        <v>51.01</v>
      </c>
      <c r="O11233" s="49">
        <v>45086</v>
      </c>
      <c r="P11233" s="50">
        <v>130.49100000000001</v>
      </c>
    </row>
    <row r="11234" spans="4:16" x14ac:dyDescent="0.2">
      <c r="D11234">
        <v>100006750</v>
      </c>
      <c r="E11234" s="49">
        <v>45024</v>
      </c>
      <c r="F11234" t="s">
        <v>7507</v>
      </c>
      <c r="G11234" t="s">
        <v>1623</v>
      </c>
      <c r="H11234">
        <v>9</v>
      </c>
      <c r="I11234">
        <v>42.93</v>
      </c>
      <c r="J11234" s="50">
        <v>386.37</v>
      </c>
      <c r="K11234" t="s">
        <v>1632</v>
      </c>
      <c r="M11234" t="s">
        <v>1629</v>
      </c>
      <c r="N11234">
        <v>22.66</v>
      </c>
      <c r="O11234" s="49">
        <v>45029</v>
      </c>
      <c r="P11234" s="50">
        <v>173.8665</v>
      </c>
    </row>
    <row r="11235" spans="4:16" x14ac:dyDescent="0.2">
      <c r="D11235">
        <v>100006750</v>
      </c>
      <c r="E11235" s="49">
        <v>45039</v>
      </c>
      <c r="F11235" t="s">
        <v>7507</v>
      </c>
      <c r="G11235" t="s">
        <v>1782</v>
      </c>
      <c r="H11235">
        <v>9</v>
      </c>
      <c r="I11235">
        <v>82.45</v>
      </c>
      <c r="J11235" s="50">
        <v>742.05000000000007</v>
      </c>
      <c r="K11235" t="s">
        <v>1632</v>
      </c>
      <c r="M11235" t="s">
        <v>1629</v>
      </c>
      <c r="N11235">
        <v>43.51</v>
      </c>
      <c r="O11235" s="49">
        <v>45041</v>
      </c>
      <c r="P11235" s="50">
        <v>333.92250000000001</v>
      </c>
    </row>
    <row r="11236" spans="4:16" x14ac:dyDescent="0.2">
      <c r="D11236">
        <v>100006750</v>
      </c>
      <c r="E11236" s="49">
        <v>44470</v>
      </c>
      <c r="F11236" t="s">
        <v>7507</v>
      </c>
      <c r="G11236" t="s">
        <v>2390</v>
      </c>
      <c r="H11236">
        <v>7</v>
      </c>
      <c r="I11236">
        <v>99.17</v>
      </c>
      <c r="J11236" s="50">
        <v>694.19</v>
      </c>
      <c r="K11236" t="s">
        <v>1632</v>
      </c>
      <c r="M11236" t="s">
        <v>1619</v>
      </c>
      <c r="N11236">
        <v>52.34</v>
      </c>
      <c r="O11236" s="49">
        <v>44474</v>
      </c>
      <c r="P11236" s="50">
        <v>312.38550000000004</v>
      </c>
    </row>
    <row r="11237" spans="4:16" x14ac:dyDescent="0.2">
      <c r="D11237">
        <v>100006751</v>
      </c>
      <c r="E11237" s="49">
        <v>45392</v>
      </c>
      <c r="F11237" t="s">
        <v>7508</v>
      </c>
      <c r="G11237" t="s">
        <v>1865</v>
      </c>
      <c r="H11237">
        <v>10</v>
      </c>
      <c r="I11237">
        <v>80.930000000000007</v>
      </c>
      <c r="J11237" s="50">
        <v>809.30000000000007</v>
      </c>
      <c r="K11237" t="s">
        <v>1618</v>
      </c>
      <c r="L11237" t="s">
        <v>5140</v>
      </c>
      <c r="M11237" t="s">
        <v>1627</v>
      </c>
      <c r="N11237">
        <v>42.71</v>
      </c>
      <c r="O11237" s="49">
        <v>45394</v>
      </c>
      <c r="P11237" s="50">
        <v>364.18500000000006</v>
      </c>
    </row>
    <row r="11238" spans="4:16" x14ac:dyDescent="0.2">
      <c r="D11238">
        <v>100006751</v>
      </c>
      <c r="E11238" s="49">
        <v>45373</v>
      </c>
      <c r="F11238" t="s">
        <v>7508</v>
      </c>
      <c r="G11238" t="s">
        <v>2076</v>
      </c>
      <c r="H11238">
        <v>7</v>
      </c>
      <c r="I11238">
        <v>33.28</v>
      </c>
      <c r="J11238" s="50">
        <v>232.96</v>
      </c>
      <c r="K11238" t="s">
        <v>1618</v>
      </c>
      <c r="L11238" t="s">
        <v>5140</v>
      </c>
      <c r="M11238" t="s">
        <v>1627</v>
      </c>
      <c r="N11238">
        <v>17.559999999999999</v>
      </c>
      <c r="O11238" s="49">
        <v>45377</v>
      </c>
      <c r="P11238" s="50">
        <v>104.83200000000001</v>
      </c>
    </row>
    <row r="11239" spans="4:16" x14ac:dyDescent="0.2">
      <c r="D11239">
        <v>100006752</v>
      </c>
      <c r="E11239" s="49">
        <v>45069</v>
      </c>
      <c r="F11239" t="s">
        <v>7509</v>
      </c>
      <c r="G11239" t="s">
        <v>2418</v>
      </c>
      <c r="H11239">
        <v>1</v>
      </c>
      <c r="I11239">
        <v>63.15</v>
      </c>
      <c r="J11239" s="50">
        <v>63.15</v>
      </c>
      <c r="K11239" t="s">
        <v>1618</v>
      </c>
      <c r="L11239" t="s">
        <v>7510</v>
      </c>
      <c r="M11239" t="s">
        <v>1627</v>
      </c>
      <c r="N11239">
        <v>33.33</v>
      </c>
      <c r="O11239" s="49">
        <v>45074</v>
      </c>
      <c r="P11239" s="50">
        <v>28.4175</v>
      </c>
    </row>
    <row r="11240" spans="4:16" x14ac:dyDescent="0.2">
      <c r="D11240">
        <v>100006753</v>
      </c>
      <c r="E11240" s="49">
        <v>45409</v>
      </c>
      <c r="F11240" t="s">
        <v>7511</v>
      </c>
      <c r="G11240" t="s">
        <v>2088</v>
      </c>
      <c r="H11240">
        <v>6</v>
      </c>
      <c r="I11240">
        <v>32.700000000000003</v>
      </c>
      <c r="J11240" s="50">
        <v>196.2</v>
      </c>
      <c r="K11240" t="s">
        <v>1618</v>
      </c>
      <c r="M11240" t="s">
        <v>1627</v>
      </c>
      <c r="N11240">
        <v>17.260000000000002</v>
      </c>
      <c r="O11240" s="49">
        <v>45413</v>
      </c>
      <c r="P11240" s="50">
        <v>88.289999999999992</v>
      </c>
    </row>
    <row r="11241" spans="4:16" x14ac:dyDescent="0.2">
      <c r="D11241">
        <v>100006753</v>
      </c>
      <c r="E11241" s="49">
        <v>45179</v>
      </c>
      <c r="F11241" t="s">
        <v>7511</v>
      </c>
      <c r="G11241" t="s">
        <v>2060</v>
      </c>
      <c r="H11241">
        <v>2</v>
      </c>
      <c r="I11241">
        <v>56.7</v>
      </c>
      <c r="J11241" s="50">
        <v>113.4</v>
      </c>
      <c r="K11241" t="s">
        <v>1618</v>
      </c>
      <c r="M11241" t="s">
        <v>1624</v>
      </c>
      <c r="N11241">
        <v>29.92</v>
      </c>
      <c r="O11241" s="49">
        <v>45183</v>
      </c>
      <c r="P11241" s="50">
        <v>51.03</v>
      </c>
    </row>
    <row r="11242" spans="4:16" x14ac:dyDescent="0.2">
      <c r="D11242">
        <v>100006753</v>
      </c>
      <c r="E11242" s="49">
        <v>45259</v>
      </c>
      <c r="F11242" t="s">
        <v>7511</v>
      </c>
      <c r="G11242" t="s">
        <v>1781</v>
      </c>
      <c r="H11242">
        <v>8</v>
      </c>
      <c r="I11242">
        <v>115.55</v>
      </c>
      <c r="J11242" s="50">
        <v>924.4</v>
      </c>
      <c r="K11242" t="s">
        <v>1618</v>
      </c>
      <c r="M11242" t="s">
        <v>1619</v>
      </c>
      <c r="N11242">
        <v>60.98</v>
      </c>
      <c r="O11242" s="49">
        <v>45264</v>
      </c>
      <c r="P11242" s="50">
        <v>415.98</v>
      </c>
    </row>
    <row r="11243" spans="4:16" x14ac:dyDescent="0.2">
      <c r="D11243">
        <v>100006753</v>
      </c>
      <c r="E11243" s="49">
        <v>44296</v>
      </c>
      <c r="F11243" t="s">
        <v>7511</v>
      </c>
      <c r="G11243" t="s">
        <v>2375</v>
      </c>
      <c r="H11243">
        <v>4</v>
      </c>
      <c r="I11243">
        <v>116.28</v>
      </c>
      <c r="J11243" s="50">
        <v>465.12</v>
      </c>
      <c r="K11243" t="s">
        <v>1618</v>
      </c>
      <c r="M11243" t="s">
        <v>1629</v>
      </c>
      <c r="N11243">
        <v>61.37</v>
      </c>
      <c r="O11243" s="49">
        <v>44297</v>
      </c>
      <c r="P11243" s="50">
        <v>209.304</v>
      </c>
    </row>
    <row r="11244" spans="4:16" x14ac:dyDescent="0.2">
      <c r="D11244">
        <v>100006753</v>
      </c>
      <c r="E11244" s="49">
        <v>44201</v>
      </c>
      <c r="F11244" t="s">
        <v>7511</v>
      </c>
      <c r="G11244" t="s">
        <v>1865</v>
      </c>
      <c r="H11244">
        <v>1</v>
      </c>
      <c r="I11244">
        <v>57.45</v>
      </c>
      <c r="J11244" s="50">
        <v>57.45</v>
      </c>
      <c r="K11244" t="s">
        <v>1618</v>
      </c>
      <c r="M11244" t="s">
        <v>1624</v>
      </c>
      <c r="N11244">
        <v>30.32</v>
      </c>
      <c r="O11244" s="49">
        <v>44205</v>
      </c>
      <c r="P11244" s="50">
        <v>25.852500000000003</v>
      </c>
    </row>
    <row r="11245" spans="4:16" x14ac:dyDescent="0.2">
      <c r="D11245">
        <v>100006753</v>
      </c>
      <c r="E11245" s="49">
        <v>44584</v>
      </c>
      <c r="F11245" t="s">
        <v>7511</v>
      </c>
      <c r="G11245" t="s">
        <v>2278</v>
      </c>
      <c r="H11245">
        <v>6</v>
      </c>
      <c r="I11245">
        <v>72.84</v>
      </c>
      <c r="J11245" s="50">
        <v>437.04</v>
      </c>
      <c r="K11245" t="s">
        <v>1618</v>
      </c>
      <c r="M11245" t="s">
        <v>1627</v>
      </c>
      <c r="N11245">
        <v>38.44</v>
      </c>
      <c r="O11245" s="49">
        <v>44587</v>
      </c>
      <c r="P11245" s="50">
        <v>196.66800000000001</v>
      </c>
    </row>
    <row r="11246" spans="4:16" x14ac:dyDescent="0.2">
      <c r="D11246">
        <v>100006754</v>
      </c>
      <c r="E11246" s="49">
        <v>45025</v>
      </c>
      <c r="F11246" t="s">
        <v>7512</v>
      </c>
      <c r="G11246" t="s">
        <v>1649</v>
      </c>
      <c r="H11246">
        <v>1</v>
      </c>
      <c r="I11246">
        <v>94.11</v>
      </c>
      <c r="J11246" s="50">
        <v>94.11</v>
      </c>
      <c r="K11246" t="s">
        <v>1618</v>
      </c>
      <c r="L11246" t="s">
        <v>2526</v>
      </c>
      <c r="M11246" t="s">
        <v>1621</v>
      </c>
      <c r="N11246">
        <v>49.67</v>
      </c>
      <c r="O11246" s="49">
        <v>45028</v>
      </c>
      <c r="P11246" s="50">
        <v>42.349499999999999</v>
      </c>
    </row>
    <row r="11247" spans="4:16" x14ac:dyDescent="0.2">
      <c r="D11247">
        <v>100006755</v>
      </c>
      <c r="E11247" s="49">
        <v>44605</v>
      </c>
      <c r="F11247" t="s">
        <v>7513</v>
      </c>
      <c r="G11247" t="s">
        <v>1807</v>
      </c>
      <c r="H11247">
        <v>4</v>
      </c>
      <c r="I11247">
        <v>115.77</v>
      </c>
      <c r="J11247" s="50">
        <v>463.08</v>
      </c>
      <c r="K11247" t="s">
        <v>1618</v>
      </c>
      <c r="M11247" t="s">
        <v>1624</v>
      </c>
      <c r="N11247">
        <v>61.1</v>
      </c>
      <c r="O11247" s="49">
        <v>44609</v>
      </c>
      <c r="P11247" s="50">
        <v>208.386</v>
      </c>
    </row>
    <row r="11248" spans="4:16" x14ac:dyDescent="0.2">
      <c r="D11248">
        <v>100006755</v>
      </c>
      <c r="E11248" s="49">
        <v>45522</v>
      </c>
      <c r="F11248" t="s">
        <v>7513</v>
      </c>
      <c r="G11248" t="s">
        <v>2180</v>
      </c>
      <c r="H11248">
        <v>4</v>
      </c>
      <c r="I11248">
        <v>57.85</v>
      </c>
      <c r="J11248" s="50">
        <v>231.4</v>
      </c>
      <c r="K11248" t="s">
        <v>1618</v>
      </c>
      <c r="M11248" t="s">
        <v>1619</v>
      </c>
      <c r="N11248">
        <v>30.53</v>
      </c>
      <c r="O11248" s="49">
        <v>45526</v>
      </c>
      <c r="P11248" s="50">
        <v>104.13000000000001</v>
      </c>
    </row>
    <row r="11249" spans="4:16" x14ac:dyDescent="0.2">
      <c r="D11249">
        <v>100006755</v>
      </c>
      <c r="E11249" s="49">
        <v>45333</v>
      </c>
      <c r="F11249" t="s">
        <v>7513</v>
      </c>
      <c r="G11249" t="s">
        <v>1641</v>
      </c>
      <c r="H11249">
        <v>6</v>
      </c>
      <c r="I11249">
        <v>69.400000000000006</v>
      </c>
      <c r="J11249" s="50">
        <v>416.4</v>
      </c>
      <c r="K11249" t="s">
        <v>1618</v>
      </c>
      <c r="M11249" t="s">
        <v>1627</v>
      </c>
      <c r="N11249">
        <v>36.630000000000003</v>
      </c>
      <c r="O11249" s="49">
        <v>45336</v>
      </c>
      <c r="P11249" s="50">
        <v>187.38</v>
      </c>
    </row>
    <row r="11250" spans="4:16" x14ac:dyDescent="0.2">
      <c r="D11250">
        <v>100006757</v>
      </c>
      <c r="E11250" s="49">
        <v>44695</v>
      </c>
      <c r="F11250" t="s">
        <v>7514</v>
      </c>
      <c r="G11250" t="s">
        <v>2484</v>
      </c>
      <c r="H11250">
        <v>1</v>
      </c>
      <c r="I11250">
        <v>82.25</v>
      </c>
      <c r="J11250" s="50">
        <v>82.25</v>
      </c>
      <c r="K11250" t="s">
        <v>1632</v>
      </c>
      <c r="L11250" t="s">
        <v>5435</v>
      </c>
      <c r="M11250" t="s">
        <v>1624</v>
      </c>
      <c r="N11250">
        <v>43.41</v>
      </c>
      <c r="O11250" s="49">
        <v>44697</v>
      </c>
      <c r="P11250" s="50">
        <v>37.012500000000003</v>
      </c>
    </row>
    <row r="11251" spans="4:16" x14ac:dyDescent="0.2">
      <c r="D11251">
        <v>100006757</v>
      </c>
      <c r="E11251" s="49">
        <v>45621</v>
      </c>
      <c r="F11251" t="s">
        <v>7514</v>
      </c>
      <c r="G11251" t="s">
        <v>2065</v>
      </c>
      <c r="H11251">
        <v>3</v>
      </c>
      <c r="I11251">
        <v>23.95</v>
      </c>
      <c r="J11251" s="50">
        <v>71.849999999999994</v>
      </c>
      <c r="K11251" t="s">
        <v>1632</v>
      </c>
      <c r="L11251" t="s">
        <v>5435</v>
      </c>
      <c r="M11251" t="s">
        <v>1624</v>
      </c>
      <c r="N11251">
        <v>12.64</v>
      </c>
      <c r="O11251" s="49">
        <v>45625</v>
      </c>
      <c r="P11251" s="50">
        <v>32.332499999999996</v>
      </c>
    </row>
    <row r="11252" spans="4:16" x14ac:dyDescent="0.2">
      <c r="D11252">
        <v>100006758</v>
      </c>
      <c r="E11252" s="49">
        <v>44543</v>
      </c>
      <c r="F11252" t="s">
        <v>7515</v>
      </c>
      <c r="G11252" t="s">
        <v>1802</v>
      </c>
      <c r="H11252">
        <v>7</v>
      </c>
      <c r="I11252">
        <v>112.6</v>
      </c>
      <c r="J11252" s="50">
        <v>788.19999999999993</v>
      </c>
      <c r="K11252" t="s">
        <v>1618</v>
      </c>
      <c r="M11252" t="s">
        <v>1619</v>
      </c>
      <c r="N11252">
        <v>59.43</v>
      </c>
      <c r="O11252" s="49">
        <v>44545</v>
      </c>
      <c r="P11252" s="50">
        <v>354.69</v>
      </c>
    </row>
    <row r="11253" spans="4:16" x14ac:dyDescent="0.2">
      <c r="D11253">
        <v>100006759</v>
      </c>
      <c r="E11253" s="49">
        <v>44791</v>
      </c>
      <c r="F11253" t="s">
        <v>7516</v>
      </c>
      <c r="G11253" t="s">
        <v>2068</v>
      </c>
      <c r="H11253">
        <v>4</v>
      </c>
      <c r="I11253">
        <v>29.19</v>
      </c>
      <c r="J11253" s="50">
        <v>116.76</v>
      </c>
      <c r="K11253" t="s">
        <v>1618</v>
      </c>
      <c r="M11253" t="s">
        <v>1619</v>
      </c>
      <c r="N11253">
        <v>15.41</v>
      </c>
      <c r="O11253" s="49">
        <v>44795</v>
      </c>
      <c r="P11253" s="50">
        <v>52.542000000000002</v>
      </c>
    </row>
    <row r="11254" spans="4:16" x14ac:dyDescent="0.2">
      <c r="D11254">
        <v>100006759</v>
      </c>
      <c r="E11254" s="49">
        <v>44540</v>
      </c>
      <c r="F11254" t="s">
        <v>7516</v>
      </c>
      <c r="G11254" t="s">
        <v>1720</v>
      </c>
      <c r="H11254">
        <v>2</v>
      </c>
      <c r="I11254">
        <v>69.209999999999994</v>
      </c>
      <c r="J11254" s="50">
        <v>138.41999999999999</v>
      </c>
      <c r="K11254" t="s">
        <v>1618</v>
      </c>
      <c r="M11254" t="s">
        <v>1629</v>
      </c>
      <c r="N11254">
        <v>36.53</v>
      </c>
      <c r="O11254" s="49">
        <v>44545</v>
      </c>
      <c r="P11254" s="50">
        <v>62.288999999999994</v>
      </c>
    </row>
    <row r="11255" spans="4:16" x14ac:dyDescent="0.2">
      <c r="D11255">
        <v>100006759</v>
      </c>
      <c r="E11255" s="49">
        <v>44483</v>
      </c>
      <c r="F11255" t="s">
        <v>7516</v>
      </c>
      <c r="G11255" t="s">
        <v>1731</v>
      </c>
      <c r="H11255">
        <v>4</v>
      </c>
      <c r="I11255">
        <v>27.76</v>
      </c>
      <c r="J11255" s="50">
        <v>111.04</v>
      </c>
      <c r="K11255" t="s">
        <v>1618</v>
      </c>
      <c r="M11255" t="s">
        <v>1627</v>
      </c>
      <c r="N11255">
        <v>14.65</v>
      </c>
      <c r="O11255" s="49">
        <v>44488</v>
      </c>
      <c r="P11255" s="50">
        <v>49.968000000000004</v>
      </c>
    </row>
    <row r="11256" spans="4:16" x14ac:dyDescent="0.2">
      <c r="D11256">
        <v>100006760</v>
      </c>
      <c r="E11256" s="49">
        <v>44312</v>
      </c>
      <c r="F11256" t="s">
        <v>7517</v>
      </c>
      <c r="G11256" t="s">
        <v>1749</v>
      </c>
      <c r="H11256">
        <v>4</v>
      </c>
      <c r="I11256">
        <v>56.78</v>
      </c>
      <c r="J11256" s="50">
        <v>227.12</v>
      </c>
      <c r="K11256" t="s">
        <v>1632</v>
      </c>
      <c r="M11256" t="s">
        <v>1619</v>
      </c>
      <c r="N11256">
        <v>29.97</v>
      </c>
      <c r="O11256" s="49">
        <v>44314</v>
      </c>
      <c r="P11256" s="50">
        <v>102.20400000000001</v>
      </c>
    </row>
    <row r="11257" spans="4:16" x14ac:dyDescent="0.2">
      <c r="D11257">
        <v>100006761</v>
      </c>
      <c r="E11257" s="49">
        <v>44465</v>
      </c>
      <c r="F11257" t="s">
        <v>7518</v>
      </c>
      <c r="G11257" t="s">
        <v>2111</v>
      </c>
      <c r="H11257">
        <v>6</v>
      </c>
      <c r="I11257">
        <v>78.78</v>
      </c>
      <c r="J11257" s="50">
        <v>472.68</v>
      </c>
      <c r="K11257" t="s">
        <v>1632</v>
      </c>
      <c r="L11257" t="s">
        <v>2107</v>
      </c>
      <c r="M11257" t="s">
        <v>1621</v>
      </c>
      <c r="N11257">
        <v>41.58</v>
      </c>
      <c r="O11257" s="49">
        <v>44468</v>
      </c>
      <c r="P11257" s="50">
        <v>212.70600000000002</v>
      </c>
    </row>
    <row r="11258" spans="4:16" x14ac:dyDescent="0.2">
      <c r="D11258">
        <v>100006761</v>
      </c>
      <c r="E11258" s="49">
        <v>45354</v>
      </c>
      <c r="F11258" t="s">
        <v>7518</v>
      </c>
      <c r="G11258" t="s">
        <v>2581</v>
      </c>
      <c r="H11258">
        <v>7</v>
      </c>
      <c r="I11258">
        <v>96.3</v>
      </c>
      <c r="J11258" s="50">
        <v>674.1</v>
      </c>
      <c r="K11258" t="s">
        <v>1632</v>
      </c>
      <c r="L11258" t="s">
        <v>2107</v>
      </c>
      <c r="M11258" t="s">
        <v>1627</v>
      </c>
      <c r="N11258">
        <v>50.82</v>
      </c>
      <c r="O11258" s="49">
        <v>45357</v>
      </c>
      <c r="P11258" s="50">
        <v>303.34500000000003</v>
      </c>
    </row>
    <row r="11259" spans="4:16" x14ac:dyDescent="0.2">
      <c r="D11259">
        <v>100006761</v>
      </c>
      <c r="E11259" s="49">
        <v>45000</v>
      </c>
      <c r="F11259" t="s">
        <v>7518</v>
      </c>
      <c r="G11259" t="s">
        <v>1715</v>
      </c>
      <c r="H11259">
        <v>7</v>
      </c>
      <c r="I11259">
        <v>39.29</v>
      </c>
      <c r="J11259" s="50">
        <v>275.02999999999997</v>
      </c>
      <c r="K11259" t="s">
        <v>1632</v>
      </c>
      <c r="L11259" t="s">
        <v>2107</v>
      </c>
      <c r="M11259" t="s">
        <v>1624</v>
      </c>
      <c r="N11259">
        <v>20.74</v>
      </c>
      <c r="O11259" s="49">
        <v>45001</v>
      </c>
      <c r="P11259" s="50">
        <v>123.76349999999999</v>
      </c>
    </row>
    <row r="11260" spans="4:16" x14ac:dyDescent="0.2">
      <c r="D11260">
        <v>100006762</v>
      </c>
      <c r="E11260" s="49">
        <v>45465</v>
      </c>
      <c r="F11260" t="s">
        <v>7519</v>
      </c>
      <c r="G11260" t="s">
        <v>1953</v>
      </c>
      <c r="H11260">
        <v>4</v>
      </c>
      <c r="I11260">
        <v>76.33</v>
      </c>
      <c r="J11260" s="50">
        <v>305.32</v>
      </c>
      <c r="K11260" t="s">
        <v>1618</v>
      </c>
      <c r="M11260" t="s">
        <v>1624</v>
      </c>
      <c r="N11260">
        <v>40.28</v>
      </c>
      <c r="O11260" s="49">
        <v>45467</v>
      </c>
      <c r="P11260" s="50">
        <v>137.39400000000001</v>
      </c>
    </row>
    <row r="11261" spans="4:16" x14ac:dyDescent="0.2">
      <c r="D11261">
        <v>100006762</v>
      </c>
      <c r="E11261" s="49">
        <v>44283</v>
      </c>
      <c r="F11261" t="s">
        <v>7519</v>
      </c>
      <c r="G11261" t="s">
        <v>1953</v>
      </c>
      <c r="H11261">
        <v>3</v>
      </c>
      <c r="I11261">
        <v>68.84</v>
      </c>
      <c r="J11261" s="50">
        <v>206.52</v>
      </c>
      <c r="K11261" t="s">
        <v>1618</v>
      </c>
      <c r="M11261" t="s">
        <v>1627</v>
      </c>
      <c r="N11261">
        <v>36.33</v>
      </c>
      <c r="O11261" s="49">
        <v>44287</v>
      </c>
      <c r="P11261" s="50">
        <v>92.934000000000012</v>
      </c>
    </row>
    <row r="11262" spans="4:16" x14ac:dyDescent="0.2">
      <c r="D11262">
        <v>100006762</v>
      </c>
      <c r="E11262" s="49">
        <v>45655</v>
      </c>
      <c r="F11262" t="s">
        <v>7519</v>
      </c>
      <c r="G11262" t="s">
        <v>1794</v>
      </c>
      <c r="H11262">
        <v>4</v>
      </c>
      <c r="I11262">
        <v>77.28</v>
      </c>
      <c r="J11262" s="50">
        <v>309.12</v>
      </c>
      <c r="K11262" t="s">
        <v>1618</v>
      </c>
      <c r="M11262" t="s">
        <v>1619</v>
      </c>
      <c r="N11262">
        <v>40.79</v>
      </c>
      <c r="O11262" s="49">
        <v>45660</v>
      </c>
      <c r="P11262" s="50">
        <v>139.10400000000001</v>
      </c>
    </row>
    <row r="11263" spans="4:16" x14ac:dyDescent="0.2">
      <c r="D11263">
        <v>100006763</v>
      </c>
      <c r="E11263" s="49">
        <v>44673</v>
      </c>
      <c r="F11263" t="s">
        <v>7520</v>
      </c>
      <c r="G11263" t="s">
        <v>2003</v>
      </c>
      <c r="H11263">
        <v>3</v>
      </c>
      <c r="I11263">
        <v>79.75</v>
      </c>
      <c r="J11263" s="50">
        <v>239.25</v>
      </c>
      <c r="K11263" t="s">
        <v>1632</v>
      </c>
      <c r="M11263" t="s">
        <v>1624</v>
      </c>
      <c r="N11263">
        <v>42.09</v>
      </c>
      <c r="O11263" s="49">
        <v>44677</v>
      </c>
      <c r="P11263" s="50">
        <v>107.66250000000001</v>
      </c>
    </row>
    <row r="11264" spans="4:16" x14ac:dyDescent="0.2">
      <c r="D11264">
        <v>100006764</v>
      </c>
      <c r="E11264" s="49">
        <v>45381</v>
      </c>
      <c r="F11264" t="s">
        <v>7521</v>
      </c>
      <c r="G11264" t="s">
        <v>1666</v>
      </c>
      <c r="H11264">
        <v>5</v>
      </c>
      <c r="I11264">
        <v>100.02</v>
      </c>
      <c r="J11264" s="50">
        <v>500.1</v>
      </c>
      <c r="K11264" t="s">
        <v>1618</v>
      </c>
      <c r="M11264" t="s">
        <v>1629</v>
      </c>
      <c r="N11264">
        <v>52.79</v>
      </c>
      <c r="O11264" s="49">
        <v>45384</v>
      </c>
      <c r="P11264" s="50">
        <v>225.04500000000002</v>
      </c>
    </row>
    <row r="11265" spans="4:16" x14ac:dyDescent="0.2">
      <c r="D11265">
        <v>100006765</v>
      </c>
      <c r="E11265" s="49">
        <v>44672</v>
      </c>
      <c r="F11265" t="s">
        <v>7522</v>
      </c>
      <c r="G11265" t="s">
        <v>1918</v>
      </c>
      <c r="H11265">
        <v>8</v>
      </c>
      <c r="I11265">
        <v>19.77</v>
      </c>
      <c r="J11265" s="50">
        <v>158.16</v>
      </c>
      <c r="K11265" t="s">
        <v>1618</v>
      </c>
      <c r="M11265" t="s">
        <v>1619</v>
      </c>
      <c r="N11265">
        <v>10.43</v>
      </c>
      <c r="O11265" s="49">
        <v>44674</v>
      </c>
      <c r="P11265" s="50">
        <v>71.171999999999997</v>
      </c>
    </row>
    <row r="11266" spans="4:16" x14ac:dyDescent="0.2">
      <c r="D11266">
        <v>100006765</v>
      </c>
      <c r="E11266" s="49">
        <v>45028</v>
      </c>
      <c r="F11266" t="s">
        <v>7522</v>
      </c>
      <c r="G11266" t="s">
        <v>2633</v>
      </c>
      <c r="H11266">
        <v>2</v>
      </c>
      <c r="I11266">
        <v>68.55</v>
      </c>
      <c r="J11266" s="50">
        <v>137.1</v>
      </c>
      <c r="K11266" t="s">
        <v>1618</v>
      </c>
      <c r="M11266" t="s">
        <v>1621</v>
      </c>
      <c r="N11266">
        <v>36.18</v>
      </c>
      <c r="O11266" s="49">
        <v>45030</v>
      </c>
      <c r="P11266" s="50">
        <v>61.695</v>
      </c>
    </row>
    <row r="11267" spans="4:16" x14ac:dyDescent="0.2">
      <c r="D11267">
        <v>100006766</v>
      </c>
      <c r="E11267" s="49">
        <v>44506</v>
      </c>
      <c r="F11267" t="s">
        <v>7523</v>
      </c>
      <c r="G11267" t="s">
        <v>2068</v>
      </c>
      <c r="H11267">
        <v>3</v>
      </c>
      <c r="I11267">
        <v>82.39</v>
      </c>
      <c r="J11267" s="50">
        <v>247.17</v>
      </c>
      <c r="K11267" t="s">
        <v>1618</v>
      </c>
      <c r="L11267" t="s">
        <v>7524</v>
      </c>
      <c r="M11267" t="s">
        <v>1619</v>
      </c>
      <c r="N11267">
        <v>43.48</v>
      </c>
      <c r="O11267" s="49">
        <v>44509</v>
      </c>
      <c r="P11267" s="50">
        <v>111.2265</v>
      </c>
    </row>
    <row r="11268" spans="4:16" x14ac:dyDescent="0.2">
      <c r="D11268">
        <v>100006766</v>
      </c>
      <c r="E11268" s="49">
        <v>45518</v>
      </c>
      <c r="F11268" t="s">
        <v>7523</v>
      </c>
      <c r="G11268" t="s">
        <v>1844</v>
      </c>
      <c r="H11268">
        <v>5</v>
      </c>
      <c r="I11268">
        <v>60.48</v>
      </c>
      <c r="J11268" s="50">
        <v>302.39999999999998</v>
      </c>
      <c r="K11268" t="s">
        <v>1618</v>
      </c>
      <c r="L11268" t="s">
        <v>7524</v>
      </c>
      <c r="M11268" t="s">
        <v>1619</v>
      </c>
      <c r="N11268">
        <v>31.92</v>
      </c>
      <c r="O11268" s="49">
        <v>45521</v>
      </c>
      <c r="P11268" s="50">
        <v>136.07999999999998</v>
      </c>
    </row>
    <row r="11269" spans="4:16" x14ac:dyDescent="0.2">
      <c r="D11269">
        <v>100006766</v>
      </c>
      <c r="E11269" s="49">
        <v>45408</v>
      </c>
      <c r="F11269" t="s">
        <v>7523</v>
      </c>
      <c r="G11269" t="s">
        <v>1647</v>
      </c>
      <c r="H11269">
        <v>2</v>
      </c>
      <c r="I11269">
        <v>112.58</v>
      </c>
      <c r="J11269" s="50">
        <v>225.16</v>
      </c>
      <c r="K11269" t="s">
        <v>1618</v>
      </c>
      <c r="L11269" t="s">
        <v>7524</v>
      </c>
      <c r="M11269" t="s">
        <v>1621</v>
      </c>
      <c r="N11269">
        <v>59.42</v>
      </c>
      <c r="O11269" s="49">
        <v>45410</v>
      </c>
      <c r="P11269" s="50">
        <v>101.322</v>
      </c>
    </row>
    <row r="11270" spans="4:16" x14ac:dyDescent="0.2">
      <c r="D11270">
        <v>100006766</v>
      </c>
      <c r="E11270" s="49">
        <v>44637</v>
      </c>
      <c r="F11270" t="s">
        <v>7523</v>
      </c>
      <c r="G11270" t="s">
        <v>1726</v>
      </c>
      <c r="H11270">
        <v>4</v>
      </c>
      <c r="I11270">
        <v>68.73</v>
      </c>
      <c r="J11270" s="50">
        <v>274.92</v>
      </c>
      <c r="K11270" t="s">
        <v>1618</v>
      </c>
      <c r="L11270" t="s">
        <v>7524</v>
      </c>
      <c r="M11270" t="s">
        <v>1624</v>
      </c>
      <c r="N11270">
        <v>36.270000000000003</v>
      </c>
      <c r="O11270" s="49">
        <v>44638</v>
      </c>
      <c r="P11270" s="50">
        <v>123.71400000000001</v>
      </c>
    </row>
    <row r="11271" spans="4:16" x14ac:dyDescent="0.2">
      <c r="D11271">
        <v>100006766</v>
      </c>
      <c r="E11271" s="49">
        <v>44672</v>
      </c>
      <c r="F11271" t="s">
        <v>7523</v>
      </c>
      <c r="G11271" t="s">
        <v>2393</v>
      </c>
      <c r="H11271">
        <v>4</v>
      </c>
      <c r="I11271">
        <v>104.54</v>
      </c>
      <c r="J11271" s="50">
        <v>418.16</v>
      </c>
      <c r="K11271" t="s">
        <v>1618</v>
      </c>
      <c r="L11271" t="s">
        <v>7524</v>
      </c>
      <c r="M11271" t="s">
        <v>1629</v>
      </c>
      <c r="N11271">
        <v>55.17</v>
      </c>
      <c r="O11271" s="49">
        <v>44674</v>
      </c>
      <c r="P11271" s="50">
        <v>188.17200000000003</v>
      </c>
    </row>
    <row r="11272" spans="4:16" x14ac:dyDescent="0.2">
      <c r="D11272">
        <v>100006766</v>
      </c>
      <c r="E11272" s="49">
        <v>45485</v>
      </c>
      <c r="F11272" t="s">
        <v>7523</v>
      </c>
      <c r="G11272" t="s">
        <v>1687</v>
      </c>
      <c r="H11272">
        <v>8</v>
      </c>
      <c r="I11272">
        <v>95.88</v>
      </c>
      <c r="J11272" s="50">
        <v>767.04</v>
      </c>
      <c r="K11272" t="s">
        <v>1618</v>
      </c>
      <c r="L11272" t="s">
        <v>7524</v>
      </c>
      <c r="M11272" t="s">
        <v>1621</v>
      </c>
      <c r="N11272">
        <v>50.6</v>
      </c>
      <c r="O11272" s="49">
        <v>45488</v>
      </c>
      <c r="P11272" s="50">
        <v>345.16800000000001</v>
      </c>
    </row>
    <row r="11273" spans="4:16" x14ac:dyDescent="0.2">
      <c r="D11273">
        <v>100006766</v>
      </c>
      <c r="E11273" s="49">
        <v>45400</v>
      </c>
      <c r="F11273" t="s">
        <v>7523</v>
      </c>
      <c r="G11273" t="s">
        <v>2155</v>
      </c>
      <c r="H11273">
        <v>6</v>
      </c>
      <c r="I11273">
        <v>119.56</v>
      </c>
      <c r="J11273" s="50">
        <v>717.36</v>
      </c>
      <c r="K11273" t="s">
        <v>1618</v>
      </c>
      <c r="L11273" t="s">
        <v>7524</v>
      </c>
      <c r="M11273" t="s">
        <v>1619</v>
      </c>
      <c r="N11273">
        <v>63.1</v>
      </c>
      <c r="O11273" s="49">
        <v>45403</v>
      </c>
      <c r="P11273" s="50">
        <v>322.81200000000001</v>
      </c>
    </row>
    <row r="11274" spans="4:16" x14ac:dyDescent="0.2">
      <c r="D11274">
        <v>100006768</v>
      </c>
      <c r="E11274" s="49">
        <v>45514</v>
      </c>
      <c r="F11274" t="s">
        <v>7525</v>
      </c>
      <c r="G11274" t="s">
        <v>2071</v>
      </c>
      <c r="H11274">
        <v>10</v>
      </c>
      <c r="I11274">
        <v>25.84</v>
      </c>
      <c r="J11274" s="50">
        <v>258.39999999999998</v>
      </c>
      <c r="K11274" t="s">
        <v>1618</v>
      </c>
      <c r="L11274" t="s">
        <v>7354</v>
      </c>
      <c r="M11274" t="s">
        <v>1619</v>
      </c>
      <c r="N11274">
        <v>13.64</v>
      </c>
      <c r="O11274" s="49">
        <v>45519</v>
      </c>
      <c r="P11274" s="50">
        <v>116.27999999999999</v>
      </c>
    </row>
    <row r="11275" spans="4:16" x14ac:dyDescent="0.2">
      <c r="D11275">
        <v>100006771</v>
      </c>
      <c r="E11275" s="49">
        <v>44632</v>
      </c>
      <c r="F11275" t="s">
        <v>7526</v>
      </c>
      <c r="G11275" t="s">
        <v>2174</v>
      </c>
      <c r="H11275">
        <v>9</v>
      </c>
      <c r="I11275">
        <v>75.3</v>
      </c>
      <c r="J11275" s="50">
        <v>677.69999999999993</v>
      </c>
      <c r="K11275" t="s">
        <v>1618</v>
      </c>
      <c r="L11275" t="s">
        <v>6453</v>
      </c>
      <c r="M11275" t="s">
        <v>1619</v>
      </c>
      <c r="N11275">
        <v>39.74</v>
      </c>
      <c r="O11275" s="49">
        <v>44636</v>
      </c>
      <c r="P11275" s="50">
        <v>304.96499999999997</v>
      </c>
    </row>
    <row r="11276" spans="4:16" x14ac:dyDescent="0.2">
      <c r="D11276">
        <v>100006771</v>
      </c>
      <c r="E11276" s="49">
        <v>44687</v>
      </c>
      <c r="F11276" t="s">
        <v>7526</v>
      </c>
      <c r="G11276" t="s">
        <v>1833</v>
      </c>
      <c r="H11276">
        <v>7</v>
      </c>
      <c r="I11276">
        <v>116.65</v>
      </c>
      <c r="J11276" s="50">
        <v>816.55000000000007</v>
      </c>
      <c r="K11276" t="s">
        <v>1618</v>
      </c>
      <c r="L11276" t="s">
        <v>6453</v>
      </c>
      <c r="M11276" t="s">
        <v>1627</v>
      </c>
      <c r="N11276">
        <v>61.56</v>
      </c>
      <c r="O11276" s="49">
        <v>44691</v>
      </c>
      <c r="P11276" s="50">
        <v>367.44750000000005</v>
      </c>
    </row>
    <row r="11277" spans="4:16" x14ac:dyDescent="0.2">
      <c r="D11277">
        <v>100006771</v>
      </c>
      <c r="E11277" s="49">
        <v>45479</v>
      </c>
      <c r="F11277" t="s">
        <v>7526</v>
      </c>
      <c r="G11277" t="s">
        <v>2024</v>
      </c>
      <c r="H11277">
        <v>7</v>
      </c>
      <c r="I11277">
        <v>29.62</v>
      </c>
      <c r="J11277" s="50">
        <v>207.34</v>
      </c>
      <c r="K11277" t="s">
        <v>1618</v>
      </c>
      <c r="L11277" t="s">
        <v>6453</v>
      </c>
      <c r="M11277" t="s">
        <v>1629</v>
      </c>
      <c r="N11277">
        <v>15.63</v>
      </c>
      <c r="O11277" s="49">
        <v>45480</v>
      </c>
      <c r="P11277" s="50">
        <v>93.302999999999997</v>
      </c>
    </row>
    <row r="11278" spans="4:16" x14ac:dyDescent="0.2">
      <c r="D11278">
        <v>100006771</v>
      </c>
      <c r="E11278" s="49">
        <v>45580</v>
      </c>
      <c r="F11278" t="s">
        <v>7526</v>
      </c>
      <c r="G11278" t="s">
        <v>2025</v>
      </c>
      <c r="H11278">
        <v>4</v>
      </c>
      <c r="I11278">
        <v>69.23</v>
      </c>
      <c r="J11278" s="50">
        <v>276.92</v>
      </c>
      <c r="K11278" t="s">
        <v>1618</v>
      </c>
      <c r="L11278" t="s">
        <v>6453</v>
      </c>
      <c r="M11278" t="s">
        <v>1624</v>
      </c>
      <c r="N11278">
        <v>36.54</v>
      </c>
      <c r="O11278" s="49">
        <v>45581</v>
      </c>
      <c r="P11278" s="50">
        <v>124.614</v>
      </c>
    </row>
    <row r="11279" spans="4:16" x14ac:dyDescent="0.2">
      <c r="D11279">
        <v>100006771</v>
      </c>
      <c r="E11279" s="49">
        <v>45131</v>
      </c>
      <c r="F11279" t="s">
        <v>7526</v>
      </c>
      <c r="G11279" t="s">
        <v>1841</v>
      </c>
      <c r="H11279">
        <v>6</v>
      </c>
      <c r="I11279">
        <v>46.36</v>
      </c>
      <c r="J11279" s="50">
        <v>278.16000000000003</v>
      </c>
      <c r="K11279" t="s">
        <v>1618</v>
      </c>
      <c r="L11279" t="s">
        <v>6453</v>
      </c>
      <c r="M11279" t="s">
        <v>1621</v>
      </c>
      <c r="N11279">
        <v>24.47</v>
      </c>
      <c r="O11279" s="49">
        <v>45134</v>
      </c>
      <c r="P11279" s="50">
        <v>125.17200000000001</v>
      </c>
    </row>
    <row r="11280" spans="4:16" x14ac:dyDescent="0.2">
      <c r="D11280">
        <v>100006772</v>
      </c>
      <c r="E11280" s="49">
        <v>44697</v>
      </c>
      <c r="F11280" t="s">
        <v>7527</v>
      </c>
      <c r="G11280" t="s">
        <v>1667</v>
      </c>
      <c r="H11280">
        <v>8</v>
      </c>
      <c r="I11280">
        <v>56.05</v>
      </c>
      <c r="J11280" s="50">
        <v>448.4</v>
      </c>
      <c r="K11280" t="s">
        <v>1618</v>
      </c>
      <c r="M11280" t="s">
        <v>1619</v>
      </c>
      <c r="N11280">
        <v>29.58</v>
      </c>
      <c r="O11280" s="49">
        <v>44699</v>
      </c>
      <c r="P11280" s="50">
        <v>201.78</v>
      </c>
    </row>
    <row r="11281" spans="4:16" x14ac:dyDescent="0.2">
      <c r="D11281">
        <v>100006772</v>
      </c>
      <c r="E11281" s="49">
        <v>45104</v>
      </c>
      <c r="F11281" t="s">
        <v>7527</v>
      </c>
      <c r="G11281" t="s">
        <v>1868</v>
      </c>
      <c r="H11281">
        <v>1</v>
      </c>
      <c r="I11281">
        <v>37.71</v>
      </c>
      <c r="J11281" s="50">
        <v>37.71</v>
      </c>
      <c r="K11281" t="s">
        <v>1618</v>
      </c>
      <c r="M11281" t="s">
        <v>1624</v>
      </c>
      <c r="N11281">
        <v>19.899999999999999</v>
      </c>
      <c r="O11281" s="49">
        <v>45106</v>
      </c>
      <c r="P11281" s="50">
        <v>16.9695</v>
      </c>
    </row>
    <row r="11282" spans="4:16" x14ac:dyDescent="0.2">
      <c r="D11282">
        <v>100006773</v>
      </c>
      <c r="E11282" s="49">
        <v>44892</v>
      </c>
      <c r="F11282" t="s">
        <v>7528</v>
      </c>
      <c r="G11282" t="s">
        <v>1719</v>
      </c>
      <c r="H11282">
        <v>1</v>
      </c>
      <c r="I11282">
        <v>106.44</v>
      </c>
      <c r="J11282" s="50">
        <v>106.44</v>
      </c>
      <c r="K11282" t="s">
        <v>1632</v>
      </c>
      <c r="M11282" t="s">
        <v>1621</v>
      </c>
      <c r="N11282">
        <v>56.18</v>
      </c>
      <c r="O11282" s="49">
        <v>44897</v>
      </c>
      <c r="P11282" s="50">
        <v>47.898000000000003</v>
      </c>
    </row>
    <row r="11283" spans="4:16" x14ac:dyDescent="0.2">
      <c r="D11283">
        <v>100006773</v>
      </c>
      <c r="E11283" s="49">
        <v>44338</v>
      </c>
      <c r="F11283" t="s">
        <v>7528</v>
      </c>
      <c r="G11283" t="s">
        <v>2323</v>
      </c>
      <c r="H11283">
        <v>5</v>
      </c>
      <c r="I11283">
        <v>116.68</v>
      </c>
      <c r="J11283" s="50">
        <v>583.40000000000009</v>
      </c>
      <c r="K11283" t="s">
        <v>1632</v>
      </c>
      <c r="M11283" t="s">
        <v>1624</v>
      </c>
      <c r="N11283">
        <v>61.58</v>
      </c>
      <c r="O11283" s="49">
        <v>44341</v>
      </c>
      <c r="P11283" s="50">
        <v>262.53000000000003</v>
      </c>
    </row>
    <row r="11284" spans="4:16" x14ac:dyDescent="0.2">
      <c r="D11284">
        <v>100006773</v>
      </c>
      <c r="E11284" s="49">
        <v>45017</v>
      </c>
      <c r="F11284" t="s">
        <v>7528</v>
      </c>
      <c r="G11284" t="s">
        <v>1766</v>
      </c>
      <c r="H11284">
        <v>8</v>
      </c>
      <c r="I11284">
        <v>42.26</v>
      </c>
      <c r="J11284" s="50">
        <v>338.08</v>
      </c>
      <c r="K11284" t="s">
        <v>1632</v>
      </c>
      <c r="M11284" t="s">
        <v>1621</v>
      </c>
      <c r="N11284">
        <v>22.3</v>
      </c>
      <c r="O11284" s="49">
        <v>45022</v>
      </c>
      <c r="P11284" s="50">
        <v>152.136</v>
      </c>
    </row>
    <row r="11285" spans="4:16" x14ac:dyDescent="0.2">
      <c r="D11285">
        <v>100006773</v>
      </c>
      <c r="E11285" s="49">
        <v>45602</v>
      </c>
      <c r="F11285" t="s">
        <v>7528</v>
      </c>
      <c r="G11285" t="s">
        <v>1819</v>
      </c>
      <c r="H11285">
        <v>2</v>
      </c>
      <c r="I11285">
        <v>52.19</v>
      </c>
      <c r="J11285" s="50">
        <v>104.38</v>
      </c>
      <c r="K11285" t="s">
        <v>1632</v>
      </c>
      <c r="M11285" t="s">
        <v>1624</v>
      </c>
      <c r="N11285">
        <v>27.54</v>
      </c>
      <c r="O11285" s="49">
        <v>45603</v>
      </c>
      <c r="P11285" s="50">
        <v>46.970999999999997</v>
      </c>
    </row>
    <row r="11286" spans="4:16" x14ac:dyDescent="0.2">
      <c r="D11286">
        <v>100006773</v>
      </c>
      <c r="E11286" s="49">
        <v>45193</v>
      </c>
      <c r="F11286" t="s">
        <v>7528</v>
      </c>
      <c r="G11286" t="s">
        <v>2028</v>
      </c>
      <c r="H11286">
        <v>9</v>
      </c>
      <c r="I11286">
        <v>113.41</v>
      </c>
      <c r="J11286" s="50">
        <v>1020.69</v>
      </c>
      <c r="K11286" t="s">
        <v>1632</v>
      </c>
      <c r="M11286" t="s">
        <v>1624</v>
      </c>
      <c r="N11286">
        <v>59.85</v>
      </c>
      <c r="O11286" s="49">
        <v>45198</v>
      </c>
      <c r="P11286" s="50">
        <v>459.31050000000005</v>
      </c>
    </row>
    <row r="11287" spans="4:16" x14ac:dyDescent="0.2">
      <c r="D11287">
        <v>100006773</v>
      </c>
      <c r="E11287" s="49">
        <v>45218</v>
      </c>
      <c r="F11287" t="s">
        <v>7528</v>
      </c>
      <c r="G11287" t="s">
        <v>2485</v>
      </c>
      <c r="H11287">
        <v>3</v>
      </c>
      <c r="I11287">
        <v>106.24</v>
      </c>
      <c r="J11287" s="50">
        <v>318.72000000000003</v>
      </c>
      <c r="K11287" t="s">
        <v>1632</v>
      </c>
      <c r="M11287" t="s">
        <v>1627</v>
      </c>
      <c r="N11287">
        <v>56.07</v>
      </c>
      <c r="O11287" s="49">
        <v>45221</v>
      </c>
      <c r="P11287" s="50">
        <v>143.42400000000001</v>
      </c>
    </row>
    <row r="11288" spans="4:16" x14ac:dyDescent="0.2">
      <c r="D11288">
        <v>100006773</v>
      </c>
      <c r="E11288" s="49">
        <v>44497</v>
      </c>
      <c r="F11288" t="s">
        <v>7528</v>
      </c>
      <c r="G11288" t="s">
        <v>2198</v>
      </c>
      <c r="H11288">
        <v>9</v>
      </c>
      <c r="I11288">
        <v>105.85</v>
      </c>
      <c r="J11288" s="50">
        <v>952.65</v>
      </c>
      <c r="K11288" t="s">
        <v>1632</v>
      </c>
      <c r="M11288" t="s">
        <v>1627</v>
      </c>
      <c r="N11288">
        <v>55.86</v>
      </c>
      <c r="O11288" s="49">
        <v>44500</v>
      </c>
      <c r="P11288" s="50">
        <v>428.6925</v>
      </c>
    </row>
    <row r="11289" spans="4:16" x14ac:dyDescent="0.2">
      <c r="D11289">
        <v>100006774</v>
      </c>
      <c r="E11289" s="49">
        <v>44559</v>
      </c>
      <c r="F11289" t="s">
        <v>7529</v>
      </c>
      <c r="G11289" t="s">
        <v>1701</v>
      </c>
      <c r="H11289">
        <v>7</v>
      </c>
      <c r="I11289">
        <v>24.78</v>
      </c>
      <c r="J11289" s="50">
        <v>173.46</v>
      </c>
      <c r="K11289" t="s">
        <v>1618</v>
      </c>
      <c r="L11289" t="s">
        <v>4507</v>
      </c>
      <c r="M11289" t="s">
        <v>1621</v>
      </c>
      <c r="N11289">
        <v>13.08</v>
      </c>
      <c r="O11289" s="49">
        <v>44564</v>
      </c>
      <c r="P11289" s="50">
        <v>78.057000000000002</v>
      </c>
    </row>
    <row r="11290" spans="4:16" x14ac:dyDescent="0.2">
      <c r="D11290">
        <v>100006774</v>
      </c>
      <c r="E11290" s="49">
        <v>45506</v>
      </c>
      <c r="F11290" t="s">
        <v>7529</v>
      </c>
      <c r="G11290" t="s">
        <v>2182</v>
      </c>
      <c r="H11290">
        <v>1</v>
      </c>
      <c r="I11290">
        <v>102.67</v>
      </c>
      <c r="J11290" s="50">
        <v>102.67</v>
      </c>
      <c r="K11290" t="s">
        <v>1618</v>
      </c>
      <c r="L11290" t="s">
        <v>4507</v>
      </c>
      <c r="M11290" t="s">
        <v>1629</v>
      </c>
      <c r="N11290">
        <v>54.19</v>
      </c>
      <c r="O11290" s="49">
        <v>45507</v>
      </c>
      <c r="P11290" s="50">
        <v>46.201500000000003</v>
      </c>
    </row>
    <row r="11291" spans="4:16" x14ac:dyDescent="0.2">
      <c r="D11291">
        <v>100006774</v>
      </c>
      <c r="E11291" s="49">
        <v>44650</v>
      </c>
      <c r="F11291" t="s">
        <v>7529</v>
      </c>
      <c r="G11291" t="s">
        <v>1775</v>
      </c>
      <c r="H11291">
        <v>5</v>
      </c>
      <c r="I11291">
        <v>82.57</v>
      </c>
      <c r="J11291" s="50">
        <v>412.85</v>
      </c>
      <c r="K11291" t="s">
        <v>1618</v>
      </c>
      <c r="L11291" t="s">
        <v>4507</v>
      </c>
      <c r="M11291" t="s">
        <v>1624</v>
      </c>
      <c r="N11291">
        <v>43.58</v>
      </c>
      <c r="O11291" s="49">
        <v>44653</v>
      </c>
      <c r="P11291" s="50">
        <v>185.78250000000003</v>
      </c>
    </row>
    <row r="11292" spans="4:16" x14ac:dyDescent="0.2">
      <c r="D11292">
        <v>100006775</v>
      </c>
      <c r="E11292" s="49">
        <v>44508</v>
      </c>
      <c r="F11292" t="s">
        <v>7530</v>
      </c>
      <c r="G11292" t="s">
        <v>2733</v>
      </c>
      <c r="H11292">
        <v>6</v>
      </c>
      <c r="I11292">
        <v>41.93</v>
      </c>
      <c r="J11292" s="50">
        <v>251.58</v>
      </c>
      <c r="K11292" t="s">
        <v>1618</v>
      </c>
      <c r="M11292" t="s">
        <v>1624</v>
      </c>
      <c r="N11292">
        <v>22.13</v>
      </c>
      <c r="O11292" s="49">
        <v>44511</v>
      </c>
      <c r="P11292" s="50">
        <v>113.21100000000001</v>
      </c>
    </row>
    <row r="11293" spans="4:16" x14ac:dyDescent="0.2">
      <c r="D11293">
        <v>100006775</v>
      </c>
      <c r="E11293" s="49">
        <v>44298</v>
      </c>
      <c r="F11293" t="s">
        <v>7530</v>
      </c>
      <c r="G11293" t="s">
        <v>2328</v>
      </c>
      <c r="H11293">
        <v>3</v>
      </c>
      <c r="I11293">
        <v>39.42</v>
      </c>
      <c r="J11293" s="50">
        <v>118.26</v>
      </c>
      <c r="K11293" t="s">
        <v>1618</v>
      </c>
      <c r="M11293" t="s">
        <v>1619</v>
      </c>
      <c r="N11293">
        <v>20.8</v>
      </c>
      <c r="O11293" s="49">
        <v>44303</v>
      </c>
      <c r="P11293" s="50">
        <v>53.217000000000006</v>
      </c>
    </row>
    <row r="11294" spans="4:16" x14ac:dyDescent="0.2">
      <c r="D11294">
        <v>100006775</v>
      </c>
      <c r="E11294" s="49">
        <v>45090</v>
      </c>
      <c r="F11294" t="s">
        <v>7530</v>
      </c>
      <c r="G11294" t="s">
        <v>2088</v>
      </c>
      <c r="H11294">
        <v>1</v>
      </c>
      <c r="I11294">
        <v>112.04</v>
      </c>
      <c r="J11294" s="50">
        <v>112.04</v>
      </c>
      <c r="K11294" t="s">
        <v>1618</v>
      </c>
      <c r="M11294" t="s">
        <v>1624</v>
      </c>
      <c r="N11294">
        <v>59.13</v>
      </c>
      <c r="O11294" s="49">
        <v>45091</v>
      </c>
      <c r="P11294" s="50">
        <v>50.418000000000006</v>
      </c>
    </row>
    <row r="11295" spans="4:16" x14ac:dyDescent="0.2">
      <c r="D11295">
        <v>100006776</v>
      </c>
      <c r="E11295" s="49">
        <v>44920</v>
      </c>
      <c r="F11295" t="s">
        <v>7531</v>
      </c>
      <c r="G11295" t="s">
        <v>1955</v>
      </c>
      <c r="H11295">
        <v>7</v>
      </c>
      <c r="I11295">
        <v>14.72</v>
      </c>
      <c r="J11295" s="50">
        <v>103.04</v>
      </c>
      <c r="K11295" t="s">
        <v>1632</v>
      </c>
      <c r="L11295" t="s">
        <v>5705</v>
      </c>
      <c r="M11295" t="s">
        <v>1621</v>
      </c>
      <c r="N11295">
        <v>7.77</v>
      </c>
      <c r="O11295" s="49">
        <v>44923</v>
      </c>
      <c r="P11295" s="50">
        <v>46.368000000000002</v>
      </c>
    </row>
    <row r="11296" spans="4:16" x14ac:dyDescent="0.2">
      <c r="D11296">
        <v>100006777</v>
      </c>
      <c r="E11296" s="49">
        <v>44893</v>
      </c>
      <c r="F11296" t="s">
        <v>7532</v>
      </c>
      <c r="G11296" t="s">
        <v>2064</v>
      </c>
      <c r="H11296">
        <v>2</v>
      </c>
      <c r="I11296">
        <v>22</v>
      </c>
      <c r="J11296" s="50">
        <v>44</v>
      </c>
      <c r="K11296" t="s">
        <v>1618</v>
      </c>
      <c r="M11296" t="s">
        <v>1619</v>
      </c>
      <c r="N11296">
        <v>11.61</v>
      </c>
      <c r="O11296" s="49">
        <v>44895</v>
      </c>
      <c r="P11296" s="50">
        <v>19.8</v>
      </c>
    </row>
    <row r="11297" spans="4:16" x14ac:dyDescent="0.2">
      <c r="D11297">
        <v>100006778</v>
      </c>
      <c r="E11297" s="49">
        <v>45137</v>
      </c>
      <c r="F11297" t="s">
        <v>5458</v>
      </c>
      <c r="G11297" t="s">
        <v>1754</v>
      </c>
      <c r="H11297">
        <v>2</v>
      </c>
      <c r="I11297">
        <v>109.24</v>
      </c>
      <c r="J11297" s="50">
        <v>218.48</v>
      </c>
      <c r="K11297" t="s">
        <v>1632</v>
      </c>
      <c r="M11297" t="s">
        <v>1619</v>
      </c>
      <c r="N11297">
        <v>57.65</v>
      </c>
      <c r="O11297" s="49">
        <v>45139</v>
      </c>
      <c r="P11297" s="50">
        <v>98.316000000000003</v>
      </c>
    </row>
    <row r="11298" spans="4:16" x14ac:dyDescent="0.2">
      <c r="D11298">
        <v>100006779</v>
      </c>
      <c r="E11298" s="49">
        <v>45212</v>
      </c>
      <c r="F11298" t="s">
        <v>7533</v>
      </c>
      <c r="G11298" t="s">
        <v>1819</v>
      </c>
      <c r="H11298">
        <v>4</v>
      </c>
      <c r="I11298">
        <v>41.86</v>
      </c>
      <c r="J11298" s="50">
        <v>167.44</v>
      </c>
      <c r="K11298" t="s">
        <v>1632</v>
      </c>
      <c r="M11298" t="s">
        <v>1629</v>
      </c>
      <c r="N11298">
        <v>22.09</v>
      </c>
      <c r="O11298" s="49">
        <v>45216</v>
      </c>
      <c r="P11298" s="50">
        <v>75.347999999999999</v>
      </c>
    </row>
    <row r="11299" spans="4:16" x14ac:dyDescent="0.2">
      <c r="D11299">
        <v>100006780</v>
      </c>
      <c r="E11299" s="49">
        <v>44753</v>
      </c>
      <c r="F11299" t="s">
        <v>7534</v>
      </c>
      <c r="G11299" t="s">
        <v>2174</v>
      </c>
      <c r="H11299">
        <v>6</v>
      </c>
      <c r="I11299">
        <v>21.42</v>
      </c>
      <c r="J11299" s="50">
        <v>128.52000000000001</v>
      </c>
      <c r="K11299" t="s">
        <v>1632</v>
      </c>
      <c r="M11299" t="s">
        <v>1627</v>
      </c>
      <c r="N11299">
        <v>11.3</v>
      </c>
      <c r="O11299" s="49">
        <v>44754</v>
      </c>
      <c r="P11299" s="50">
        <v>57.834000000000003</v>
      </c>
    </row>
    <row r="11300" spans="4:16" x14ac:dyDescent="0.2">
      <c r="D11300">
        <v>100006781</v>
      </c>
      <c r="E11300" s="49">
        <v>44512</v>
      </c>
      <c r="F11300" t="s">
        <v>7535</v>
      </c>
      <c r="G11300" t="s">
        <v>1856</v>
      </c>
      <c r="H11300">
        <v>5</v>
      </c>
      <c r="I11300">
        <v>22.91</v>
      </c>
      <c r="J11300" s="50">
        <v>114.55</v>
      </c>
      <c r="K11300" t="s">
        <v>1632</v>
      </c>
      <c r="M11300" t="s">
        <v>1621</v>
      </c>
      <c r="N11300">
        <v>12.09</v>
      </c>
      <c r="O11300" s="49">
        <v>44516</v>
      </c>
      <c r="P11300" s="50">
        <v>51.547499999999999</v>
      </c>
    </row>
    <row r="11301" spans="4:16" x14ac:dyDescent="0.2">
      <c r="D11301">
        <v>100006782</v>
      </c>
      <c r="E11301" s="49">
        <v>45398</v>
      </c>
      <c r="F11301" t="s">
        <v>7536</v>
      </c>
      <c r="G11301" t="s">
        <v>1665</v>
      </c>
      <c r="H11301">
        <v>4</v>
      </c>
      <c r="I11301">
        <v>106.32</v>
      </c>
      <c r="J11301" s="50">
        <v>425.28</v>
      </c>
      <c r="K11301" t="s">
        <v>1632</v>
      </c>
      <c r="M11301" t="s">
        <v>1624</v>
      </c>
      <c r="N11301">
        <v>56.11</v>
      </c>
      <c r="O11301" s="49">
        <v>45399</v>
      </c>
      <c r="P11301" s="50">
        <v>191.376</v>
      </c>
    </row>
    <row r="11302" spans="4:16" x14ac:dyDescent="0.2">
      <c r="D11302">
        <v>100006782</v>
      </c>
      <c r="E11302" s="49">
        <v>45614</v>
      </c>
      <c r="F11302" t="s">
        <v>7536</v>
      </c>
      <c r="G11302" t="s">
        <v>1948</v>
      </c>
      <c r="H11302">
        <v>1</v>
      </c>
      <c r="I11302">
        <v>10.62</v>
      </c>
      <c r="J11302" s="50">
        <v>10.62</v>
      </c>
      <c r="K11302" t="s">
        <v>1632</v>
      </c>
      <c r="M11302" t="s">
        <v>1621</v>
      </c>
      <c r="N11302">
        <v>5.6</v>
      </c>
      <c r="O11302" s="49">
        <v>45619</v>
      </c>
      <c r="P11302" s="50">
        <v>4.7789999999999999</v>
      </c>
    </row>
    <row r="11303" spans="4:16" x14ac:dyDescent="0.2">
      <c r="D11303">
        <v>100006783</v>
      </c>
      <c r="E11303" s="49">
        <v>44538</v>
      </c>
      <c r="F11303" t="s">
        <v>7537</v>
      </c>
      <c r="G11303" t="s">
        <v>1902</v>
      </c>
      <c r="H11303">
        <v>1</v>
      </c>
      <c r="I11303">
        <v>74.23</v>
      </c>
      <c r="J11303" s="50">
        <v>74.23</v>
      </c>
      <c r="K11303" t="s">
        <v>1632</v>
      </c>
      <c r="L11303" t="s">
        <v>3436</v>
      </c>
      <c r="M11303" t="s">
        <v>1627</v>
      </c>
      <c r="N11303">
        <v>39.18</v>
      </c>
      <c r="O11303" s="49">
        <v>44542</v>
      </c>
      <c r="P11303" s="50">
        <v>33.403500000000001</v>
      </c>
    </row>
    <row r="11304" spans="4:16" x14ac:dyDescent="0.2">
      <c r="D11304">
        <v>100006784</v>
      </c>
      <c r="E11304" s="49">
        <v>44770</v>
      </c>
      <c r="F11304" t="s">
        <v>2002</v>
      </c>
      <c r="G11304" t="s">
        <v>2069</v>
      </c>
      <c r="H11304">
        <v>9</v>
      </c>
      <c r="I11304">
        <v>36.03</v>
      </c>
      <c r="J11304" s="50">
        <v>324.27</v>
      </c>
      <c r="K11304" t="s">
        <v>1618</v>
      </c>
      <c r="L11304" t="s">
        <v>7538</v>
      </c>
      <c r="M11304" t="s">
        <v>1619</v>
      </c>
      <c r="N11304">
        <v>19.02</v>
      </c>
      <c r="O11304" s="49">
        <v>44772</v>
      </c>
      <c r="P11304" s="50">
        <v>145.92150000000001</v>
      </c>
    </row>
    <row r="11305" spans="4:16" x14ac:dyDescent="0.2">
      <c r="D11305">
        <v>100006785</v>
      </c>
      <c r="E11305" s="49">
        <v>45152</v>
      </c>
      <c r="F11305" t="s">
        <v>7539</v>
      </c>
      <c r="G11305" t="s">
        <v>1767</v>
      </c>
      <c r="H11305">
        <v>2</v>
      </c>
      <c r="I11305">
        <v>60.14</v>
      </c>
      <c r="J11305" s="50">
        <v>120.28</v>
      </c>
      <c r="K11305" t="s">
        <v>1632</v>
      </c>
      <c r="M11305" t="s">
        <v>1624</v>
      </c>
      <c r="N11305">
        <v>31.74</v>
      </c>
      <c r="O11305" s="49">
        <v>45154</v>
      </c>
      <c r="P11305" s="50">
        <v>54.126000000000005</v>
      </c>
    </row>
    <row r="11306" spans="4:16" x14ac:dyDescent="0.2">
      <c r="D11306">
        <v>100006785</v>
      </c>
      <c r="E11306" s="49">
        <v>45354</v>
      </c>
      <c r="F11306" t="s">
        <v>7539</v>
      </c>
      <c r="G11306" t="s">
        <v>1775</v>
      </c>
      <c r="H11306">
        <v>10</v>
      </c>
      <c r="I11306">
        <v>56.83</v>
      </c>
      <c r="J11306" s="50">
        <v>568.29999999999995</v>
      </c>
      <c r="K11306" t="s">
        <v>1632</v>
      </c>
      <c r="M11306" t="s">
        <v>1621</v>
      </c>
      <c r="N11306">
        <v>29.99</v>
      </c>
      <c r="O11306" s="49">
        <v>45358</v>
      </c>
      <c r="P11306" s="50">
        <v>255.73499999999999</v>
      </c>
    </row>
    <row r="11307" spans="4:16" x14ac:dyDescent="0.2">
      <c r="D11307">
        <v>100006785</v>
      </c>
      <c r="E11307" s="49">
        <v>44448</v>
      </c>
      <c r="F11307" t="s">
        <v>7539</v>
      </c>
      <c r="G11307" t="s">
        <v>1777</v>
      </c>
      <c r="H11307">
        <v>6</v>
      </c>
      <c r="I11307">
        <v>62.53</v>
      </c>
      <c r="J11307" s="50">
        <v>375.18</v>
      </c>
      <c r="K11307" t="s">
        <v>1632</v>
      </c>
      <c r="M11307" t="s">
        <v>1627</v>
      </c>
      <c r="N11307">
        <v>33</v>
      </c>
      <c r="O11307" s="49">
        <v>44451</v>
      </c>
      <c r="P11307" s="50">
        <v>168.83100000000002</v>
      </c>
    </row>
    <row r="11308" spans="4:16" x14ac:dyDescent="0.2">
      <c r="D11308">
        <v>100006785</v>
      </c>
      <c r="E11308" s="49">
        <v>44300</v>
      </c>
      <c r="F11308" t="s">
        <v>7539</v>
      </c>
      <c r="G11308" t="s">
        <v>2348</v>
      </c>
      <c r="H11308">
        <v>2</v>
      </c>
      <c r="I11308">
        <v>10.46</v>
      </c>
      <c r="J11308" s="50">
        <v>20.92</v>
      </c>
      <c r="K11308" t="s">
        <v>1632</v>
      </c>
      <c r="M11308" t="s">
        <v>1624</v>
      </c>
      <c r="N11308">
        <v>5.52</v>
      </c>
      <c r="O11308" s="49">
        <v>44301</v>
      </c>
      <c r="P11308" s="50">
        <v>9.4140000000000015</v>
      </c>
    </row>
    <row r="11309" spans="4:16" x14ac:dyDescent="0.2">
      <c r="D11309">
        <v>100006785</v>
      </c>
      <c r="E11309" s="49">
        <v>44442</v>
      </c>
      <c r="F11309" t="s">
        <v>7539</v>
      </c>
      <c r="G11309" t="s">
        <v>2068</v>
      </c>
      <c r="H11309">
        <v>4</v>
      </c>
      <c r="I11309">
        <v>65.430000000000007</v>
      </c>
      <c r="J11309" s="50">
        <v>261.72000000000003</v>
      </c>
      <c r="K11309" t="s">
        <v>1632</v>
      </c>
      <c r="M11309" t="s">
        <v>1624</v>
      </c>
      <c r="N11309">
        <v>34.53</v>
      </c>
      <c r="O11309" s="49">
        <v>44444</v>
      </c>
      <c r="P11309" s="50">
        <v>117.77400000000002</v>
      </c>
    </row>
    <row r="11310" spans="4:16" x14ac:dyDescent="0.2">
      <c r="D11310">
        <v>100006785</v>
      </c>
      <c r="E11310" s="49">
        <v>44369</v>
      </c>
      <c r="F11310" t="s">
        <v>7539</v>
      </c>
      <c r="G11310" t="s">
        <v>1945</v>
      </c>
      <c r="H11310">
        <v>7</v>
      </c>
      <c r="I11310">
        <v>35</v>
      </c>
      <c r="J11310" s="50">
        <v>245</v>
      </c>
      <c r="K11310" t="s">
        <v>1632</v>
      </c>
      <c r="M11310" t="s">
        <v>1629</v>
      </c>
      <c r="N11310">
        <v>18.47</v>
      </c>
      <c r="O11310" s="49">
        <v>44370</v>
      </c>
      <c r="P11310" s="50">
        <v>110.25</v>
      </c>
    </row>
    <row r="11311" spans="4:16" x14ac:dyDescent="0.2">
      <c r="D11311">
        <v>100006787</v>
      </c>
      <c r="E11311" s="49">
        <v>45390</v>
      </c>
      <c r="F11311" t="s">
        <v>7540</v>
      </c>
      <c r="G11311" t="s">
        <v>2348</v>
      </c>
      <c r="H11311">
        <v>4</v>
      </c>
      <c r="I11311">
        <v>82.57</v>
      </c>
      <c r="J11311" s="50">
        <v>330.28</v>
      </c>
      <c r="K11311" t="s">
        <v>1618</v>
      </c>
      <c r="M11311" t="s">
        <v>1627</v>
      </c>
      <c r="N11311">
        <v>43.58</v>
      </c>
      <c r="O11311" s="49">
        <v>45392</v>
      </c>
      <c r="P11311" s="50">
        <v>148.626</v>
      </c>
    </row>
    <row r="11312" spans="4:16" x14ac:dyDescent="0.2">
      <c r="D11312">
        <v>100006788</v>
      </c>
      <c r="E11312" s="49">
        <v>45309</v>
      </c>
      <c r="F11312" t="s">
        <v>7541</v>
      </c>
      <c r="G11312" t="s">
        <v>1675</v>
      </c>
      <c r="H11312">
        <v>5</v>
      </c>
      <c r="I11312">
        <v>58.77</v>
      </c>
      <c r="J11312" s="50">
        <v>293.85000000000002</v>
      </c>
      <c r="K11312" t="s">
        <v>1618</v>
      </c>
      <c r="M11312" t="s">
        <v>1627</v>
      </c>
      <c r="N11312">
        <v>31.02</v>
      </c>
      <c r="O11312" s="49">
        <v>45310</v>
      </c>
      <c r="P11312" s="50">
        <v>132.23250000000002</v>
      </c>
    </row>
    <row r="11313" spans="4:16" x14ac:dyDescent="0.2">
      <c r="D11313">
        <v>100006788</v>
      </c>
      <c r="E11313" s="49">
        <v>45236</v>
      </c>
      <c r="F11313" t="s">
        <v>7541</v>
      </c>
      <c r="G11313" t="s">
        <v>1943</v>
      </c>
      <c r="H11313">
        <v>5</v>
      </c>
      <c r="I11313">
        <v>15.35</v>
      </c>
      <c r="J11313" s="50">
        <v>76.75</v>
      </c>
      <c r="K11313" t="s">
        <v>1618</v>
      </c>
      <c r="M11313" t="s">
        <v>1619</v>
      </c>
      <c r="N11313">
        <v>8.1</v>
      </c>
      <c r="O11313" s="49">
        <v>45238</v>
      </c>
      <c r="P11313" s="50">
        <v>34.537500000000001</v>
      </c>
    </row>
    <row r="11314" spans="4:16" x14ac:dyDescent="0.2">
      <c r="D11314">
        <v>100006790</v>
      </c>
      <c r="E11314" s="49">
        <v>44633</v>
      </c>
      <c r="F11314" t="s">
        <v>7542</v>
      </c>
      <c r="G11314" t="s">
        <v>2628</v>
      </c>
      <c r="H11314">
        <v>3</v>
      </c>
      <c r="I11314">
        <v>18.29</v>
      </c>
      <c r="J11314" s="50">
        <v>54.87</v>
      </c>
      <c r="K11314" t="s">
        <v>1632</v>
      </c>
      <c r="L11314" t="s">
        <v>2494</v>
      </c>
      <c r="M11314" t="s">
        <v>1621</v>
      </c>
      <c r="N11314">
        <v>9.65</v>
      </c>
      <c r="O11314" s="49">
        <v>44635</v>
      </c>
      <c r="P11314" s="50">
        <v>24.691499999999998</v>
      </c>
    </row>
    <row r="11315" spans="4:16" x14ac:dyDescent="0.2">
      <c r="D11315">
        <v>100006790</v>
      </c>
      <c r="E11315" s="49">
        <v>45561</v>
      </c>
      <c r="F11315" t="s">
        <v>7542</v>
      </c>
      <c r="G11315" t="s">
        <v>1647</v>
      </c>
      <c r="H11315">
        <v>8</v>
      </c>
      <c r="I11315">
        <v>116.76</v>
      </c>
      <c r="J11315" s="50">
        <v>934.08</v>
      </c>
      <c r="K11315" t="s">
        <v>1632</v>
      </c>
      <c r="L11315" t="s">
        <v>2494</v>
      </c>
      <c r="M11315" t="s">
        <v>1624</v>
      </c>
      <c r="N11315">
        <v>61.62</v>
      </c>
      <c r="O11315" s="49">
        <v>45565</v>
      </c>
      <c r="P11315" s="50">
        <v>420.33600000000001</v>
      </c>
    </row>
    <row r="11316" spans="4:16" x14ac:dyDescent="0.2">
      <c r="D11316">
        <v>100006791</v>
      </c>
      <c r="E11316" s="49">
        <v>44931</v>
      </c>
      <c r="F11316" t="s">
        <v>7543</v>
      </c>
      <c r="G11316" t="s">
        <v>1815</v>
      </c>
      <c r="H11316">
        <v>2</v>
      </c>
      <c r="I11316">
        <v>84.43</v>
      </c>
      <c r="J11316" s="50">
        <v>168.86</v>
      </c>
      <c r="K11316" t="s">
        <v>1618</v>
      </c>
      <c r="M11316" t="s">
        <v>1627</v>
      </c>
      <c r="N11316">
        <v>44.56</v>
      </c>
      <c r="O11316" s="49">
        <v>44935</v>
      </c>
      <c r="P11316" s="50">
        <v>75.987000000000009</v>
      </c>
    </row>
    <row r="11317" spans="4:16" x14ac:dyDescent="0.2">
      <c r="D11317">
        <v>100006792</v>
      </c>
      <c r="E11317" s="49">
        <v>44511</v>
      </c>
      <c r="F11317" t="s">
        <v>7544</v>
      </c>
      <c r="G11317" t="s">
        <v>2084</v>
      </c>
      <c r="H11317">
        <v>10</v>
      </c>
      <c r="I11317">
        <v>47.06</v>
      </c>
      <c r="J11317" s="50">
        <v>470.6</v>
      </c>
      <c r="K11317" t="s">
        <v>1618</v>
      </c>
      <c r="M11317" t="s">
        <v>1624</v>
      </c>
      <c r="N11317">
        <v>24.84</v>
      </c>
      <c r="O11317" s="49">
        <v>44514</v>
      </c>
      <c r="P11317" s="50">
        <v>211.77</v>
      </c>
    </row>
    <row r="11318" spans="4:16" x14ac:dyDescent="0.2">
      <c r="D11318">
        <v>100006793</v>
      </c>
      <c r="E11318" s="49">
        <v>45210</v>
      </c>
      <c r="F11318" t="s">
        <v>7545</v>
      </c>
      <c r="G11318" t="s">
        <v>1856</v>
      </c>
      <c r="H11318">
        <v>1</v>
      </c>
      <c r="I11318">
        <v>74.599999999999994</v>
      </c>
      <c r="J11318" s="50">
        <v>74.599999999999994</v>
      </c>
      <c r="K11318" t="s">
        <v>1632</v>
      </c>
      <c r="L11318" t="s">
        <v>2661</v>
      </c>
      <c r="M11318" t="s">
        <v>1627</v>
      </c>
      <c r="N11318">
        <v>39.369999999999997</v>
      </c>
      <c r="O11318" s="49">
        <v>45213</v>
      </c>
      <c r="P11318" s="50">
        <v>33.57</v>
      </c>
    </row>
    <row r="11319" spans="4:16" x14ac:dyDescent="0.2">
      <c r="D11319">
        <v>100006795</v>
      </c>
      <c r="E11319" s="49">
        <v>44589</v>
      </c>
      <c r="F11319" t="s">
        <v>7546</v>
      </c>
      <c r="G11319" t="s">
        <v>1783</v>
      </c>
      <c r="H11319">
        <v>8</v>
      </c>
      <c r="I11319">
        <v>55.73</v>
      </c>
      <c r="J11319" s="50">
        <v>445.84</v>
      </c>
      <c r="K11319" t="s">
        <v>1618</v>
      </c>
      <c r="M11319" t="s">
        <v>1629</v>
      </c>
      <c r="N11319">
        <v>29.41</v>
      </c>
      <c r="O11319" s="49">
        <v>44594</v>
      </c>
      <c r="P11319" s="50">
        <v>200.62799999999999</v>
      </c>
    </row>
    <row r="11320" spans="4:16" x14ac:dyDescent="0.2">
      <c r="D11320">
        <v>100006795</v>
      </c>
      <c r="E11320" s="49">
        <v>45160</v>
      </c>
      <c r="F11320" t="s">
        <v>7546</v>
      </c>
      <c r="G11320" t="s">
        <v>1795</v>
      </c>
      <c r="H11320">
        <v>1</v>
      </c>
      <c r="I11320">
        <v>71.83</v>
      </c>
      <c r="J11320" s="50">
        <v>71.83</v>
      </c>
      <c r="K11320" t="s">
        <v>1618</v>
      </c>
      <c r="M11320" t="s">
        <v>1621</v>
      </c>
      <c r="N11320">
        <v>37.909999999999997</v>
      </c>
      <c r="O11320" s="49">
        <v>45165</v>
      </c>
      <c r="P11320" s="50">
        <v>32.323500000000003</v>
      </c>
    </row>
    <row r="11321" spans="4:16" x14ac:dyDescent="0.2">
      <c r="D11321">
        <v>100006796</v>
      </c>
      <c r="E11321" s="49">
        <v>44301</v>
      </c>
      <c r="F11321" t="s">
        <v>7547</v>
      </c>
      <c r="G11321" t="s">
        <v>1973</v>
      </c>
      <c r="H11321">
        <v>6</v>
      </c>
      <c r="I11321">
        <v>60.41</v>
      </c>
      <c r="J11321" s="50">
        <v>362.46</v>
      </c>
      <c r="K11321" t="s">
        <v>1618</v>
      </c>
      <c r="M11321" t="s">
        <v>1627</v>
      </c>
      <c r="N11321">
        <v>31.88</v>
      </c>
      <c r="O11321" s="49">
        <v>44302</v>
      </c>
      <c r="P11321" s="50">
        <v>163.107</v>
      </c>
    </row>
    <row r="11322" spans="4:16" x14ac:dyDescent="0.2">
      <c r="D11322">
        <v>100006798</v>
      </c>
      <c r="E11322" s="49">
        <v>44460</v>
      </c>
      <c r="F11322" t="s">
        <v>7548</v>
      </c>
      <c r="G11322" t="s">
        <v>2005</v>
      </c>
      <c r="H11322">
        <v>7</v>
      </c>
      <c r="I11322">
        <v>15.98</v>
      </c>
      <c r="J11322" s="50">
        <v>111.86</v>
      </c>
      <c r="K11322" t="s">
        <v>1632</v>
      </c>
      <c r="M11322" t="s">
        <v>1624</v>
      </c>
      <c r="N11322">
        <v>8.43</v>
      </c>
      <c r="O11322" s="49">
        <v>44464</v>
      </c>
      <c r="P11322" s="50">
        <v>50.337000000000003</v>
      </c>
    </row>
    <row r="11323" spans="4:16" x14ac:dyDescent="0.2">
      <c r="D11323">
        <v>100006798</v>
      </c>
      <c r="E11323" s="49">
        <v>44597</v>
      </c>
      <c r="F11323" t="s">
        <v>7548</v>
      </c>
      <c r="G11323" t="s">
        <v>2194</v>
      </c>
      <c r="H11323">
        <v>5</v>
      </c>
      <c r="I11323">
        <v>13.03</v>
      </c>
      <c r="J11323" s="50">
        <v>65.149999999999991</v>
      </c>
      <c r="K11323" t="s">
        <v>1632</v>
      </c>
      <c r="M11323" t="s">
        <v>1627</v>
      </c>
      <c r="N11323">
        <v>6.88</v>
      </c>
      <c r="O11323" s="49">
        <v>44600</v>
      </c>
      <c r="P11323" s="50">
        <v>29.317499999999995</v>
      </c>
    </row>
    <row r="11324" spans="4:16" x14ac:dyDescent="0.2">
      <c r="D11324">
        <v>100006799</v>
      </c>
      <c r="E11324" s="49">
        <v>45555</v>
      </c>
      <c r="F11324" t="s">
        <v>7549</v>
      </c>
      <c r="G11324" t="s">
        <v>1686</v>
      </c>
      <c r="H11324">
        <v>2</v>
      </c>
      <c r="I11324">
        <v>58.41</v>
      </c>
      <c r="J11324" s="50">
        <v>116.82</v>
      </c>
      <c r="K11324" t="s">
        <v>1632</v>
      </c>
      <c r="L11324" t="s">
        <v>2020</v>
      </c>
      <c r="M11324" t="s">
        <v>1621</v>
      </c>
      <c r="N11324">
        <v>30.83</v>
      </c>
      <c r="O11324" s="49">
        <v>45556</v>
      </c>
      <c r="P11324" s="50">
        <v>52.568999999999996</v>
      </c>
    </row>
    <row r="11325" spans="4:16" x14ac:dyDescent="0.2">
      <c r="D11325">
        <v>100006800</v>
      </c>
      <c r="E11325" s="49">
        <v>45165</v>
      </c>
      <c r="F11325" t="s">
        <v>7550</v>
      </c>
      <c r="G11325" t="s">
        <v>1739</v>
      </c>
      <c r="H11325">
        <v>6</v>
      </c>
      <c r="I11325">
        <v>14.04</v>
      </c>
      <c r="J11325" s="50">
        <v>84.24</v>
      </c>
      <c r="K11325" t="s">
        <v>1632</v>
      </c>
      <c r="L11325" t="s">
        <v>7408</v>
      </c>
      <c r="M11325" t="s">
        <v>1629</v>
      </c>
      <c r="N11325">
        <v>7.41</v>
      </c>
      <c r="O11325" s="49">
        <v>45166</v>
      </c>
      <c r="P11325" s="50">
        <v>37.908000000000001</v>
      </c>
    </row>
    <row r="11326" spans="4:16" x14ac:dyDescent="0.2">
      <c r="D11326">
        <v>100006800</v>
      </c>
      <c r="E11326" s="49">
        <v>44671</v>
      </c>
      <c r="F11326" t="s">
        <v>7550</v>
      </c>
      <c r="G11326" t="s">
        <v>1710</v>
      </c>
      <c r="H11326">
        <v>4</v>
      </c>
      <c r="I11326">
        <v>112.54</v>
      </c>
      <c r="J11326" s="50">
        <v>450.16</v>
      </c>
      <c r="K11326" t="s">
        <v>1632</v>
      </c>
      <c r="L11326" t="s">
        <v>7408</v>
      </c>
      <c r="M11326" t="s">
        <v>1629</v>
      </c>
      <c r="N11326">
        <v>59.4</v>
      </c>
      <c r="O11326" s="49">
        <v>44673</v>
      </c>
      <c r="P11326" s="50">
        <v>202.572</v>
      </c>
    </row>
    <row r="11327" spans="4:16" x14ac:dyDescent="0.2">
      <c r="D11327">
        <v>100006801</v>
      </c>
      <c r="E11327" s="49">
        <v>44997</v>
      </c>
      <c r="F11327" t="s">
        <v>7551</v>
      </c>
      <c r="G11327" t="s">
        <v>1768</v>
      </c>
      <c r="H11327">
        <v>7</v>
      </c>
      <c r="I11327">
        <v>12.53</v>
      </c>
      <c r="J11327" s="50">
        <v>87.71</v>
      </c>
      <c r="K11327" t="s">
        <v>1618</v>
      </c>
      <c r="L11327" t="s">
        <v>7552</v>
      </c>
      <c r="M11327" t="s">
        <v>1621</v>
      </c>
      <c r="N11327">
        <v>6.61</v>
      </c>
      <c r="O11327" s="49">
        <v>45000</v>
      </c>
      <c r="P11327" s="50">
        <v>39.469499999999996</v>
      </c>
    </row>
    <row r="11328" spans="4:16" x14ac:dyDescent="0.2">
      <c r="D11328">
        <v>100006801</v>
      </c>
      <c r="E11328" s="49">
        <v>45444</v>
      </c>
      <c r="F11328" t="s">
        <v>7551</v>
      </c>
      <c r="G11328" t="s">
        <v>1948</v>
      </c>
      <c r="H11328">
        <v>8</v>
      </c>
      <c r="I11328">
        <v>85.6</v>
      </c>
      <c r="J11328" s="50">
        <v>684.8</v>
      </c>
      <c r="K11328" t="s">
        <v>1618</v>
      </c>
      <c r="L11328" t="s">
        <v>7552</v>
      </c>
      <c r="M11328" t="s">
        <v>1621</v>
      </c>
      <c r="N11328">
        <v>45.18</v>
      </c>
      <c r="O11328" s="49">
        <v>45447</v>
      </c>
      <c r="P11328" s="50">
        <v>308.15999999999997</v>
      </c>
    </row>
    <row r="11329" spans="4:16" x14ac:dyDescent="0.2">
      <c r="D11329">
        <v>100006801</v>
      </c>
      <c r="E11329" s="49">
        <v>45516</v>
      </c>
      <c r="F11329" t="s">
        <v>7551</v>
      </c>
      <c r="G11329" t="s">
        <v>2278</v>
      </c>
      <c r="H11329">
        <v>9</v>
      </c>
      <c r="I11329">
        <v>34.01</v>
      </c>
      <c r="J11329" s="50">
        <v>306.08999999999997</v>
      </c>
      <c r="K11329" t="s">
        <v>1618</v>
      </c>
      <c r="L11329" t="s">
        <v>7552</v>
      </c>
      <c r="M11329" t="s">
        <v>1629</v>
      </c>
      <c r="N11329">
        <v>17.95</v>
      </c>
      <c r="O11329" s="49">
        <v>45520</v>
      </c>
      <c r="P11329" s="50">
        <v>137.7405</v>
      </c>
    </row>
    <row r="11330" spans="4:16" x14ac:dyDescent="0.2">
      <c r="D11330">
        <v>100006802</v>
      </c>
      <c r="E11330" s="49">
        <v>45584</v>
      </c>
      <c r="F11330" t="s">
        <v>7553</v>
      </c>
      <c r="G11330" t="s">
        <v>2112</v>
      </c>
      <c r="H11330">
        <v>8</v>
      </c>
      <c r="I11330">
        <v>59.93</v>
      </c>
      <c r="J11330" s="50">
        <v>479.44</v>
      </c>
      <c r="K11330" t="s">
        <v>1632</v>
      </c>
      <c r="M11330" t="s">
        <v>1629</v>
      </c>
      <c r="N11330">
        <v>31.63</v>
      </c>
      <c r="O11330" s="49">
        <v>45589</v>
      </c>
      <c r="P11330" s="50">
        <v>215.74799999999999</v>
      </c>
    </row>
    <row r="11331" spans="4:16" x14ac:dyDescent="0.2">
      <c r="D11331">
        <v>100006803</v>
      </c>
      <c r="E11331" s="49">
        <v>44213</v>
      </c>
      <c r="F11331" t="s">
        <v>7554</v>
      </c>
      <c r="G11331" t="s">
        <v>1649</v>
      </c>
      <c r="H11331">
        <v>8</v>
      </c>
      <c r="I11331">
        <v>38.9</v>
      </c>
      <c r="J11331" s="50">
        <v>311.2</v>
      </c>
      <c r="K11331" t="s">
        <v>1618</v>
      </c>
      <c r="M11331" t="s">
        <v>1619</v>
      </c>
      <c r="N11331">
        <v>20.53</v>
      </c>
      <c r="O11331" s="49">
        <v>44216</v>
      </c>
      <c r="P11331" s="50">
        <v>140.04</v>
      </c>
    </row>
    <row r="11332" spans="4:16" x14ac:dyDescent="0.2">
      <c r="D11332">
        <v>100006803</v>
      </c>
      <c r="E11332" s="49">
        <v>45409</v>
      </c>
      <c r="F11332" t="s">
        <v>7554</v>
      </c>
      <c r="G11332" t="s">
        <v>2198</v>
      </c>
      <c r="H11332">
        <v>10</v>
      </c>
      <c r="I11332">
        <v>11.11</v>
      </c>
      <c r="J11332" s="50">
        <v>111.1</v>
      </c>
      <c r="K11332" t="s">
        <v>1618</v>
      </c>
      <c r="M11332" t="s">
        <v>1629</v>
      </c>
      <c r="N11332">
        <v>5.86</v>
      </c>
      <c r="O11332" s="49">
        <v>45414</v>
      </c>
      <c r="P11332" s="50">
        <v>49.994999999999997</v>
      </c>
    </row>
    <row r="11333" spans="4:16" x14ac:dyDescent="0.2">
      <c r="D11333">
        <v>100006804</v>
      </c>
      <c r="E11333" s="49">
        <v>44336</v>
      </c>
      <c r="F11333" t="s">
        <v>7555</v>
      </c>
      <c r="G11333" t="s">
        <v>1817</v>
      </c>
      <c r="H11333">
        <v>7</v>
      </c>
      <c r="I11333">
        <v>83.65</v>
      </c>
      <c r="J11333" s="50">
        <v>585.55000000000007</v>
      </c>
      <c r="K11333" t="s">
        <v>1632</v>
      </c>
      <c r="M11333" t="s">
        <v>1627</v>
      </c>
      <c r="N11333">
        <v>44.15</v>
      </c>
      <c r="O11333" s="49">
        <v>44338</v>
      </c>
      <c r="P11333" s="50">
        <v>263.49750000000006</v>
      </c>
    </row>
    <row r="11334" spans="4:16" x14ac:dyDescent="0.2">
      <c r="D11334">
        <v>100006804</v>
      </c>
      <c r="E11334" s="49">
        <v>45004</v>
      </c>
      <c r="F11334" t="s">
        <v>7555</v>
      </c>
      <c r="G11334" t="s">
        <v>1744</v>
      </c>
      <c r="H11334">
        <v>5</v>
      </c>
      <c r="I11334">
        <v>16.27</v>
      </c>
      <c r="J11334" s="50">
        <v>81.349999999999994</v>
      </c>
      <c r="K11334" t="s">
        <v>1632</v>
      </c>
      <c r="M11334" t="s">
        <v>1621</v>
      </c>
      <c r="N11334">
        <v>8.59</v>
      </c>
      <c r="O11334" s="49">
        <v>45008</v>
      </c>
      <c r="P11334" s="50">
        <v>36.607500000000002</v>
      </c>
    </row>
    <row r="11335" spans="4:16" x14ac:dyDescent="0.2">
      <c r="D11335">
        <v>100006804</v>
      </c>
      <c r="E11335" s="49">
        <v>45651</v>
      </c>
      <c r="F11335" t="s">
        <v>7555</v>
      </c>
      <c r="G11335" t="s">
        <v>2427</v>
      </c>
      <c r="H11335">
        <v>10</v>
      </c>
      <c r="I11335">
        <v>45.21</v>
      </c>
      <c r="J11335" s="50">
        <v>452.1</v>
      </c>
      <c r="K11335" t="s">
        <v>1632</v>
      </c>
      <c r="M11335" t="s">
        <v>1627</v>
      </c>
      <c r="N11335">
        <v>23.86</v>
      </c>
      <c r="O11335" s="49">
        <v>45652</v>
      </c>
      <c r="P11335" s="50">
        <v>203.44500000000002</v>
      </c>
    </row>
    <row r="11336" spans="4:16" x14ac:dyDescent="0.2">
      <c r="D11336">
        <v>100006805</v>
      </c>
      <c r="E11336" s="49">
        <v>44556</v>
      </c>
      <c r="F11336" t="s">
        <v>7556</v>
      </c>
      <c r="G11336" t="s">
        <v>2174</v>
      </c>
      <c r="H11336">
        <v>2</v>
      </c>
      <c r="I11336">
        <v>114.53</v>
      </c>
      <c r="J11336" s="50">
        <v>229.06</v>
      </c>
      <c r="K11336" t="s">
        <v>1618</v>
      </c>
      <c r="M11336" t="s">
        <v>1629</v>
      </c>
      <c r="N11336">
        <v>60.45</v>
      </c>
      <c r="O11336" s="49">
        <v>44561</v>
      </c>
      <c r="P11336" s="50">
        <v>103.077</v>
      </c>
    </row>
    <row r="11337" spans="4:16" x14ac:dyDescent="0.2">
      <c r="D11337">
        <v>100006805</v>
      </c>
      <c r="E11337" s="49">
        <v>44968</v>
      </c>
      <c r="F11337" t="s">
        <v>7556</v>
      </c>
      <c r="G11337" t="s">
        <v>1801</v>
      </c>
      <c r="H11337">
        <v>4</v>
      </c>
      <c r="I11337">
        <v>88.37</v>
      </c>
      <c r="J11337" s="50">
        <v>353.48</v>
      </c>
      <c r="K11337" t="s">
        <v>1618</v>
      </c>
      <c r="M11337" t="s">
        <v>1621</v>
      </c>
      <c r="N11337">
        <v>46.64</v>
      </c>
      <c r="O11337" s="49">
        <v>44973</v>
      </c>
      <c r="P11337" s="50">
        <v>159.066</v>
      </c>
    </row>
    <row r="11338" spans="4:16" x14ac:dyDescent="0.2">
      <c r="D11338">
        <v>100006805</v>
      </c>
      <c r="E11338" s="49">
        <v>45521</v>
      </c>
      <c r="F11338" t="s">
        <v>7556</v>
      </c>
      <c r="G11338" t="s">
        <v>1975</v>
      </c>
      <c r="H11338">
        <v>8</v>
      </c>
      <c r="I11338">
        <v>111.88</v>
      </c>
      <c r="J11338" s="50">
        <v>895.04</v>
      </c>
      <c r="K11338" t="s">
        <v>1618</v>
      </c>
      <c r="M11338" t="s">
        <v>1627</v>
      </c>
      <c r="N11338">
        <v>59.05</v>
      </c>
      <c r="O11338" s="49">
        <v>45526</v>
      </c>
      <c r="P11338" s="50">
        <v>402.76799999999997</v>
      </c>
    </row>
    <row r="11339" spans="4:16" x14ac:dyDescent="0.2">
      <c r="D11339">
        <v>100006805</v>
      </c>
      <c r="E11339" s="49">
        <v>45576</v>
      </c>
      <c r="F11339" t="s">
        <v>7556</v>
      </c>
      <c r="G11339" t="s">
        <v>1731</v>
      </c>
      <c r="H11339">
        <v>2</v>
      </c>
      <c r="I11339">
        <v>33.4</v>
      </c>
      <c r="J11339" s="50">
        <v>66.8</v>
      </c>
      <c r="K11339" t="s">
        <v>1618</v>
      </c>
      <c r="M11339" t="s">
        <v>1627</v>
      </c>
      <c r="N11339">
        <v>17.63</v>
      </c>
      <c r="O11339" s="49">
        <v>45578</v>
      </c>
      <c r="P11339" s="50">
        <v>30.06</v>
      </c>
    </row>
    <row r="11340" spans="4:16" x14ac:dyDescent="0.2">
      <c r="D11340">
        <v>100006805</v>
      </c>
      <c r="E11340" s="49">
        <v>45427</v>
      </c>
      <c r="F11340" t="s">
        <v>7556</v>
      </c>
      <c r="G11340" t="s">
        <v>2007</v>
      </c>
      <c r="H11340">
        <v>1</v>
      </c>
      <c r="I11340">
        <v>77.58</v>
      </c>
      <c r="J11340" s="50">
        <v>77.58</v>
      </c>
      <c r="K11340" t="s">
        <v>1618</v>
      </c>
      <c r="M11340" t="s">
        <v>1619</v>
      </c>
      <c r="N11340">
        <v>40.94</v>
      </c>
      <c r="O11340" s="49">
        <v>45428</v>
      </c>
      <c r="P11340" s="50">
        <v>34.911000000000001</v>
      </c>
    </row>
    <row r="11341" spans="4:16" x14ac:dyDescent="0.2">
      <c r="D11341">
        <v>100006805</v>
      </c>
      <c r="E11341" s="49">
        <v>44300</v>
      </c>
      <c r="F11341" t="s">
        <v>7556</v>
      </c>
      <c r="G11341" t="s">
        <v>2378</v>
      </c>
      <c r="H11341">
        <v>3</v>
      </c>
      <c r="I11341">
        <v>116.69</v>
      </c>
      <c r="J11341" s="50">
        <v>350.07</v>
      </c>
      <c r="K11341" t="s">
        <v>1618</v>
      </c>
      <c r="M11341" t="s">
        <v>1629</v>
      </c>
      <c r="N11341">
        <v>61.59</v>
      </c>
      <c r="O11341" s="49">
        <v>44301</v>
      </c>
      <c r="P11341" s="50">
        <v>157.53149999999999</v>
      </c>
    </row>
    <row r="11342" spans="4:16" x14ac:dyDescent="0.2">
      <c r="D11342">
        <v>100006808</v>
      </c>
      <c r="E11342" s="49">
        <v>44914</v>
      </c>
      <c r="F11342" t="s">
        <v>7557</v>
      </c>
      <c r="G11342" t="s">
        <v>2766</v>
      </c>
      <c r="H11342">
        <v>1</v>
      </c>
      <c r="I11342">
        <v>35.19</v>
      </c>
      <c r="J11342" s="50">
        <v>35.19</v>
      </c>
      <c r="K11342" t="s">
        <v>1618</v>
      </c>
      <c r="M11342" t="s">
        <v>1621</v>
      </c>
      <c r="N11342">
        <v>18.57</v>
      </c>
      <c r="O11342" s="49">
        <v>44918</v>
      </c>
      <c r="P11342" s="50">
        <v>15.8355</v>
      </c>
    </row>
    <row r="11343" spans="4:16" x14ac:dyDescent="0.2">
      <c r="D11343">
        <v>100006809</v>
      </c>
      <c r="E11343" s="49">
        <v>45021</v>
      </c>
      <c r="F11343" t="s">
        <v>7558</v>
      </c>
      <c r="G11343" t="s">
        <v>1742</v>
      </c>
      <c r="H11343">
        <v>10</v>
      </c>
      <c r="I11343">
        <v>35.56</v>
      </c>
      <c r="J11343" s="50">
        <v>355.6</v>
      </c>
      <c r="K11343" t="s">
        <v>1632</v>
      </c>
      <c r="M11343" t="s">
        <v>1629</v>
      </c>
      <c r="N11343">
        <v>18.77</v>
      </c>
      <c r="O11343" s="49">
        <v>45022</v>
      </c>
      <c r="P11343" s="50">
        <v>160.02000000000001</v>
      </c>
    </row>
    <row r="11344" spans="4:16" x14ac:dyDescent="0.2">
      <c r="D11344">
        <v>100006812</v>
      </c>
      <c r="E11344" s="49">
        <v>44679</v>
      </c>
      <c r="F11344" t="s">
        <v>7559</v>
      </c>
      <c r="G11344" t="s">
        <v>1805</v>
      </c>
      <c r="H11344">
        <v>4</v>
      </c>
      <c r="I11344">
        <v>55.8</v>
      </c>
      <c r="J11344" s="50">
        <v>223.2</v>
      </c>
      <c r="K11344" t="s">
        <v>1618</v>
      </c>
      <c r="M11344" t="s">
        <v>1621</v>
      </c>
      <c r="N11344">
        <v>29.45</v>
      </c>
      <c r="O11344" s="49">
        <v>44681</v>
      </c>
      <c r="P11344" s="50">
        <v>100.44</v>
      </c>
    </row>
    <row r="11345" spans="4:16" x14ac:dyDescent="0.2">
      <c r="D11345">
        <v>100006813</v>
      </c>
      <c r="E11345" s="49">
        <v>45246</v>
      </c>
      <c r="F11345" t="s">
        <v>7560</v>
      </c>
      <c r="G11345" t="s">
        <v>2057</v>
      </c>
      <c r="H11345">
        <v>2</v>
      </c>
      <c r="I11345">
        <v>11.54</v>
      </c>
      <c r="J11345" s="50">
        <v>23.08</v>
      </c>
      <c r="K11345" t="s">
        <v>1632</v>
      </c>
      <c r="L11345" t="s">
        <v>4502</v>
      </c>
      <c r="M11345" t="s">
        <v>1619</v>
      </c>
      <c r="N11345">
        <v>6.09</v>
      </c>
      <c r="O11345" s="49">
        <v>45249</v>
      </c>
      <c r="P11345" s="50">
        <v>10.385999999999999</v>
      </c>
    </row>
    <row r="11346" spans="4:16" x14ac:dyDescent="0.2">
      <c r="D11346">
        <v>100006814</v>
      </c>
      <c r="E11346" s="49">
        <v>45133</v>
      </c>
      <c r="F11346" t="s">
        <v>7561</v>
      </c>
      <c r="G11346" t="s">
        <v>2033</v>
      </c>
      <c r="H11346">
        <v>9</v>
      </c>
      <c r="I11346">
        <v>100.54</v>
      </c>
      <c r="J11346" s="50">
        <v>904.86</v>
      </c>
      <c r="K11346" t="s">
        <v>1618</v>
      </c>
      <c r="M11346" t="s">
        <v>1627</v>
      </c>
      <c r="N11346">
        <v>53.06</v>
      </c>
      <c r="O11346" s="49">
        <v>45138</v>
      </c>
      <c r="P11346" s="50">
        <v>407.18700000000001</v>
      </c>
    </row>
    <row r="11347" spans="4:16" x14ac:dyDescent="0.2">
      <c r="D11347">
        <v>100006814</v>
      </c>
      <c r="E11347" s="49">
        <v>44870</v>
      </c>
      <c r="F11347" t="s">
        <v>7561</v>
      </c>
      <c r="G11347" t="s">
        <v>2023</v>
      </c>
      <c r="H11347">
        <v>1</v>
      </c>
      <c r="I11347">
        <v>46.98</v>
      </c>
      <c r="J11347" s="50">
        <v>46.98</v>
      </c>
      <c r="K11347" t="s">
        <v>1618</v>
      </c>
      <c r="M11347" t="s">
        <v>1624</v>
      </c>
      <c r="N11347">
        <v>24.79</v>
      </c>
      <c r="O11347" s="49">
        <v>44873</v>
      </c>
      <c r="P11347" s="50">
        <v>21.140999999999998</v>
      </c>
    </row>
    <row r="11348" spans="4:16" x14ac:dyDescent="0.2">
      <c r="D11348">
        <v>100006814</v>
      </c>
      <c r="E11348" s="49">
        <v>44420</v>
      </c>
      <c r="F11348" t="s">
        <v>7561</v>
      </c>
      <c r="G11348" t="s">
        <v>2263</v>
      </c>
      <c r="H11348">
        <v>5</v>
      </c>
      <c r="I11348">
        <v>75.45</v>
      </c>
      <c r="J11348" s="50">
        <v>377.25</v>
      </c>
      <c r="K11348" t="s">
        <v>1618</v>
      </c>
      <c r="M11348" t="s">
        <v>1624</v>
      </c>
      <c r="N11348">
        <v>39.82</v>
      </c>
      <c r="O11348" s="49">
        <v>44421</v>
      </c>
      <c r="P11348" s="50">
        <v>169.76250000000002</v>
      </c>
    </row>
    <row r="11349" spans="4:16" x14ac:dyDescent="0.2">
      <c r="D11349">
        <v>100006814</v>
      </c>
      <c r="E11349" s="49">
        <v>44745</v>
      </c>
      <c r="F11349" t="s">
        <v>7561</v>
      </c>
      <c r="G11349" t="s">
        <v>2198</v>
      </c>
      <c r="H11349">
        <v>4</v>
      </c>
      <c r="I11349">
        <v>41.73</v>
      </c>
      <c r="J11349" s="50">
        <v>166.92</v>
      </c>
      <c r="K11349" t="s">
        <v>1618</v>
      </c>
      <c r="M11349" t="s">
        <v>1629</v>
      </c>
      <c r="N11349">
        <v>22.02</v>
      </c>
      <c r="O11349" s="49">
        <v>44750</v>
      </c>
      <c r="P11349" s="50">
        <v>75.11399999999999</v>
      </c>
    </row>
    <row r="11350" spans="4:16" x14ac:dyDescent="0.2">
      <c r="D11350">
        <v>100006814</v>
      </c>
      <c r="E11350" s="49">
        <v>44561</v>
      </c>
      <c r="F11350" t="s">
        <v>7561</v>
      </c>
      <c r="G11350" t="s">
        <v>2033</v>
      </c>
      <c r="H11350">
        <v>2</v>
      </c>
      <c r="I11350">
        <v>88.65</v>
      </c>
      <c r="J11350" s="50">
        <v>177.3</v>
      </c>
      <c r="K11350" t="s">
        <v>1618</v>
      </c>
      <c r="M11350" t="s">
        <v>1629</v>
      </c>
      <c r="N11350">
        <v>46.79</v>
      </c>
      <c r="O11350" s="49">
        <v>44562</v>
      </c>
      <c r="P11350" s="50">
        <v>79.785000000000011</v>
      </c>
    </row>
    <row r="11351" spans="4:16" x14ac:dyDescent="0.2">
      <c r="D11351">
        <v>100006814</v>
      </c>
      <c r="E11351" s="49">
        <v>45311</v>
      </c>
      <c r="F11351" t="s">
        <v>7561</v>
      </c>
      <c r="G11351" t="s">
        <v>1921</v>
      </c>
      <c r="H11351">
        <v>4</v>
      </c>
      <c r="I11351">
        <v>39.14</v>
      </c>
      <c r="J11351" s="50">
        <v>156.56</v>
      </c>
      <c r="K11351" t="s">
        <v>1618</v>
      </c>
      <c r="M11351" t="s">
        <v>1619</v>
      </c>
      <c r="N11351">
        <v>20.66</v>
      </c>
      <c r="O11351" s="49">
        <v>45314</v>
      </c>
      <c r="P11351" s="50">
        <v>70.451999999999998</v>
      </c>
    </row>
    <row r="11352" spans="4:16" x14ac:dyDescent="0.2">
      <c r="D11352">
        <v>100006815</v>
      </c>
      <c r="E11352" s="49">
        <v>45396</v>
      </c>
      <c r="F11352" t="s">
        <v>5914</v>
      </c>
      <c r="G11352" t="s">
        <v>1939</v>
      </c>
      <c r="H11352">
        <v>10</v>
      </c>
      <c r="I11352">
        <v>95.66</v>
      </c>
      <c r="J11352" s="50">
        <v>956.59999999999991</v>
      </c>
      <c r="K11352" t="s">
        <v>1618</v>
      </c>
      <c r="M11352" t="s">
        <v>1629</v>
      </c>
      <c r="N11352">
        <v>50.49</v>
      </c>
      <c r="O11352" s="49">
        <v>45399</v>
      </c>
      <c r="P11352" s="50">
        <v>430.46999999999997</v>
      </c>
    </row>
    <row r="11353" spans="4:16" x14ac:dyDescent="0.2">
      <c r="D11353">
        <v>100006815</v>
      </c>
      <c r="E11353" s="49">
        <v>44775</v>
      </c>
      <c r="F11353" t="s">
        <v>5914</v>
      </c>
      <c r="G11353" t="s">
        <v>1939</v>
      </c>
      <c r="H11353">
        <v>1</v>
      </c>
      <c r="I11353">
        <v>69.819999999999993</v>
      </c>
      <c r="J11353" s="50">
        <v>69.819999999999993</v>
      </c>
      <c r="K11353" t="s">
        <v>1618</v>
      </c>
      <c r="M11353" t="s">
        <v>1619</v>
      </c>
      <c r="N11353">
        <v>36.85</v>
      </c>
      <c r="O11353" s="49">
        <v>44777</v>
      </c>
      <c r="P11353" s="50">
        <v>31.418999999999997</v>
      </c>
    </row>
    <row r="11354" spans="4:16" x14ac:dyDescent="0.2">
      <c r="D11354">
        <v>100006815</v>
      </c>
      <c r="E11354" s="49">
        <v>44459</v>
      </c>
      <c r="F11354" t="s">
        <v>5914</v>
      </c>
      <c r="G11354" t="s">
        <v>1766</v>
      </c>
      <c r="H11354">
        <v>3</v>
      </c>
      <c r="I11354">
        <v>89.63</v>
      </c>
      <c r="J11354" s="50">
        <v>268.89</v>
      </c>
      <c r="K11354" t="s">
        <v>1618</v>
      </c>
      <c r="M11354" t="s">
        <v>1619</v>
      </c>
      <c r="N11354">
        <v>47.3</v>
      </c>
      <c r="O11354" s="49">
        <v>44462</v>
      </c>
      <c r="P11354" s="50">
        <v>121.0005</v>
      </c>
    </row>
    <row r="11355" spans="4:16" x14ac:dyDescent="0.2">
      <c r="D11355">
        <v>100006815</v>
      </c>
      <c r="E11355" s="49">
        <v>45031</v>
      </c>
      <c r="F11355" t="s">
        <v>5914</v>
      </c>
      <c r="G11355" t="s">
        <v>1646</v>
      </c>
      <c r="H11355">
        <v>6</v>
      </c>
      <c r="I11355">
        <v>56.81</v>
      </c>
      <c r="J11355" s="50">
        <v>340.86</v>
      </c>
      <c r="K11355" t="s">
        <v>1618</v>
      </c>
      <c r="M11355" t="s">
        <v>1619</v>
      </c>
      <c r="N11355">
        <v>29.98</v>
      </c>
      <c r="O11355" s="49">
        <v>45035</v>
      </c>
      <c r="P11355" s="50">
        <v>153.387</v>
      </c>
    </row>
    <row r="11356" spans="4:16" x14ac:dyDescent="0.2">
      <c r="D11356">
        <v>100006816</v>
      </c>
      <c r="E11356" s="49">
        <v>44349</v>
      </c>
      <c r="F11356" t="s">
        <v>7562</v>
      </c>
      <c r="G11356" t="s">
        <v>1695</v>
      </c>
      <c r="H11356">
        <v>8</v>
      </c>
      <c r="I11356">
        <v>87.05</v>
      </c>
      <c r="J11356" s="50">
        <v>696.4</v>
      </c>
      <c r="K11356" t="s">
        <v>1618</v>
      </c>
      <c r="M11356" t="s">
        <v>1627</v>
      </c>
      <c r="N11356">
        <v>45.94</v>
      </c>
      <c r="O11356" s="49">
        <v>44352</v>
      </c>
      <c r="P11356" s="50">
        <v>313.38</v>
      </c>
    </row>
    <row r="11357" spans="4:16" x14ac:dyDescent="0.2">
      <c r="D11357">
        <v>100006816</v>
      </c>
      <c r="E11357" s="49">
        <v>44844</v>
      </c>
      <c r="F11357" t="s">
        <v>7562</v>
      </c>
      <c r="G11357" t="s">
        <v>2084</v>
      </c>
      <c r="H11357">
        <v>3</v>
      </c>
      <c r="I11357">
        <v>61.95</v>
      </c>
      <c r="J11357" s="50">
        <v>185.85</v>
      </c>
      <c r="K11357" t="s">
        <v>1618</v>
      </c>
      <c r="M11357" t="s">
        <v>1627</v>
      </c>
      <c r="N11357">
        <v>32.700000000000003</v>
      </c>
      <c r="O11357" s="49">
        <v>44848</v>
      </c>
      <c r="P11357" s="50">
        <v>83.632499999999993</v>
      </c>
    </row>
    <row r="11358" spans="4:16" x14ac:dyDescent="0.2">
      <c r="D11358">
        <v>100006816</v>
      </c>
      <c r="E11358" s="49">
        <v>44313</v>
      </c>
      <c r="F11358" t="s">
        <v>7562</v>
      </c>
      <c r="G11358" t="s">
        <v>2180</v>
      </c>
      <c r="H11358">
        <v>8</v>
      </c>
      <c r="I11358">
        <v>32.22</v>
      </c>
      <c r="J11358" s="50">
        <v>257.76</v>
      </c>
      <c r="K11358" t="s">
        <v>1618</v>
      </c>
      <c r="M11358" t="s">
        <v>1624</v>
      </c>
      <c r="N11358">
        <v>17</v>
      </c>
      <c r="O11358" s="49">
        <v>44318</v>
      </c>
      <c r="P11358" s="50">
        <v>115.992</v>
      </c>
    </row>
    <row r="11359" spans="4:16" x14ac:dyDescent="0.2">
      <c r="D11359">
        <v>100006816</v>
      </c>
      <c r="E11359" s="49">
        <v>44771</v>
      </c>
      <c r="F11359" t="s">
        <v>7562</v>
      </c>
      <c r="G11359" t="s">
        <v>1655</v>
      </c>
      <c r="H11359">
        <v>6</v>
      </c>
      <c r="I11359">
        <v>55.06</v>
      </c>
      <c r="J11359" s="50">
        <v>330.36</v>
      </c>
      <c r="K11359" t="s">
        <v>1618</v>
      </c>
      <c r="M11359" t="s">
        <v>1629</v>
      </c>
      <c r="N11359">
        <v>29.06</v>
      </c>
      <c r="O11359" s="49">
        <v>44776</v>
      </c>
      <c r="P11359" s="50">
        <v>148.66200000000001</v>
      </c>
    </row>
    <row r="11360" spans="4:16" x14ac:dyDescent="0.2">
      <c r="D11360">
        <v>100006817</v>
      </c>
      <c r="E11360" s="49">
        <v>45441</v>
      </c>
      <c r="F11360" t="s">
        <v>7563</v>
      </c>
      <c r="G11360" t="s">
        <v>1681</v>
      </c>
      <c r="H11360">
        <v>10</v>
      </c>
      <c r="I11360">
        <v>34.869999999999997</v>
      </c>
      <c r="J11360" s="50">
        <v>348.7</v>
      </c>
      <c r="K11360" t="s">
        <v>1618</v>
      </c>
      <c r="M11360" t="s">
        <v>1627</v>
      </c>
      <c r="N11360">
        <v>18.399999999999999</v>
      </c>
      <c r="O11360" s="49">
        <v>45442</v>
      </c>
      <c r="P11360" s="50">
        <v>156.91499999999999</v>
      </c>
    </row>
    <row r="11361" spans="4:16" x14ac:dyDescent="0.2">
      <c r="D11361">
        <v>100006817</v>
      </c>
      <c r="E11361" s="49">
        <v>45505</v>
      </c>
      <c r="F11361" t="s">
        <v>7563</v>
      </c>
      <c r="G11361" t="s">
        <v>1918</v>
      </c>
      <c r="H11361">
        <v>7</v>
      </c>
      <c r="I11361">
        <v>88.06</v>
      </c>
      <c r="J11361" s="50">
        <v>616.42000000000007</v>
      </c>
      <c r="K11361" t="s">
        <v>1618</v>
      </c>
      <c r="M11361" t="s">
        <v>1621</v>
      </c>
      <c r="N11361">
        <v>46.48</v>
      </c>
      <c r="O11361" s="49">
        <v>45509</v>
      </c>
      <c r="P11361" s="50">
        <v>277.38900000000007</v>
      </c>
    </row>
    <row r="11362" spans="4:16" x14ac:dyDescent="0.2">
      <c r="D11362">
        <v>100006818</v>
      </c>
      <c r="E11362" s="49">
        <v>45045</v>
      </c>
      <c r="F11362" t="s">
        <v>7564</v>
      </c>
      <c r="G11362" t="s">
        <v>2707</v>
      </c>
      <c r="H11362">
        <v>1</v>
      </c>
      <c r="I11362">
        <v>84.66</v>
      </c>
      <c r="J11362" s="50">
        <v>84.66</v>
      </c>
      <c r="K11362" t="s">
        <v>1632</v>
      </c>
      <c r="M11362" t="s">
        <v>1621</v>
      </c>
      <c r="N11362">
        <v>44.68</v>
      </c>
      <c r="O11362" s="49">
        <v>45048</v>
      </c>
      <c r="P11362" s="50">
        <v>38.097000000000001</v>
      </c>
    </row>
    <row r="11363" spans="4:16" x14ac:dyDescent="0.2">
      <c r="D11363">
        <v>100006820</v>
      </c>
      <c r="E11363" s="49">
        <v>44686</v>
      </c>
      <c r="F11363" t="s">
        <v>7565</v>
      </c>
      <c r="G11363" t="s">
        <v>1851</v>
      </c>
      <c r="H11363">
        <v>2</v>
      </c>
      <c r="I11363">
        <v>83.78</v>
      </c>
      <c r="J11363" s="50">
        <v>167.56</v>
      </c>
      <c r="K11363" t="s">
        <v>1618</v>
      </c>
      <c r="L11363" t="s">
        <v>4051</v>
      </c>
      <c r="M11363" t="s">
        <v>1627</v>
      </c>
      <c r="N11363">
        <v>44.22</v>
      </c>
      <c r="O11363" s="49">
        <v>44688</v>
      </c>
      <c r="P11363" s="50">
        <v>75.402000000000001</v>
      </c>
    </row>
    <row r="11364" spans="4:16" x14ac:dyDescent="0.2">
      <c r="D11364">
        <v>100006820</v>
      </c>
      <c r="E11364" s="49">
        <v>44492</v>
      </c>
      <c r="F11364" t="s">
        <v>7565</v>
      </c>
      <c r="G11364" t="s">
        <v>1628</v>
      </c>
      <c r="H11364">
        <v>8</v>
      </c>
      <c r="I11364">
        <v>10.06</v>
      </c>
      <c r="J11364" s="50">
        <v>80.48</v>
      </c>
      <c r="K11364" t="s">
        <v>1618</v>
      </c>
      <c r="L11364" t="s">
        <v>4051</v>
      </c>
      <c r="M11364" t="s">
        <v>1619</v>
      </c>
      <c r="N11364">
        <v>5.31</v>
      </c>
      <c r="O11364" s="49">
        <v>44494</v>
      </c>
      <c r="P11364" s="50">
        <v>36.216000000000001</v>
      </c>
    </row>
    <row r="11365" spans="4:16" x14ac:dyDescent="0.2">
      <c r="D11365">
        <v>100006821</v>
      </c>
      <c r="E11365" s="49">
        <v>44339</v>
      </c>
      <c r="F11365" t="s">
        <v>7566</v>
      </c>
      <c r="G11365" t="s">
        <v>1762</v>
      </c>
      <c r="H11365">
        <v>7</v>
      </c>
      <c r="I11365">
        <v>105.5</v>
      </c>
      <c r="J11365" s="50">
        <v>738.5</v>
      </c>
      <c r="K11365" t="s">
        <v>1632</v>
      </c>
      <c r="M11365" t="s">
        <v>1629</v>
      </c>
      <c r="N11365">
        <v>55.68</v>
      </c>
      <c r="O11365" s="49">
        <v>44342</v>
      </c>
      <c r="P11365" s="50">
        <v>332.32499999999999</v>
      </c>
    </row>
    <row r="11366" spans="4:16" x14ac:dyDescent="0.2">
      <c r="D11366">
        <v>100006821</v>
      </c>
      <c r="E11366" s="49">
        <v>44197</v>
      </c>
      <c r="F11366" t="s">
        <v>7566</v>
      </c>
      <c r="G11366" t="s">
        <v>1978</v>
      </c>
      <c r="H11366">
        <v>5</v>
      </c>
      <c r="I11366">
        <v>96.58</v>
      </c>
      <c r="J11366" s="50">
        <v>482.9</v>
      </c>
      <c r="K11366" t="s">
        <v>1632</v>
      </c>
      <c r="M11366" t="s">
        <v>1629</v>
      </c>
      <c r="N11366">
        <v>50.97</v>
      </c>
      <c r="O11366" s="49">
        <v>44202</v>
      </c>
      <c r="P11366" s="50">
        <v>217.30500000000001</v>
      </c>
    </row>
    <row r="11367" spans="4:16" x14ac:dyDescent="0.2">
      <c r="D11367">
        <v>100006822</v>
      </c>
      <c r="E11367" s="49">
        <v>44487</v>
      </c>
      <c r="F11367" t="s">
        <v>7567</v>
      </c>
      <c r="G11367" t="s">
        <v>1674</v>
      </c>
      <c r="H11367">
        <v>8</v>
      </c>
      <c r="I11367">
        <v>117.78</v>
      </c>
      <c r="J11367" s="50">
        <v>942.24</v>
      </c>
      <c r="K11367" t="s">
        <v>1632</v>
      </c>
      <c r="M11367" t="s">
        <v>1624</v>
      </c>
      <c r="N11367">
        <v>62.16</v>
      </c>
      <c r="O11367" s="49">
        <v>44490</v>
      </c>
      <c r="P11367" s="50">
        <v>424.00800000000004</v>
      </c>
    </row>
    <row r="11368" spans="4:16" x14ac:dyDescent="0.2">
      <c r="D11368">
        <v>100006823</v>
      </c>
      <c r="E11368" s="49">
        <v>44886</v>
      </c>
      <c r="F11368" t="s">
        <v>7568</v>
      </c>
      <c r="G11368" t="s">
        <v>1872</v>
      </c>
      <c r="H11368">
        <v>7</v>
      </c>
      <c r="I11368">
        <v>74.31</v>
      </c>
      <c r="J11368" s="50">
        <v>520.17000000000007</v>
      </c>
      <c r="K11368" t="s">
        <v>1618</v>
      </c>
      <c r="M11368" t="s">
        <v>1629</v>
      </c>
      <c r="N11368">
        <v>39.22</v>
      </c>
      <c r="O11368" s="49">
        <v>44890</v>
      </c>
      <c r="P11368" s="50">
        <v>234.07650000000004</v>
      </c>
    </row>
    <row r="11369" spans="4:16" x14ac:dyDescent="0.2">
      <c r="D11369">
        <v>100006823</v>
      </c>
      <c r="E11369" s="49">
        <v>44638</v>
      </c>
      <c r="F11369" t="s">
        <v>7568</v>
      </c>
      <c r="G11369" t="s">
        <v>2098</v>
      </c>
      <c r="H11369">
        <v>7</v>
      </c>
      <c r="I11369">
        <v>97.77</v>
      </c>
      <c r="J11369" s="50">
        <v>684.39</v>
      </c>
      <c r="K11369" t="s">
        <v>1618</v>
      </c>
      <c r="M11369" t="s">
        <v>1624</v>
      </c>
      <c r="N11369">
        <v>51.6</v>
      </c>
      <c r="O11369" s="49">
        <v>44640</v>
      </c>
      <c r="P11369" s="50">
        <v>307.97550000000001</v>
      </c>
    </row>
    <row r="11370" spans="4:16" x14ac:dyDescent="0.2">
      <c r="D11370">
        <v>100006827</v>
      </c>
      <c r="E11370" s="49">
        <v>44217</v>
      </c>
      <c r="F11370" t="s">
        <v>7569</v>
      </c>
      <c r="G11370" t="s">
        <v>2132</v>
      </c>
      <c r="H11370">
        <v>8</v>
      </c>
      <c r="I11370">
        <v>28.6</v>
      </c>
      <c r="J11370" s="50">
        <v>228.8</v>
      </c>
      <c r="K11370" t="s">
        <v>1632</v>
      </c>
      <c r="M11370" t="s">
        <v>1627</v>
      </c>
      <c r="N11370">
        <v>15.09</v>
      </c>
      <c r="O11370" s="49">
        <v>44221</v>
      </c>
      <c r="P11370" s="50">
        <v>102.96000000000001</v>
      </c>
    </row>
    <row r="11371" spans="4:16" x14ac:dyDescent="0.2">
      <c r="D11371">
        <v>100006827</v>
      </c>
      <c r="E11371" s="49">
        <v>44869</v>
      </c>
      <c r="F11371" t="s">
        <v>7569</v>
      </c>
      <c r="G11371" t="s">
        <v>1667</v>
      </c>
      <c r="H11371">
        <v>8</v>
      </c>
      <c r="I11371">
        <v>58.01</v>
      </c>
      <c r="J11371" s="50">
        <v>464.08</v>
      </c>
      <c r="K11371" t="s">
        <v>1632</v>
      </c>
      <c r="M11371" t="s">
        <v>1627</v>
      </c>
      <c r="N11371">
        <v>30.62</v>
      </c>
      <c r="O11371" s="49">
        <v>44873</v>
      </c>
      <c r="P11371" s="50">
        <v>208.83599999999998</v>
      </c>
    </row>
    <row r="11372" spans="4:16" x14ac:dyDescent="0.2">
      <c r="D11372">
        <v>100006828</v>
      </c>
      <c r="E11372" s="49">
        <v>45117</v>
      </c>
      <c r="F11372" t="s">
        <v>7570</v>
      </c>
      <c r="G11372" t="s">
        <v>1739</v>
      </c>
      <c r="H11372">
        <v>4</v>
      </c>
      <c r="I11372">
        <v>74.09</v>
      </c>
      <c r="J11372" s="50">
        <v>296.36</v>
      </c>
      <c r="K11372" t="s">
        <v>1632</v>
      </c>
      <c r="M11372" t="s">
        <v>1621</v>
      </c>
      <c r="N11372">
        <v>39.1</v>
      </c>
      <c r="O11372" s="49">
        <v>45122</v>
      </c>
      <c r="P11372" s="50">
        <v>133.36200000000002</v>
      </c>
    </row>
    <row r="11373" spans="4:16" x14ac:dyDescent="0.2">
      <c r="D11373">
        <v>100006829</v>
      </c>
      <c r="E11373" s="49">
        <v>44560</v>
      </c>
      <c r="F11373" t="s">
        <v>5915</v>
      </c>
      <c r="G11373" t="s">
        <v>2071</v>
      </c>
      <c r="H11373">
        <v>5</v>
      </c>
      <c r="I11373">
        <v>119.36</v>
      </c>
      <c r="J11373" s="50">
        <v>596.79999999999995</v>
      </c>
      <c r="K11373" t="s">
        <v>1618</v>
      </c>
      <c r="M11373" t="s">
        <v>1624</v>
      </c>
      <c r="N11373">
        <v>63</v>
      </c>
      <c r="O11373" s="49">
        <v>44565</v>
      </c>
      <c r="P11373" s="50">
        <v>268.56</v>
      </c>
    </row>
    <row r="11374" spans="4:16" x14ac:dyDescent="0.2">
      <c r="D11374">
        <v>100006829</v>
      </c>
      <c r="E11374" s="49">
        <v>45511</v>
      </c>
      <c r="F11374" t="s">
        <v>5915</v>
      </c>
      <c r="G11374" t="s">
        <v>1820</v>
      </c>
      <c r="H11374">
        <v>10</v>
      </c>
      <c r="I11374">
        <v>15.93</v>
      </c>
      <c r="J11374" s="50">
        <v>159.30000000000001</v>
      </c>
      <c r="K11374" t="s">
        <v>1618</v>
      </c>
      <c r="M11374" t="s">
        <v>1624</v>
      </c>
      <c r="N11374">
        <v>8.41</v>
      </c>
      <c r="O11374" s="49">
        <v>45512</v>
      </c>
      <c r="P11374" s="50">
        <v>71.685000000000002</v>
      </c>
    </row>
    <row r="11375" spans="4:16" x14ac:dyDescent="0.2">
      <c r="D11375">
        <v>100006829</v>
      </c>
      <c r="E11375" s="49">
        <v>44644</v>
      </c>
      <c r="F11375" t="s">
        <v>5915</v>
      </c>
      <c r="G11375" t="s">
        <v>2159</v>
      </c>
      <c r="H11375">
        <v>2</v>
      </c>
      <c r="I11375">
        <v>34.69</v>
      </c>
      <c r="J11375" s="50">
        <v>69.38</v>
      </c>
      <c r="K11375" t="s">
        <v>1618</v>
      </c>
      <c r="M11375" t="s">
        <v>1619</v>
      </c>
      <c r="N11375">
        <v>18.309999999999999</v>
      </c>
      <c r="O11375" s="49">
        <v>44647</v>
      </c>
      <c r="P11375" s="50">
        <v>31.221</v>
      </c>
    </row>
    <row r="11376" spans="4:16" x14ac:dyDescent="0.2">
      <c r="D11376">
        <v>100006832</v>
      </c>
      <c r="E11376" s="49">
        <v>44463</v>
      </c>
      <c r="F11376" t="s">
        <v>7571</v>
      </c>
      <c r="G11376" t="s">
        <v>1975</v>
      </c>
      <c r="H11376">
        <v>4</v>
      </c>
      <c r="I11376">
        <v>65.92</v>
      </c>
      <c r="J11376" s="50">
        <v>263.68</v>
      </c>
      <c r="K11376" t="s">
        <v>1632</v>
      </c>
      <c r="L11376" t="s">
        <v>7572</v>
      </c>
      <c r="M11376" t="s">
        <v>1621</v>
      </c>
      <c r="N11376">
        <v>34.79</v>
      </c>
      <c r="O11376" s="49">
        <v>44464</v>
      </c>
      <c r="P11376" s="50">
        <v>118.65600000000001</v>
      </c>
    </row>
    <row r="11377" spans="4:16" x14ac:dyDescent="0.2">
      <c r="D11377">
        <v>100006832</v>
      </c>
      <c r="E11377" s="49">
        <v>45612</v>
      </c>
      <c r="F11377" t="s">
        <v>7571</v>
      </c>
      <c r="G11377" t="s">
        <v>2130</v>
      </c>
      <c r="H11377">
        <v>5</v>
      </c>
      <c r="I11377">
        <v>56.22</v>
      </c>
      <c r="J11377" s="50">
        <v>281.10000000000002</v>
      </c>
      <c r="K11377" t="s">
        <v>1632</v>
      </c>
      <c r="L11377" t="s">
        <v>7572</v>
      </c>
      <c r="M11377" t="s">
        <v>1624</v>
      </c>
      <c r="N11377">
        <v>29.67</v>
      </c>
      <c r="O11377" s="49">
        <v>45617</v>
      </c>
      <c r="P11377" s="50">
        <v>126.49500000000002</v>
      </c>
    </row>
    <row r="11378" spans="4:16" x14ac:dyDescent="0.2">
      <c r="D11378">
        <v>100006833</v>
      </c>
      <c r="E11378" s="49">
        <v>44790</v>
      </c>
      <c r="F11378" t="s">
        <v>7573</v>
      </c>
      <c r="G11378" t="s">
        <v>1720</v>
      </c>
      <c r="H11378">
        <v>8</v>
      </c>
      <c r="I11378">
        <v>86.86</v>
      </c>
      <c r="J11378" s="50">
        <v>694.88</v>
      </c>
      <c r="K11378" t="s">
        <v>1632</v>
      </c>
      <c r="M11378" t="s">
        <v>1619</v>
      </c>
      <c r="N11378">
        <v>45.84</v>
      </c>
      <c r="O11378" s="49">
        <v>44791</v>
      </c>
      <c r="P11378" s="50">
        <v>312.69600000000003</v>
      </c>
    </row>
    <row r="11379" spans="4:16" x14ac:dyDescent="0.2">
      <c r="D11379">
        <v>100006833</v>
      </c>
      <c r="E11379" s="49">
        <v>44987</v>
      </c>
      <c r="F11379" t="s">
        <v>7573</v>
      </c>
      <c r="G11379" t="s">
        <v>1707</v>
      </c>
      <c r="H11379">
        <v>9</v>
      </c>
      <c r="I11379">
        <v>86.11</v>
      </c>
      <c r="J11379" s="50">
        <v>774.99</v>
      </c>
      <c r="K11379" t="s">
        <v>1632</v>
      </c>
      <c r="M11379" t="s">
        <v>1621</v>
      </c>
      <c r="N11379">
        <v>45.45</v>
      </c>
      <c r="O11379" s="49">
        <v>44992</v>
      </c>
      <c r="P11379" s="50">
        <v>348.74549999999999</v>
      </c>
    </row>
    <row r="11380" spans="4:16" x14ac:dyDescent="0.2">
      <c r="D11380">
        <v>100006833</v>
      </c>
      <c r="E11380" s="49">
        <v>45560</v>
      </c>
      <c r="F11380" t="s">
        <v>7573</v>
      </c>
      <c r="G11380" t="s">
        <v>1817</v>
      </c>
      <c r="H11380">
        <v>8</v>
      </c>
      <c r="I11380">
        <v>78.48</v>
      </c>
      <c r="J11380" s="50">
        <v>627.84</v>
      </c>
      <c r="K11380" t="s">
        <v>1632</v>
      </c>
      <c r="M11380" t="s">
        <v>1629</v>
      </c>
      <c r="N11380">
        <v>41.42</v>
      </c>
      <c r="O11380" s="49">
        <v>45561</v>
      </c>
      <c r="P11380" s="50">
        <v>282.52800000000002</v>
      </c>
    </row>
    <row r="11381" spans="4:16" x14ac:dyDescent="0.2">
      <c r="D11381">
        <v>100006833</v>
      </c>
      <c r="E11381" s="49">
        <v>45220</v>
      </c>
      <c r="F11381" t="s">
        <v>7573</v>
      </c>
      <c r="G11381" t="s">
        <v>1807</v>
      </c>
      <c r="H11381">
        <v>8</v>
      </c>
      <c r="I11381">
        <v>29.31</v>
      </c>
      <c r="J11381" s="50">
        <v>234.48</v>
      </c>
      <c r="K11381" t="s">
        <v>1632</v>
      </c>
      <c r="M11381" t="s">
        <v>1619</v>
      </c>
      <c r="N11381">
        <v>15.47</v>
      </c>
      <c r="O11381" s="49">
        <v>45221</v>
      </c>
      <c r="P11381" s="50">
        <v>105.51599999999999</v>
      </c>
    </row>
    <row r="11382" spans="4:16" x14ac:dyDescent="0.2">
      <c r="D11382">
        <v>100006833</v>
      </c>
      <c r="E11382" s="49">
        <v>45021</v>
      </c>
      <c r="F11382" t="s">
        <v>7573</v>
      </c>
      <c r="G11382" t="s">
        <v>1696</v>
      </c>
      <c r="H11382">
        <v>1</v>
      </c>
      <c r="I11382">
        <v>15.53</v>
      </c>
      <c r="J11382" s="50">
        <v>15.53</v>
      </c>
      <c r="K11382" t="s">
        <v>1632</v>
      </c>
      <c r="M11382" t="s">
        <v>1619</v>
      </c>
      <c r="N11382">
        <v>8.1999999999999993</v>
      </c>
      <c r="O11382" s="49">
        <v>45024</v>
      </c>
      <c r="P11382" s="50">
        <v>6.9885000000000002</v>
      </c>
    </row>
    <row r="11383" spans="4:16" x14ac:dyDescent="0.2">
      <c r="D11383">
        <v>100006833</v>
      </c>
      <c r="E11383" s="49">
        <v>45535</v>
      </c>
      <c r="F11383" t="s">
        <v>7573</v>
      </c>
      <c r="G11383" t="s">
        <v>2550</v>
      </c>
      <c r="H11383">
        <v>8</v>
      </c>
      <c r="I11383">
        <v>85.75</v>
      </c>
      <c r="J11383" s="50">
        <v>686</v>
      </c>
      <c r="K11383" t="s">
        <v>1632</v>
      </c>
      <c r="M11383" t="s">
        <v>1619</v>
      </c>
      <c r="N11383">
        <v>45.26</v>
      </c>
      <c r="O11383" s="49">
        <v>45540</v>
      </c>
      <c r="P11383" s="50">
        <v>308.7</v>
      </c>
    </row>
    <row r="11384" spans="4:16" x14ac:dyDescent="0.2">
      <c r="D11384">
        <v>100006833</v>
      </c>
      <c r="E11384" s="49">
        <v>45096</v>
      </c>
      <c r="F11384" t="s">
        <v>7573</v>
      </c>
      <c r="G11384" t="s">
        <v>1948</v>
      </c>
      <c r="H11384">
        <v>5</v>
      </c>
      <c r="I11384">
        <v>97.99</v>
      </c>
      <c r="J11384" s="50">
        <v>489.95</v>
      </c>
      <c r="K11384" t="s">
        <v>1632</v>
      </c>
      <c r="M11384" t="s">
        <v>1621</v>
      </c>
      <c r="N11384">
        <v>51.72</v>
      </c>
      <c r="O11384" s="49">
        <v>45100</v>
      </c>
      <c r="P11384" s="50">
        <v>220.47749999999999</v>
      </c>
    </row>
    <row r="11385" spans="4:16" x14ac:dyDescent="0.2">
      <c r="D11385">
        <v>100006834</v>
      </c>
      <c r="E11385" s="49">
        <v>45323</v>
      </c>
      <c r="F11385" t="s">
        <v>7574</v>
      </c>
      <c r="G11385" t="s">
        <v>1693</v>
      </c>
      <c r="H11385">
        <v>5</v>
      </c>
      <c r="I11385">
        <v>43.81</v>
      </c>
      <c r="J11385" s="50">
        <v>219.05</v>
      </c>
      <c r="K11385" t="s">
        <v>1632</v>
      </c>
      <c r="L11385" t="s">
        <v>7575</v>
      </c>
      <c r="M11385" t="s">
        <v>1621</v>
      </c>
      <c r="N11385">
        <v>23.12</v>
      </c>
      <c r="O11385" s="49">
        <v>45325</v>
      </c>
      <c r="P11385" s="50">
        <v>98.572500000000005</v>
      </c>
    </row>
    <row r="11386" spans="4:16" x14ac:dyDescent="0.2">
      <c r="D11386">
        <v>100006837</v>
      </c>
      <c r="E11386" s="49">
        <v>44426</v>
      </c>
      <c r="F11386" t="s">
        <v>7576</v>
      </c>
      <c r="G11386" t="s">
        <v>1721</v>
      </c>
      <c r="H11386">
        <v>5</v>
      </c>
      <c r="I11386">
        <v>74.11</v>
      </c>
      <c r="J11386" s="50">
        <v>370.55</v>
      </c>
      <c r="K11386" t="s">
        <v>1618</v>
      </c>
      <c r="M11386" t="s">
        <v>1629</v>
      </c>
      <c r="N11386">
        <v>39.11</v>
      </c>
      <c r="O11386" s="49">
        <v>44428</v>
      </c>
      <c r="P11386" s="50">
        <v>166.7475</v>
      </c>
    </row>
    <row r="11387" spans="4:16" x14ac:dyDescent="0.2">
      <c r="D11387">
        <v>100006837</v>
      </c>
      <c r="E11387" s="49">
        <v>45491</v>
      </c>
      <c r="F11387" t="s">
        <v>7576</v>
      </c>
      <c r="G11387" t="s">
        <v>1647</v>
      </c>
      <c r="H11387">
        <v>9</v>
      </c>
      <c r="I11387">
        <v>102.1</v>
      </c>
      <c r="J11387" s="50">
        <v>918.9</v>
      </c>
      <c r="K11387" t="s">
        <v>1618</v>
      </c>
      <c r="M11387" t="s">
        <v>1629</v>
      </c>
      <c r="N11387">
        <v>53.89</v>
      </c>
      <c r="O11387" s="49">
        <v>45495</v>
      </c>
      <c r="P11387" s="50">
        <v>413.505</v>
      </c>
    </row>
    <row r="11388" spans="4:16" x14ac:dyDescent="0.2">
      <c r="D11388">
        <v>100006838</v>
      </c>
      <c r="E11388" s="49">
        <v>45629</v>
      </c>
      <c r="F11388" t="s">
        <v>7577</v>
      </c>
      <c r="G11388" t="s">
        <v>2042</v>
      </c>
      <c r="H11388">
        <v>5</v>
      </c>
      <c r="I11388">
        <v>72.08</v>
      </c>
      <c r="J11388" s="50">
        <v>360.4</v>
      </c>
      <c r="K11388" t="s">
        <v>1618</v>
      </c>
      <c r="M11388" t="s">
        <v>1627</v>
      </c>
      <c r="N11388">
        <v>38.04</v>
      </c>
      <c r="O11388" s="49">
        <v>45630</v>
      </c>
      <c r="P11388" s="50">
        <v>162.18</v>
      </c>
    </row>
    <row r="11389" spans="4:16" x14ac:dyDescent="0.2">
      <c r="D11389">
        <v>100006840</v>
      </c>
      <c r="E11389" s="49">
        <v>45395</v>
      </c>
      <c r="F11389" t="s">
        <v>7578</v>
      </c>
      <c r="G11389" t="s">
        <v>1955</v>
      </c>
      <c r="H11389">
        <v>3</v>
      </c>
      <c r="I11389">
        <v>43.06</v>
      </c>
      <c r="J11389" s="50">
        <v>129.18</v>
      </c>
      <c r="K11389" t="s">
        <v>1618</v>
      </c>
      <c r="L11389" t="s">
        <v>7579</v>
      </c>
      <c r="M11389" t="s">
        <v>1624</v>
      </c>
      <c r="N11389">
        <v>22.73</v>
      </c>
      <c r="O11389" s="49">
        <v>45396</v>
      </c>
      <c r="P11389" s="50">
        <v>58.131000000000007</v>
      </c>
    </row>
    <row r="11390" spans="4:16" x14ac:dyDescent="0.2">
      <c r="D11390">
        <v>100006840</v>
      </c>
      <c r="E11390" s="49">
        <v>44450</v>
      </c>
      <c r="F11390" t="s">
        <v>7578</v>
      </c>
      <c r="G11390" t="s">
        <v>2263</v>
      </c>
      <c r="H11390">
        <v>8</v>
      </c>
      <c r="I11390">
        <v>42.1</v>
      </c>
      <c r="J11390" s="50">
        <v>336.8</v>
      </c>
      <c r="K11390" t="s">
        <v>1618</v>
      </c>
      <c r="L11390" t="s">
        <v>7579</v>
      </c>
      <c r="M11390" t="s">
        <v>1629</v>
      </c>
      <c r="N11390">
        <v>22.22</v>
      </c>
      <c r="O11390" s="49">
        <v>44451</v>
      </c>
      <c r="P11390" s="50">
        <v>151.56</v>
      </c>
    </row>
    <row r="11391" spans="4:16" x14ac:dyDescent="0.2">
      <c r="D11391">
        <v>100006840</v>
      </c>
      <c r="E11391" s="49">
        <v>44660</v>
      </c>
      <c r="F11391" t="s">
        <v>7578</v>
      </c>
      <c r="G11391" t="s">
        <v>1691</v>
      </c>
      <c r="H11391">
        <v>10</v>
      </c>
      <c r="I11391">
        <v>73.13</v>
      </c>
      <c r="J11391" s="50">
        <v>731.3</v>
      </c>
      <c r="K11391" t="s">
        <v>1618</v>
      </c>
      <c r="L11391" t="s">
        <v>7579</v>
      </c>
      <c r="M11391" t="s">
        <v>1621</v>
      </c>
      <c r="N11391">
        <v>38.6</v>
      </c>
      <c r="O11391" s="49">
        <v>44661</v>
      </c>
      <c r="P11391" s="50">
        <v>329.08499999999998</v>
      </c>
    </row>
    <row r="11392" spans="4:16" x14ac:dyDescent="0.2">
      <c r="D11392">
        <v>100006840</v>
      </c>
      <c r="E11392" s="49">
        <v>44385</v>
      </c>
      <c r="F11392" t="s">
        <v>7578</v>
      </c>
      <c r="G11392" t="s">
        <v>1650</v>
      </c>
      <c r="H11392">
        <v>4</v>
      </c>
      <c r="I11392">
        <v>68.180000000000007</v>
      </c>
      <c r="J11392" s="50">
        <v>272.72000000000003</v>
      </c>
      <c r="K11392" t="s">
        <v>1618</v>
      </c>
      <c r="L11392" t="s">
        <v>7579</v>
      </c>
      <c r="M11392" t="s">
        <v>1627</v>
      </c>
      <c r="N11392">
        <v>35.979999999999997</v>
      </c>
      <c r="O11392" s="49">
        <v>44390</v>
      </c>
      <c r="P11392" s="50">
        <v>122.72400000000002</v>
      </c>
    </row>
    <row r="11393" spans="4:16" x14ac:dyDescent="0.2">
      <c r="D11393">
        <v>100006840</v>
      </c>
      <c r="E11393" s="49">
        <v>45339</v>
      </c>
      <c r="F11393" t="s">
        <v>7578</v>
      </c>
      <c r="G11393" t="s">
        <v>2060</v>
      </c>
      <c r="H11393">
        <v>9</v>
      </c>
      <c r="I11393">
        <v>26.02</v>
      </c>
      <c r="J11393" s="50">
        <v>234.18</v>
      </c>
      <c r="K11393" t="s">
        <v>1618</v>
      </c>
      <c r="L11393" t="s">
        <v>7579</v>
      </c>
      <c r="M11393" t="s">
        <v>1621</v>
      </c>
      <c r="N11393">
        <v>13.73</v>
      </c>
      <c r="O11393" s="49">
        <v>45342</v>
      </c>
      <c r="P11393" s="50">
        <v>105.381</v>
      </c>
    </row>
    <row r="11394" spans="4:16" x14ac:dyDescent="0.2">
      <c r="D11394">
        <v>100006840</v>
      </c>
      <c r="E11394" s="49">
        <v>44955</v>
      </c>
      <c r="F11394" t="s">
        <v>7578</v>
      </c>
      <c r="G11394" t="s">
        <v>1709</v>
      </c>
      <c r="H11394">
        <v>6</v>
      </c>
      <c r="I11394">
        <v>34.96</v>
      </c>
      <c r="J11394" s="50">
        <v>209.76</v>
      </c>
      <c r="K11394" t="s">
        <v>1618</v>
      </c>
      <c r="L11394" t="s">
        <v>7579</v>
      </c>
      <c r="M11394" t="s">
        <v>1619</v>
      </c>
      <c r="N11394">
        <v>18.45</v>
      </c>
      <c r="O11394" s="49">
        <v>44956</v>
      </c>
      <c r="P11394" s="50">
        <v>94.391999999999996</v>
      </c>
    </row>
    <row r="11395" spans="4:16" x14ac:dyDescent="0.2">
      <c r="D11395">
        <v>100006841</v>
      </c>
      <c r="E11395" s="49">
        <v>44776</v>
      </c>
      <c r="F11395" t="s">
        <v>7580</v>
      </c>
      <c r="G11395" t="s">
        <v>1783</v>
      </c>
      <c r="H11395">
        <v>10</v>
      </c>
      <c r="I11395">
        <v>52.17</v>
      </c>
      <c r="J11395" s="50">
        <v>521.70000000000005</v>
      </c>
      <c r="K11395" t="s">
        <v>1632</v>
      </c>
      <c r="M11395" t="s">
        <v>1624</v>
      </c>
      <c r="N11395">
        <v>27.53</v>
      </c>
      <c r="O11395" s="49">
        <v>44781</v>
      </c>
      <c r="P11395" s="50">
        <v>234.76500000000001</v>
      </c>
    </row>
    <row r="11396" spans="4:16" x14ac:dyDescent="0.2">
      <c r="D11396">
        <v>100006844</v>
      </c>
      <c r="E11396" s="49">
        <v>44720</v>
      </c>
      <c r="F11396" t="s">
        <v>7581</v>
      </c>
      <c r="G11396" t="s">
        <v>1865</v>
      </c>
      <c r="H11396">
        <v>7</v>
      </c>
      <c r="I11396">
        <v>18.28</v>
      </c>
      <c r="J11396" s="50">
        <v>127.96</v>
      </c>
      <c r="K11396" t="s">
        <v>1618</v>
      </c>
      <c r="M11396" t="s">
        <v>1619</v>
      </c>
      <c r="N11396">
        <v>9.65</v>
      </c>
      <c r="O11396" s="49">
        <v>44725</v>
      </c>
      <c r="P11396" s="50">
        <v>57.582000000000001</v>
      </c>
    </row>
    <row r="11397" spans="4:16" x14ac:dyDescent="0.2">
      <c r="D11397">
        <v>100006844</v>
      </c>
      <c r="E11397" s="49">
        <v>45361</v>
      </c>
      <c r="F11397" t="s">
        <v>7581</v>
      </c>
      <c r="G11397" t="s">
        <v>1675</v>
      </c>
      <c r="H11397">
        <v>10</v>
      </c>
      <c r="I11397">
        <v>93.28</v>
      </c>
      <c r="J11397" s="50">
        <v>932.8</v>
      </c>
      <c r="K11397" t="s">
        <v>1618</v>
      </c>
      <c r="M11397" t="s">
        <v>1621</v>
      </c>
      <c r="N11397">
        <v>49.23</v>
      </c>
      <c r="O11397" s="49">
        <v>45364</v>
      </c>
      <c r="P11397" s="50">
        <v>419.76</v>
      </c>
    </row>
    <row r="11398" spans="4:16" x14ac:dyDescent="0.2">
      <c r="D11398">
        <v>100006844</v>
      </c>
      <c r="E11398" s="49">
        <v>45217</v>
      </c>
      <c r="F11398" t="s">
        <v>7581</v>
      </c>
      <c r="G11398" t="s">
        <v>2707</v>
      </c>
      <c r="H11398">
        <v>8</v>
      </c>
      <c r="I11398">
        <v>93.06</v>
      </c>
      <c r="J11398" s="50">
        <v>744.48</v>
      </c>
      <c r="K11398" t="s">
        <v>1618</v>
      </c>
      <c r="M11398" t="s">
        <v>1619</v>
      </c>
      <c r="N11398">
        <v>49.11</v>
      </c>
      <c r="O11398" s="49">
        <v>45218</v>
      </c>
      <c r="P11398" s="50">
        <v>335.01600000000002</v>
      </c>
    </row>
    <row r="11399" spans="4:16" x14ac:dyDescent="0.2">
      <c r="D11399">
        <v>100006844</v>
      </c>
      <c r="E11399" s="49">
        <v>45441</v>
      </c>
      <c r="F11399" t="s">
        <v>7581</v>
      </c>
      <c r="G11399" t="s">
        <v>2331</v>
      </c>
      <c r="H11399">
        <v>8</v>
      </c>
      <c r="I11399">
        <v>23.91</v>
      </c>
      <c r="J11399" s="50">
        <v>191.28</v>
      </c>
      <c r="K11399" t="s">
        <v>1618</v>
      </c>
      <c r="M11399" t="s">
        <v>1624</v>
      </c>
      <c r="N11399">
        <v>12.62</v>
      </c>
      <c r="O11399" s="49">
        <v>45445</v>
      </c>
      <c r="P11399" s="50">
        <v>86.076000000000008</v>
      </c>
    </row>
    <row r="11400" spans="4:16" x14ac:dyDescent="0.2">
      <c r="D11400">
        <v>100006845</v>
      </c>
      <c r="E11400" s="49">
        <v>44556</v>
      </c>
      <c r="F11400" t="s">
        <v>6005</v>
      </c>
      <c r="G11400" t="s">
        <v>1795</v>
      </c>
      <c r="H11400">
        <v>1</v>
      </c>
      <c r="I11400">
        <v>89.44</v>
      </c>
      <c r="J11400" s="50">
        <v>89.44</v>
      </c>
      <c r="K11400" t="s">
        <v>1632</v>
      </c>
      <c r="M11400" t="s">
        <v>1621</v>
      </c>
      <c r="N11400">
        <v>47.2</v>
      </c>
      <c r="O11400" s="49">
        <v>44558</v>
      </c>
      <c r="P11400" s="50">
        <v>40.247999999999998</v>
      </c>
    </row>
    <row r="11401" spans="4:16" x14ac:dyDescent="0.2">
      <c r="D11401">
        <v>100006847</v>
      </c>
      <c r="E11401" s="49">
        <v>44944</v>
      </c>
      <c r="F11401" t="s">
        <v>7582</v>
      </c>
      <c r="G11401" t="s">
        <v>2207</v>
      </c>
      <c r="H11401">
        <v>2</v>
      </c>
      <c r="I11401">
        <v>26.18</v>
      </c>
      <c r="J11401" s="50">
        <v>52.36</v>
      </c>
      <c r="K11401" t="s">
        <v>1618</v>
      </c>
      <c r="M11401" t="s">
        <v>1621</v>
      </c>
      <c r="N11401">
        <v>13.82</v>
      </c>
      <c r="O11401" s="49">
        <v>44948</v>
      </c>
      <c r="P11401" s="50">
        <v>23.562000000000001</v>
      </c>
    </row>
    <row r="11402" spans="4:16" x14ac:dyDescent="0.2">
      <c r="D11402">
        <v>100006847</v>
      </c>
      <c r="E11402" s="49">
        <v>44586</v>
      </c>
      <c r="F11402" t="s">
        <v>7582</v>
      </c>
      <c r="G11402" t="s">
        <v>2033</v>
      </c>
      <c r="H11402">
        <v>3</v>
      </c>
      <c r="I11402">
        <v>61.88</v>
      </c>
      <c r="J11402" s="50">
        <v>185.64</v>
      </c>
      <c r="K11402" t="s">
        <v>1618</v>
      </c>
      <c r="M11402" t="s">
        <v>1627</v>
      </c>
      <c r="N11402">
        <v>32.659999999999997</v>
      </c>
      <c r="O11402" s="49">
        <v>44587</v>
      </c>
      <c r="P11402" s="50">
        <v>83.537999999999997</v>
      </c>
    </row>
    <row r="11403" spans="4:16" x14ac:dyDescent="0.2">
      <c r="D11403">
        <v>100006848</v>
      </c>
      <c r="E11403" s="49">
        <v>45565</v>
      </c>
      <c r="F11403" t="s">
        <v>7583</v>
      </c>
      <c r="G11403" t="s">
        <v>2306</v>
      </c>
      <c r="H11403">
        <v>3</v>
      </c>
      <c r="I11403">
        <v>71.599999999999994</v>
      </c>
      <c r="J11403" s="50">
        <v>214.8</v>
      </c>
      <c r="K11403" t="s">
        <v>1632</v>
      </c>
      <c r="M11403" t="s">
        <v>1629</v>
      </c>
      <c r="N11403">
        <v>37.79</v>
      </c>
      <c r="O11403" s="49">
        <v>45566</v>
      </c>
      <c r="P11403" s="50">
        <v>96.660000000000011</v>
      </c>
    </row>
    <row r="11404" spans="4:16" x14ac:dyDescent="0.2">
      <c r="D11404">
        <v>100006849</v>
      </c>
      <c r="E11404" s="49">
        <v>44852</v>
      </c>
      <c r="F11404" t="s">
        <v>7584</v>
      </c>
      <c r="G11404" t="s">
        <v>1743</v>
      </c>
      <c r="H11404">
        <v>10</v>
      </c>
      <c r="I11404">
        <v>67.819999999999993</v>
      </c>
      <c r="J11404" s="50">
        <v>678.19999999999993</v>
      </c>
      <c r="K11404" t="s">
        <v>1618</v>
      </c>
      <c r="L11404" t="s">
        <v>3085</v>
      </c>
      <c r="M11404" t="s">
        <v>1624</v>
      </c>
      <c r="N11404">
        <v>35.79</v>
      </c>
      <c r="O11404" s="49">
        <v>44856</v>
      </c>
      <c r="P11404" s="50">
        <v>305.19</v>
      </c>
    </row>
    <row r="11405" spans="4:16" x14ac:dyDescent="0.2">
      <c r="D11405">
        <v>100006849</v>
      </c>
      <c r="E11405" s="49">
        <v>45115</v>
      </c>
      <c r="F11405" t="s">
        <v>7584</v>
      </c>
      <c r="G11405" t="s">
        <v>1679</v>
      </c>
      <c r="H11405">
        <v>2</v>
      </c>
      <c r="I11405">
        <v>25.96</v>
      </c>
      <c r="J11405" s="50">
        <v>51.92</v>
      </c>
      <c r="K11405" t="s">
        <v>1618</v>
      </c>
      <c r="L11405" t="s">
        <v>3085</v>
      </c>
      <c r="M11405" t="s">
        <v>1627</v>
      </c>
      <c r="N11405">
        <v>13.7</v>
      </c>
      <c r="O11405" s="49">
        <v>45120</v>
      </c>
      <c r="P11405" s="50">
        <v>23.364000000000001</v>
      </c>
    </row>
    <row r="11406" spans="4:16" x14ac:dyDescent="0.2">
      <c r="D11406">
        <v>100006850</v>
      </c>
      <c r="E11406" s="49">
        <v>45305</v>
      </c>
      <c r="F11406" t="s">
        <v>7585</v>
      </c>
      <c r="G11406" t="s">
        <v>1783</v>
      </c>
      <c r="H11406">
        <v>9</v>
      </c>
      <c r="I11406">
        <v>36.26</v>
      </c>
      <c r="J11406" s="50">
        <v>326.33999999999997</v>
      </c>
      <c r="K11406" t="s">
        <v>1618</v>
      </c>
      <c r="M11406" t="s">
        <v>1627</v>
      </c>
      <c r="N11406">
        <v>19.14</v>
      </c>
      <c r="O11406" s="49">
        <v>45307</v>
      </c>
      <c r="P11406" s="50">
        <v>146.85299999999998</v>
      </c>
    </row>
    <row r="11407" spans="4:16" x14ac:dyDescent="0.2">
      <c r="D11407">
        <v>100006850</v>
      </c>
      <c r="E11407" s="49">
        <v>45552</v>
      </c>
      <c r="F11407" t="s">
        <v>7585</v>
      </c>
      <c r="G11407" t="s">
        <v>1687</v>
      </c>
      <c r="H11407">
        <v>2</v>
      </c>
      <c r="I11407">
        <v>13.29</v>
      </c>
      <c r="J11407" s="50">
        <v>26.58</v>
      </c>
      <c r="K11407" t="s">
        <v>1618</v>
      </c>
      <c r="M11407" t="s">
        <v>1627</v>
      </c>
      <c r="N11407">
        <v>7.01</v>
      </c>
      <c r="O11407" s="49">
        <v>45557</v>
      </c>
      <c r="P11407" s="50">
        <v>11.961</v>
      </c>
    </row>
    <row r="11408" spans="4:16" x14ac:dyDescent="0.2">
      <c r="D11408">
        <v>100006851</v>
      </c>
      <c r="E11408" s="49">
        <v>45053</v>
      </c>
      <c r="F11408" t="s">
        <v>7586</v>
      </c>
      <c r="G11408" t="s">
        <v>2202</v>
      </c>
      <c r="H11408">
        <v>1</v>
      </c>
      <c r="I11408">
        <v>100.46</v>
      </c>
      <c r="J11408" s="50">
        <v>100.46</v>
      </c>
      <c r="K11408" t="s">
        <v>1618</v>
      </c>
      <c r="M11408" t="s">
        <v>1619</v>
      </c>
      <c r="N11408">
        <v>53.02</v>
      </c>
      <c r="O11408" s="49">
        <v>45055</v>
      </c>
      <c r="P11408" s="50">
        <v>45.207000000000001</v>
      </c>
    </row>
    <row r="11409" spans="4:16" x14ac:dyDescent="0.2">
      <c r="D11409">
        <v>100006851</v>
      </c>
      <c r="E11409" s="49">
        <v>44662</v>
      </c>
      <c r="F11409" t="s">
        <v>7586</v>
      </c>
      <c r="G11409" t="s">
        <v>2023</v>
      </c>
      <c r="H11409">
        <v>5</v>
      </c>
      <c r="I11409">
        <v>42.74</v>
      </c>
      <c r="J11409" s="50">
        <v>213.7</v>
      </c>
      <c r="K11409" t="s">
        <v>1618</v>
      </c>
      <c r="M11409" t="s">
        <v>1629</v>
      </c>
      <c r="N11409">
        <v>22.56</v>
      </c>
      <c r="O11409" s="49">
        <v>44665</v>
      </c>
      <c r="P11409" s="50">
        <v>96.164999999999992</v>
      </c>
    </row>
    <row r="11410" spans="4:16" x14ac:dyDescent="0.2">
      <c r="D11410">
        <v>100006851</v>
      </c>
      <c r="E11410" s="49">
        <v>45395</v>
      </c>
      <c r="F11410" t="s">
        <v>7586</v>
      </c>
      <c r="G11410" t="s">
        <v>1901</v>
      </c>
      <c r="H11410">
        <v>1</v>
      </c>
      <c r="I11410">
        <v>56.87</v>
      </c>
      <c r="J11410" s="50">
        <v>56.87</v>
      </c>
      <c r="K11410" t="s">
        <v>1618</v>
      </c>
      <c r="M11410" t="s">
        <v>1629</v>
      </c>
      <c r="N11410">
        <v>30.01</v>
      </c>
      <c r="O11410" s="49">
        <v>45396</v>
      </c>
      <c r="P11410" s="50">
        <v>25.5915</v>
      </c>
    </row>
    <row r="11411" spans="4:16" x14ac:dyDescent="0.2">
      <c r="D11411">
        <v>100006851</v>
      </c>
      <c r="E11411" s="49">
        <v>44828</v>
      </c>
      <c r="F11411" t="s">
        <v>7586</v>
      </c>
      <c r="G11411" t="s">
        <v>1696</v>
      </c>
      <c r="H11411">
        <v>9</v>
      </c>
      <c r="I11411">
        <v>30.95</v>
      </c>
      <c r="J11411" s="50">
        <v>278.55</v>
      </c>
      <c r="K11411" t="s">
        <v>1618</v>
      </c>
      <c r="M11411" t="s">
        <v>1624</v>
      </c>
      <c r="N11411">
        <v>16.329999999999998</v>
      </c>
      <c r="O11411" s="49">
        <v>44829</v>
      </c>
      <c r="P11411" s="50">
        <v>125.34750000000001</v>
      </c>
    </row>
    <row r="11412" spans="4:16" x14ac:dyDescent="0.2">
      <c r="D11412">
        <v>100006851</v>
      </c>
      <c r="E11412" s="49">
        <v>45043</v>
      </c>
      <c r="F11412" t="s">
        <v>7586</v>
      </c>
      <c r="G11412" t="s">
        <v>2019</v>
      </c>
      <c r="H11412">
        <v>4</v>
      </c>
      <c r="I11412">
        <v>79.59</v>
      </c>
      <c r="J11412" s="50">
        <v>318.36</v>
      </c>
      <c r="K11412" t="s">
        <v>1618</v>
      </c>
      <c r="M11412" t="s">
        <v>1619</v>
      </c>
      <c r="N11412">
        <v>42.01</v>
      </c>
      <c r="O11412" s="49">
        <v>45044</v>
      </c>
      <c r="P11412" s="50">
        <v>143.262</v>
      </c>
    </row>
    <row r="11413" spans="4:16" x14ac:dyDescent="0.2">
      <c r="D11413">
        <v>100006852</v>
      </c>
      <c r="E11413" s="49">
        <v>45169</v>
      </c>
      <c r="F11413" t="s">
        <v>7587</v>
      </c>
      <c r="G11413" t="s">
        <v>2028</v>
      </c>
      <c r="H11413">
        <v>4</v>
      </c>
      <c r="I11413">
        <v>53.98</v>
      </c>
      <c r="J11413" s="50">
        <v>215.92</v>
      </c>
      <c r="K11413" t="s">
        <v>1632</v>
      </c>
      <c r="M11413" t="s">
        <v>1629</v>
      </c>
      <c r="N11413">
        <v>28.49</v>
      </c>
      <c r="O11413" s="49">
        <v>45172</v>
      </c>
      <c r="P11413" s="50">
        <v>97.164000000000001</v>
      </c>
    </row>
    <row r="11414" spans="4:16" x14ac:dyDescent="0.2">
      <c r="D11414">
        <v>100006852</v>
      </c>
      <c r="E11414" s="49">
        <v>45657</v>
      </c>
      <c r="F11414" t="s">
        <v>7587</v>
      </c>
      <c r="G11414" t="s">
        <v>1828</v>
      </c>
      <c r="H11414">
        <v>6</v>
      </c>
      <c r="I11414">
        <v>28.78</v>
      </c>
      <c r="J11414" s="50">
        <v>172.68</v>
      </c>
      <c r="K11414" t="s">
        <v>1632</v>
      </c>
      <c r="M11414" t="s">
        <v>1621</v>
      </c>
      <c r="N11414">
        <v>15.19</v>
      </c>
      <c r="O11414" s="49">
        <v>45658</v>
      </c>
      <c r="P11414" s="50">
        <v>77.706000000000003</v>
      </c>
    </row>
    <row r="11415" spans="4:16" x14ac:dyDescent="0.2">
      <c r="D11415">
        <v>100006854</v>
      </c>
      <c r="E11415" s="49">
        <v>44712</v>
      </c>
      <c r="F11415" t="s">
        <v>7588</v>
      </c>
      <c r="G11415" t="s">
        <v>1709</v>
      </c>
      <c r="H11415">
        <v>7</v>
      </c>
      <c r="I11415">
        <v>78.66</v>
      </c>
      <c r="J11415" s="50">
        <v>550.62</v>
      </c>
      <c r="K11415" t="s">
        <v>1618</v>
      </c>
      <c r="M11415" t="s">
        <v>1624</v>
      </c>
      <c r="N11415">
        <v>41.51</v>
      </c>
      <c r="O11415" s="49">
        <v>44714</v>
      </c>
      <c r="P11415" s="50">
        <v>247.779</v>
      </c>
    </row>
    <row r="11416" spans="4:16" x14ac:dyDescent="0.2">
      <c r="D11416">
        <v>100006855</v>
      </c>
      <c r="E11416" s="49">
        <v>45579</v>
      </c>
      <c r="F11416" t="s">
        <v>7589</v>
      </c>
      <c r="G11416" t="s">
        <v>1945</v>
      </c>
      <c r="H11416">
        <v>7</v>
      </c>
      <c r="I11416">
        <v>92.66</v>
      </c>
      <c r="J11416" s="50">
        <v>648.62</v>
      </c>
      <c r="K11416" t="s">
        <v>1618</v>
      </c>
      <c r="M11416" t="s">
        <v>1629</v>
      </c>
      <c r="N11416">
        <v>48.9</v>
      </c>
      <c r="O11416" s="49">
        <v>45584</v>
      </c>
      <c r="P11416" s="50">
        <v>291.87900000000002</v>
      </c>
    </row>
    <row r="11417" spans="4:16" x14ac:dyDescent="0.2">
      <c r="D11417">
        <v>100006855</v>
      </c>
      <c r="E11417" s="49">
        <v>45261</v>
      </c>
      <c r="F11417" t="s">
        <v>7589</v>
      </c>
      <c r="G11417" t="s">
        <v>1872</v>
      </c>
      <c r="H11417">
        <v>7</v>
      </c>
      <c r="I11417">
        <v>113.97</v>
      </c>
      <c r="J11417" s="50">
        <v>797.79</v>
      </c>
      <c r="K11417" t="s">
        <v>1618</v>
      </c>
      <c r="M11417" t="s">
        <v>1621</v>
      </c>
      <c r="N11417">
        <v>60.15</v>
      </c>
      <c r="O11417" s="49">
        <v>45265</v>
      </c>
      <c r="P11417" s="50">
        <v>359.00549999999998</v>
      </c>
    </row>
    <row r="11418" spans="4:16" x14ac:dyDescent="0.2">
      <c r="D11418">
        <v>100006856</v>
      </c>
      <c r="E11418" s="49">
        <v>45364</v>
      </c>
      <c r="F11418" t="s">
        <v>7590</v>
      </c>
      <c r="G11418" t="s">
        <v>1872</v>
      </c>
      <c r="H11418">
        <v>4</v>
      </c>
      <c r="I11418">
        <v>103.39</v>
      </c>
      <c r="J11418" s="50">
        <v>413.56</v>
      </c>
      <c r="K11418" t="s">
        <v>1618</v>
      </c>
      <c r="M11418" t="s">
        <v>1619</v>
      </c>
      <c r="N11418">
        <v>54.57</v>
      </c>
      <c r="O11418" s="49">
        <v>45365</v>
      </c>
      <c r="P11418" s="50">
        <v>186.102</v>
      </c>
    </row>
    <row r="11419" spans="4:16" x14ac:dyDescent="0.2">
      <c r="D11419">
        <v>100006856</v>
      </c>
      <c r="E11419" s="49">
        <v>45649</v>
      </c>
      <c r="F11419" t="s">
        <v>7590</v>
      </c>
      <c r="G11419" t="s">
        <v>1874</v>
      </c>
      <c r="H11419">
        <v>8</v>
      </c>
      <c r="I11419">
        <v>25.25</v>
      </c>
      <c r="J11419" s="50">
        <v>202</v>
      </c>
      <c r="K11419" t="s">
        <v>1618</v>
      </c>
      <c r="M11419" t="s">
        <v>1619</v>
      </c>
      <c r="N11419">
        <v>13.33</v>
      </c>
      <c r="O11419" s="49">
        <v>45650</v>
      </c>
      <c r="P11419" s="50">
        <v>90.9</v>
      </c>
    </row>
    <row r="11420" spans="4:16" x14ac:dyDescent="0.2">
      <c r="D11420">
        <v>100006857</v>
      </c>
      <c r="E11420" s="49">
        <v>45184</v>
      </c>
      <c r="F11420" t="s">
        <v>7591</v>
      </c>
      <c r="G11420" t="s">
        <v>2416</v>
      </c>
      <c r="H11420">
        <v>10</v>
      </c>
      <c r="I11420">
        <v>56.21</v>
      </c>
      <c r="J11420" s="50">
        <v>562.1</v>
      </c>
      <c r="K11420" t="s">
        <v>1618</v>
      </c>
      <c r="M11420" t="s">
        <v>1619</v>
      </c>
      <c r="N11420">
        <v>29.67</v>
      </c>
      <c r="O11420" s="49">
        <v>45189</v>
      </c>
      <c r="P11420" s="50">
        <v>252.94500000000002</v>
      </c>
    </row>
    <row r="11421" spans="4:16" x14ac:dyDescent="0.2">
      <c r="D11421">
        <v>100006857</v>
      </c>
      <c r="E11421" s="49">
        <v>45120</v>
      </c>
      <c r="F11421" t="s">
        <v>7591</v>
      </c>
      <c r="G11421" t="s">
        <v>2263</v>
      </c>
      <c r="H11421">
        <v>9</v>
      </c>
      <c r="I11421">
        <v>76.05</v>
      </c>
      <c r="J11421" s="50">
        <v>684.44999999999993</v>
      </c>
      <c r="K11421" t="s">
        <v>1618</v>
      </c>
      <c r="M11421" t="s">
        <v>1624</v>
      </c>
      <c r="N11421">
        <v>40.14</v>
      </c>
      <c r="O11421" s="49">
        <v>45124</v>
      </c>
      <c r="P11421" s="50">
        <v>308.0025</v>
      </c>
    </row>
    <row r="11422" spans="4:16" x14ac:dyDescent="0.2">
      <c r="D11422">
        <v>100006859</v>
      </c>
      <c r="E11422" s="49">
        <v>45301</v>
      </c>
      <c r="F11422" t="s">
        <v>7592</v>
      </c>
      <c r="G11422" t="s">
        <v>2076</v>
      </c>
      <c r="H11422">
        <v>9</v>
      </c>
      <c r="I11422">
        <v>30.39</v>
      </c>
      <c r="J11422" s="50">
        <v>273.51</v>
      </c>
      <c r="K11422" t="s">
        <v>1618</v>
      </c>
      <c r="L11422" t="s">
        <v>6266</v>
      </c>
      <c r="M11422" t="s">
        <v>1621</v>
      </c>
      <c r="N11422">
        <v>16.04</v>
      </c>
      <c r="O11422" s="49">
        <v>45304</v>
      </c>
      <c r="P11422" s="50">
        <v>123.0795</v>
      </c>
    </row>
    <row r="11423" spans="4:16" x14ac:dyDescent="0.2">
      <c r="D11423">
        <v>100006859</v>
      </c>
      <c r="E11423" s="49">
        <v>44216</v>
      </c>
      <c r="F11423" t="s">
        <v>7592</v>
      </c>
      <c r="G11423" t="s">
        <v>1634</v>
      </c>
      <c r="H11423">
        <v>3</v>
      </c>
      <c r="I11423">
        <v>46.04</v>
      </c>
      <c r="J11423" s="50">
        <v>138.12</v>
      </c>
      <c r="K11423" t="s">
        <v>1618</v>
      </c>
      <c r="L11423" t="s">
        <v>6266</v>
      </c>
      <c r="M11423" t="s">
        <v>1629</v>
      </c>
      <c r="N11423">
        <v>24.3</v>
      </c>
      <c r="O11423" s="49">
        <v>44219</v>
      </c>
      <c r="P11423" s="50">
        <v>62.154000000000003</v>
      </c>
    </row>
    <row r="11424" spans="4:16" x14ac:dyDescent="0.2">
      <c r="D11424">
        <v>100006859</v>
      </c>
      <c r="E11424" s="49">
        <v>45208</v>
      </c>
      <c r="F11424" t="s">
        <v>7592</v>
      </c>
      <c r="G11424" t="s">
        <v>2633</v>
      </c>
      <c r="H11424">
        <v>4</v>
      </c>
      <c r="I11424">
        <v>52.52</v>
      </c>
      <c r="J11424" s="50">
        <v>210.08</v>
      </c>
      <c r="K11424" t="s">
        <v>1618</v>
      </c>
      <c r="L11424" t="s">
        <v>6266</v>
      </c>
      <c r="M11424" t="s">
        <v>1629</v>
      </c>
      <c r="N11424">
        <v>27.72</v>
      </c>
      <c r="O11424" s="49">
        <v>45213</v>
      </c>
      <c r="P11424" s="50">
        <v>94.536000000000001</v>
      </c>
    </row>
    <row r="11425" spans="4:16" x14ac:dyDescent="0.2">
      <c r="D11425">
        <v>100006859</v>
      </c>
      <c r="E11425" s="49">
        <v>44531</v>
      </c>
      <c r="F11425" t="s">
        <v>7592</v>
      </c>
      <c r="G11425" t="s">
        <v>2038</v>
      </c>
      <c r="H11425">
        <v>2</v>
      </c>
      <c r="I11425">
        <v>81.27</v>
      </c>
      <c r="J11425" s="50">
        <v>162.54</v>
      </c>
      <c r="K11425" t="s">
        <v>1618</v>
      </c>
      <c r="L11425" t="s">
        <v>6266</v>
      </c>
      <c r="M11425" t="s">
        <v>1619</v>
      </c>
      <c r="N11425">
        <v>42.89</v>
      </c>
      <c r="O11425" s="49">
        <v>44533</v>
      </c>
      <c r="P11425" s="50">
        <v>73.143000000000001</v>
      </c>
    </row>
    <row r="11426" spans="4:16" x14ac:dyDescent="0.2">
      <c r="D11426">
        <v>100006861</v>
      </c>
      <c r="E11426" s="49">
        <v>44544</v>
      </c>
      <c r="F11426" t="s">
        <v>7593</v>
      </c>
      <c r="G11426" t="s">
        <v>1720</v>
      </c>
      <c r="H11426">
        <v>3</v>
      </c>
      <c r="I11426">
        <v>51.37</v>
      </c>
      <c r="J11426" s="50">
        <v>154.11000000000001</v>
      </c>
      <c r="K11426" t="s">
        <v>1618</v>
      </c>
      <c r="M11426" t="s">
        <v>1621</v>
      </c>
      <c r="N11426">
        <v>27.11</v>
      </c>
      <c r="O11426" s="49">
        <v>44549</v>
      </c>
      <c r="P11426" s="50">
        <v>69.349500000000006</v>
      </c>
    </row>
    <row r="11427" spans="4:16" x14ac:dyDescent="0.2">
      <c r="D11427">
        <v>100006863</v>
      </c>
      <c r="E11427" s="49">
        <v>44840</v>
      </c>
      <c r="F11427" t="s">
        <v>7594</v>
      </c>
      <c r="G11427" t="s">
        <v>1705</v>
      </c>
      <c r="H11427">
        <v>1</v>
      </c>
      <c r="I11427">
        <v>77.56</v>
      </c>
      <c r="J11427" s="50">
        <v>77.56</v>
      </c>
      <c r="K11427" t="s">
        <v>1618</v>
      </c>
      <c r="M11427" t="s">
        <v>1621</v>
      </c>
      <c r="N11427">
        <v>40.93</v>
      </c>
      <c r="O11427" s="49">
        <v>44843</v>
      </c>
      <c r="P11427" s="50">
        <v>34.902000000000001</v>
      </c>
    </row>
    <row r="11428" spans="4:16" x14ac:dyDescent="0.2">
      <c r="D11428">
        <v>100006863</v>
      </c>
      <c r="E11428" s="49">
        <v>45069</v>
      </c>
      <c r="F11428" t="s">
        <v>7594</v>
      </c>
      <c r="G11428" t="s">
        <v>1720</v>
      </c>
      <c r="H11428">
        <v>9</v>
      </c>
      <c r="I11428">
        <v>118.46</v>
      </c>
      <c r="J11428" s="50">
        <v>1066.1400000000001</v>
      </c>
      <c r="K11428" t="s">
        <v>1618</v>
      </c>
      <c r="M11428" t="s">
        <v>1619</v>
      </c>
      <c r="N11428">
        <v>62.52</v>
      </c>
      <c r="O11428" s="49">
        <v>45074</v>
      </c>
      <c r="P11428" s="50">
        <v>479.76300000000003</v>
      </c>
    </row>
    <row r="11429" spans="4:16" x14ac:dyDescent="0.2">
      <c r="D11429">
        <v>100006863</v>
      </c>
      <c r="E11429" s="49">
        <v>44992</v>
      </c>
      <c r="F11429" t="s">
        <v>7594</v>
      </c>
      <c r="G11429" t="s">
        <v>1643</v>
      </c>
      <c r="H11429">
        <v>6</v>
      </c>
      <c r="I11429">
        <v>103.65</v>
      </c>
      <c r="J11429" s="50">
        <v>621.90000000000009</v>
      </c>
      <c r="K11429" t="s">
        <v>1618</v>
      </c>
      <c r="M11429" t="s">
        <v>1629</v>
      </c>
      <c r="N11429">
        <v>54.7</v>
      </c>
      <c r="O11429" s="49">
        <v>44997</v>
      </c>
      <c r="P11429" s="50">
        <v>279.85500000000008</v>
      </c>
    </row>
    <row r="11430" spans="4:16" x14ac:dyDescent="0.2">
      <c r="D11430">
        <v>100006864</v>
      </c>
      <c r="E11430" s="49">
        <v>44359</v>
      </c>
      <c r="F11430" t="s">
        <v>7595</v>
      </c>
      <c r="G11430" t="s">
        <v>2762</v>
      </c>
      <c r="H11430">
        <v>3</v>
      </c>
      <c r="I11430">
        <v>22.94</v>
      </c>
      <c r="J11430" s="50">
        <v>68.820000000000007</v>
      </c>
      <c r="K11430" t="s">
        <v>1618</v>
      </c>
      <c r="L11430" t="s">
        <v>7596</v>
      </c>
      <c r="M11430" t="s">
        <v>1619</v>
      </c>
      <c r="N11430">
        <v>12.11</v>
      </c>
      <c r="O11430" s="49">
        <v>44362</v>
      </c>
      <c r="P11430" s="50">
        <v>30.969000000000005</v>
      </c>
    </row>
    <row r="11431" spans="4:16" x14ac:dyDescent="0.2">
      <c r="D11431">
        <v>100006864</v>
      </c>
      <c r="E11431" s="49">
        <v>45619</v>
      </c>
      <c r="F11431" t="s">
        <v>7595</v>
      </c>
      <c r="G11431" t="s">
        <v>1781</v>
      </c>
      <c r="H11431">
        <v>1</v>
      </c>
      <c r="I11431">
        <v>109.03</v>
      </c>
      <c r="J11431" s="50">
        <v>109.03</v>
      </c>
      <c r="K11431" t="s">
        <v>1618</v>
      </c>
      <c r="L11431" t="s">
        <v>7596</v>
      </c>
      <c r="M11431" t="s">
        <v>1629</v>
      </c>
      <c r="N11431">
        <v>57.54</v>
      </c>
      <c r="O11431" s="49">
        <v>45624</v>
      </c>
      <c r="P11431" s="50">
        <v>49.063500000000005</v>
      </c>
    </row>
    <row r="11432" spans="4:16" x14ac:dyDescent="0.2">
      <c r="D11432">
        <v>100006865</v>
      </c>
      <c r="E11432" s="49">
        <v>45062</v>
      </c>
      <c r="F11432" t="s">
        <v>7597</v>
      </c>
      <c r="G11432" t="s">
        <v>1792</v>
      </c>
      <c r="H11432">
        <v>9</v>
      </c>
      <c r="I11432">
        <v>63.64</v>
      </c>
      <c r="J11432" s="50">
        <v>572.76</v>
      </c>
      <c r="K11432" t="s">
        <v>1632</v>
      </c>
      <c r="M11432" t="s">
        <v>1621</v>
      </c>
      <c r="N11432">
        <v>33.590000000000003</v>
      </c>
      <c r="O11432" s="49">
        <v>45063</v>
      </c>
      <c r="P11432" s="50">
        <v>257.74200000000002</v>
      </c>
    </row>
    <row r="11433" spans="4:16" x14ac:dyDescent="0.2">
      <c r="D11433">
        <v>100006866</v>
      </c>
      <c r="E11433" s="49">
        <v>45611</v>
      </c>
      <c r="F11433" t="s">
        <v>7598</v>
      </c>
      <c r="G11433" t="s">
        <v>2068</v>
      </c>
      <c r="H11433">
        <v>5</v>
      </c>
      <c r="I11433">
        <v>43.28</v>
      </c>
      <c r="J11433" s="50">
        <v>216.4</v>
      </c>
      <c r="K11433" t="s">
        <v>1618</v>
      </c>
      <c r="M11433" t="s">
        <v>1629</v>
      </c>
      <c r="N11433">
        <v>22.84</v>
      </c>
      <c r="O11433" s="49">
        <v>45614</v>
      </c>
      <c r="P11433" s="50">
        <v>97.38000000000001</v>
      </c>
    </row>
    <row r="11434" spans="4:16" x14ac:dyDescent="0.2">
      <c r="D11434">
        <v>100006868</v>
      </c>
      <c r="E11434" s="49">
        <v>44257</v>
      </c>
      <c r="F11434" t="s">
        <v>7599</v>
      </c>
      <c r="G11434" t="s">
        <v>1631</v>
      </c>
      <c r="H11434">
        <v>8</v>
      </c>
      <c r="I11434">
        <v>110.9</v>
      </c>
      <c r="J11434" s="50">
        <v>887.2</v>
      </c>
      <c r="K11434" t="s">
        <v>1632</v>
      </c>
      <c r="M11434" t="s">
        <v>1624</v>
      </c>
      <c r="N11434">
        <v>58.53</v>
      </c>
      <c r="O11434" s="49">
        <v>44262</v>
      </c>
      <c r="P11434" s="50">
        <v>399.24</v>
      </c>
    </row>
    <row r="11435" spans="4:16" x14ac:dyDescent="0.2">
      <c r="D11435">
        <v>100006869</v>
      </c>
      <c r="E11435" s="49">
        <v>44259</v>
      </c>
      <c r="F11435" t="s">
        <v>7600</v>
      </c>
      <c r="G11435" t="s">
        <v>1729</v>
      </c>
      <c r="H11435">
        <v>10</v>
      </c>
      <c r="I11435">
        <v>12.44</v>
      </c>
      <c r="J11435" s="50">
        <v>124.4</v>
      </c>
      <c r="K11435" t="s">
        <v>1632</v>
      </c>
      <c r="M11435" t="s">
        <v>1624</v>
      </c>
      <c r="N11435">
        <v>6.57</v>
      </c>
      <c r="O11435" s="49">
        <v>44263</v>
      </c>
      <c r="P11435" s="50">
        <v>55.980000000000004</v>
      </c>
    </row>
    <row r="11436" spans="4:16" x14ac:dyDescent="0.2">
      <c r="D11436">
        <v>100006871</v>
      </c>
      <c r="E11436" s="49">
        <v>45253</v>
      </c>
      <c r="F11436" t="s">
        <v>4180</v>
      </c>
      <c r="G11436" t="s">
        <v>1947</v>
      </c>
      <c r="H11436">
        <v>7</v>
      </c>
      <c r="I11436">
        <v>82.34</v>
      </c>
      <c r="J11436" s="50">
        <v>576.38</v>
      </c>
      <c r="K11436" t="s">
        <v>1618</v>
      </c>
      <c r="M11436" t="s">
        <v>1619</v>
      </c>
      <c r="N11436">
        <v>43.46</v>
      </c>
      <c r="O11436" s="49">
        <v>45255</v>
      </c>
      <c r="P11436" s="50">
        <v>259.37099999999998</v>
      </c>
    </row>
    <row r="11437" spans="4:16" x14ac:dyDescent="0.2">
      <c r="D11437">
        <v>100006871</v>
      </c>
      <c r="E11437" s="49">
        <v>45259</v>
      </c>
      <c r="F11437" t="s">
        <v>4180</v>
      </c>
      <c r="G11437" t="s">
        <v>1737</v>
      </c>
      <c r="H11437">
        <v>9</v>
      </c>
      <c r="I11437">
        <v>100.94</v>
      </c>
      <c r="J11437" s="50">
        <v>908.46</v>
      </c>
      <c r="K11437" t="s">
        <v>1618</v>
      </c>
      <c r="M11437" t="s">
        <v>1629</v>
      </c>
      <c r="N11437">
        <v>53.27</v>
      </c>
      <c r="O11437" s="49">
        <v>45261</v>
      </c>
      <c r="P11437" s="50">
        <v>408.80700000000002</v>
      </c>
    </row>
    <row r="11438" spans="4:16" x14ac:dyDescent="0.2">
      <c r="D11438">
        <v>100006871</v>
      </c>
      <c r="E11438" s="49">
        <v>44910</v>
      </c>
      <c r="F11438" t="s">
        <v>4180</v>
      </c>
      <c r="G11438" t="s">
        <v>2063</v>
      </c>
      <c r="H11438">
        <v>1</v>
      </c>
      <c r="I11438">
        <v>14.69</v>
      </c>
      <c r="J11438" s="50">
        <v>14.69</v>
      </c>
      <c r="K11438" t="s">
        <v>1618</v>
      </c>
      <c r="M11438" t="s">
        <v>1629</v>
      </c>
      <c r="N11438">
        <v>7.75</v>
      </c>
      <c r="O11438" s="49">
        <v>44914</v>
      </c>
      <c r="P11438" s="50">
        <v>6.6105</v>
      </c>
    </row>
    <row r="11439" spans="4:16" x14ac:dyDescent="0.2">
      <c r="D11439">
        <v>100006871</v>
      </c>
      <c r="E11439" s="49">
        <v>45443</v>
      </c>
      <c r="F11439" t="s">
        <v>4180</v>
      </c>
      <c r="G11439" t="s">
        <v>2136</v>
      </c>
      <c r="H11439">
        <v>1</v>
      </c>
      <c r="I11439">
        <v>85.08</v>
      </c>
      <c r="J11439" s="50">
        <v>85.08</v>
      </c>
      <c r="K11439" t="s">
        <v>1618</v>
      </c>
      <c r="M11439" t="s">
        <v>1624</v>
      </c>
      <c r="N11439">
        <v>44.9</v>
      </c>
      <c r="O11439" s="49">
        <v>45445</v>
      </c>
      <c r="P11439" s="50">
        <v>38.286000000000001</v>
      </c>
    </row>
    <row r="11440" spans="4:16" x14ac:dyDescent="0.2">
      <c r="D11440">
        <v>100006871</v>
      </c>
      <c r="E11440" s="49">
        <v>44449</v>
      </c>
      <c r="F11440" t="s">
        <v>4180</v>
      </c>
      <c r="G11440" t="s">
        <v>2628</v>
      </c>
      <c r="H11440">
        <v>7</v>
      </c>
      <c r="I11440">
        <v>14.26</v>
      </c>
      <c r="J11440" s="50">
        <v>99.82</v>
      </c>
      <c r="K11440" t="s">
        <v>1618</v>
      </c>
      <c r="M11440" t="s">
        <v>1624</v>
      </c>
      <c r="N11440">
        <v>7.53</v>
      </c>
      <c r="O11440" s="49">
        <v>44454</v>
      </c>
      <c r="P11440" s="50">
        <v>44.918999999999997</v>
      </c>
    </row>
    <row r="11441" spans="4:16" x14ac:dyDescent="0.2">
      <c r="D11441">
        <v>100006872</v>
      </c>
      <c r="E11441" s="49">
        <v>44245</v>
      </c>
      <c r="F11441" t="s">
        <v>4360</v>
      </c>
      <c r="G11441" t="s">
        <v>1976</v>
      </c>
      <c r="H11441">
        <v>5</v>
      </c>
      <c r="I11441">
        <v>75.94</v>
      </c>
      <c r="J11441" s="50">
        <v>379.7</v>
      </c>
      <c r="K11441" t="s">
        <v>1632</v>
      </c>
      <c r="M11441" t="s">
        <v>1624</v>
      </c>
      <c r="N11441">
        <v>40.08</v>
      </c>
      <c r="O11441" s="49">
        <v>44247</v>
      </c>
      <c r="P11441" s="50">
        <v>170.86500000000001</v>
      </c>
    </row>
    <row r="11442" spans="4:16" x14ac:dyDescent="0.2">
      <c r="D11442">
        <v>100006875</v>
      </c>
      <c r="E11442" s="49">
        <v>45122</v>
      </c>
      <c r="F11442" t="s">
        <v>3405</v>
      </c>
      <c r="G11442" t="s">
        <v>2168</v>
      </c>
      <c r="H11442">
        <v>10</v>
      </c>
      <c r="I11442">
        <v>58.87</v>
      </c>
      <c r="J11442" s="50">
        <v>588.69999999999993</v>
      </c>
      <c r="K11442" t="s">
        <v>1632</v>
      </c>
      <c r="L11442" t="s">
        <v>2532</v>
      </c>
      <c r="M11442" t="s">
        <v>1624</v>
      </c>
      <c r="N11442">
        <v>31.07</v>
      </c>
      <c r="O11442" s="49">
        <v>45123</v>
      </c>
      <c r="P11442" s="50">
        <v>264.91499999999996</v>
      </c>
    </row>
    <row r="11443" spans="4:16" x14ac:dyDescent="0.2">
      <c r="D11443">
        <v>100006876</v>
      </c>
      <c r="E11443" s="49">
        <v>45407</v>
      </c>
      <c r="F11443" t="s">
        <v>7601</v>
      </c>
      <c r="G11443" t="s">
        <v>2346</v>
      </c>
      <c r="H11443">
        <v>3</v>
      </c>
      <c r="I11443">
        <v>73.150000000000006</v>
      </c>
      <c r="J11443" s="50">
        <v>219.45</v>
      </c>
      <c r="K11443" t="s">
        <v>1632</v>
      </c>
      <c r="M11443" t="s">
        <v>1621</v>
      </c>
      <c r="N11443">
        <v>38.61</v>
      </c>
      <c r="O11443" s="49">
        <v>45410</v>
      </c>
      <c r="P11443" s="50">
        <v>98.752499999999998</v>
      </c>
    </row>
    <row r="11444" spans="4:16" x14ac:dyDescent="0.2">
      <c r="D11444">
        <v>100006876</v>
      </c>
      <c r="E11444" s="49">
        <v>44202</v>
      </c>
      <c r="F11444" t="s">
        <v>7601</v>
      </c>
      <c r="G11444" t="s">
        <v>2039</v>
      </c>
      <c r="H11444">
        <v>2</v>
      </c>
      <c r="I11444">
        <v>117.3</v>
      </c>
      <c r="J11444" s="50">
        <v>234.6</v>
      </c>
      <c r="K11444" t="s">
        <v>1632</v>
      </c>
      <c r="M11444" t="s">
        <v>1619</v>
      </c>
      <c r="N11444">
        <v>61.91</v>
      </c>
      <c r="O11444" s="49">
        <v>44207</v>
      </c>
      <c r="P11444" s="50">
        <v>105.57</v>
      </c>
    </row>
    <row r="11445" spans="4:16" x14ac:dyDescent="0.2">
      <c r="D11445">
        <v>100006877</v>
      </c>
      <c r="E11445" s="49">
        <v>44612</v>
      </c>
      <c r="F11445" t="s">
        <v>7602</v>
      </c>
      <c r="G11445" t="s">
        <v>1688</v>
      </c>
      <c r="H11445">
        <v>1</v>
      </c>
      <c r="I11445">
        <v>93.29</v>
      </c>
      <c r="J11445" s="50">
        <v>93.29</v>
      </c>
      <c r="K11445" t="s">
        <v>1618</v>
      </c>
      <c r="L11445" t="s">
        <v>5841</v>
      </c>
      <c r="M11445" t="s">
        <v>1627</v>
      </c>
      <c r="N11445">
        <v>49.24</v>
      </c>
      <c r="O11445" s="49">
        <v>44614</v>
      </c>
      <c r="P11445" s="50">
        <v>41.980500000000006</v>
      </c>
    </row>
    <row r="11446" spans="4:16" x14ac:dyDescent="0.2">
      <c r="D11446">
        <v>100006877</v>
      </c>
      <c r="E11446" s="49">
        <v>44905</v>
      </c>
      <c r="F11446" t="s">
        <v>7602</v>
      </c>
      <c r="G11446" t="s">
        <v>2039</v>
      </c>
      <c r="H11446">
        <v>4</v>
      </c>
      <c r="I11446">
        <v>34.75</v>
      </c>
      <c r="J11446" s="50">
        <v>139</v>
      </c>
      <c r="K11446" t="s">
        <v>1618</v>
      </c>
      <c r="L11446" t="s">
        <v>5841</v>
      </c>
      <c r="M11446" t="s">
        <v>1619</v>
      </c>
      <c r="N11446">
        <v>18.34</v>
      </c>
      <c r="O11446" s="49">
        <v>44910</v>
      </c>
      <c r="P11446" s="50">
        <v>62.550000000000004</v>
      </c>
    </row>
    <row r="11447" spans="4:16" x14ac:dyDescent="0.2">
      <c r="D11447">
        <v>100006878</v>
      </c>
      <c r="E11447" s="49">
        <v>45179</v>
      </c>
      <c r="F11447" t="s">
        <v>7603</v>
      </c>
      <c r="G11447" t="s">
        <v>1893</v>
      </c>
      <c r="H11447">
        <v>7</v>
      </c>
      <c r="I11447">
        <v>12.19</v>
      </c>
      <c r="J11447" s="50">
        <v>85.33</v>
      </c>
      <c r="K11447" t="s">
        <v>1618</v>
      </c>
      <c r="M11447" t="s">
        <v>1629</v>
      </c>
      <c r="N11447">
        <v>6.43</v>
      </c>
      <c r="O11447" s="49">
        <v>45184</v>
      </c>
      <c r="P11447" s="50">
        <v>38.398499999999999</v>
      </c>
    </row>
    <row r="11448" spans="4:16" x14ac:dyDescent="0.2">
      <c r="D11448">
        <v>100006879</v>
      </c>
      <c r="E11448" s="49">
        <v>44998</v>
      </c>
      <c r="F11448" t="s">
        <v>7604</v>
      </c>
      <c r="G11448" t="s">
        <v>1775</v>
      </c>
      <c r="H11448">
        <v>2</v>
      </c>
      <c r="I11448">
        <v>89.05</v>
      </c>
      <c r="J11448" s="50">
        <v>178.1</v>
      </c>
      <c r="K11448" t="s">
        <v>1632</v>
      </c>
      <c r="M11448" t="s">
        <v>1629</v>
      </c>
      <c r="N11448">
        <v>47</v>
      </c>
      <c r="O11448" s="49">
        <v>45002</v>
      </c>
      <c r="P11448" s="50">
        <v>80.144999999999996</v>
      </c>
    </row>
    <row r="11449" spans="4:16" x14ac:dyDescent="0.2">
      <c r="D11449">
        <v>100006879</v>
      </c>
      <c r="E11449" s="49">
        <v>44886</v>
      </c>
      <c r="F11449" t="s">
        <v>7604</v>
      </c>
      <c r="G11449" t="s">
        <v>1777</v>
      </c>
      <c r="H11449">
        <v>8</v>
      </c>
      <c r="I11449">
        <v>77.33</v>
      </c>
      <c r="J11449" s="50">
        <v>618.64</v>
      </c>
      <c r="K11449" t="s">
        <v>1632</v>
      </c>
      <c r="M11449" t="s">
        <v>1621</v>
      </c>
      <c r="N11449">
        <v>40.81</v>
      </c>
      <c r="O11449" s="49">
        <v>44891</v>
      </c>
      <c r="P11449" s="50">
        <v>278.38799999999998</v>
      </c>
    </row>
    <row r="11450" spans="4:16" x14ac:dyDescent="0.2">
      <c r="D11450">
        <v>100006881</v>
      </c>
      <c r="E11450" s="49">
        <v>45079</v>
      </c>
      <c r="F11450" t="s">
        <v>7605</v>
      </c>
      <c r="G11450" t="s">
        <v>1846</v>
      </c>
      <c r="H11450">
        <v>6</v>
      </c>
      <c r="I11450">
        <v>46.49</v>
      </c>
      <c r="J11450" s="50">
        <v>278.94</v>
      </c>
      <c r="K11450" t="s">
        <v>1632</v>
      </c>
      <c r="L11450" t="s">
        <v>4641</v>
      </c>
      <c r="M11450" t="s">
        <v>1629</v>
      </c>
      <c r="N11450">
        <v>24.54</v>
      </c>
      <c r="O11450" s="49">
        <v>45082</v>
      </c>
      <c r="P11450" s="50">
        <v>125.523</v>
      </c>
    </row>
    <row r="11451" spans="4:16" x14ac:dyDescent="0.2">
      <c r="D11451">
        <v>100006881</v>
      </c>
      <c r="E11451" s="49">
        <v>44627</v>
      </c>
      <c r="F11451" t="s">
        <v>7605</v>
      </c>
      <c r="G11451" t="s">
        <v>1844</v>
      </c>
      <c r="H11451">
        <v>10</v>
      </c>
      <c r="I11451">
        <v>65.36</v>
      </c>
      <c r="J11451" s="50">
        <v>653.6</v>
      </c>
      <c r="K11451" t="s">
        <v>1632</v>
      </c>
      <c r="L11451" t="s">
        <v>4641</v>
      </c>
      <c r="M11451" t="s">
        <v>1627</v>
      </c>
      <c r="N11451">
        <v>34.5</v>
      </c>
      <c r="O11451" s="49">
        <v>44630</v>
      </c>
      <c r="P11451" s="50">
        <v>294.12</v>
      </c>
    </row>
    <row r="11452" spans="4:16" x14ac:dyDescent="0.2">
      <c r="D11452">
        <v>100006881</v>
      </c>
      <c r="E11452" s="49">
        <v>45174</v>
      </c>
      <c r="F11452" t="s">
        <v>7605</v>
      </c>
      <c r="G11452" t="s">
        <v>2016</v>
      </c>
      <c r="H11452">
        <v>4</v>
      </c>
      <c r="I11452">
        <v>47.86</v>
      </c>
      <c r="J11452" s="50">
        <v>191.44</v>
      </c>
      <c r="K11452" t="s">
        <v>1632</v>
      </c>
      <c r="L11452" t="s">
        <v>4641</v>
      </c>
      <c r="M11452" t="s">
        <v>1624</v>
      </c>
      <c r="N11452">
        <v>25.26</v>
      </c>
      <c r="O11452" s="49">
        <v>45178</v>
      </c>
      <c r="P11452" s="50">
        <v>86.147999999999996</v>
      </c>
    </row>
    <row r="11453" spans="4:16" x14ac:dyDescent="0.2">
      <c r="D11453">
        <v>100006881</v>
      </c>
      <c r="E11453" s="49">
        <v>45523</v>
      </c>
      <c r="F11453" t="s">
        <v>7605</v>
      </c>
      <c r="G11453" t="s">
        <v>2079</v>
      </c>
      <c r="H11453">
        <v>3</v>
      </c>
      <c r="I11453">
        <v>54.56</v>
      </c>
      <c r="J11453" s="50">
        <v>163.68</v>
      </c>
      <c r="K11453" t="s">
        <v>1632</v>
      </c>
      <c r="L11453" t="s">
        <v>4641</v>
      </c>
      <c r="M11453" t="s">
        <v>1624</v>
      </c>
      <c r="N11453">
        <v>28.8</v>
      </c>
      <c r="O11453" s="49">
        <v>45525</v>
      </c>
      <c r="P11453" s="50">
        <v>73.656000000000006</v>
      </c>
    </row>
    <row r="11454" spans="4:16" x14ac:dyDescent="0.2">
      <c r="D11454">
        <v>100006883</v>
      </c>
      <c r="E11454" s="49">
        <v>44402</v>
      </c>
      <c r="F11454" t="s">
        <v>7606</v>
      </c>
      <c r="G11454" t="s">
        <v>1760</v>
      </c>
      <c r="H11454">
        <v>5</v>
      </c>
      <c r="I11454">
        <v>27.09</v>
      </c>
      <c r="J11454" s="50">
        <v>135.44999999999999</v>
      </c>
      <c r="K11454" t="s">
        <v>1632</v>
      </c>
      <c r="L11454" t="s">
        <v>4567</v>
      </c>
      <c r="M11454" t="s">
        <v>1621</v>
      </c>
      <c r="N11454">
        <v>14.3</v>
      </c>
      <c r="O11454" s="49">
        <v>44407</v>
      </c>
      <c r="P11454" s="50">
        <v>60.952499999999993</v>
      </c>
    </row>
    <row r="11455" spans="4:16" x14ac:dyDescent="0.2">
      <c r="D11455">
        <v>100006884</v>
      </c>
      <c r="E11455" s="49">
        <v>44341</v>
      </c>
      <c r="F11455" t="s">
        <v>7607</v>
      </c>
      <c r="G11455" t="s">
        <v>1900</v>
      </c>
      <c r="H11455">
        <v>5</v>
      </c>
      <c r="I11455">
        <v>111.53</v>
      </c>
      <c r="J11455" s="50">
        <v>557.65</v>
      </c>
      <c r="K11455" t="s">
        <v>1632</v>
      </c>
      <c r="M11455" t="s">
        <v>1629</v>
      </c>
      <c r="N11455">
        <v>58.86</v>
      </c>
      <c r="O11455" s="49">
        <v>44342</v>
      </c>
      <c r="P11455" s="50">
        <v>250.9425</v>
      </c>
    </row>
    <row r="11456" spans="4:16" x14ac:dyDescent="0.2">
      <c r="D11456">
        <v>100006885</v>
      </c>
      <c r="E11456" s="49">
        <v>44988</v>
      </c>
      <c r="F11456" t="s">
        <v>7608</v>
      </c>
      <c r="G11456" t="s">
        <v>1674</v>
      </c>
      <c r="H11456">
        <v>6</v>
      </c>
      <c r="I11456">
        <v>32.74</v>
      </c>
      <c r="J11456" s="50">
        <v>196.44</v>
      </c>
      <c r="K11456" t="s">
        <v>1618</v>
      </c>
      <c r="M11456" t="s">
        <v>1627</v>
      </c>
      <c r="N11456">
        <v>17.28</v>
      </c>
      <c r="O11456" s="49">
        <v>44992</v>
      </c>
      <c r="P11456" s="50">
        <v>88.397999999999996</v>
      </c>
    </row>
    <row r="11457" spans="4:16" x14ac:dyDescent="0.2">
      <c r="D11457">
        <v>100006885</v>
      </c>
      <c r="E11457" s="49">
        <v>45377</v>
      </c>
      <c r="F11457" t="s">
        <v>7608</v>
      </c>
      <c r="G11457" t="s">
        <v>2305</v>
      </c>
      <c r="H11457">
        <v>9</v>
      </c>
      <c r="I11457">
        <v>24.12</v>
      </c>
      <c r="J11457" s="50">
        <v>217.08</v>
      </c>
      <c r="K11457" t="s">
        <v>1618</v>
      </c>
      <c r="M11457" t="s">
        <v>1619</v>
      </c>
      <c r="N11457">
        <v>12.73</v>
      </c>
      <c r="O11457" s="49">
        <v>45381</v>
      </c>
      <c r="P11457" s="50">
        <v>97.686000000000007</v>
      </c>
    </row>
    <row r="11458" spans="4:16" x14ac:dyDescent="0.2">
      <c r="D11458">
        <v>100006885</v>
      </c>
      <c r="E11458" s="49">
        <v>44723</v>
      </c>
      <c r="F11458" t="s">
        <v>7608</v>
      </c>
      <c r="G11458" t="s">
        <v>1825</v>
      </c>
      <c r="H11458">
        <v>5</v>
      </c>
      <c r="I11458">
        <v>31.71</v>
      </c>
      <c r="J11458" s="50">
        <v>158.55000000000001</v>
      </c>
      <c r="K11458" t="s">
        <v>1618</v>
      </c>
      <c r="M11458" t="s">
        <v>1629</v>
      </c>
      <c r="N11458">
        <v>16.739999999999998</v>
      </c>
      <c r="O11458" s="49">
        <v>44728</v>
      </c>
      <c r="P11458" s="50">
        <v>71.347500000000011</v>
      </c>
    </row>
    <row r="11459" spans="4:16" x14ac:dyDescent="0.2">
      <c r="D11459">
        <v>100006885</v>
      </c>
      <c r="E11459" s="49">
        <v>44967</v>
      </c>
      <c r="F11459" t="s">
        <v>7608</v>
      </c>
      <c r="G11459" t="s">
        <v>1775</v>
      </c>
      <c r="H11459">
        <v>5</v>
      </c>
      <c r="I11459">
        <v>62.12</v>
      </c>
      <c r="J11459" s="50">
        <v>310.60000000000002</v>
      </c>
      <c r="K11459" t="s">
        <v>1618</v>
      </c>
      <c r="M11459" t="s">
        <v>1619</v>
      </c>
      <c r="N11459">
        <v>32.79</v>
      </c>
      <c r="O11459" s="49">
        <v>44968</v>
      </c>
      <c r="P11459" s="50">
        <v>139.77000000000001</v>
      </c>
    </row>
    <row r="11460" spans="4:16" x14ac:dyDescent="0.2">
      <c r="D11460">
        <v>100006885</v>
      </c>
      <c r="E11460" s="49">
        <v>44619</v>
      </c>
      <c r="F11460" t="s">
        <v>7608</v>
      </c>
      <c r="G11460" t="s">
        <v>1851</v>
      </c>
      <c r="H11460">
        <v>1</v>
      </c>
      <c r="I11460">
        <v>46.08</v>
      </c>
      <c r="J11460" s="50">
        <v>46.08</v>
      </c>
      <c r="K11460" t="s">
        <v>1618</v>
      </c>
      <c r="M11460" t="s">
        <v>1629</v>
      </c>
      <c r="N11460">
        <v>24.32</v>
      </c>
      <c r="O11460" s="49">
        <v>44623</v>
      </c>
      <c r="P11460" s="50">
        <v>20.736000000000001</v>
      </c>
    </row>
    <row r="11461" spans="4:16" x14ac:dyDescent="0.2">
      <c r="D11461">
        <v>100006886</v>
      </c>
      <c r="E11461" s="49">
        <v>44717</v>
      </c>
      <c r="F11461" t="s">
        <v>7609</v>
      </c>
      <c r="G11461" t="s">
        <v>2217</v>
      </c>
      <c r="H11461">
        <v>4</v>
      </c>
      <c r="I11461">
        <v>31.91</v>
      </c>
      <c r="J11461" s="50">
        <v>127.64</v>
      </c>
      <c r="K11461" t="s">
        <v>1618</v>
      </c>
      <c r="L11461" t="s">
        <v>5771</v>
      </c>
      <c r="M11461" t="s">
        <v>1619</v>
      </c>
      <c r="N11461">
        <v>16.84</v>
      </c>
      <c r="O11461" s="49">
        <v>44718</v>
      </c>
      <c r="P11461" s="50">
        <v>57.438000000000002</v>
      </c>
    </row>
    <row r="11462" spans="4:16" x14ac:dyDescent="0.2">
      <c r="D11462">
        <v>100006887</v>
      </c>
      <c r="E11462" s="49">
        <v>44830</v>
      </c>
      <c r="F11462" t="s">
        <v>7610</v>
      </c>
      <c r="G11462" t="s">
        <v>1880</v>
      </c>
      <c r="H11462">
        <v>6</v>
      </c>
      <c r="I11462">
        <v>72.14</v>
      </c>
      <c r="J11462" s="50">
        <v>432.84</v>
      </c>
      <c r="K11462" t="s">
        <v>1618</v>
      </c>
      <c r="M11462" t="s">
        <v>1627</v>
      </c>
      <c r="N11462">
        <v>38.07</v>
      </c>
      <c r="O11462" s="49">
        <v>44832</v>
      </c>
      <c r="P11462" s="50">
        <v>194.77799999999999</v>
      </c>
    </row>
    <row r="11463" spans="4:16" x14ac:dyDescent="0.2">
      <c r="D11463">
        <v>100006888</v>
      </c>
      <c r="E11463" s="49">
        <v>44886</v>
      </c>
      <c r="F11463" t="s">
        <v>7611</v>
      </c>
      <c r="G11463" t="s">
        <v>1728</v>
      </c>
      <c r="H11463">
        <v>6</v>
      </c>
      <c r="I11463">
        <v>67.819999999999993</v>
      </c>
      <c r="J11463" s="50">
        <v>406.92</v>
      </c>
      <c r="K11463" t="s">
        <v>1618</v>
      </c>
      <c r="M11463" t="s">
        <v>1627</v>
      </c>
      <c r="N11463">
        <v>35.79</v>
      </c>
      <c r="O11463" s="49">
        <v>44890</v>
      </c>
      <c r="P11463" s="50">
        <v>183.114</v>
      </c>
    </row>
    <row r="11464" spans="4:16" x14ac:dyDescent="0.2">
      <c r="D11464">
        <v>100006889</v>
      </c>
      <c r="E11464" s="49">
        <v>45288</v>
      </c>
      <c r="F11464" t="s">
        <v>7612</v>
      </c>
      <c r="G11464" t="s">
        <v>2074</v>
      </c>
      <c r="H11464">
        <v>7</v>
      </c>
      <c r="I11464">
        <v>118.41</v>
      </c>
      <c r="J11464" s="50">
        <v>828.87</v>
      </c>
      <c r="K11464" t="s">
        <v>1618</v>
      </c>
      <c r="M11464" t="s">
        <v>1619</v>
      </c>
      <c r="N11464">
        <v>62.49</v>
      </c>
      <c r="O11464" s="49">
        <v>45290</v>
      </c>
      <c r="P11464" s="50">
        <v>372.99150000000003</v>
      </c>
    </row>
    <row r="11465" spans="4:16" x14ac:dyDescent="0.2">
      <c r="D11465">
        <v>100006890</v>
      </c>
      <c r="E11465" s="49">
        <v>44342</v>
      </c>
      <c r="F11465" t="s">
        <v>5535</v>
      </c>
      <c r="G11465" t="s">
        <v>1644</v>
      </c>
      <c r="H11465">
        <v>10</v>
      </c>
      <c r="I11465">
        <v>80.97</v>
      </c>
      <c r="J11465" s="50">
        <v>809.7</v>
      </c>
      <c r="K11465" t="s">
        <v>1618</v>
      </c>
      <c r="M11465" t="s">
        <v>1621</v>
      </c>
      <c r="N11465">
        <v>42.73</v>
      </c>
      <c r="O11465" s="49">
        <v>44344</v>
      </c>
      <c r="P11465" s="50">
        <v>364.36500000000001</v>
      </c>
    </row>
    <row r="11466" spans="4:16" x14ac:dyDescent="0.2">
      <c r="D11466">
        <v>100006890</v>
      </c>
      <c r="E11466" s="49">
        <v>45432</v>
      </c>
      <c r="F11466" t="s">
        <v>5535</v>
      </c>
      <c r="G11466" t="s">
        <v>1971</v>
      </c>
      <c r="H11466">
        <v>3</v>
      </c>
      <c r="I11466">
        <v>15.19</v>
      </c>
      <c r="J11466" s="50">
        <v>45.57</v>
      </c>
      <c r="K11466" t="s">
        <v>1618</v>
      </c>
      <c r="M11466" t="s">
        <v>1621</v>
      </c>
      <c r="N11466">
        <v>8.02</v>
      </c>
      <c r="O11466" s="49">
        <v>45437</v>
      </c>
      <c r="P11466" s="50">
        <v>20.506499999999999</v>
      </c>
    </row>
    <row r="11467" spans="4:16" x14ac:dyDescent="0.2">
      <c r="D11467">
        <v>100006890</v>
      </c>
      <c r="E11467" s="49">
        <v>44401</v>
      </c>
      <c r="F11467" t="s">
        <v>5535</v>
      </c>
      <c r="G11467" t="s">
        <v>1686</v>
      </c>
      <c r="H11467">
        <v>4</v>
      </c>
      <c r="I11467">
        <v>87.06</v>
      </c>
      <c r="J11467" s="50">
        <v>348.24</v>
      </c>
      <c r="K11467" t="s">
        <v>1618</v>
      </c>
      <c r="M11467" t="s">
        <v>1629</v>
      </c>
      <c r="N11467">
        <v>45.95</v>
      </c>
      <c r="O11467" s="49">
        <v>44406</v>
      </c>
      <c r="P11467" s="50">
        <v>156.708</v>
      </c>
    </row>
    <row r="11468" spans="4:16" x14ac:dyDescent="0.2">
      <c r="D11468">
        <v>100006890</v>
      </c>
      <c r="E11468" s="49">
        <v>44350</v>
      </c>
      <c r="F11468" t="s">
        <v>5535</v>
      </c>
      <c r="G11468" t="s">
        <v>1688</v>
      </c>
      <c r="H11468">
        <v>2</v>
      </c>
      <c r="I11468">
        <v>113.49</v>
      </c>
      <c r="J11468" s="50">
        <v>226.98</v>
      </c>
      <c r="K11468" t="s">
        <v>1618</v>
      </c>
      <c r="M11468" t="s">
        <v>1619</v>
      </c>
      <c r="N11468">
        <v>59.9</v>
      </c>
      <c r="O11468" s="49">
        <v>44353</v>
      </c>
      <c r="P11468" s="50">
        <v>102.14099999999999</v>
      </c>
    </row>
    <row r="11469" spans="4:16" x14ac:dyDescent="0.2">
      <c r="D11469">
        <v>100006892</v>
      </c>
      <c r="E11469" s="49">
        <v>45090</v>
      </c>
      <c r="F11469" t="s">
        <v>7613</v>
      </c>
      <c r="G11469" t="s">
        <v>1987</v>
      </c>
      <c r="H11469">
        <v>3</v>
      </c>
      <c r="I11469">
        <v>110.65</v>
      </c>
      <c r="J11469" s="50">
        <v>331.95</v>
      </c>
      <c r="K11469" t="s">
        <v>1632</v>
      </c>
      <c r="M11469" t="s">
        <v>1624</v>
      </c>
      <c r="N11469">
        <v>58.4</v>
      </c>
      <c r="O11469" s="49">
        <v>45093</v>
      </c>
      <c r="P11469" s="50">
        <v>149.3775</v>
      </c>
    </row>
    <row r="11470" spans="4:16" x14ac:dyDescent="0.2">
      <c r="D11470">
        <v>100006892</v>
      </c>
      <c r="E11470" s="49">
        <v>45197</v>
      </c>
      <c r="F11470" t="s">
        <v>7613</v>
      </c>
      <c r="G11470" t="s">
        <v>2420</v>
      </c>
      <c r="H11470">
        <v>6</v>
      </c>
      <c r="I11470">
        <v>11.21</v>
      </c>
      <c r="J11470" s="50">
        <v>67.260000000000005</v>
      </c>
      <c r="K11470" t="s">
        <v>1632</v>
      </c>
      <c r="M11470" t="s">
        <v>1627</v>
      </c>
      <c r="N11470">
        <v>5.92</v>
      </c>
      <c r="O11470" s="49">
        <v>45198</v>
      </c>
      <c r="P11470" s="50">
        <v>30.267000000000003</v>
      </c>
    </row>
    <row r="11471" spans="4:16" x14ac:dyDescent="0.2">
      <c r="D11471">
        <v>100006893</v>
      </c>
      <c r="E11471" s="49">
        <v>44385</v>
      </c>
      <c r="F11471" t="s">
        <v>7614</v>
      </c>
      <c r="G11471" t="s">
        <v>1669</v>
      </c>
      <c r="H11471">
        <v>1</v>
      </c>
      <c r="I11471">
        <v>58.36</v>
      </c>
      <c r="J11471" s="50">
        <v>58.36</v>
      </c>
      <c r="K11471" t="s">
        <v>1618</v>
      </c>
      <c r="L11471" t="s">
        <v>7615</v>
      </c>
      <c r="M11471" t="s">
        <v>1629</v>
      </c>
      <c r="N11471">
        <v>30.8</v>
      </c>
      <c r="O11471" s="49">
        <v>44388</v>
      </c>
      <c r="P11471" s="50">
        <v>26.262</v>
      </c>
    </row>
    <row r="11472" spans="4:16" x14ac:dyDescent="0.2">
      <c r="D11472">
        <v>100006893</v>
      </c>
      <c r="E11472" s="49">
        <v>44394</v>
      </c>
      <c r="F11472" t="s">
        <v>7614</v>
      </c>
      <c r="G11472" t="s">
        <v>1762</v>
      </c>
      <c r="H11472">
        <v>7</v>
      </c>
      <c r="I11472">
        <v>81.489999999999995</v>
      </c>
      <c r="J11472" s="50">
        <v>570.42999999999995</v>
      </c>
      <c r="K11472" t="s">
        <v>1618</v>
      </c>
      <c r="L11472" t="s">
        <v>7615</v>
      </c>
      <c r="M11472" t="s">
        <v>1621</v>
      </c>
      <c r="N11472">
        <v>43.01</v>
      </c>
      <c r="O11472" s="49">
        <v>44397</v>
      </c>
      <c r="P11472" s="50">
        <v>256.69349999999997</v>
      </c>
    </row>
    <row r="11473" spans="4:16" x14ac:dyDescent="0.2">
      <c r="D11473">
        <v>100006893</v>
      </c>
      <c r="E11473" s="49">
        <v>44811</v>
      </c>
      <c r="F11473" t="s">
        <v>7614</v>
      </c>
      <c r="G11473" t="s">
        <v>2571</v>
      </c>
      <c r="H11473">
        <v>1</v>
      </c>
      <c r="I11473">
        <v>33.43</v>
      </c>
      <c r="J11473" s="50">
        <v>33.43</v>
      </c>
      <c r="K11473" t="s">
        <v>1618</v>
      </c>
      <c r="L11473" t="s">
        <v>7615</v>
      </c>
      <c r="M11473" t="s">
        <v>1621</v>
      </c>
      <c r="N11473">
        <v>17.64</v>
      </c>
      <c r="O11473" s="49">
        <v>44813</v>
      </c>
      <c r="P11473" s="50">
        <v>15.0435</v>
      </c>
    </row>
    <row r="11474" spans="4:16" x14ac:dyDescent="0.2">
      <c r="D11474">
        <v>100006893</v>
      </c>
      <c r="E11474" s="49">
        <v>45332</v>
      </c>
      <c r="F11474" t="s">
        <v>7614</v>
      </c>
      <c r="G11474" t="s">
        <v>2460</v>
      </c>
      <c r="H11474">
        <v>9</v>
      </c>
      <c r="I11474">
        <v>81.52</v>
      </c>
      <c r="J11474" s="50">
        <v>733.68</v>
      </c>
      <c r="K11474" t="s">
        <v>1618</v>
      </c>
      <c r="L11474" t="s">
        <v>7615</v>
      </c>
      <c r="M11474" t="s">
        <v>1621</v>
      </c>
      <c r="N11474">
        <v>43.02</v>
      </c>
      <c r="O11474" s="49">
        <v>45333</v>
      </c>
      <c r="P11474" s="50">
        <v>330.15600000000001</v>
      </c>
    </row>
    <row r="11475" spans="4:16" x14ac:dyDescent="0.2">
      <c r="D11475">
        <v>100006894</v>
      </c>
      <c r="E11475" s="49">
        <v>45543</v>
      </c>
      <c r="F11475" t="s">
        <v>7616</v>
      </c>
      <c r="G11475" t="s">
        <v>2076</v>
      </c>
      <c r="H11475">
        <v>10</v>
      </c>
      <c r="I11475">
        <v>27.8</v>
      </c>
      <c r="J11475" s="50">
        <v>278</v>
      </c>
      <c r="K11475" t="s">
        <v>1632</v>
      </c>
      <c r="M11475" t="s">
        <v>1621</v>
      </c>
      <c r="N11475">
        <v>14.67</v>
      </c>
      <c r="O11475" s="49">
        <v>45547</v>
      </c>
      <c r="P11475" s="50">
        <v>125.10000000000001</v>
      </c>
    </row>
    <row r="11476" spans="4:16" x14ac:dyDescent="0.2">
      <c r="D11476">
        <v>100006895</v>
      </c>
      <c r="E11476" s="49">
        <v>44978</v>
      </c>
      <c r="F11476" t="s">
        <v>7617</v>
      </c>
      <c r="G11476" t="s">
        <v>1805</v>
      </c>
      <c r="H11476">
        <v>5</v>
      </c>
      <c r="I11476">
        <v>34.479999999999997</v>
      </c>
      <c r="J11476" s="50">
        <v>172.4</v>
      </c>
      <c r="K11476" t="s">
        <v>1618</v>
      </c>
      <c r="L11476" t="s">
        <v>2272</v>
      </c>
      <c r="M11476" t="s">
        <v>1619</v>
      </c>
      <c r="N11476">
        <v>18.2</v>
      </c>
      <c r="O11476" s="49">
        <v>44982</v>
      </c>
      <c r="P11476" s="50">
        <v>77.58</v>
      </c>
    </row>
    <row r="11477" spans="4:16" x14ac:dyDescent="0.2">
      <c r="D11477">
        <v>100006895</v>
      </c>
      <c r="E11477" s="49">
        <v>44472</v>
      </c>
      <c r="F11477" t="s">
        <v>7617</v>
      </c>
      <c r="G11477" t="s">
        <v>2574</v>
      </c>
      <c r="H11477">
        <v>10</v>
      </c>
      <c r="I11477">
        <v>82.61</v>
      </c>
      <c r="J11477" s="50">
        <v>826.1</v>
      </c>
      <c r="K11477" t="s">
        <v>1618</v>
      </c>
      <c r="L11477" t="s">
        <v>2272</v>
      </c>
      <c r="M11477" t="s">
        <v>1621</v>
      </c>
      <c r="N11477">
        <v>43.6</v>
      </c>
      <c r="O11477" s="49">
        <v>44477</v>
      </c>
      <c r="P11477" s="50">
        <v>371.745</v>
      </c>
    </row>
    <row r="11478" spans="4:16" x14ac:dyDescent="0.2">
      <c r="D11478">
        <v>100006895</v>
      </c>
      <c r="E11478" s="49">
        <v>44990</v>
      </c>
      <c r="F11478" t="s">
        <v>7617</v>
      </c>
      <c r="G11478" t="s">
        <v>2278</v>
      </c>
      <c r="H11478">
        <v>10</v>
      </c>
      <c r="I11478">
        <v>103.06</v>
      </c>
      <c r="J11478" s="50">
        <v>1030.5999999999999</v>
      </c>
      <c r="K11478" t="s">
        <v>1618</v>
      </c>
      <c r="L11478" t="s">
        <v>2272</v>
      </c>
      <c r="M11478" t="s">
        <v>1629</v>
      </c>
      <c r="N11478">
        <v>54.39</v>
      </c>
      <c r="O11478" s="49">
        <v>44992</v>
      </c>
      <c r="P11478" s="50">
        <v>463.77</v>
      </c>
    </row>
    <row r="11479" spans="4:16" x14ac:dyDescent="0.2">
      <c r="D11479">
        <v>100006897</v>
      </c>
      <c r="E11479" s="49">
        <v>45472</v>
      </c>
      <c r="F11479" t="s">
        <v>7618</v>
      </c>
      <c r="G11479" t="s">
        <v>2706</v>
      </c>
      <c r="H11479">
        <v>9</v>
      </c>
      <c r="I11479">
        <v>114.36</v>
      </c>
      <c r="J11479" s="50">
        <v>1029.24</v>
      </c>
      <c r="K11479" t="s">
        <v>1618</v>
      </c>
      <c r="M11479" t="s">
        <v>1619</v>
      </c>
      <c r="N11479">
        <v>60.36</v>
      </c>
      <c r="O11479" s="49">
        <v>45474</v>
      </c>
      <c r="P11479" s="50">
        <v>463.15800000000002</v>
      </c>
    </row>
    <row r="11480" spans="4:16" x14ac:dyDescent="0.2">
      <c r="D11480">
        <v>100006897</v>
      </c>
      <c r="E11480" s="49">
        <v>44642</v>
      </c>
      <c r="F11480" t="s">
        <v>7618</v>
      </c>
      <c r="G11480" t="s">
        <v>1641</v>
      </c>
      <c r="H11480">
        <v>1</v>
      </c>
      <c r="I11480">
        <v>34.85</v>
      </c>
      <c r="J11480" s="50">
        <v>34.85</v>
      </c>
      <c r="K11480" t="s">
        <v>1618</v>
      </c>
      <c r="M11480" t="s">
        <v>1621</v>
      </c>
      <c r="N11480">
        <v>18.39</v>
      </c>
      <c r="O11480" s="49">
        <v>44647</v>
      </c>
      <c r="P11480" s="50">
        <v>15.682500000000001</v>
      </c>
    </row>
    <row r="11481" spans="4:16" x14ac:dyDescent="0.2">
      <c r="D11481">
        <v>100006897</v>
      </c>
      <c r="E11481" s="49">
        <v>44617</v>
      </c>
      <c r="F11481" t="s">
        <v>7618</v>
      </c>
      <c r="G11481" t="s">
        <v>1830</v>
      </c>
      <c r="H11481">
        <v>6</v>
      </c>
      <c r="I11481">
        <v>12.55</v>
      </c>
      <c r="J11481" s="50">
        <v>75.300000000000011</v>
      </c>
      <c r="K11481" t="s">
        <v>1618</v>
      </c>
      <c r="M11481" t="s">
        <v>1621</v>
      </c>
      <c r="N11481">
        <v>6.62</v>
      </c>
      <c r="O11481" s="49">
        <v>44620</v>
      </c>
      <c r="P11481" s="50">
        <v>33.885000000000005</v>
      </c>
    </row>
    <row r="11482" spans="4:16" x14ac:dyDescent="0.2">
      <c r="D11482">
        <v>100006898</v>
      </c>
      <c r="E11482" s="49">
        <v>44984</v>
      </c>
      <c r="F11482" t="s">
        <v>7619</v>
      </c>
      <c r="G11482" t="s">
        <v>1644</v>
      </c>
      <c r="H11482">
        <v>5</v>
      </c>
      <c r="I11482">
        <v>72.849999999999994</v>
      </c>
      <c r="J11482" s="50">
        <v>364.25</v>
      </c>
      <c r="K11482" t="s">
        <v>1618</v>
      </c>
      <c r="M11482" t="s">
        <v>1624</v>
      </c>
      <c r="N11482">
        <v>38.450000000000003</v>
      </c>
      <c r="O11482" s="49">
        <v>44986</v>
      </c>
      <c r="P11482" s="50">
        <v>163.91249999999999</v>
      </c>
    </row>
    <row r="11483" spans="4:16" x14ac:dyDescent="0.2">
      <c r="D11483">
        <v>100006899</v>
      </c>
      <c r="E11483" s="49">
        <v>45394</v>
      </c>
      <c r="F11483" t="s">
        <v>7620</v>
      </c>
      <c r="G11483" t="s">
        <v>2431</v>
      </c>
      <c r="H11483">
        <v>6</v>
      </c>
      <c r="I11483">
        <v>37.67</v>
      </c>
      <c r="J11483" s="50">
        <v>226.02</v>
      </c>
      <c r="K11483" t="s">
        <v>1618</v>
      </c>
      <c r="L11483" t="s">
        <v>1960</v>
      </c>
      <c r="M11483" t="s">
        <v>1627</v>
      </c>
      <c r="N11483">
        <v>19.88</v>
      </c>
      <c r="O11483" s="49">
        <v>45398</v>
      </c>
      <c r="P11483" s="50">
        <v>101.709</v>
      </c>
    </row>
    <row r="11484" spans="4:16" x14ac:dyDescent="0.2">
      <c r="D11484">
        <v>100006901</v>
      </c>
      <c r="E11484" s="49">
        <v>44366</v>
      </c>
      <c r="F11484" t="s">
        <v>7621</v>
      </c>
      <c r="G11484" t="s">
        <v>2130</v>
      </c>
      <c r="H11484">
        <v>3</v>
      </c>
      <c r="I11484">
        <v>87.16</v>
      </c>
      <c r="J11484" s="50">
        <v>261.48</v>
      </c>
      <c r="K11484" t="s">
        <v>1632</v>
      </c>
      <c r="M11484" t="s">
        <v>1629</v>
      </c>
      <c r="N11484">
        <v>46</v>
      </c>
      <c r="O11484" s="49">
        <v>44371</v>
      </c>
      <c r="P11484" s="50">
        <v>117.66600000000001</v>
      </c>
    </row>
    <row r="11485" spans="4:16" x14ac:dyDescent="0.2">
      <c r="D11485">
        <v>100006901</v>
      </c>
      <c r="E11485" s="49">
        <v>44483</v>
      </c>
      <c r="F11485" t="s">
        <v>7621</v>
      </c>
      <c r="G11485" t="s">
        <v>1639</v>
      </c>
      <c r="H11485">
        <v>6</v>
      </c>
      <c r="I11485">
        <v>14.43</v>
      </c>
      <c r="J11485" s="50">
        <v>86.58</v>
      </c>
      <c r="K11485" t="s">
        <v>1632</v>
      </c>
      <c r="M11485" t="s">
        <v>1627</v>
      </c>
      <c r="N11485">
        <v>7.62</v>
      </c>
      <c r="O11485" s="49">
        <v>44487</v>
      </c>
      <c r="P11485" s="50">
        <v>38.960999999999999</v>
      </c>
    </row>
    <row r="11486" spans="4:16" x14ac:dyDescent="0.2">
      <c r="D11486">
        <v>100006901</v>
      </c>
      <c r="E11486" s="49">
        <v>44579</v>
      </c>
      <c r="F11486" t="s">
        <v>7621</v>
      </c>
      <c r="G11486" t="s">
        <v>1775</v>
      </c>
      <c r="H11486">
        <v>6</v>
      </c>
      <c r="I11486">
        <v>55.22</v>
      </c>
      <c r="J11486" s="50">
        <v>331.32</v>
      </c>
      <c r="K11486" t="s">
        <v>1632</v>
      </c>
      <c r="M11486" t="s">
        <v>1621</v>
      </c>
      <c r="N11486">
        <v>29.14</v>
      </c>
      <c r="O11486" s="49">
        <v>44583</v>
      </c>
      <c r="P11486" s="50">
        <v>149.09399999999999</v>
      </c>
    </row>
    <row r="11487" spans="4:16" x14ac:dyDescent="0.2">
      <c r="D11487">
        <v>100006902</v>
      </c>
      <c r="E11487" s="49">
        <v>44440</v>
      </c>
      <c r="F11487" t="s">
        <v>7622</v>
      </c>
      <c r="G11487" t="s">
        <v>1910</v>
      </c>
      <c r="H11487">
        <v>8</v>
      </c>
      <c r="I11487">
        <v>27</v>
      </c>
      <c r="J11487" s="50">
        <v>216</v>
      </c>
      <c r="K11487" t="s">
        <v>1618</v>
      </c>
      <c r="L11487" t="s">
        <v>7596</v>
      </c>
      <c r="M11487" t="s">
        <v>1619</v>
      </c>
      <c r="N11487">
        <v>14.25</v>
      </c>
      <c r="O11487" s="49">
        <v>44442</v>
      </c>
      <c r="P11487" s="50">
        <v>97.2</v>
      </c>
    </row>
    <row r="11488" spans="4:16" x14ac:dyDescent="0.2">
      <c r="D11488">
        <v>100006903</v>
      </c>
      <c r="E11488" s="49">
        <v>44326</v>
      </c>
      <c r="F11488" t="s">
        <v>7623</v>
      </c>
      <c r="G11488" t="s">
        <v>1807</v>
      </c>
      <c r="H11488">
        <v>1</v>
      </c>
      <c r="I11488">
        <v>32.86</v>
      </c>
      <c r="J11488" s="50">
        <v>32.86</v>
      </c>
      <c r="K11488" t="s">
        <v>1618</v>
      </c>
      <c r="M11488" t="s">
        <v>1629</v>
      </c>
      <c r="N11488">
        <v>17.34</v>
      </c>
      <c r="O11488" s="49">
        <v>44327</v>
      </c>
      <c r="P11488" s="50">
        <v>14.787000000000001</v>
      </c>
    </row>
    <row r="11489" spans="4:16" x14ac:dyDescent="0.2">
      <c r="D11489">
        <v>100006903</v>
      </c>
      <c r="E11489" s="49">
        <v>44494</v>
      </c>
      <c r="F11489" t="s">
        <v>7623</v>
      </c>
      <c r="G11489" t="s">
        <v>2057</v>
      </c>
      <c r="H11489">
        <v>7</v>
      </c>
      <c r="I11489">
        <v>70.94</v>
      </c>
      <c r="J11489" s="50">
        <v>496.58</v>
      </c>
      <c r="K11489" t="s">
        <v>1618</v>
      </c>
      <c r="M11489" t="s">
        <v>1619</v>
      </c>
      <c r="N11489">
        <v>37.44</v>
      </c>
      <c r="O11489" s="49">
        <v>44495</v>
      </c>
      <c r="P11489" s="50">
        <v>223.46099999999998</v>
      </c>
    </row>
    <row r="11490" spans="4:16" x14ac:dyDescent="0.2">
      <c r="D11490">
        <v>100006903</v>
      </c>
      <c r="E11490" s="49">
        <v>45141</v>
      </c>
      <c r="F11490" t="s">
        <v>7623</v>
      </c>
      <c r="G11490" t="s">
        <v>2762</v>
      </c>
      <c r="H11490">
        <v>3</v>
      </c>
      <c r="I11490">
        <v>15.57</v>
      </c>
      <c r="J11490" s="50">
        <v>46.71</v>
      </c>
      <c r="K11490" t="s">
        <v>1618</v>
      </c>
      <c r="M11490" t="s">
        <v>1619</v>
      </c>
      <c r="N11490">
        <v>8.2200000000000006</v>
      </c>
      <c r="O11490" s="49">
        <v>45145</v>
      </c>
      <c r="P11490" s="50">
        <v>21.019500000000001</v>
      </c>
    </row>
    <row r="11491" spans="4:16" x14ac:dyDescent="0.2">
      <c r="D11491">
        <v>100006903</v>
      </c>
      <c r="E11491" s="49">
        <v>44302</v>
      </c>
      <c r="F11491" t="s">
        <v>7623</v>
      </c>
      <c r="G11491" t="s">
        <v>1672</v>
      </c>
      <c r="H11491">
        <v>1</v>
      </c>
      <c r="I11491">
        <v>14.85</v>
      </c>
      <c r="J11491" s="50">
        <v>14.85</v>
      </c>
      <c r="K11491" t="s">
        <v>1618</v>
      </c>
      <c r="M11491" t="s">
        <v>1624</v>
      </c>
      <c r="N11491">
        <v>7.84</v>
      </c>
      <c r="O11491" s="49">
        <v>44304</v>
      </c>
      <c r="P11491" s="50">
        <v>6.6825000000000001</v>
      </c>
    </row>
    <row r="11492" spans="4:16" x14ac:dyDescent="0.2">
      <c r="D11492">
        <v>100006905</v>
      </c>
      <c r="E11492" s="49">
        <v>44490</v>
      </c>
      <c r="F11492" t="s">
        <v>7624</v>
      </c>
      <c r="G11492" t="s">
        <v>1844</v>
      </c>
      <c r="H11492">
        <v>3</v>
      </c>
      <c r="I11492">
        <v>118.33</v>
      </c>
      <c r="J11492" s="50">
        <v>354.99</v>
      </c>
      <c r="K11492" t="s">
        <v>1618</v>
      </c>
      <c r="L11492" t="s">
        <v>4538</v>
      </c>
      <c r="M11492" t="s">
        <v>1621</v>
      </c>
      <c r="N11492">
        <v>62.45</v>
      </c>
      <c r="O11492" s="49">
        <v>44491</v>
      </c>
      <c r="P11492" s="50">
        <v>159.74550000000002</v>
      </c>
    </row>
    <row r="11493" spans="4:16" x14ac:dyDescent="0.2">
      <c r="D11493">
        <v>100006905</v>
      </c>
      <c r="E11493" s="49">
        <v>45172</v>
      </c>
      <c r="F11493" t="s">
        <v>7624</v>
      </c>
      <c r="G11493" t="s">
        <v>1749</v>
      </c>
      <c r="H11493">
        <v>7</v>
      </c>
      <c r="I11493">
        <v>52.28</v>
      </c>
      <c r="J11493" s="50">
        <v>365.96</v>
      </c>
      <c r="K11493" t="s">
        <v>1618</v>
      </c>
      <c r="L11493" t="s">
        <v>4538</v>
      </c>
      <c r="M11493" t="s">
        <v>1629</v>
      </c>
      <c r="N11493">
        <v>27.59</v>
      </c>
      <c r="O11493" s="49">
        <v>45176</v>
      </c>
      <c r="P11493" s="50">
        <v>164.68199999999999</v>
      </c>
    </row>
    <row r="11494" spans="4:16" x14ac:dyDescent="0.2">
      <c r="D11494">
        <v>100006905</v>
      </c>
      <c r="E11494" s="49">
        <v>45474</v>
      </c>
      <c r="F11494" t="s">
        <v>7624</v>
      </c>
      <c r="G11494" t="s">
        <v>1963</v>
      </c>
      <c r="H11494">
        <v>10</v>
      </c>
      <c r="I11494">
        <v>86.72</v>
      </c>
      <c r="J11494" s="50">
        <v>867.2</v>
      </c>
      <c r="K11494" t="s">
        <v>1618</v>
      </c>
      <c r="L11494" t="s">
        <v>4538</v>
      </c>
      <c r="M11494" t="s">
        <v>1629</v>
      </c>
      <c r="N11494">
        <v>45.77</v>
      </c>
      <c r="O11494" s="49">
        <v>45478</v>
      </c>
      <c r="P11494" s="50">
        <v>390.24</v>
      </c>
    </row>
    <row r="11495" spans="4:16" x14ac:dyDescent="0.2">
      <c r="D11495">
        <v>100006905</v>
      </c>
      <c r="E11495" s="49">
        <v>45631</v>
      </c>
      <c r="F11495" t="s">
        <v>7624</v>
      </c>
      <c r="G11495" t="s">
        <v>1825</v>
      </c>
      <c r="H11495">
        <v>5</v>
      </c>
      <c r="I11495">
        <v>95.81</v>
      </c>
      <c r="J11495" s="50">
        <v>479.05</v>
      </c>
      <c r="K11495" t="s">
        <v>1618</v>
      </c>
      <c r="L11495" t="s">
        <v>4538</v>
      </c>
      <c r="M11495" t="s">
        <v>1629</v>
      </c>
      <c r="N11495">
        <v>50.57</v>
      </c>
      <c r="O11495" s="49">
        <v>45635</v>
      </c>
      <c r="P11495" s="50">
        <v>215.57250000000002</v>
      </c>
    </row>
    <row r="11496" spans="4:16" x14ac:dyDescent="0.2">
      <c r="D11496">
        <v>100006905</v>
      </c>
      <c r="E11496" s="49">
        <v>44859</v>
      </c>
      <c r="F11496" t="s">
        <v>7624</v>
      </c>
      <c r="G11496" t="s">
        <v>2163</v>
      </c>
      <c r="H11496">
        <v>10</v>
      </c>
      <c r="I11496">
        <v>71.83</v>
      </c>
      <c r="J11496" s="50">
        <v>718.3</v>
      </c>
      <c r="K11496" t="s">
        <v>1618</v>
      </c>
      <c r="L11496" t="s">
        <v>4538</v>
      </c>
      <c r="M11496" t="s">
        <v>1627</v>
      </c>
      <c r="N11496">
        <v>37.909999999999997</v>
      </c>
      <c r="O11496" s="49">
        <v>44864</v>
      </c>
      <c r="P11496" s="50">
        <v>323.23500000000001</v>
      </c>
    </row>
    <row r="11497" spans="4:16" x14ac:dyDescent="0.2">
      <c r="D11497">
        <v>100006905</v>
      </c>
      <c r="E11497" s="49">
        <v>44965</v>
      </c>
      <c r="F11497" t="s">
        <v>7624</v>
      </c>
      <c r="G11497" t="s">
        <v>2331</v>
      </c>
      <c r="H11497">
        <v>1</v>
      </c>
      <c r="I11497">
        <v>103.5</v>
      </c>
      <c r="J11497" s="50">
        <v>103.5</v>
      </c>
      <c r="K11497" t="s">
        <v>1618</v>
      </c>
      <c r="L11497" t="s">
        <v>4538</v>
      </c>
      <c r="M11497" t="s">
        <v>1627</v>
      </c>
      <c r="N11497">
        <v>54.62</v>
      </c>
      <c r="O11497" s="49">
        <v>44969</v>
      </c>
      <c r="P11497" s="50">
        <v>46.575000000000003</v>
      </c>
    </row>
    <row r="11498" spans="4:16" x14ac:dyDescent="0.2">
      <c r="D11498">
        <v>100006905</v>
      </c>
      <c r="E11498" s="49">
        <v>45611</v>
      </c>
      <c r="F11498" t="s">
        <v>7624</v>
      </c>
      <c r="G11498" t="s">
        <v>2633</v>
      </c>
      <c r="H11498">
        <v>5</v>
      </c>
      <c r="I11498">
        <v>50.18</v>
      </c>
      <c r="J11498" s="50">
        <v>250.9</v>
      </c>
      <c r="K11498" t="s">
        <v>1618</v>
      </c>
      <c r="L11498" t="s">
        <v>4538</v>
      </c>
      <c r="M11498" t="s">
        <v>1619</v>
      </c>
      <c r="N11498">
        <v>26.48</v>
      </c>
      <c r="O11498" s="49">
        <v>45612</v>
      </c>
      <c r="P11498" s="50">
        <v>112.905</v>
      </c>
    </row>
    <row r="11499" spans="4:16" x14ac:dyDescent="0.2">
      <c r="D11499">
        <v>100006905</v>
      </c>
      <c r="E11499" s="49">
        <v>44890</v>
      </c>
      <c r="F11499" t="s">
        <v>7624</v>
      </c>
      <c r="G11499" t="s">
        <v>1929</v>
      </c>
      <c r="H11499">
        <v>1</v>
      </c>
      <c r="I11499">
        <v>28.33</v>
      </c>
      <c r="J11499" s="50">
        <v>28.33</v>
      </c>
      <c r="K11499" t="s">
        <v>1618</v>
      </c>
      <c r="L11499" t="s">
        <v>4538</v>
      </c>
      <c r="M11499" t="s">
        <v>1629</v>
      </c>
      <c r="N11499">
        <v>14.95</v>
      </c>
      <c r="O11499" s="49">
        <v>44892</v>
      </c>
      <c r="P11499" s="50">
        <v>12.7485</v>
      </c>
    </row>
    <row r="11500" spans="4:16" x14ac:dyDescent="0.2">
      <c r="D11500">
        <v>100006906</v>
      </c>
      <c r="E11500" s="49">
        <v>44208</v>
      </c>
      <c r="F11500" t="s">
        <v>7625</v>
      </c>
      <c r="G11500" t="s">
        <v>1681</v>
      </c>
      <c r="H11500">
        <v>10</v>
      </c>
      <c r="I11500">
        <v>93.2</v>
      </c>
      <c r="J11500" s="50">
        <v>932</v>
      </c>
      <c r="K11500" t="s">
        <v>1632</v>
      </c>
      <c r="M11500" t="s">
        <v>1627</v>
      </c>
      <c r="N11500">
        <v>49.19</v>
      </c>
      <c r="O11500" s="49">
        <v>44210</v>
      </c>
      <c r="P11500" s="50">
        <v>419.40000000000003</v>
      </c>
    </row>
    <row r="11501" spans="4:16" x14ac:dyDescent="0.2">
      <c r="D11501">
        <v>100006906</v>
      </c>
      <c r="E11501" s="49">
        <v>44324</v>
      </c>
      <c r="F11501" t="s">
        <v>7625</v>
      </c>
      <c r="G11501" t="s">
        <v>1655</v>
      </c>
      <c r="H11501">
        <v>6</v>
      </c>
      <c r="I11501">
        <v>13.73</v>
      </c>
      <c r="J11501" s="50">
        <v>82.38</v>
      </c>
      <c r="K11501" t="s">
        <v>1632</v>
      </c>
      <c r="M11501" t="s">
        <v>1627</v>
      </c>
      <c r="N11501">
        <v>7.25</v>
      </c>
      <c r="O11501" s="49">
        <v>44325</v>
      </c>
      <c r="P11501" s="50">
        <v>37.070999999999998</v>
      </c>
    </row>
    <row r="11502" spans="4:16" x14ac:dyDescent="0.2">
      <c r="D11502">
        <v>100006908</v>
      </c>
      <c r="E11502" s="49">
        <v>44666</v>
      </c>
      <c r="F11502" t="s">
        <v>7626</v>
      </c>
      <c r="G11502" t="s">
        <v>2038</v>
      </c>
      <c r="H11502">
        <v>8</v>
      </c>
      <c r="I11502">
        <v>26.43</v>
      </c>
      <c r="J11502" s="50">
        <v>211.44</v>
      </c>
      <c r="K11502" t="s">
        <v>1618</v>
      </c>
      <c r="M11502" t="s">
        <v>1627</v>
      </c>
      <c r="N11502">
        <v>13.95</v>
      </c>
      <c r="O11502" s="49">
        <v>44669</v>
      </c>
      <c r="P11502" s="50">
        <v>95.147999999999996</v>
      </c>
    </row>
    <row r="11503" spans="4:16" x14ac:dyDescent="0.2">
      <c r="D11503">
        <v>100006909</v>
      </c>
      <c r="E11503" s="49">
        <v>45575</v>
      </c>
      <c r="F11503" t="s">
        <v>7627</v>
      </c>
      <c r="G11503" t="s">
        <v>2101</v>
      </c>
      <c r="H11503">
        <v>8</v>
      </c>
      <c r="I11503">
        <v>90.42</v>
      </c>
      <c r="J11503" s="50">
        <v>723.36</v>
      </c>
      <c r="K11503" t="s">
        <v>1632</v>
      </c>
      <c r="M11503" t="s">
        <v>1621</v>
      </c>
      <c r="N11503">
        <v>47.72</v>
      </c>
      <c r="O11503" s="49">
        <v>45580</v>
      </c>
      <c r="P11503" s="50">
        <v>325.512</v>
      </c>
    </row>
    <row r="11504" spans="4:16" x14ac:dyDescent="0.2">
      <c r="D11504">
        <v>100006911</v>
      </c>
      <c r="E11504" s="49">
        <v>45248</v>
      </c>
      <c r="F11504" t="s">
        <v>7628</v>
      </c>
      <c r="G11504" t="s">
        <v>2658</v>
      </c>
      <c r="H11504">
        <v>5</v>
      </c>
      <c r="I11504">
        <v>50.76</v>
      </c>
      <c r="J11504" s="50">
        <v>253.8</v>
      </c>
      <c r="K11504" t="s">
        <v>1618</v>
      </c>
      <c r="M11504" t="s">
        <v>1624</v>
      </c>
      <c r="N11504">
        <v>26.79</v>
      </c>
      <c r="O11504" s="49">
        <v>45249</v>
      </c>
      <c r="P11504" s="50">
        <v>114.21000000000001</v>
      </c>
    </row>
    <row r="11505" spans="4:16" x14ac:dyDescent="0.2">
      <c r="D11505">
        <v>100006911</v>
      </c>
      <c r="E11505" s="49">
        <v>45247</v>
      </c>
      <c r="F11505" t="s">
        <v>7628</v>
      </c>
      <c r="G11505" t="s">
        <v>2692</v>
      </c>
      <c r="H11505">
        <v>8</v>
      </c>
      <c r="I11505">
        <v>77.599999999999994</v>
      </c>
      <c r="J11505" s="50">
        <v>620.79999999999995</v>
      </c>
      <c r="K11505" t="s">
        <v>1618</v>
      </c>
      <c r="M11505" t="s">
        <v>1624</v>
      </c>
      <c r="N11505">
        <v>40.96</v>
      </c>
      <c r="O11505" s="49">
        <v>45251</v>
      </c>
      <c r="P11505" s="50">
        <v>279.36</v>
      </c>
    </row>
    <row r="11506" spans="4:16" x14ac:dyDescent="0.2">
      <c r="D11506">
        <v>100006912</v>
      </c>
      <c r="E11506" s="49">
        <v>44720</v>
      </c>
      <c r="F11506" t="s">
        <v>7629</v>
      </c>
      <c r="G11506" t="s">
        <v>1704</v>
      </c>
      <c r="H11506">
        <v>9</v>
      </c>
      <c r="I11506">
        <v>62.53</v>
      </c>
      <c r="J11506" s="50">
        <v>562.77</v>
      </c>
      <c r="K11506" t="s">
        <v>1618</v>
      </c>
      <c r="M11506" t="s">
        <v>1627</v>
      </c>
      <c r="N11506">
        <v>33</v>
      </c>
      <c r="O11506" s="49">
        <v>44725</v>
      </c>
      <c r="P11506" s="50">
        <v>253.2465</v>
      </c>
    </row>
    <row r="11507" spans="4:16" x14ac:dyDescent="0.2">
      <c r="D11507">
        <v>100006912</v>
      </c>
      <c r="E11507" s="49">
        <v>44472</v>
      </c>
      <c r="F11507" t="s">
        <v>7629</v>
      </c>
      <c r="G11507" t="s">
        <v>1976</v>
      </c>
      <c r="H11507">
        <v>6</v>
      </c>
      <c r="I11507">
        <v>30.04</v>
      </c>
      <c r="J11507" s="50">
        <v>180.24</v>
      </c>
      <c r="K11507" t="s">
        <v>1618</v>
      </c>
      <c r="M11507" t="s">
        <v>1629</v>
      </c>
      <c r="N11507">
        <v>15.85</v>
      </c>
      <c r="O11507" s="49">
        <v>44477</v>
      </c>
      <c r="P11507" s="50">
        <v>81.108000000000004</v>
      </c>
    </row>
    <row r="11508" spans="4:16" x14ac:dyDescent="0.2">
      <c r="D11508">
        <v>100006914</v>
      </c>
      <c r="E11508" s="49">
        <v>45583</v>
      </c>
      <c r="F11508" t="s">
        <v>7630</v>
      </c>
      <c r="G11508" t="s">
        <v>1617</v>
      </c>
      <c r="H11508">
        <v>9</v>
      </c>
      <c r="I11508">
        <v>83.75</v>
      </c>
      <c r="J11508" s="50">
        <v>753.75</v>
      </c>
      <c r="K11508" t="s">
        <v>1632</v>
      </c>
      <c r="L11508" t="s">
        <v>3217</v>
      </c>
      <c r="M11508" t="s">
        <v>1621</v>
      </c>
      <c r="N11508">
        <v>44.2</v>
      </c>
      <c r="O11508" s="49">
        <v>45585</v>
      </c>
      <c r="P11508" s="50">
        <v>339.1875</v>
      </c>
    </row>
    <row r="11509" spans="4:16" x14ac:dyDescent="0.2">
      <c r="D11509">
        <v>100006914</v>
      </c>
      <c r="E11509" s="49">
        <v>45497</v>
      </c>
      <c r="F11509" t="s">
        <v>7630</v>
      </c>
      <c r="G11509" t="s">
        <v>2217</v>
      </c>
      <c r="H11509">
        <v>10</v>
      </c>
      <c r="I11509">
        <v>46.26</v>
      </c>
      <c r="J11509" s="50">
        <v>462.6</v>
      </c>
      <c r="K11509" t="s">
        <v>1632</v>
      </c>
      <c r="L11509" t="s">
        <v>3217</v>
      </c>
      <c r="M11509" t="s">
        <v>1627</v>
      </c>
      <c r="N11509">
        <v>24.41</v>
      </c>
      <c r="O11509" s="49">
        <v>45500</v>
      </c>
      <c r="P11509" s="50">
        <v>208.17000000000002</v>
      </c>
    </row>
    <row r="11510" spans="4:16" x14ac:dyDescent="0.2">
      <c r="D11510">
        <v>100006916</v>
      </c>
      <c r="E11510" s="49">
        <v>44437</v>
      </c>
      <c r="F11510" t="s">
        <v>7118</v>
      </c>
      <c r="G11510" t="s">
        <v>3135</v>
      </c>
      <c r="H11510">
        <v>8</v>
      </c>
      <c r="I11510">
        <v>100.19</v>
      </c>
      <c r="J11510" s="50">
        <v>801.52</v>
      </c>
      <c r="K11510" t="s">
        <v>1618</v>
      </c>
      <c r="M11510" t="s">
        <v>1627</v>
      </c>
      <c r="N11510">
        <v>52.88</v>
      </c>
      <c r="O11510" s="49">
        <v>44440</v>
      </c>
      <c r="P11510" s="50">
        <v>360.68400000000003</v>
      </c>
    </row>
    <row r="11511" spans="4:16" x14ac:dyDescent="0.2">
      <c r="D11511">
        <v>100006916</v>
      </c>
      <c r="E11511" s="49">
        <v>44810</v>
      </c>
      <c r="F11511" t="s">
        <v>7118</v>
      </c>
      <c r="G11511" t="s">
        <v>2302</v>
      </c>
      <c r="H11511">
        <v>6</v>
      </c>
      <c r="I11511">
        <v>84.89</v>
      </c>
      <c r="J11511" s="50">
        <v>509.34</v>
      </c>
      <c r="K11511" t="s">
        <v>1618</v>
      </c>
      <c r="M11511" t="s">
        <v>1621</v>
      </c>
      <c r="N11511">
        <v>44.8</v>
      </c>
      <c r="O11511" s="49">
        <v>44814</v>
      </c>
      <c r="P11511" s="50">
        <v>229.203</v>
      </c>
    </row>
    <row r="11512" spans="4:16" x14ac:dyDescent="0.2">
      <c r="D11512">
        <v>100006917</v>
      </c>
      <c r="E11512" s="49">
        <v>45465</v>
      </c>
      <c r="F11512" t="s">
        <v>7631</v>
      </c>
      <c r="G11512" t="s">
        <v>2074</v>
      </c>
      <c r="H11512">
        <v>1</v>
      </c>
      <c r="I11512">
        <v>21.72</v>
      </c>
      <c r="J11512" s="50">
        <v>21.72</v>
      </c>
      <c r="K11512" t="s">
        <v>1618</v>
      </c>
      <c r="M11512" t="s">
        <v>1624</v>
      </c>
      <c r="N11512">
        <v>11.46</v>
      </c>
      <c r="O11512" s="49">
        <v>45467</v>
      </c>
      <c r="P11512" s="50">
        <v>9.7739999999999991</v>
      </c>
    </row>
    <row r="11513" spans="4:16" x14ac:dyDescent="0.2">
      <c r="D11513">
        <v>100006917</v>
      </c>
      <c r="E11513" s="49">
        <v>45252</v>
      </c>
      <c r="F11513" t="s">
        <v>7631</v>
      </c>
      <c r="G11513" t="s">
        <v>1739</v>
      </c>
      <c r="H11513">
        <v>1</v>
      </c>
      <c r="I11513">
        <v>38.29</v>
      </c>
      <c r="J11513" s="50">
        <v>38.29</v>
      </c>
      <c r="K11513" t="s">
        <v>1618</v>
      </c>
      <c r="M11513" t="s">
        <v>1621</v>
      </c>
      <c r="N11513">
        <v>20.21</v>
      </c>
      <c r="O11513" s="49">
        <v>45255</v>
      </c>
      <c r="P11513" s="50">
        <v>17.230499999999999</v>
      </c>
    </row>
    <row r="11514" spans="4:16" x14ac:dyDescent="0.2">
      <c r="D11514">
        <v>100006917</v>
      </c>
      <c r="E11514" s="49">
        <v>44642</v>
      </c>
      <c r="F11514" t="s">
        <v>7631</v>
      </c>
      <c r="G11514" t="s">
        <v>1646</v>
      </c>
      <c r="H11514">
        <v>5</v>
      </c>
      <c r="I11514">
        <v>59.79</v>
      </c>
      <c r="J11514" s="50">
        <v>298.95</v>
      </c>
      <c r="K11514" t="s">
        <v>1618</v>
      </c>
      <c r="M11514" t="s">
        <v>1624</v>
      </c>
      <c r="N11514">
        <v>31.56</v>
      </c>
      <c r="O11514" s="49">
        <v>44646</v>
      </c>
      <c r="P11514" s="50">
        <v>134.5275</v>
      </c>
    </row>
    <row r="11515" spans="4:16" x14ac:dyDescent="0.2">
      <c r="D11515">
        <v>100006918</v>
      </c>
      <c r="E11515" s="49">
        <v>45647</v>
      </c>
      <c r="F11515" t="s">
        <v>3864</v>
      </c>
      <c r="G11515" t="s">
        <v>1623</v>
      </c>
      <c r="H11515">
        <v>9</v>
      </c>
      <c r="I11515">
        <v>89.41</v>
      </c>
      <c r="J11515" s="50">
        <v>804.68999999999994</v>
      </c>
      <c r="K11515" t="s">
        <v>1618</v>
      </c>
      <c r="M11515" t="s">
        <v>1624</v>
      </c>
      <c r="N11515">
        <v>47.19</v>
      </c>
      <c r="O11515" s="49">
        <v>45651</v>
      </c>
      <c r="P11515" s="50">
        <v>362.1105</v>
      </c>
    </row>
    <row r="11516" spans="4:16" x14ac:dyDescent="0.2">
      <c r="D11516">
        <v>100006919</v>
      </c>
      <c r="E11516" s="49">
        <v>44288</v>
      </c>
      <c r="F11516" t="s">
        <v>7632</v>
      </c>
      <c r="G11516" t="s">
        <v>1797</v>
      </c>
      <c r="H11516">
        <v>6</v>
      </c>
      <c r="I11516">
        <v>24.12</v>
      </c>
      <c r="J11516" s="50">
        <v>144.72</v>
      </c>
      <c r="K11516" t="s">
        <v>1618</v>
      </c>
      <c r="L11516" t="s">
        <v>2788</v>
      </c>
      <c r="M11516" t="s">
        <v>1621</v>
      </c>
      <c r="N11516">
        <v>12.73</v>
      </c>
      <c r="O11516" s="49">
        <v>44293</v>
      </c>
      <c r="P11516" s="50">
        <v>65.123999999999995</v>
      </c>
    </row>
    <row r="11517" spans="4:16" x14ac:dyDescent="0.2">
      <c r="D11517">
        <v>100006919</v>
      </c>
      <c r="E11517" s="49">
        <v>45089</v>
      </c>
      <c r="F11517" t="s">
        <v>7632</v>
      </c>
      <c r="G11517" t="s">
        <v>1897</v>
      </c>
      <c r="H11517">
        <v>1</v>
      </c>
      <c r="I11517">
        <v>45.66</v>
      </c>
      <c r="J11517" s="50">
        <v>45.66</v>
      </c>
      <c r="K11517" t="s">
        <v>1618</v>
      </c>
      <c r="L11517" t="s">
        <v>2788</v>
      </c>
      <c r="M11517" t="s">
        <v>1627</v>
      </c>
      <c r="N11517">
        <v>24.1</v>
      </c>
      <c r="O11517" s="49">
        <v>45091</v>
      </c>
      <c r="P11517" s="50">
        <v>20.547000000000001</v>
      </c>
    </row>
    <row r="11518" spans="4:16" x14ac:dyDescent="0.2">
      <c r="D11518">
        <v>100006919</v>
      </c>
      <c r="E11518" s="49">
        <v>45647</v>
      </c>
      <c r="F11518" t="s">
        <v>7632</v>
      </c>
      <c r="G11518" t="s">
        <v>1687</v>
      </c>
      <c r="H11518">
        <v>2</v>
      </c>
      <c r="I11518">
        <v>72.599999999999994</v>
      </c>
      <c r="J11518" s="50">
        <v>145.19999999999999</v>
      </c>
      <c r="K11518" t="s">
        <v>1618</v>
      </c>
      <c r="L11518" t="s">
        <v>2788</v>
      </c>
      <c r="M11518" t="s">
        <v>1619</v>
      </c>
      <c r="N11518">
        <v>38.32</v>
      </c>
      <c r="O11518" s="49">
        <v>45649</v>
      </c>
      <c r="P11518" s="50">
        <v>65.34</v>
      </c>
    </row>
    <row r="11519" spans="4:16" x14ac:dyDescent="0.2">
      <c r="D11519">
        <v>100006919</v>
      </c>
      <c r="E11519" s="49">
        <v>44414</v>
      </c>
      <c r="F11519" t="s">
        <v>7632</v>
      </c>
      <c r="G11519" t="s">
        <v>2465</v>
      </c>
      <c r="H11519">
        <v>1</v>
      </c>
      <c r="I11519">
        <v>23.88</v>
      </c>
      <c r="J11519" s="50">
        <v>23.88</v>
      </c>
      <c r="K11519" t="s">
        <v>1618</v>
      </c>
      <c r="L11519" t="s">
        <v>2788</v>
      </c>
      <c r="M11519" t="s">
        <v>1624</v>
      </c>
      <c r="N11519">
        <v>12.6</v>
      </c>
      <c r="O11519" s="49">
        <v>44418</v>
      </c>
      <c r="P11519" s="50">
        <v>10.746</v>
      </c>
    </row>
    <row r="11520" spans="4:16" x14ac:dyDescent="0.2">
      <c r="D11520">
        <v>100006919</v>
      </c>
      <c r="E11520" s="49">
        <v>44519</v>
      </c>
      <c r="F11520" t="s">
        <v>7632</v>
      </c>
      <c r="G11520" t="s">
        <v>1700</v>
      </c>
      <c r="H11520">
        <v>3</v>
      </c>
      <c r="I11520">
        <v>37.450000000000003</v>
      </c>
      <c r="J11520" s="50">
        <v>112.35</v>
      </c>
      <c r="K11520" t="s">
        <v>1618</v>
      </c>
      <c r="L11520" t="s">
        <v>2788</v>
      </c>
      <c r="M11520" t="s">
        <v>1629</v>
      </c>
      <c r="N11520">
        <v>19.77</v>
      </c>
      <c r="O11520" s="49">
        <v>44524</v>
      </c>
      <c r="P11520" s="50">
        <v>50.557499999999997</v>
      </c>
    </row>
    <row r="11521" spans="4:16" x14ac:dyDescent="0.2">
      <c r="D11521">
        <v>100006919</v>
      </c>
      <c r="E11521" s="49">
        <v>44650</v>
      </c>
      <c r="F11521" t="s">
        <v>7632</v>
      </c>
      <c r="G11521" t="s">
        <v>2024</v>
      </c>
      <c r="H11521">
        <v>10</v>
      </c>
      <c r="I11521">
        <v>104.61</v>
      </c>
      <c r="J11521" s="50">
        <v>1046.0999999999999</v>
      </c>
      <c r="K11521" t="s">
        <v>1618</v>
      </c>
      <c r="L11521" t="s">
        <v>2788</v>
      </c>
      <c r="M11521" t="s">
        <v>1624</v>
      </c>
      <c r="N11521">
        <v>55.21</v>
      </c>
      <c r="O11521" s="49">
        <v>44651</v>
      </c>
      <c r="P11521" s="50">
        <v>470.74499999999995</v>
      </c>
    </row>
    <row r="11522" spans="4:16" x14ac:dyDescent="0.2">
      <c r="D11522">
        <v>100006921</v>
      </c>
      <c r="E11522" s="49">
        <v>45621</v>
      </c>
      <c r="F11522" t="s">
        <v>7633</v>
      </c>
      <c r="G11522" t="s">
        <v>1690</v>
      </c>
      <c r="H11522">
        <v>9</v>
      </c>
      <c r="I11522">
        <v>57.84</v>
      </c>
      <c r="J11522" s="50">
        <v>520.56000000000006</v>
      </c>
      <c r="K11522" t="s">
        <v>1618</v>
      </c>
      <c r="M11522" t="s">
        <v>1619</v>
      </c>
      <c r="N11522">
        <v>30.53</v>
      </c>
      <c r="O11522" s="49">
        <v>45625</v>
      </c>
      <c r="P11522" s="50">
        <v>234.25200000000004</v>
      </c>
    </row>
    <row r="11523" spans="4:16" x14ac:dyDescent="0.2">
      <c r="D11523">
        <v>100006922</v>
      </c>
      <c r="E11523" s="49">
        <v>44274</v>
      </c>
      <c r="F11523" t="s">
        <v>7634</v>
      </c>
      <c r="G11523" t="s">
        <v>2042</v>
      </c>
      <c r="H11523">
        <v>6</v>
      </c>
      <c r="I11523">
        <v>94.87</v>
      </c>
      <c r="J11523" s="50">
        <v>569.22</v>
      </c>
      <c r="K11523" t="s">
        <v>1618</v>
      </c>
      <c r="L11523" t="s">
        <v>7635</v>
      </c>
      <c r="M11523" t="s">
        <v>1621</v>
      </c>
      <c r="N11523">
        <v>50.07</v>
      </c>
      <c r="O11523" s="49">
        <v>44275</v>
      </c>
      <c r="P11523" s="50">
        <v>256.149</v>
      </c>
    </row>
    <row r="11524" spans="4:16" x14ac:dyDescent="0.2">
      <c r="D11524">
        <v>100006923</v>
      </c>
      <c r="E11524" s="49">
        <v>44326</v>
      </c>
      <c r="F11524" t="s">
        <v>7636</v>
      </c>
      <c r="G11524" t="s">
        <v>2064</v>
      </c>
      <c r="H11524">
        <v>1</v>
      </c>
      <c r="I11524">
        <v>57.16</v>
      </c>
      <c r="J11524" s="50">
        <v>57.16</v>
      </c>
      <c r="K11524" t="s">
        <v>1618</v>
      </c>
      <c r="L11524" t="s">
        <v>7637</v>
      </c>
      <c r="M11524" t="s">
        <v>1621</v>
      </c>
      <c r="N11524">
        <v>30.17</v>
      </c>
      <c r="O11524" s="49">
        <v>44327</v>
      </c>
      <c r="P11524" s="50">
        <v>25.721999999999998</v>
      </c>
    </row>
    <row r="11525" spans="4:16" x14ac:dyDescent="0.2">
      <c r="D11525">
        <v>100006923</v>
      </c>
      <c r="E11525" s="49">
        <v>44661</v>
      </c>
      <c r="F11525" t="s">
        <v>7636</v>
      </c>
      <c r="G11525" t="s">
        <v>2004</v>
      </c>
      <c r="H11525">
        <v>6</v>
      </c>
      <c r="I11525">
        <v>97.35</v>
      </c>
      <c r="J11525" s="50">
        <v>584.09999999999991</v>
      </c>
      <c r="K11525" t="s">
        <v>1618</v>
      </c>
      <c r="L11525" t="s">
        <v>7637</v>
      </c>
      <c r="M11525" t="s">
        <v>1621</v>
      </c>
      <c r="N11525">
        <v>51.38</v>
      </c>
      <c r="O11525" s="49">
        <v>44664</v>
      </c>
      <c r="P11525" s="50">
        <v>262.84499999999997</v>
      </c>
    </row>
    <row r="11526" spans="4:16" x14ac:dyDescent="0.2">
      <c r="D11526">
        <v>100006926</v>
      </c>
      <c r="E11526" s="49">
        <v>44263</v>
      </c>
      <c r="F11526" t="s">
        <v>7638</v>
      </c>
      <c r="G11526" t="s">
        <v>1744</v>
      </c>
      <c r="H11526">
        <v>5</v>
      </c>
      <c r="I11526">
        <v>10.7</v>
      </c>
      <c r="J11526" s="50">
        <v>53.5</v>
      </c>
      <c r="K11526" t="s">
        <v>1618</v>
      </c>
      <c r="M11526" t="s">
        <v>1619</v>
      </c>
      <c r="N11526">
        <v>5.65</v>
      </c>
      <c r="O11526" s="49">
        <v>44267</v>
      </c>
      <c r="P11526" s="50">
        <v>24.074999999999999</v>
      </c>
    </row>
    <row r="11527" spans="4:16" x14ac:dyDescent="0.2">
      <c r="D11527">
        <v>100006926</v>
      </c>
      <c r="E11527" s="49">
        <v>45588</v>
      </c>
      <c r="F11527" t="s">
        <v>7638</v>
      </c>
      <c r="G11527" t="s">
        <v>1943</v>
      </c>
      <c r="H11527">
        <v>4</v>
      </c>
      <c r="I11527">
        <v>89.53</v>
      </c>
      <c r="J11527" s="50">
        <v>358.12</v>
      </c>
      <c r="K11527" t="s">
        <v>1618</v>
      </c>
      <c r="M11527" t="s">
        <v>1627</v>
      </c>
      <c r="N11527">
        <v>47.25</v>
      </c>
      <c r="O11527" s="49">
        <v>45589</v>
      </c>
      <c r="P11527" s="50">
        <v>161.154</v>
      </c>
    </row>
    <row r="11528" spans="4:16" x14ac:dyDescent="0.2">
      <c r="D11528">
        <v>100006926</v>
      </c>
      <c r="E11528" s="49">
        <v>44220</v>
      </c>
      <c r="F11528" t="s">
        <v>7638</v>
      </c>
      <c r="G11528" t="s">
        <v>2232</v>
      </c>
      <c r="H11528">
        <v>5</v>
      </c>
      <c r="I11528">
        <v>11.91</v>
      </c>
      <c r="J11528" s="50">
        <v>59.55</v>
      </c>
      <c r="K11528" t="s">
        <v>1618</v>
      </c>
      <c r="M11528" t="s">
        <v>1624</v>
      </c>
      <c r="N11528">
        <v>6.29</v>
      </c>
      <c r="O11528" s="49">
        <v>44224</v>
      </c>
      <c r="P11528" s="50">
        <v>26.797499999999999</v>
      </c>
    </row>
    <row r="11529" spans="4:16" x14ac:dyDescent="0.2">
      <c r="D11529">
        <v>100006928</v>
      </c>
      <c r="E11529" s="49">
        <v>44799</v>
      </c>
      <c r="F11529" t="s">
        <v>7639</v>
      </c>
      <c r="G11529" t="s">
        <v>1661</v>
      </c>
      <c r="H11529">
        <v>2</v>
      </c>
      <c r="I11529">
        <v>87.25</v>
      </c>
      <c r="J11529" s="50">
        <v>174.5</v>
      </c>
      <c r="K11529" t="s">
        <v>1618</v>
      </c>
      <c r="L11529" t="s">
        <v>3632</v>
      </c>
      <c r="M11529" t="s">
        <v>1621</v>
      </c>
      <c r="N11529">
        <v>46.05</v>
      </c>
      <c r="O11529" s="49">
        <v>44802</v>
      </c>
      <c r="P11529" s="50">
        <v>78.525000000000006</v>
      </c>
    </row>
    <row r="11530" spans="4:16" x14ac:dyDescent="0.2">
      <c r="D11530">
        <v>100006928</v>
      </c>
      <c r="E11530" s="49">
        <v>44753</v>
      </c>
      <c r="F11530" t="s">
        <v>7639</v>
      </c>
      <c r="G11530" t="s">
        <v>1985</v>
      </c>
      <c r="H11530">
        <v>7</v>
      </c>
      <c r="I11530">
        <v>98.07</v>
      </c>
      <c r="J11530" s="50">
        <v>686.49</v>
      </c>
      <c r="K11530" t="s">
        <v>1618</v>
      </c>
      <c r="L11530" t="s">
        <v>3632</v>
      </c>
      <c r="M11530" t="s">
        <v>1621</v>
      </c>
      <c r="N11530">
        <v>51.76</v>
      </c>
      <c r="O11530" s="49">
        <v>44756</v>
      </c>
      <c r="P11530" s="50">
        <v>308.9205</v>
      </c>
    </row>
    <row r="11531" spans="4:16" x14ac:dyDescent="0.2">
      <c r="D11531">
        <v>100006929</v>
      </c>
      <c r="E11531" s="49">
        <v>44285</v>
      </c>
      <c r="F11531" t="s">
        <v>7640</v>
      </c>
      <c r="G11531" t="s">
        <v>1693</v>
      </c>
      <c r="H11531">
        <v>8</v>
      </c>
      <c r="I11531">
        <v>82.95</v>
      </c>
      <c r="J11531" s="50">
        <v>663.6</v>
      </c>
      <c r="K11531" t="s">
        <v>1632</v>
      </c>
      <c r="M11531" t="s">
        <v>1629</v>
      </c>
      <c r="N11531">
        <v>43.78</v>
      </c>
      <c r="O11531" s="49">
        <v>44289</v>
      </c>
      <c r="P11531" s="50">
        <v>298.62</v>
      </c>
    </row>
    <row r="11532" spans="4:16" x14ac:dyDescent="0.2">
      <c r="D11532">
        <v>100006930</v>
      </c>
      <c r="E11532" s="49">
        <v>44332</v>
      </c>
      <c r="F11532" t="s">
        <v>7641</v>
      </c>
      <c r="G11532" t="s">
        <v>1701</v>
      </c>
      <c r="H11532">
        <v>4</v>
      </c>
      <c r="I11532">
        <v>58.21</v>
      </c>
      <c r="J11532" s="50">
        <v>232.84</v>
      </c>
      <c r="K11532" t="s">
        <v>1618</v>
      </c>
      <c r="M11532" t="s">
        <v>1619</v>
      </c>
      <c r="N11532">
        <v>30.72</v>
      </c>
      <c r="O11532" s="49">
        <v>44333</v>
      </c>
      <c r="P11532" s="50">
        <v>104.77800000000001</v>
      </c>
    </row>
    <row r="11533" spans="4:16" x14ac:dyDescent="0.2">
      <c r="D11533">
        <v>100006930</v>
      </c>
      <c r="E11533" s="49">
        <v>45225</v>
      </c>
      <c r="F11533" t="s">
        <v>7641</v>
      </c>
      <c r="G11533" t="s">
        <v>2628</v>
      </c>
      <c r="H11533">
        <v>7</v>
      </c>
      <c r="I11533">
        <v>82.51</v>
      </c>
      <c r="J11533" s="50">
        <v>577.57000000000005</v>
      </c>
      <c r="K11533" t="s">
        <v>1618</v>
      </c>
      <c r="M11533" t="s">
        <v>1624</v>
      </c>
      <c r="N11533">
        <v>43.55</v>
      </c>
      <c r="O11533" s="49">
        <v>45228</v>
      </c>
      <c r="P11533" s="50">
        <v>259.90650000000005</v>
      </c>
    </row>
    <row r="11534" spans="4:16" x14ac:dyDescent="0.2">
      <c r="D11534">
        <v>100006930</v>
      </c>
      <c r="E11534" s="49">
        <v>44386</v>
      </c>
      <c r="F11534" t="s">
        <v>7641</v>
      </c>
      <c r="G11534" t="s">
        <v>1704</v>
      </c>
      <c r="H11534">
        <v>5</v>
      </c>
      <c r="I11534">
        <v>79.58</v>
      </c>
      <c r="J11534" s="50">
        <v>397.9</v>
      </c>
      <c r="K11534" t="s">
        <v>1618</v>
      </c>
      <c r="M11534" t="s">
        <v>1624</v>
      </c>
      <c r="N11534">
        <v>42</v>
      </c>
      <c r="O11534" s="49">
        <v>44390</v>
      </c>
      <c r="P11534" s="50">
        <v>179.05500000000001</v>
      </c>
    </row>
    <row r="11535" spans="4:16" x14ac:dyDescent="0.2">
      <c r="D11535">
        <v>100006931</v>
      </c>
      <c r="E11535" s="49">
        <v>44563</v>
      </c>
      <c r="F11535" t="s">
        <v>7642</v>
      </c>
      <c r="G11535" t="s">
        <v>1671</v>
      </c>
      <c r="H11535">
        <v>1</v>
      </c>
      <c r="I11535">
        <v>89.99</v>
      </c>
      <c r="J11535" s="50">
        <v>89.99</v>
      </c>
      <c r="K11535" t="s">
        <v>1632</v>
      </c>
      <c r="M11535" t="s">
        <v>1624</v>
      </c>
      <c r="N11535">
        <v>47.49</v>
      </c>
      <c r="O11535" s="49">
        <v>44564</v>
      </c>
      <c r="P11535" s="50">
        <v>40.4955</v>
      </c>
    </row>
    <row r="11536" spans="4:16" x14ac:dyDescent="0.2">
      <c r="D11536">
        <v>100006933</v>
      </c>
      <c r="E11536" s="49">
        <v>45449</v>
      </c>
      <c r="F11536" t="s">
        <v>7643</v>
      </c>
      <c r="G11536" t="s">
        <v>2550</v>
      </c>
      <c r="H11536">
        <v>10</v>
      </c>
      <c r="I11536">
        <v>110.88</v>
      </c>
      <c r="J11536" s="50">
        <v>1108.8</v>
      </c>
      <c r="K11536" t="s">
        <v>1632</v>
      </c>
      <c r="M11536" t="s">
        <v>1624</v>
      </c>
      <c r="N11536">
        <v>58.52</v>
      </c>
      <c r="O11536" s="49">
        <v>45450</v>
      </c>
      <c r="P11536" s="50">
        <v>498.96</v>
      </c>
    </row>
    <row r="11537" spans="4:16" x14ac:dyDescent="0.2">
      <c r="D11537">
        <v>100006933</v>
      </c>
      <c r="E11537" s="49">
        <v>44386</v>
      </c>
      <c r="F11537" t="s">
        <v>7643</v>
      </c>
      <c r="G11537" t="s">
        <v>1688</v>
      </c>
      <c r="H11537">
        <v>10</v>
      </c>
      <c r="I11537">
        <v>55.43</v>
      </c>
      <c r="J11537" s="50">
        <v>554.29999999999995</v>
      </c>
      <c r="K11537" t="s">
        <v>1632</v>
      </c>
      <c r="M11537" t="s">
        <v>1627</v>
      </c>
      <c r="N11537">
        <v>29.25</v>
      </c>
      <c r="O11537" s="49">
        <v>44388</v>
      </c>
      <c r="P11537" s="50">
        <v>249.43499999999997</v>
      </c>
    </row>
    <row r="11538" spans="4:16" x14ac:dyDescent="0.2">
      <c r="D11538">
        <v>100006933</v>
      </c>
      <c r="E11538" s="49">
        <v>44779</v>
      </c>
      <c r="F11538" t="s">
        <v>7643</v>
      </c>
      <c r="G11538" t="s">
        <v>2628</v>
      </c>
      <c r="H11538">
        <v>9</v>
      </c>
      <c r="I11538">
        <v>87.36</v>
      </c>
      <c r="J11538" s="50">
        <v>786.24</v>
      </c>
      <c r="K11538" t="s">
        <v>1632</v>
      </c>
      <c r="M11538" t="s">
        <v>1621</v>
      </c>
      <c r="N11538">
        <v>46.11</v>
      </c>
      <c r="O11538" s="49">
        <v>44782</v>
      </c>
      <c r="P11538" s="50">
        <v>353.80799999999999</v>
      </c>
    </row>
    <row r="11539" spans="4:16" x14ac:dyDescent="0.2">
      <c r="D11539">
        <v>100006933</v>
      </c>
      <c r="E11539" s="49">
        <v>44952</v>
      </c>
      <c r="F11539" t="s">
        <v>7643</v>
      </c>
      <c r="G11539" t="s">
        <v>1777</v>
      </c>
      <c r="H11539">
        <v>10</v>
      </c>
      <c r="I11539">
        <v>70.239999999999995</v>
      </c>
      <c r="J11539" s="50">
        <v>702.4</v>
      </c>
      <c r="K11539" t="s">
        <v>1632</v>
      </c>
      <c r="M11539" t="s">
        <v>1629</v>
      </c>
      <c r="N11539">
        <v>37.07</v>
      </c>
      <c r="O11539" s="49">
        <v>44955</v>
      </c>
      <c r="P11539" s="50">
        <v>316.08</v>
      </c>
    </row>
    <row r="11540" spans="4:16" x14ac:dyDescent="0.2">
      <c r="D11540">
        <v>100006933</v>
      </c>
      <c r="E11540" s="49">
        <v>44980</v>
      </c>
      <c r="F11540" t="s">
        <v>7643</v>
      </c>
      <c r="G11540" t="s">
        <v>2163</v>
      </c>
      <c r="H11540">
        <v>2</v>
      </c>
      <c r="I11540">
        <v>91.26</v>
      </c>
      <c r="J11540" s="50">
        <v>182.52</v>
      </c>
      <c r="K11540" t="s">
        <v>1632</v>
      </c>
      <c r="M11540" t="s">
        <v>1627</v>
      </c>
      <c r="N11540">
        <v>48.16</v>
      </c>
      <c r="O11540" s="49">
        <v>44984</v>
      </c>
      <c r="P11540" s="50">
        <v>82.134</v>
      </c>
    </row>
    <row r="11541" spans="4:16" x14ac:dyDescent="0.2">
      <c r="D11541">
        <v>100006933</v>
      </c>
      <c r="E11541" s="49">
        <v>45185</v>
      </c>
      <c r="F11541" t="s">
        <v>7643</v>
      </c>
      <c r="G11541" t="s">
        <v>2062</v>
      </c>
      <c r="H11541">
        <v>7</v>
      </c>
      <c r="I11541">
        <v>41.37</v>
      </c>
      <c r="J11541" s="50">
        <v>289.58999999999997</v>
      </c>
      <c r="K11541" t="s">
        <v>1632</v>
      </c>
      <c r="M11541" t="s">
        <v>1619</v>
      </c>
      <c r="N11541">
        <v>21.83</v>
      </c>
      <c r="O11541" s="49">
        <v>45188</v>
      </c>
      <c r="P11541" s="50">
        <v>130.31549999999999</v>
      </c>
    </row>
    <row r="11542" spans="4:16" x14ac:dyDescent="0.2">
      <c r="D11542">
        <v>100006933</v>
      </c>
      <c r="E11542" s="49">
        <v>45046</v>
      </c>
      <c r="F11542" t="s">
        <v>7643</v>
      </c>
      <c r="G11542" t="s">
        <v>1631</v>
      </c>
      <c r="H11542">
        <v>5</v>
      </c>
      <c r="I11542">
        <v>106.03</v>
      </c>
      <c r="J11542" s="50">
        <v>530.15</v>
      </c>
      <c r="K11542" t="s">
        <v>1632</v>
      </c>
      <c r="M11542" t="s">
        <v>1621</v>
      </c>
      <c r="N11542">
        <v>55.96</v>
      </c>
      <c r="O11542" s="49">
        <v>45047</v>
      </c>
      <c r="P11542" s="50">
        <v>238.5675</v>
      </c>
    </row>
    <row r="11543" spans="4:16" x14ac:dyDescent="0.2">
      <c r="D11543">
        <v>100006935</v>
      </c>
      <c r="E11543" s="49">
        <v>45198</v>
      </c>
      <c r="F11543" t="s">
        <v>6788</v>
      </c>
      <c r="G11543" t="s">
        <v>2168</v>
      </c>
      <c r="H11543">
        <v>4</v>
      </c>
      <c r="I11543">
        <v>70.069999999999993</v>
      </c>
      <c r="J11543" s="50">
        <v>280.27999999999997</v>
      </c>
      <c r="K11543" t="s">
        <v>1632</v>
      </c>
      <c r="L11543" t="s">
        <v>2894</v>
      </c>
      <c r="M11543" t="s">
        <v>1621</v>
      </c>
      <c r="N11543">
        <v>36.979999999999997</v>
      </c>
      <c r="O11543" s="49">
        <v>45199</v>
      </c>
      <c r="P11543" s="50">
        <v>126.12599999999999</v>
      </c>
    </row>
    <row r="11544" spans="4:16" x14ac:dyDescent="0.2">
      <c r="D11544">
        <v>100006936</v>
      </c>
      <c r="E11544" s="49">
        <v>44719</v>
      </c>
      <c r="F11544" t="s">
        <v>7644</v>
      </c>
      <c r="G11544" t="s">
        <v>1686</v>
      </c>
      <c r="H11544">
        <v>3</v>
      </c>
      <c r="I11544">
        <v>27.47</v>
      </c>
      <c r="J11544" s="50">
        <v>82.41</v>
      </c>
      <c r="K11544" t="s">
        <v>1618</v>
      </c>
      <c r="L11544" t="s">
        <v>2310</v>
      </c>
      <c r="M11544" t="s">
        <v>1619</v>
      </c>
      <c r="N11544">
        <v>14.5</v>
      </c>
      <c r="O11544" s="49">
        <v>44724</v>
      </c>
      <c r="P11544" s="50">
        <v>37.084499999999998</v>
      </c>
    </row>
    <row r="11545" spans="4:16" x14ac:dyDescent="0.2">
      <c r="D11545">
        <v>100006937</v>
      </c>
      <c r="E11545" s="49">
        <v>44503</v>
      </c>
      <c r="F11545" t="s">
        <v>7645</v>
      </c>
      <c r="G11545" t="s">
        <v>1631</v>
      </c>
      <c r="H11545">
        <v>7</v>
      </c>
      <c r="I11545">
        <v>64.02</v>
      </c>
      <c r="J11545" s="50">
        <v>448.14</v>
      </c>
      <c r="K11545" t="s">
        <v>1632</v>
      </c>
      <c r="M11545" t="s">
        <v>1629</v>
      </c>
      <c r="N11545">
        <v>33.79</v>
      </c>
      <c r="O11545" s="49">
        <v>44508</v>
      </c>
      <c r="P11545" s="50">
        <v>201.66300000000001</v>
      </c>
    </row>
    <row r="11546" spans="4:16" x14ac:dyDescent="0.2">
      <c r="D11546">
        <v>100006941</v>
      </c>
      <c r="E11546" s="49">
        <v>45017</v>
      </c>
      <c r="F11546" t="s">
        <v>7646</v>
      </c>
      <c r="G11546" t="s">
        <v>1738</v>
      </c>
      <c r="H11546">
        <v>1</v>
      </c>
      <c r="I11546">
        <v>56.7</v>
      </c>
      <c r="J11546" s="50">
        <v>56.7</v>
      </c>
      <c r="K11546" t="s">
        <v>1632</v>
      </c>
      <c r="M11546" t="s">
        <v>1621</v>
      </c>
      <c r="N11546">
        <v>29.92</v>
      </c>
      <c r="O11546" s="49">
        <v>45022</v>
      </c>
      <c r="P11546" s="50">
        <v>25.515000000000001</v>
      </c>
    </row>
    <row r="11547" spans="4:16" x14ac:dyDescent="0.2">
      <c r="D11547">
        <v>100006943</v>
      </c>
      <c r="E11547" s="49">
        <v>45146</v>
      </c>
      <c r="F11547" t="s">
        <v>7647</v>
      </c>
      <c r="G11547" t="s">
        <v>1787</v>
      </c>
      <c r="H11547">
        <v>8</v>
      </c>
      <c r="I11547">
        <v>104.86</v>
      </c>
      <c r="J11547" s="50">
        <v>838.88</v>
      </c>
      <c r="K11547" t="s">
        <v>1618</v>
      </c>
      <c r="M11547" t="s">
        <v>1624</v>
      </c>
      <c r="N11547">
        <v>55.34</v>
      </c>
      <c r="O11547" s="49">
        <v>45151</v>
      </c>
      <c r="P11547" s="50">
        <v>377.49599999999998</v>
      </c>
    </row>
    <row r="11548" spans="4:16" x14ac:dyDescent="0.2">
      <c r="D11548">
        <v>100006943</v>
      </c>
      <c r="E11548" s="49">
        <v>44393</v>
      </c>
      <c r="F11548" t="s">
        <v>7647</v>
      </c>
      <c r="G11548" t="s">
        <v>2023</v>
      </c>
      <c r="H11548">
        <v>3</v>
      </c>
      <c r="I11548">
        <v>12.12</v>
      </c>
      <c r="J11548" s="50">
        <v>36.36</v>
      </c>
      <c r="K11548" t="s">
        <v>1618</v>
      </c>
      <c r="M11548" t="s">
        <v>1624</v>
      </c>
      <c r="N11548">
        <v>6.4</v>
      </c>
      <c r="O11548" s="49">
        <v>44396</v>
      </c>
      <c r="P11548" s="50">
        <v>16.362000000000002</v>
      </c>
    </row>
    <row r="11549" spans="4:16" x14ac:dyDescent="0.2">
      <c r="D11549">
        <v>100006944</v>
      </c>
      <c r="E11549" s="49">
        <v>44248</v>
      </c>
      <c r="F11549" t="s">
        <v>7648</v>
      </c>
      <c r="G11549" t="s">
        <v>2230</v>
      </c>
      <c r="H11549">
        <v>6</v>
      </c>
      <c r="I11549">
        <v>101.36</v>
      </c>
      <c r="J11549" s="50">
        <v>608.16</v>
      </c>
      <c r="K11549" t="s">
        <v>1618</v>
      </c>
      <c r="L11549" t="s">
        <v>7649</v>
      </c>
      <c r="M11549" t="s">
        <v>1619</v>
      </c>
      <c r="N11549">
        <v>53.5</v>
      </c>
      <c r="O11549" s="49">
        <v>44252</v>
      </c>
      <c r="P11549" s="50">
        <v>273.67199999999997</v>
      </c>
    </row>
    <row r="11550" spans="4:16" x14ac:dyDescent="0.2">
      <c r="D11550">
        <v>100006945</v>
      </c>
      <c r="E11550" s="49">
        <v>45336</v>
      </c>
      <c r="F11550" t="s">
        <v>2471</v>
      </c>
      <c r="G11550" t="s">
        <v>2484</v>
      </c>
      <c r="H11550">
        <v>9</v>
      </c>
      <c r="I11550">
        <v>14.79</v>
      </c>
      <c r="J11550" s="50">
        <v>133.11000000000001</v>
      </c>
      <c r="K11550" t="s">
        <v>1632</v>
      </c>
      <c r="M11550" t="s">
        <v>1624</v>
      </c>
      <c r="N11550">
        <v>7.81</v>
      </c>
      <c r="O11550" s="49">
        <v>45338</v>
      </c>
      <c r="P11550" s="50">
        <v>59.89950000000001</v>
      </c>
    </row>
    <row r="11551" spans="4:16" x14ac:dyDescent="0.2">
      <c r="D11551">
        <v>100006946</v>
      </c>
      <c r="E11551" s="49">
        <v>45230</v>
      </c>
      <c r="F11551" t="s">
        <v>7650</v>
      </c>
      <c r="G11551" t="s">
        <v>1652</v>
      </c>
      <c r="H11551">
        <v>9</v>
      </c>
      <c r="I11551">
        <v>94.58</v>
      </c>
      <c r="J11551" s="50">
        <v>851.22</v>
      </c>
      <c r="K11551" t="s">
        <v>1618</v>
      </c>
      <c r="M11551" t="s">
        <v>1629</v>
      </c>
      <c r="N11551">
        <v>49.92</v>
      </c>
      <c r="O11551" s="49">
        <v>45233</v>
      </c>
      <c r="P11551" s="50">
        <v>383.04900000000004</v>
      </c>
    </row>
    <row r="11552" spans="4:16" x14ac:dyDescent="0.2">
      <c r="D11552">
        <v>100006947</v>
      </c>
      <c r="E11552" s="49">
        <v>44544</v>
      </c>
      <c r="F11552" t="s">
        <v>7651</v>
      </c>
      <c r="G11552" t="s">
        <v>1670</v>
      </c>
      <c r="H11552">
        <v>8</v>
      </c>
      <c r="I11552">
        <v>69.2</v>
      </c>
      <c r="J11552" s="50">
        <v>553.6</v>
      </c>
      <c r="K11552" t="s">
        <v>1632</v>
      </c>
      <c r="L11552" t="s">
        <v>7652</v>
      </c>
      <c r="M11552" t="s">
        <v>1627</v>
      </c>
      <c r="N11552">
        <v>36.520000000000003</v>
      </c>
      <c r="O11552" s="49">
        <v>44545</v>
      </c>
      <c r="P11552" s="50">
        <v>249.12</v>
      </c>
    </row>
    <row r="11553" spans="4:16" x14ac:dyDescent="0.2">
      <c r="D11553">
        <v>100006947</v>
      </c>
      <c r="E11553" s="49">
        <v>45653</v>
      </c>
      <c r="F11553" t="s">
        <v>7651</v>
      </c>
      <c r="G11553" t="s">
        <v>2431</v>
      </c>
      <c r="H11553">
        <v>1</v>
      </c>
      <c r="I11553">
        <v>48.78</v>
      </c>
      <c r="J11553" s="50">
        <v>48.78</v>
      </c>
      <c r="K11553" t="s">
        <v>1632</v>
      </c>
      <c r="L11553" t="s">
        <v>7652</v>
      </c>
      <c r="M11553" t="s">
        <v>1621</v>
      </c>
      <c r="N11553">
        <v>25.74</v>
      </c>
      <c r="O11553" s="49">
        <v>45658</v>
      </c>
      <c r="P11553" s="50">
        <v>21.951000000000001</v>
      </c>
    </row>
    <row r="11554" spans="4:16" x14ac:dyDescent="0.2">
      <c r="D11554">
        <v>100006947</v>
      </c>
      <c r="E11554" s="49">
        <v>44762</v>
      </c>
      <c r="F11554" t="s">
        <v>7651</v>
      </c>
      <c r="G11554" t="s">
        <v>2269</v>
      </c>
      <c r="H11554">
        <v>4</v>
      </c>
      <c r="I11554">
        <v>35.130000000000003</v>
      </c>
      <c r="J11554" s="50">
        <v>140.52000000000001</v>
      </c>
      <c r="K11554" t="s">
        <v>1632</v>
      </c>
      <c r="L11554" t="s">
        <v>7652</v>
      </c>
      <c r="M11554" t="s">
        <v>1627</v>
      </c>
      <c r="N11554">
        <v>18.54</v>
      </c>
      <c r="O11554" s="49">
        <v>44767</v>
      </c>
      <c r="P11554" s="50">
        <v>63.234000000000009</v>
      </c>
    </row>
    <row r="11555" spans="4:16" x14ac:dyDescent="0.2">
      <c r="D11555">
        <v>100006947</v>
      </c>
      <c r="E11555" s="49">
        <v>44388</v>
      </c>
      <c r="F11555" t="s">
        <v>7651</v>
      </c>
      <c r="G11555" t="s">
        <v>2242</v>
      </c>
      <c r="H11555">
        <v>8</v>
      </c>
      <c r="I11555">
        <v>102.54</v>
      </c>
      <c r="J11555" s="50">
        <v>820.32</v>
      </c>
      <c r="K11555" t="s">
        <v>1632</v>
      </c>
      <c r="L11555" t="s">
        <v>7652</v>
      </c>
      <c r="M11555" t="s">
        <v>1627</v>
      </c>
      <c r="N11555">
        <v>54.12</v>
      </c>
      <c r="O11555" s="49">
        <v>44392</v>
      </c>
      <c r="P11555" s="50">
        <v>369.14400000000001</v>
      </c>
    </row>
    <row r="11556" spans="4:16" x14ac:dyDescent="0.2">
      <c r="D11556">
        <v>100006947</v>
      </c>
      <c r="E11556" s="49">
        <v>45203</v>
      </c>
      <c r="F11556" t="s">
        <v>7651</v>
      </c>
      <c r="G11556" t="s">
        <v>1724</v>
      </c>
      <c r="H11556">
        <v>7</v>
      </c>
      <c r="I11556">
        <v>46.09</v>
      </c>
      <c r="J11556" s="50">
        <v>322.63</v>
      </c>
      <c r="K11556" t="s">
        <v>1632</v>
      </c>
      <c r="L11556" t="s">
        <v>7652</v>
      </c>
      <c r="M11556" t="s">
        <v>1624</v>
      </c>
      <c r="N11556">
        <v>24.33</v>
      </c>
      <c r="O11556" s="49">
        <v>45206</v>
      </c>
      <c r="P11556" s="50">
        <v>145.18350000000001</v>
      </c>
    </row>
    <row r="11557" spans="4:16" x14ac:dyDescent="0.2">
      <c r="D11557">
        <v>100006947</v>
      </c>
      <c r="E11557" s="49">
        <v>44539</v>
      </c>
      <c r="F11557" t="s">
        <v>7651</v>
      </c>
      <c r="G11557" t="s">
        <v>2357</v>
      </c>
      <c r="H11557">
        <v>7</v>
      </c>
      <c r="I11557">
        <v>42.22</v>
      </c>
      <c r="J11557" s="50">
        <v>295.54000000000002</v>
      </c>
      <c r="K11557" t="s">
        <v>1632</v>
      </c>
      <c r="L11557" t="s">
        <v>7652</v>
      </c>
      <c r="M11557" t="s">
        <v>1621</v>
      </c>
      <c r="N11557">
        <v>22.28</v>
      </c>
      <c r="O11557" s="49">
        <v>44542</v>
      </c>
      <c r="P11557" s="50">
        <v>132.99300000000002</v>
      </c>
    </row>
    <row r="11558" spans="4:16" x14ac:dyDescent="0.2">
      <c r="D11558">
        <v>100006947</v>
      </c>
      <c r="E11558" s="49">
        <v>45334</v>
      </c>
      <c r="F11558" t="s">
        <v>7651</v>
      </c>
      <c r="G11558" t="s">
        <v>2202</v>
      </c>
      <c r="H11558">
        <v>8</v>
      </c>
      <c r="I11558">
        <v>16.48</v>
      </c>
      <c r="J11558" s="50">
        <v>131.84</v>
      </c>
      <c r="K11558" t="s">
        <v>1632</v>
      </c>
      <c r="L11558" t="s">
        <v>7652</v>
      </c>
      <c r="M11558" t="s">
        <v>1621</v>
      </c>
      <c r="N11558">
        <v>8.6999999999999993</v>
      </c>
      <c r="O11558" s="49">
        <v>45338</v>
      </c>
      <c r="P11558" s="50">
        <v>59.328000000000003</v>
      </c>
    </row>
    <row r="11559" spans="4:16" x14ac:dyDescent="0.2">
      <c r="D11559">
        <v>100006948</v>
      </c>
      <c r="E11559" s="49">
        <v>45053</v>
      </c>
      <c r="F11559" t="s">
        <v>7653</v>
      </c>
      <c r="G11559" t="s">
        <v>1859</v>
      </c>
      <c r="H11559">
        <v>4</v>
      </c>
      <c r="I11559">
        <v>65.91</v>
      </c>
      <c r="J11559" s="50">
        <v>263.64</v>
      </c>
      <c r="K11559" t="s">
        <v>1618</v>
      </c>
      <c r="M11559" t="s">
        <v>1627</v>
      </c>
      <c r="N11559">
        <v>34.79</v>
      </c>
      <c r="O11559" s="49">
        <v>45056</v>
      </c>
      <c r="P11559" s="50">
        <v>118.63799999999999</v>
      </c>
    </row>
    <row r="11560" spans="4:16" x14ac:dyDescent="0.2">
      <c r="D11560">
        <v>100006949</v>
      </c>
      <c r="E11560" s="49">
        <v>45005</v>
      </c>
      <c r="F11560" t="s">
        <v>7654</v>
      </c>
      <c r="G11560" t="s">
        <v>2436</v>
      </c>
      <c r="H11560">
        <v>5</v>
      </c>
      <c r="I11560">
        <v>70.63</v>
      </c>
      <c r="J11560" s="50">
        <v>353.15</v>
      </c>
      <c r="K11560" t="s">
        <v>1618</v>
      </c>
      <c r="L11560" t="s">
        <v>7655</v>
      </c>
      <c r="M11560" t="s">
        <v>1621</v>
      </c>
      <c r="N11560">
        <v>37.28</v>
      </c>
      <c r="O11560" s="49">
        <v>45009</v>
      </c>
      <c r="P11560" s="50">
        <v>158.91749999999999</v>
      </c>
    </row>
    <row r="11561" spans="4:16" x14ac:dyDescent="0.2">
      <c r="D11561">
        <v>100006949</v>
      </c>
      <c r="E11561" s="49">
        <v>45446</v>
      </c>
      <c r="F11561" t="s">
        <v>7654</v>
      </c>
      <c r="G11561" t="s">
        <v>1857</v>
      </c>
      <c r="H11561">
        <v>10</v>
      </c>
      <c r="I11561">
        <v>17.09</v>
      </c>
      <c r="J11561" s="50">
        <v>170.9</v>
      </c>
      <c r="K11561" t="s">
        <v>1618</v>
      </c>
      <c r="L11561" t="s">
        <v>7655</v>
      </c>
      <c r="M11561" t="s">
        <v>1619</v>
      </c>
      <c r="N11561">
        <v>9.02</v>
      </c>
      <c r="O11561" s="49">
        <v>45450</v>
      </c>
      <c r="P11561" s="50">
        <v>76.905000000000001</v>
      </c>
    </row>
    <row r="11562" spans="4:16" x14ac:dyDescent="0.2">
      <c r="D11562">
        <v>100006950</v>
      </c>
      <c r="E11562" s="49">
        <v>45638</v>
      </c>
      <c r="F11562" t="s">
        <v>7656</v>
      </c>
      <c r="G11562" t="s">
        <v>1944</v>
      </c>
      <c r="H11562">
        <v>8</v>
      </c>
      <c r="I11562">
        <v>86.41</v>
      </c>
      <c r="J11562" s="50">
        <v>691.28</v>
      </c>
      <c r="K11562" t="s">
        <v>1632</v>
      </c>
      <c r="M11562" t="s">
        <v>1627</v>
      </c>
      <c r="N11562">
        <v>45.6</v>
      </c>
      <c r="O11562" s="49">
        <v>45640</v>
      </c>
      <c r="P11562" s="50">
        <v>311.07600000000002</v>
      </c>
    </row>
    <row r="11563" spans="4:16" x14ac:dyDescent="0.2">
      <c r="D11563">
        <v>100006950</v>
      </c>
      <c r="E11563" s="49">
        <v>44267</v>
      </c>
      <c r="F11563" t="s">
        <v>7656</v>
      </c>
      <c r="G11563" t="s">
        <v>2348</v>
      </c>
      <c r="H11563">
        <v>3</v>
      </c>
      <c r="I11563">
        <v>98.09</v>
      </c>
      <c r="J11563" s="50">
        <v>294.27</v>
      </c>
      <c r="K11563" t="s">
        <v>1632</v>
      </c>
      <c r="M11563" t="s">
        <v>1627</v>
      </c>
      <c r="N11563">
        <v>51.77</v>
      </c>
      <c r="O11563" s="49">
        <v>44269</v>
      </c>
      <c r="P11563" s="50">
        <v>132.42150000000001</v>
      </c>
    </row>
    <row r="11564" spans="4:16" x14ac:dyDescent="0.2">
      <c r="D11564">
        <v>100006952</v>
      </c>
      <c r="E11564" s="49">
        <v>45573</v>
      </c>
      <c r="F11564" t="s">
        <v>3763</v>
      </c>
      <c r="G11564" t="s">
        <v>1817</v>
      </c>
      <c r="H11564">
        <v>3</v>
      </c>
      <c r="I11564">
        <v>49.27</v>
      </c>
      <c r="J11564" s="50">
        <v>147.81</v>
      </c>
      <c r="K11564" t="s">
        <v>1632</v>
      </c>
      <c r="M11564" t="s">
        <v>1619</v>
      </c>
      <c r="N11564">
        <v>26</v>
      </c>
      <c r="O11564" s="49">
        <v>45578</v>
      </c>
      <c r="P11564" s="50">
        <v>66.514499999999998</v>
      </c>
    </row>
    <row r="11565" spans="4:16" x14ac:dyDescent="0.2">
      <c r="D11565">
        <v>100006952</v>
      </c>
      <c r="E11565" s="49">
        <v>45295</v>
      </c>
      <c r="F11565" t="s">
        <v>3763</v>
      </c>
      <c r="G11565" t="s">
        <v>1857</v>
      </c>
      <c r="H11565">
        <v>8</v>
      </c>
      <c r="I11565">
        <v>88.79</v>
      </c>
      <c r="J11565" s="50">
        <v>710.32</v>
      </c>
      <c r="K11565" t="s">
        <v>1632</v>
      </c>
      <c r="M11565" t="s">
        <v>1627</v>
      </c>
      <c r="N11565">
        <v>46.86</v>
      </c>
      <c r="O11565" s="49">
        <v>45299</v>
      </c>
      <c r="P11565" s="50">
        <v>319.64400000000001</v>
      </c>
    </row>
    <row r="11566" spans="4:16" x14ac:dyDescent="0.2">
      <c r="D11566">
        <v>100006952</v>
      </c>
      <c r="E11566" s="49">
        <v>44428</v>
      </c>
      <c r="F11566" t="s">
        <v>3763</v>
      </c>
      <c r="G11566" t="s">
        <v>1620</v>
      </c>
      <c r="H11566">
        <v>5</v>
      </c>
      <c r="I11566">
        <v>17.25</v>
      </c>
      <c r="J11566" s="50">
        <v>86.25</v>
      </c>
      <c r="K11566" t="s">
        <v>1632</v>
      </c>
      <c r="M11566" t="s">
        <v>1627</v>
      </c>
      <c r="N11566">
        <v>9.1</v>
      </c>
      <c r="O11566" s="49">
        <v>44431</v>
      </c>
      <c r="P11566" s="50">
        <v>38.8125</v>
      </c>
    </row>
    <row r="11567" spans="4:16" x14ac:dyDescent="0.2">
      <c r="D11567">
        <v>100006952</v>
      </c>
      <c r="E11567" s="49">
        <v>44647</v>
      </c>
      <c r="F11567" t="s">
        <v>3763</v>
      </c>
      <c r="G11567" t="s">
        <v>2766</v>
      </c>
      <c r="H11567">
        <v>9</v>
      </c>
      <c r="I11567">
        <v>99.97</v>
      </c>
      <c r="J11567" s="50">
        <v>899.73</v>
      </c>
      <c r="K11567" t="s">
        <v>1632</v>
      </c>
      <c r="M11567" t="s">
        <v>1627</v>
      </c>
      <c r="N11567">
        <v>52.76</v>
      </c>
      <c r="O11567" s="49">
        <v>44652</v>
      </c>
      <c r="P11567" s="50">
        <v>404.87850000000003</v>
      </c>
    </row>
    <row r="11568" spans="4:16" x14ac:dyDescent="0.2">
      <c r="D11568">
        <v>100006952</v>
      </c>
      <c r="E11568" s="49">
        <v>44224</v>
      </c>
      <c r="F11568" t="s">
        <v>3763</v>
      </c>
      <c r="G11568" t="s">
        <v>1646</v>
      </c>
      <c r="H11568">
        <v>9</v>
      </c>
      <c r="I11568">
        <v>106.44</v>
      </c>
      <c r="J11568" s="50">
        <v>957.96</v>
      </c>
      <c r="K11568" t="s">
        <v>1632</v>
      </c>
      <c r="M11568" t="s">
        <v>1621</v>
      </c>
      <c r="N11568">
        <v>56.18</v>
      </c>
      <c r="O11568" s="49">
        <v>44225</v>
      </c>
      <c r="P11568" s="50">
        <v>431.08200000000005</v>
      </c>
    </row>
    <row r="11569" spans="4:16" x14ac:dyDescent="0.2">
      <c r="D11569">
        <v>100006953</v>
      </c>
      <c r="E11569" s="49">
        <v>44405</v>
      </c>
      <c r="F11569" t="s">
        <v>7657</v>
      </c>
      <c r="G11569" t="s">
        <v>1677</v>
      </c>
      <c r="H11569">
        <v>10</v>
      </c>
      <c r="I11569">
        <v>115.36</v>
      </c>
      <c r="J11569" s="50">
        <v>1153.5999999999999</v>
      </c>
      <c r="K11569" t="s">
        <v>1618</v>
      </c>
      <c r="M11569" t="s">
        <v>1629</v>
      </c>
      <c r="N11569">
        <v>60.88</v>
      </c>
      <c r="O11569" s="49">
        <v>44407</v>
      </c>
      <c r="P11569" s="50">
        <v>519.12</v>
      </c>
    </row>
    <row r="11570" spans="4:16" x14ac:dyDescent="0.2">
      <c r="D11570">
        <v>100006954</v>
      </c>
      <c r="E11570" s="49">
        <v>44401</v>
      </c>
      <c r="F11570" t="s">
        <v>7658</v>
      </c>
      <c r="G11570" t="s">
        <v>1631</v>
      </c>
      <c r="H11570">
        <v>3</v>
      </c>
      <c r="I11570">
        <v>24.34</v>
      </c>
      <c r="J11570" s="50">
        <v>73.02</v>
      </c>
      <c r="K11570" t="s">
        <v>1618</v>
      </c>
      <c r="M11570" t="s">
        <v>1627</v>
      </c>
      <c r="N11570">
        <v>12.85</v>
      </c>
      <c r="O11570" s="49">
        <v>44403</v>
      </c>
      <c r="P11570" s="50">
        <v>32.859000000000002</v>
      </c>
    </row>
    <row r="11571" spans="4:16" x14ac:dyDescent="0.2">
      <c r="D11571">
        <v>100006956</v>
      </c>
      <c r="E11571" s="49">
        <v>44782</v>
      </c>
      <c r="F11571" t="s">
        <v>7659</v>
      </c>
      <c r="G11571" t="s">
        <v>1844</v>
      </c>
      <c r="H11571">
        <v>9</v>
      </c>
      <c r="I11571">
        <v>113.59</v>
      </c>
      <c r="J11571" s="50">
        <v>1022.31</v>
      </c>
      <c r="K11571" t="s">
        <v>1618</v>
      </c>
      <c r="L11571" t="s">
        <v>2653</v>
      </c>
      <c r="M11571" t="s">
        <v>1619</v>
      </c>
      <c r="N11571">
        <v>59.95</v>
      </c>
      <c r="O11571" s="49">
        <v>44786</v>
      </c>
      <c r="P11571" s="50">
        <v>460.03949999999998</v>
      </c>
    </row>
    <row r="11572" spans="4:16" x14ac:dyDescent="0.2">
      <c r="D11572">
        <v>100006957</v>
      </c>
      <c r="E11572" s="49">
        <v>45389</v>
      </c>
      <c r="F11572" t="s">
        <v>7660</v>
      </c>
      <c r="G11572" t="s">
        <v>2387</v>
      </c>
      <c r="H11572">
        <v>4</v>
      </c>
      <c r="I11572">
        <v>39.36</v>
      </c>
      <c r="J11572" s="50">
        <v>157.44</v>
      </c>
      <c r="K11572" t="s">
        <v>1618</v>
      </c>
      <c r="M11572" t="s">
        <v>1624</v>
      </c>
      <c r="N11572">
        <v>20.77</v>
      </c>
      <c r="O11572" s="49">
        <v>45394</v>
      </c>
      <c r="P11572" s="50">
        <v>70.847999999999999</v>
      </c>
    </row>
    <row r="11573" spans="4:16" x14ac:dyDescent="0.2">
      <c r="D11573">
        <v>100006958</v>
      </c>
      <c r="E11573" s="49">
        <v>44463</v>
      </c>
      <c r="F11573" t="s">
        <v>7661</v>
      </c>
      <c r="G11573" t="s">
        <v>1672</v>
      </c>
      <c r="H11573">
        <v>6</v>
      </c>
      <c r="I11573">
        <v>49.01</v>
      </c>
      <c r="J11573" s="50">
        <v>294.06</v>
      </c>
      <c r="K11573" t="s">
        <v>1618</v>
      </c>
      <c r="L11573" t="s">
        <v>3883</v>
      </c>
      <c r="M11573" t="s">
        <v>1619</v>
      </c>
      <c r="N11573">
        <v>25.87</v>
      </c>
      <c r="O11573" s="49">
        <v>44468</v>
      </c>
      <c r="P11573" s="50">
        <v>132.327</v>
      </c>
    </row>
    <row r="11574" spans="4:16" x14ac:dyDescent="0.2">
      <c r="D11574">
        <v>100006958</v>
      </c>
      <c r="E11574" s="49">
        <v>45060</v>
      </c>
      <c r="F11574" t="s">
        <v>7661</v>
      </c>
      <c r="G11574" t="s">
        <v>1701</v>
      </c>
      <c r="H11574">
        <v>9</v>
      </c>
      <c r="I11574">
        <v>115.83</v>
      </c>
      <c r="J11574" s="50">
        <v>1042.47</v>
      </c>
      <c r="K11574" t="s">
        <v>1618</v>
      </c>
      <c r="L11574" t="s">
        <v>3883</v>
      </c>
      <c r="M11574" t="s">
        <v>1619</v>
      </c>
      <c r="N11574">
        <v>61.13</v>
      </c>
      <c r="O11574" s="49">
        <v>45065</v>
      </c>
      <c r="P11574" s="50">
        <v>469.11150000000004</v>
      </c>
    </row>
    <row r="11575" spans="4:16" x14ac:dyDescent="0.2">
      <c r="D11575">
        <v>100006960</v>
      </c>
      <c r="E11575" s="49">
        <v>44999</v>
      </c>
      <c r="F11575" t="s">
        <v>7662</v>
      </c>
      <c r="G11575" t="s">
        <v>1642</v>
      </c>
      <c r="H11575">
        <v>3</v>
      </c>
      <c r="I11575">
        <v>108</v>
      </c>
      <c r="J11575" s="50">
        <v>324</v>
      </c>
      <c r="K11575" t="s">
        <v>1632</v>
      </c>
      <c r="M11575" t="s">
        <v>1629</v>
      </c>
      <c r="N11575">
        <v>57</v>
      </c>
      <c r="O11575" s="49">
        <v>45003</v>
      </c>
      <c r="P11575" s="50">
        <v>145.80000000000001</v>
      </c>
    </row>
    <row r="11576" spans="4:16" x14ac:dyDescent="0.2">
      <c r="D11576">
        <v>100006960</v>
      </c>
      <c r="E11576" s="49">
        <v>45330</v>
      </c>
      <c r="F11576" t="s">
        <v>7662</v>
      </c>
      <c r="G11576" t="s">
        <v>2431</v>
      </c>
      <c r="H11576">
        <v>4</v>
      </c>
      <c r="I11576">
        <v>63.55</v>
      </c>
      <c r="J11576" s="50">
        <v>254.2</v>
      </c>
      <c r="K11576" t="s">
        <v>1632</v>
      </c>
      <c r="M11576" t="s">
        <v>1621</v>
      </c>
      <c r="N11576">
        <v>33.54</v>
      </c>
      <c r="O11576" s="49">
        <v>45335</v>
      </c>
      <c r="P11576" s="50">
        <v>114.39</v>
      </c>
    </row>
    <row r="11577" spans="4:16" x14ac:dyDescent="0.2">
      <c r="D11577">
        <v>100006961</v>
      </c>
      <c r="E11577" s="49">
        <v>45049</v>
      </c>
      <c r="F11577" t="s">
        <v>7663</v>
      </c>
      <c r="G11577" t="s">
        <v>2151</v>
      </c>
      <c r="H11577">
        <v>3</v>
      </c>
      <c r="I11577">
        <v>26.75</v>
      </c>
      <c r="J11577" s="50">
        <v>80.25</v>
      </c>
      <c r="K11577" t="s">
        <v>1618</v>
      </c>
      <c r="L11577" t="s">
        <v>2119</v>
      </c>
      <c r="M11577" t="s">
        <v>1624</v>
      </c>
      <c r="N11577">
        <v>14.12</v>
      </c>
      <c r="O11577" s="49">
        <v>45054</v>
      </c>
      <c r="P11577" s="50">
        <v>36.112500000000004</v>
      </c>
    </row>
    <row r="11578" spans="4:16" x14ac:dyDescent="0.2">
      <c r="D11578">
        <v>100006962</v>
      </c>
      <c r="E11578" s="49">
        <v>45477</v>
      </c>
      <c r="F11578" t="s">
        <v>3601</v>
      </c>
      <c r="G11578" t="s">
        <v>2436</v>
      </c>
      <c r="H11578">
        <v>2</v>
      </c>
      <c r="I11578">
        <v>75.819999999999993</v>
      </c>
      <c r="J11578" s="50">
        <v>151.63999999999999</v>
      </c>
      <c r="K11578" t="s">
        <v>1632</v>
      </c>
      <c r="M11578" t="s">
        <v>1619</v>
      </c>
      <c r="N11578">
        <v>40.020000000000003</v>
      </c>
      <c r="O11578" s="49">
        <v>45479</v>
      </c>
      <c r="P11578" s="50">
        <v>68.238</v>
      </c>
    </row>
    <row r="11579" spans="4:16" x14ac:dyDescent="0.2">
      <c r="D11579">
        <v>100006963</v>
      </c>
      <c r="E11579" s="49">
        <v>44673</v>
      </c>
      <c r="F11579" t="s">
        <v>7664</v>
      </c>
      <c r="G11579" t="s">
        <v>1664</v>
      </c>
      <c r="H11579">
        <v>8</v>
      </c>
      <c r="I11579">
        <v>16.97</v>
      </c>
      <c r="J11579" s="50">
        <v>135.76</v>
      </c>
      <c r="K11579" t="s">
        <v>1632</v>
      </c>
      <c r="M11579" t="s">
        <v>1619</v>
      </c>
      <c r="N11579">
        <v>8.9600000000000009</v>
      </c>
      <c r="O11579" s="49">
        <v>44675</v>
      </c>
      <c r="P11579" s="50">
        <v>61.091999999999999</v>
      </c>
    </row>
    <row r="11580" spans="4:16" x14ac:dyDescent="0.2">
      <c r="D11580">
        <v>100006963</v>
      </c>
      <c r="E11580" s="49">
        <v>44638</v>
      </c>
      <c r="F11580" t="s">
        <v>7664</v>
      </c>
      <c r="G11580" t="s">
        <v>2017</v>
      </c>
      <c r="H11580">
        <v>10</v>
      </c>
      <c r="I11580">
        <v>95.8</v>
      </c>
      <c r="J11580" s="50">
        <v>958</v>
      </c>
      <c r="K11580" t="s">
        <v>1632</v>
      </c>
      <c r="M11580" t="s">
        <v>1627</v>
      </c>
      <c r="N11580">
        <v>50.56</v>
      </c>
      <c r="O11580" s="49">
        <v>44640</v>
      </c>
      <c r="P11580" s="50">
        <v>431.1</v>
      </c>
    </row>
    <row r="11581" spans="4:16" x14ac:dyDescent="0.2">
      <c r="D11581">
        <v>100006965</v>
      </c>
      <c r="E11581" s="49">
        <v>45242</v>
      </c>
      <c r="F11581" t="s">
        <v>7665</v>
      </c>
      <c r="G11581" t="s">
        <v>2373</v>
      </c>
      <c r="H11581">
        <v>9</v>
      </c>
      <c r="I11581">
        <v>110.03</v>
      </c>
      <c r="J11581" s="50">
        <v>990.27</v>
      </c>
      <c r="K11581" t="s">
        <v>1618</v>
      </c>
      <c r="M11581" t="s">
        <v>1624</v>
      </c>
      <c r="N11581">
        <v>58.07</v>
      </c>
      <c r="O11581" s="49">
        <v>45246</v>
      </c>
      <c r="P11581" s="50">
        <v>445.62150000000003</v>
      </c>
    </row>
    <row r="11582" spans="4:16" x14ac:dyDescent="0.2">
      <c r="D11582">
        <v>100006966</v>
      </c>
      <c r="E11582" s="49">
        <v>44294</v>
      </c>
      <c r="F11582" t="s">
        <v>7666</v>
      </c>
      <c r="G11582" t="s">
        <v>1955</v>
      </c>
      <c r="H11582">
        <v>7</v>
      </c>
      <c r="I11582">
        <v>65.25</v>
      </c>
      <c r="J11582" s="50">
        <v>456.75</v>
      </c>
      <c r="K11582" t="s">
        <v>1632</v>
      </c>
      <c r="M11582" t="s">
        <v>1621</v>
      </c>
      <c r="N11582">
        <v>34.44</v>
      </c>
      <c r="O11582" s="49">
        <v>44295</v>
      </c>
      <c r="P11582" s="50">
        <v>205.53749999999999</v>
      </c>
    </row>
    <row r="11583" spans="4:16" x14ac:dyDescent="0.2">
      <c r="D11583">
        <v>100006967</v>
      </c>
      <c r="E11583" s="49">
        <v>44824</v>
      </c>
      <c r="F11583" t="s">
        <v>7667</v>
      </c>
      <c r="G11583" t="s">
        <v>1652</v>
      </c>
      <c r="H11583">
        <v>7</v>
      </c>
      <c r="I11583">
        <v>89.52</v>
      </c>
      <c r="J11583" s="50">
        <v>626.64</v>
      </c>
      <c r="K11583" t="s">
        <v>1618</v>
      </c>
      <c r="L11583" t="s">
        <v>7668</v>
      </c>
      <c r="M11583" t="s">
        <v>1627</v>
      </c>
      <c r="N11583">
        <v>47.25</v>
      </c>
      <c r="O11583" s="49">
        <v>44828</v>
      </c>
      <c r="P11583" s="50">
        <v>281.988</v>
      </c>
    </row>
    <row r="11584" spans="4:16" x14ac:dyDescent="0.2">
      <c r="D11584">
        <v>100006967</v>
      </c>
      <c r="E11584" s="49">
        <v>44720</v>
      </c>
      <c r="F11584" t="s">
        <v>7667</v>
      </c>
      <c r="G11584" t="s">
        <v>2155</v>
      </c>
      <c r="H11584">
        <v>9</v>
      </c>
      <c r="I11584">
        <v>24.6</v>
      </c>
      <c r="J11584" s="50">
        <v>221.4</v>
      </c>
      <c r="K11584" t="s">
        <v>1618</v>
      </c>
      <c r="L11584" t="s">
        <v>7668</v>
      </c>
      <c r="M11584" t="s">
        <v>1627</v>
      </c>
      <c r="N11584">
        <v>12.98</v>
      </c>
      <c r="O11584" s="49">
        <v>44724</v>
      </c>
      <c r="P11584" s="50">
        <v>99.63000000000001</v>
      </c>
    </row>
    <row r="11585" spans="4:16" x14ac:dyDescent="0.2">
      <c r="D11585">
        <v>100006971</v>
      </c>
      <c r="E11585" s="49">
        <v>45334</v>
      </c>
      <c r="F11585" t="s">
        <v>7669</v>
      </c>
      <c r="G11585" t="s">
        <v>1723</v>
      </c>
      <c r="H11585">
        <v>3</v>
      </c>
      <c r="I11585">
        <v>65.95</v>
      </c>
      <c r="J11585" s="50">
        <v>197.85</v>
      </c>
      <c r="K11585" t="s">
        <v>1632</v>
      </c>
      <c r="M11585" t="s">
        <v>1624</v>
      </c>
      <c r="N11585">
        <v>34.81</v>
      </c>
      <c r="O11585" s="49">
        <v>45339</v>
      </c>
      <c r="P11585" s="50">
        <v>89.032499999999999</v>
      </c>
    </row>
    <row r="11586" spans="4:16" x14ac:dyDescent="0.2">
      <c r="D11586">
        <v>100006971</v>
      </c>
      <c r="E11586" s="49">
        <v>44229</v>
      </c>
      <c r="F11586" t="s">
        <v>7669</v>
      </c>
      <c r="G11586" t="s">
        <v>1626</v>
      </c>
      <c r="H11586">
        <v>5</v>
      </c>
      <c r="I11586">
        <v>96.36</v>
      </c>
      <c r="J11586" s="50">
        <v>481.8</v>
      </c>
      <c r="K11586" t="s">
        <v>1632</v>
      </c>
      <c r="M11586" t="s">
        <v>1619</v>
      </c>
      <c r="N11586">
        <v>50.86</v>
      </c>
      <c r="O11586" s="49">
        <v>44233</v>
      </c>
      <c r="P11586" s="50">
        <v>216.81</v>
      </c>
    </row>
    <row r="11587" spans="4:16" x14ac:dyDescent="0.2">
      <c r="D11587">
        <v>100006973</v>
      </c>
      <c r="E11587" s="49">
        <v>44862</v>
      </c>
      <c r="F11587" t="s">
        <v>7670</v>
      </c>
      <c r="G11587" t="s">
        <v>1670</v>
      </c>
      <c r="H11587">
        <v>8</v>
      </c>
      <c r="I11587">
        <v>98.37</v>
      </c>
      <c r="J11587" s="50">
        <v>786.96</v>
      </c>
      <c r="K11587" t="s">
        <v>1618</v>
      </c>
      <c r="M11587" t="s">
        <v>1624</v>
      </c>
      <c r="N11587">
        <v>51.92</v>
      </c>
      <c r="O11587" s="49">
        <v>44866</v>
      </c>
      <c r="P11587" s="50">
        <v>354.13200000000001</v>
      </c>
    </row>
    <row r="11588" spans="4:16" x14ac:dyDescent="0.2">
      <c r="D11588">
        <v>100006974</v>
      </c>
      <c r="E11588" s="49">
        <v>45541</v>
      </c>
      <c r="F11588" t="s">
        <v>7671</v>
      </c>
      <c r="G11588" t="s">
        <v>2628</v>
      </c>
      <c r="H11588">
        <v>6</v>
      </c>
      <c r="I11588">
        <v>49.98</v>
      </c>
      <c r="J11588" s="50">
        <v>299.88</v>
      </c>
      <c r="K11588" t="s">
        <v>1618</v>
      </c>
      <c r="M11588" t="s">
        <v>1629</v>
      </c>
      <c r="N11588">
        <v>26.38</v>
      </c>
      <c r="O11588" s="49">
        <v>45542</v>
      </c>
      <c r="P11588" s="50">
        <v>134.946</v>
      </c>
    </row>
    <row r="11589" spans="4:16" x14ac:dyDescent="0.2">
      <c r="D11589">
        <v>100006974</v>
      </c>
      <c r="E11589" s="49">
        <v>45087</v>
      </c>
      <c r="F11589" t="s">
        <v>7671</v>
      </c>
      <c r="G11589" t="s">
        <v>2240</v>
      </c>
      <c r="H11589">
        <v>10</v>
      </c>
      <c r="I11589">
        <v>88.62</v>
      </c>
      <c r="J11589" s="50">
        <v>886.2</v>
      </c>
      <c r="K11589" t="s">
        <v>1618</v>
      </c>
      <c r="M11589" t="s">
        <v>1627</v>
      </c>
      <c r="N11589">
        <v>46.77</v>
      </c>
      <c r="O11589" s="49">
        <v>45088</v>
      </c>
      <c r="P11589" s="50">
        <v>398.79</v>
      </c>
    </row>
    <row r="11590" spans="4:16" x14ac:dyDescent="0.2">
      <c r="D11590">
        <v>100006975</v>
      </c>
      <c r="E11590" s="49">
        <v>44503</v>
      </c>
      <c r="F11590" t="s">
        <v>7672</v>
      </c>
      <c r="G11590" t="s">
        <v>1623</v>
      </c>
      <c r="H11590">
        <v>8</v>
      </c>
      <c r="I11590">
        <v>36.090000000000003</v>
      </c>
      <c r="J11590" s="50">
        <v>288.72000000000003</v>
      </c>
      <c r="K11590" t="s">
        <v>1632</v>
      </c>
      <c r="L11590" t="s">
        <v>7673</v>
      </c>
      <c r="M11590" t="s">
        <v>1621</v>
      </c>
      <c r="N11590">
        <v>19.05</v>
      </c>
      <c r="O11590" s="49">
        <v>44507</v>
      </c>
      <c r="P11590" s="50">
        <v>129.92400000000001</v>
      </c>
    </row>
    <row r="11591" spans="4:16" x14ac:dyDescent="0.2">
      <c r="D11591">
        <v>100006976</v>
      </c>
      <c r="E11591" s="49">
        <v>44844</v>
      </c>
      <c r="F11591" t="s">
        <v>3995</v>
      </c>
      <c r="G11591" t="s">
        <v>2142</v>
      </c>
      <c r="H11591">
        <v>8</v>
      </c>
      <c r="I11591">
        <v>54.47</v>
      </c>
      <c r="J11591" s="50">
        <v>435.76</v>
      </c>
      <c r="K11591" t="s">
        <v>1618</v>
      </c>
      <c r="L11591" t="s">
        <v>2176</v>
      </c>
      <c r="M11591" t="s">
        <v>1619</v>
      </c>
      <c r="N11591">
        <v>28.75</v>
      </c>
      <c r="O11591" s="49">
        <v>44848</v>
      </c>
      <c r="P11591" s="50">
        <v>196.09200000000001</v>
      </c>
    </row>
    <row r="11592" spans="4:16" x14ac:dyDescent="0.2">
      <c r="D11592">
        <v>100006977</v>
      </c>
      <c r="E11592" s="49">
        <v>45570</v>
      </c>
      <c r="F11592" t="s">
        <v>7674</v>
      </c>
      <c r="G11592" t="s">
        <v>2550</v>
      </c>
      <c r="H11592">
        <v>7</v>
      </c>
      <c r="I11592">
        <v>65.22</v>
      </c>
      <c r="J11592" s="50">
        <v>456.54</v>
      </c>
      <c r="K11592" t="s">
        <v>1632</v>
      </c>
      <c r="M11592" t="s">
        <v>1621</v>
      </c>
      <c r="N11592">
        <v>34.42</v>
      </c>
      <c r="O11592" s="49">
        <v>45573</v>
      </c>
      <c r="P11592" s="50">
        <v>205.44300000000001</v>
      </c>
    </row>
    <row r="11593" spans="4:16" x14ac:dyDescent="0.2">
      <c r="D11593">
        <v>100006978</v>
      </c>
      <c r="E11593" s="49">
        <v>45576</v>
      </c>
      <c r="F11593" t="s">
        <v>7675</v>
      </c>
      <c r="G11593" t="s">
        <v>1715</v>
      </c>
      <c r="H11593">
        <v>7</v>
      </c>
      <c r="I11593">
        <v>81.209999999999994</v>
      </c>
      <c r="J11593" s="50">
        <v>568.46999999999991</v>
      </c>
      <c r="K11593" t="s">
        <v>1632</v>
      </c>
      <c r="M11593" t="s">
        <v>1627</v>
      </c>
      <c r="N11593">
        <v>42.86</v>
      </c>
      <c r="O11593" s="49">
        <v>45577</v>
      </c>
      <c r="P11593" s="50">
        <v>255.81149999999997</v>
      </c>
    </row>
    <row r="11594" spans="4:16" x14ac:dyDescent="0.2">
      <c r="D11594">
        <v>100006978</v>
      </c>
      <c r="E11594" s="49">
        <v>45601</v>
      </c>
      <c r="F11594" t="s">
        <v>7675</v>
      </c>
      <c r="G11594" t="s">
        <v>1728</v>
      </c>
      <c r="H11594">
        <v>10</v>
      </c>
      <c r="I11594">
        <v>67.86</v>
      </c>
      <c r="J11594" s="50">
        <v>678.6</v>
      </c>
      <c r="K11594" t="s">
        <v>1632</v>
      </c>
      <c r="M11594" t="s">
        <v>1624</v>
      </c>
      <c r="N11594">
        <v>35.81</v>
      </c>
      <c r="O11594" s="49">
        <v>45604</v>
      </c>
      <c r="P11594" s="50">
        <v>305.37</v>
      </c>
    </row>
    <row r="11595" spans="4:16" x14ac:dyDescent="0.2">
      <c r="D11595">
        <v>100006980</v>
      </c>
      <c r="E11595" s="49">
        <v>44387</v>
      </c>
      <c r="F11595" t="s">
        <v>7676</v>
      </c>
      <c r="G11595" t="s">
        <v>2004</v>
      </c>
      <c r="H11595">
        <v>1</v>
      </c>
      <c r="I11595">
        <v>69.67</v>
      </c>
      <c r="J11595" s="50">
        <v>69.67</v>
      </c>
      <c r="K11595" t="s">
        <v>1618</v>
      </c>
      <c r="M11595" t="s">
        <v>1624</v>
      </c>
      <c r="N11595">
        <v>36.770000000000003</v>
      </c>
      <c r="O11595" s="49">
        <v>44391</v>
      </c>
      <c r="P11595" s="50">
        <v>31.351500000000001</v>
      </c>
    </row>
    <row r="11596" spans="4:16" x14ac:dyDescent="0.2">
      <c r="D11596">
        <v>100006982</v>
      </c>
      <c r="E11596" s="49">
        <v>45233</v>
      </c>
      <c r="F11596" t="s">
        <v>7677</v>
      </c>
      <c r="G11596" t="s">
        <v>2198</v>
      </c>
      <c r="H11596">
        <v>3</v>
      </c>
      <c r="I11596">
        <v>22.41</v>
      </c>
      <c r="J11596" s="50">
        <v>67.23</v>
      </c>
      <c r="K11596" t="s">
        <v>1618</v>
      </c>
      <c r="M11596" t="s">
        <v>1629</v>
      </c>
      <c r="N11596">
        <v>11.83</v>
      </c>
      <c r="O11596" s="49">
        <v>45236</v>
      </c>
      <c r="P11596" s="50">
        <v>30.253500000000003</v>
      </c>
    </row>
    <row r="11597" spans="4:16" x14ac:dyDescent="0.2">
      <c r="D11597">
        <v>100006982</v>
      </c>
      <c r="E11597" s="49">
        <v>44923</v>
      </c>
      <c r="F11597" t="s">
        <v>7677</v>
      </c>
      <c r="G11597" t="s">
        <v>2553</v>
      </c>
      <c r="H11597">
        <v>10</v>
      </c>
      <c r="I11597">
        <v>55.7</v>
      </c>
      <c r="J11597" s="50">
        <v>557</v>
      </c>
      <c r="K11597" t="s">
        <v>1618</v>
      </c>
      <c r="M11597" t="s">
        <v>1619</v>
      </c>
      <c r="N11597">
        <v>29.4</v>
      </c>
      <c r="O11597" s="49">
        <v>44925</v>
      </c>
      <c r="P11597" s="50">
        <v>250.65</v>
      </c>
    </row>
    <row r="11598" spans="4:16" x14ac:dyDescent="0.2">
      <c r="D11598">
        <v>100006982</v>
      </c>
      <c r="E11598" s="49">
        <v>44263</v>
      </c>
      <c r="F11598" t="s">
        <v>7677</v>
      </c>
      <c r="G11598" t="s">
        <v>1877</v>
      </c>
      <c r="H11598">
        <v>7</v>
      </c>
      <c r="I11598">
        <v>21.73</v>
      </c>
      <c r="J11598" s="50">
        <v>152.11000000000001</v>
      </c>
      <c r="K11598" t="s">
        <v>1618</v>
      </c>
      <c r="M11598" t="s">
        <v>1629</v>
      </c>
      <c r="N11598">
        <v>11.47</v>
      </c>
      <c r="O11598" s="49">
        <v>44264</v>
      </c>
      <c r="P11598" s="50">
        <v>68.449500000000015</v>
      </c>
    </row>
    <row r="11599" spans="4:16" x14ac:dyDescent="0.2">
      <c r="D11599">
        <v>100006983</v>
      </c>
      <c r="E11599" s="49">
        <v>44285</v>
      </c>
      <c r="F11599" t="s">
        <v>7678</v>
      </c>
      <c r="G11599" t="s">
        <v>2585</v>
      </c>
      <c r="H11599">
        <v>7</v>
      </c>
      <c r="I11599">
        <v>113.22</v>
      </c>
      <c r="J11599" s="50">
        <v>792.54</v>
      </c>
      <c r="K11599" t="s">
        <v>1618</v>
      </c>
      <c r="L11599" t="s">
        <v>7679</v>
      </c>
      <c r="M11599" t="s">
        <v>1621</v>
      </c>
      <c r="N11599">
        <v>59.75</v>
      </c>
      <c r="O11599" s="49">
        <v>44290</v>
      </c>
      <c r="P11599" s="50">
        <v>356.64299999999997</v>
      </c>
    </row>
    <row r="11600" spans="4:16" x14ac:dyDescent="0.2">
      <c r="D11600">
        <v>100006984</v>
      </c>
      <c r="E11600" s="49">
        <v>45107</v>
      </c>
      <c r="F11600" t="s">
        <v>7680</v>
      </c>
      <c r="G11600" t="s">
        <v>2057</v>
      </c>
      <c r="H11600">
        <v>1</v>
      </c>
      <c r="I11600">
        <v>73.569999999999993</v>
      </c>
      <c r="J11600" s="50">
        <v>73.569999999999993</v>
      </c>
      <c r="K11600" t="s">
        <v>1632</v>
      </c>
      <c r="M11600" t="s">
        <v>1621</v>
      </c>
      <c r="N11600">
        <v>38.83</v>
      </c>
      <c r="O11600" s="49">
        <v>45112</v>
      </c>
      <c r="P11600" s="50">
        <v>33.106499999999997</v>
      </c>
    </row>
    <row r="11601" spans="4:16" x14ac:dyDescent="0.2">
      <c r="D11601">
        <v>100006984</v>
      </c>
      <c r="E11601" s="49">
        <v>45343</v>
      </c>
      <c r="F11601" t="s">
        <v>7680</v>
      </c>
      <c r="G11601" t="s">
        <v>1817</v>
      </c>
      <c r="H11601">
        <v>1</v>
      </c>
      <c r="I11601">
        <v>25.4</v>
      </c>
      <c r="J11601" s="50">
        <v>25.4</v>
      </c>
      <c r="K11601" t="s">
        <v>1632</v>
      </c>
      <c r="M11601" t="s">
        <v>1629</v>
      </c>
      <c r="N11601">
        <v>13.41</v>
      </c>
      <c r="O11601" s="49">
        <v>45347</v>
      </c>
      <c r="P11601" s="50">
        <v>11.43</v>
      </c>
    </row>
    <row r="11602" spans="4:16" x14ac:dyDescent="0.2">
      <c r="D11602">
        <v>100006984</v>
      </c>
      <c r="E11602" s="49">
        <v>45172</v>
      </c>
      <c r="F11602" t="s">
        <v>7680</v>
      </c>
      <c r="G11602" t="s">
        <v>2101</v>
      </c>
      <c r="H11602">
        <v>10</v>
      </c>
      <c r="I11602">
        <v>79.400000000000006</v>
      </c>
      <c r="J11602" s="50">
        <v>794</v>
      </c>
      <c r="K11602" t="s">
        <v>1632</v>
      </c>
      <c r="M11602" t="s">
        <v>1629</v>
      </c>
      <c r="N11602">
        <v>41.91</v>
      </c>
      <c r="O11602" s="49">
        <v>45176</v>
      </c>
      <c r="P11602" s="50">
        <v>357.3</v>
      </c>
    </row>
    <row r="11603" spans="4:16" x14ac:dyDescent="0.2">
      <c r="D11603">
        <v>100006984</v>
      </c>
      <c r="E11603" s="49">
        <v>44849</v>
      </c>
      <c r="F11603" t="s">
        <v>7680</v>
      </c>
      <c r="G11603" t="s">
        <v>1844</v>
      </c>
      <c r="H11603">
        <v>8</v>
      </c>
      <c r="I11603">
        <v>88.7</v>
      </c>
      <c r="J11603" s="50">
        <v>709.6</v>
      </c>
      <c r="K11603" t="s">
        <v>1632</v>
      </c>
      <c r="M11603" t="s">
        <v>1627</v>
      </c>
      <c r="N11603">
        <v>46.81</v>
      </c>
      <c r="O11603" s="49">
        <v>44854</v>
      </c>
      <c r="P11603" s="50">
        <v>319.32</v>
      </c>
    </row>
    <row r="11604" spans="4:16" x14ac:dyDescent="0.2">
      <c r="D11604">
        <v>100006984</v>
      </c>
      <c r="E11604" s="49">
        <v>44791</v>
      </c>
      <c r="F11604" t="s">
        <v>7680</v>
      </c>
      <c r="G11604" t="s">
        <v>1973</v>
      </c>
      <c r="H11604">
        <v>7</v>
      </c>
      <c r="I11604">
        <v>41.72</v>
      </c>
      <c r="J11604" s="50">
        <v>292.04000000000002</v>
      </c>
      <c r="K11604" t="s">
        <v>1632</v>
      </c>
      <c r="M11604" t="s">
        <v>1619</v>
      </c>
      <c r="N11604">
        <v>22.02</v>
      </c>
      <c r="O11604" s="49">
        <v>44793</v>
      </c>
      <c r="P11604" s="50">
        <v>131.41800000000001</v>
      </c>
    </row>
    <row r="11605" spans="4:16" x14ac:dyDescent="0.2">
      <c r="D11605">
        <v>100006984</v>
      </c>
      <c r="E11605" s="49">
        <v>45501</v>
      </c>
      <c r="F11605" t="s">
        <v>7680</v>
      </c>
      <c r="G11605" t="s">
        <v>1690</v>
      </c>
      <c r="H11605">
        <v>9</v>
      </c>
      <c r="I11605">
        <v>47.05</v>
      </c>
      <c r="J11605" s="50">
        <v>423.45</v>
      </c>
      <c r="K11605" t="s">
        <v>1632</v>
      </c>
      <c r="M11605" t="s">
        <v>1629</v>
      </c>
      <c r="N11605">
        <v>24.83</v>
      </c>
      <c r="O11605" s="49">
        <v>45504</v>
      </c>
      <c r="P11605" s="50">
        <v>190.55250000000001</v>
      </c>
    </row>
    <row r="11606" spans="4:16" x14ac:dyDescent="0.2">
      <c r="D11606">
        <v>100006985</v>
      </c>
      <c r="E11606" s="49">
        <v>44604</v>
      </c>
      <c r="F11606" t="s">
        <v>7681</v>
      </c>
      <c r="G11606" t="s">
        <v>1697</v>
      </c>
      <c r="H11606">
        <v>7</v>
      </c>
      <c r="I11606">
        <v>64.14</v>
      </c>
      <c r="J11606" s="50">
        <v>448.98</v>
      </c>
      <c r="K11606" t="s">
        <v>1618</v>
      </c>
      <c r="L11606" t="s">
        <v>7682</v>
      </c>
      <c r="M11606" t="s">
        <v>1629</v>
      </c>
      <c r="N11606">
        <v>33.85</v>
      </c>
      <c r="O11606" s="49">
        <v>44607</v>
      </c>
      <c r="P11606" s="50">
        <v>202.04100000000003</v>
      </c>
    </row>
    <row r="11607" spans="4:16" x14ac:dyDescent="0.2">
      <c r="D11607">
        <v>100006987</v>
      </c>
      <c r="E11607" s="49">
        <v>45028</v>
      </c>
      <c r="F11607" t="s">
        <v>7683</v>
      </c>
      <c r="G11607" t="s">
        <v>2033</v>
      </c>
      <c r="H11607">
        <v>4</v>
      </c>
      <c r="I11607">
        <v>71.23</v>
      </c>
      <c r="J11607" s="50">
        <v>284.92</v>
      </c>
      <c r="K11607" t="s">
        <v>1618</v>
      </c>
      <c r="L11607" t="s">
        <v>3403</v>
      </c>
      <c r="M11607" t="s">
        <v>1624</v>
      </c>
      <c r="N11607">
        <v>37.590000000000003</v>
      </c>
      <c r="O11607" s="49">
        <v>45031</v>
      </c>
      <c r="P11607" s="50">
        <v>128.214</v>
      </c>
    </row>
    <row r="11608" spans="4:16" x14ac:dyDescent="0.2">
      <c r="D11608">
        <v>100006988</v>
      </c>
      <c r="E11608" s="49">
        <v>44579</v>
      </c>
      <c r="F11608" t="s">
        <v>7684</v>
      </c>
      <c r="G11608" t="s">
        <v>1820</v>
      </c>
      <c r="H11608">
        <v>6</v>
      </c>
      <c r="I11608">
        <v>65.06</v>
      </c>
      <c r="J11608" s="50">
        <v>390.36</v>
      </c>
      <c r="K11608" t="s">
        <v>1618</v>
      </c>
      <c r="M11608" t="s">
        <v>1629</v>
      </c>
      <c r="N11608">
        <v>34.340000000000003</v>
      </c>
      <c r="O11608" s="49">
        <v>44583</v>
      </c>
      <c r="P11608" s="50">
        <v>175.66200000000001</v>
      </c>
    </row>
    <row r="11609" spans="4:16" x14ac:dyDescent="0.2">
      <c r="D11609">
        <v>100006989</v>
      </c>
      <c r="E11609" s="49">
        <v>45425</v>
      </c>
      <c r="F11609" t="s">
        <v>7685</v>
      </c>
      <c r="G11609" t="s">
        <v>1690</v>
      </c>
      <c r="H11609">
        <v>6</v>
      </c>
      <c r="I11609">
        <v>11.29</v>
      </c>
      <c r="J11609" s="50">
        <v>67.739999999999995</v>
      </c>
      <c r="K11609" t="s">
        <v>1632</v>
      </c>
      <c r="M11609" t="s">
        <v>1624</v>
      </c>
      <c r="N11609">
        <v>5.96</v>
      </c>
      <c r="O11609" s="49">
        <v>45430</v>
      </c>
      <c r="P11609" s="50">
        <v>30.482999999999997</v>
      </c>
    </row>
    <row r="11610" spans="4:16" x14ac:dyDescent="0.2">
      <c r="D11610">
        <v>100006990</v>
      </c>
      <c r="E11610" s="49">
        <v>44751</v>
      </c>
      <c r="F11610" t="s">
        <v>7686</v>
      </c>
      <c r="G11610" t="s">
        <v>2514</v>
      </c>
      <c r="H11610">
        <v>5</v>
      </c>
      <c r="I11610">
        <v>90.66</v>
      </c>
      <c r="J11610" s="50">
        <v>453.3</v>
      </c>
      <c r="K11610" t="s">
        <v>1618</v>
      </c>
      <c r="M11610" t="s">
        <v>1621</v>
      </c>
      <c r="N11610">
        <v>47.85</v>
      </c>
      <c r="O11610" s="49">
        <v>44754</v>
      </c>
      <c r="P11610" s="50">
        <v>203.98500000000001</v>
      </c>
    </row>
    <row r="11611" spans="4:16" x14ac:dyDescent="0.2">
      <c r="D11611">
        <v>100006991</v>
      </c>
      <c r="E11611" s="49">
        <v>45568</v>
      </c>
      <c r="F11611" t="s">
        <v>7687</v>
      </c>
      <c r="G11611" t="s">
        <v>1664</v>
      </c>
      <c r="H11611">
        <v>6</v>
      </c>
      <c r="I11611">
        <v>108.68</v>
      </c>
      <c r="J11611" s="50">
        <v>652.08000000000004</v>
      </c>
      <c r="K11611" t="s">
        <v>1632</v>
      </c>
      <c r="L11611" t="s">
        <v>6880</v>
      </c>
      <c r="M11611" t="s">
        <v>1624</v>
      </c>
      <c r="N11611">
        <v>57.36</v>
      </c>
      <c r="O11611" s="49">
        <v>45569</v>
      </c>
      <c r="P11611" s="50">
        <v>293.43600000000004</v>
      </c>
    </row>
    <row r="11612" spans="4:16" x14ac:dyDescent="0.2">
      <c r="D11612">
        <v>100006991</v>
      </c>
      <c r="E11612" s="49">
        <v>44721</v>
      </c>
      <c r="F11612" t="s">
        <v>7687</v>
      </c>
      <c r="G11612" t="s">
        <v>2230</v>
      </c>
      <c r="H11612">
        <v>4</v>
      </c>
      <c r="I11612">
        <v>28.02</v>
      </c>
      <c r="J11612" s="50">
        <v>112.08</v>
      </c>
      <c r="K11612" t="s">
        <v>1632</v>
      </c>
      <c r="L11612" t="s">
        <v>6880</v>
      </c>
      <c r="M11612" t="s">
        <v>1621</v>
      </c>
      <c r="N11612">
        <v>14.79</v>
      </c>
      <c r="O11612" s="49">
        <v>44722</v>
      </c>
      <c r="P11612" s="50">
        <v>50.436</v>
      </c>
    </row>
    <row r="11613" spans="4:16" x14ac:dyDescent="0.2">
      <c r="D11613">
        <v>100006991</v>
      </c>
      <c r="E11613" s="49">
        <v>44949</v>
      </c>
      <c r="F11613" t="s">
        <v>7687</v>
      </c>
      <c r="G11613" t="s">
        <v>1736</v>
      </c>
      <c r="H11613">
        <v>3</v>
      </c>
      <c r="I11613">
        <v>101.5</v>
      </c>
      <c r="J11613" s="50">
        <v>304.5</v>
      </c>
      <c r="K11613" t="s">
        <v>1632</v>
      </c>
      <c r="L11613" t="s">
        <v>6880</v>
      </c>
      <c r="M11613" t="s">
        <v>1629</v>
      </c>
      <c r="N11613">
        <v>53.57</v>
      </c>
      <c r="O11613" s="49">
        <v>44954</v>
      </c>
      <c r="P11613" s="50">
        <v>137.02500000000001</v>
      </c>
    </row>
    <row r="11614" spans="4:16" x14ac:dyDescent="0.2">
      <c r="D11614">
        <v>100006993</v>
      </c>
      <c r="E11614" s="49">
        <v>45009</v>
      </c>
      <c r="F11614" t="s">
        <v>7688</v>
      </c>
      <c r="G11614" t="s">
        <v>1758</v>
      </c>
      <c r="H11614">
        <v>9</v>
      </c>
      <c r="I11614">
        <v>105.99</v>
      </c>
      <c r="J11614" s="50">
        <v>953.91</v>
      </c>
      <c r="K11614" t="s">
        <v>1632</v>
      </c>
      <c r="M11614" t="s">
        <v>1621</v>
      </c>
      <c r="N11614">
        <v>55.94</v>
      </c>
      <c r="O11614" s="49">
        <v>45013</v>
      </c>
      <c r="P11614" s="50">
        <v>429.2595</v>
      </c>
    </row>
    <row r="11615" spans="4:16" x14ac:dyDescent="0.2">
      <c r="D11615">
        <v>100006993</v>
      </c>
      <c r="E11615" s="49">
        <v>45128</v>
      </c>
      <c r="F11615" t="s">
        <v>7688</v>
      </c>
      <c r="G11615" t="s">
        <v>2242</v>
      </c>
      <c r="H11615">
        <v>6</v>
      </c>
      <c r="I11615">
        <v>36.99</v>
      </c>
      <c r="J11615" s="50">
        <v>221.94</v>
      </c>
      <c r="K11615" t="s">
        <v>1632</v>
      </c>
      <c r="M11615" t="s">
        <v>1624</v>
      </c>
      <c r="N11615">
        <v>19.52</v>
      </c>
      <c r="O11615" s="49">
        <v>45129</v>
      </c>
      <c r="P11615" s="50">
        <v>99.873000000000005</v>
      </c>
    </row>
    <row r="11616" spans="4:16" x14ac:dyDescent="0.2">
      <c r="D11616">
        <v>100006993</v>
      </c>
      <c r="E11616" s="49">
        <v>44543</v>
      </c>
      <c r="F11616" t="s">
        <v>7688</v>
      </c>
      <c r="G11616" t="s">
        <v>1628</v>
      </c>
      <c r="H11616">
        <v>10</v>
      </c>
      <c r="I11616">
        <v>96.37</v>
      </c>
      <c r="J11616" s="50">
        <v>963.7</v>
      </c>
      <c r="K11616" t="s">
        <v>1632</v>
      </c>
      <c r="M11616" t="s">
        <v>1621</v>
      </c>
      <c r="N11616">
        <v>50.86</v>
      </c>
      <c r="O11616" s="49">
        <v>44545</v>
      </c>
      <c r="P11616" s="50">
        <v>433.66500000000002</v>
      </c>
    </row>
    <row r="11617" spans="4:16" x14ac:dyDescent="0.2">
      <c r="D11617">
        <v>100006995</v>
      </c>
      <c r="E11617" s="49">
        <v>45068</v>
      </c>
      <c r="F11617" t="s">
        <v>7689</v>
      </c>
      <c r="G11617" t="s">
        <v>2393</v>
      </c>
      <c r="H11617">
        <v>8</v>
      </c>
      <c r="I11617">
        <v>23.37</v>
      </c>
      <c r="J11617" s="50">
        <v>186.96</v>
      </c>
      <c r="K11617" t="s">
        <v>1632</v>
      </c>
      <c r="M11617" t="s">
        <v>1627</v>
      </c>
      <c r="N11617">
        <v>12.33</v>
      </c>
      <c r="O11617" s="49">
        <v>45072</v>
      </c>
      <c r="P11617" s="50">
        <v>84.132000000000005</v>
      </c>
    </row>
    <row r="11618" spans="4:16" x14ac:dyDescent="0.2">
      <c r="D11618">
        <v>100006999</v>
      </c>
      <c r="E11618" s="49">
        <v>44434</v>
      </c>
      <c r="F11618" t="s">
        <v>7690</v>
      </c>
      <c r="G11618" t="s">
        <v>1980</v>
      </c>
      <c r="H11618">
        <v>4</v>
      </c>
      <c r="I11618">
        <v>107.42</v>
      </c>
      <c r="J11618" s="50">
        <v>429.68</v>
      </c>
      <c r="K11618" t="s">
        <v>1632</v>
      </c>
      <c r="M11618" t="s">
        <v>1624</v>
      </c>
      <c r="N11618">
        <v>56.69</v>
      </c>
      <c r="O11618" s="49">
        <v>44439</v>
      </c>
      <c r="P11618" s="50">
        <v>193.35599999999999</v>
      </c>
    </row>
    <row r="11619" spans="4:16" x14ac:dyDescent="0.2">
      <c r="D11619">
        <v>100006999</v>
      </c>
      <c r="E11619" s="49">
        <v>44411</v>
      </c>
      <c r="F11619" t="s">
        <v>7690</v>
      </c>
      <c r="G11619" t="s">
        <v>2550</v>
      </c>
      <c r="H11619">
        <v>4</v>
      </c>
      <c r="I11619">
        <v>80.02</v>
      </c>
      <c r="J11619" s="50">
        <v>320.08</v>
      </c>
      <c r="K11619" t="s">
        <v>1632</v>
      </c>
      <c r="M11619" t="s">
        <v>1627</v>
      </c>
      <c r="N11619">
        <v>42.23</v>
      </c>
      <c r="O11619" s="49">
        <v>44413</v>
      </c>
      <c r="P11619" s="50">
        <v>144.036</v>
      </c>
    </row>
    <row r="11620" spans="4:16" x14ac:dyDescent="0.2">
      <c r="D11620">
        <v>100006999</v>
      </c>
      <c r="E11620" s="49">
        <v>45103</v>
      </c>
      <c r="F11620" t="s">
        <v>7690</v>
      </c>
      <c r="G11620" t="s">
        <v>1868</v>
      </c>
      <c r="H11620">
        <v>3</v>
      </c>
      <c r="I11620">
        <v>32.49</v>
      </c>
      <c r="J11620" s="50">
        <v>97.47</v>
      </c>
      <c r="K11620" t="s">
        <v>1632</v>
      </c>
      <c r="M11620" t="s">
        <v>1629</v>
      </c>
      <c r="N11620">
        <v>17.149999999999999</v>
      </c>
      <c r="O11620" s="49">
        <v>45106</v>
      </c>
      <c r="P11620" s="50">
        <v>43.861499999999999</v>
      </c>
    </row>
    <row r="11621" spans="4:16" x14ac:dyDescent="0.2">
      <c r="D11621">
        <v>100007000</v>
      </c>
      <c r="E11621" s="49">
        <v>45195</v>
      </c>
      <c r="F11621" t="s">
        <v>7691</v>
      </c>
      <c r="G11621" t="s">
        <v>2357</v>
      </c>
      <c r="H11621">
        <v>8</v>
      </c>
      <c r="I11621">
        <v>42.46</v>
      </c>
      <c r="J11621" s="50">
        <v>339.68</v>
      </c>
      <c r="K11621" t="s">
        <v>1632</v>
      </c>
      <c r="L11621" t="s">
        <v>7692</v>
      </c>
      <c r="M11621" t="s">
        <v>1624</v>
      </c>
      <c r="N11621">
        <v>22.41</v>
      </c>
      <c r="O11621" s="49">
        <v>45200</v>
      </c>
      <c r="P11621" s="50">
        <v>152.85599999999999</v>
      </c>
    </row>
    <row r="11622" spans="4:16" x14ac:dyDescent="0.2">
      <c r="D11622">
        <v>100007001</v>
      </c>
      <c r="E11622" s="49">
        <v>44661</v>
      </c>
      <c r="F11622" t="s">
        <v>7693</v>
      </c>
      <c r="G11622" t="s">
        <v>3135</v>
      </c>
      <c r="H11622">
        <v>3</v>
      </c>
      <c r="I11622">
        <v>112.87</v>
      </c>
      <c r="J11622" s="50">
        <v>338.61</v>
      </c>
      <c r="K11622" t="s">
        <v>1632</v>
      </c>
      <c r="L11622" t="s">
        <v>5794</v>
      </c>
      <c r="M11622" t="s">
        <v>1619</v>
      </c>
      <c r="N11622">
        <v>59.57</v>
      </c>
      <c r="O11622" s="49">
        <v>44664</v>
      </c>
      <c r="P11622" s="50">
        <v>152.37450000000001</v>
      </c>
    </row>
    <row r="11623" spans="4:16" x14ac:dyDescent="0.2">
      <c r="D11623">
        <v>100007002</v>
      </c>
      <c r="E11623" s="49">
        <v>45269</v>
      </c>
      <c r="F11623" t="s">
        <v>7694</v>
      </c>
      <c r="G11623" t="s">
        <v>2484</v>
      </c>
      <c r="H11623">
        <v>3</v>
      </c>
      <c r="I11623">
        <v>56.8</v>
      </c>
      <c r="J11623" s="50">
        <v>170.4</v>
      </c>
      <c r="K11623" t="s">
        <v>1618</v>
      </c>
      <c r="M11623" t="s">
        <v>1627</v>
      </c>
      <c r="N11623">
        <v>29.98</v>
      </c>
      <c r="O11623" s="49">
        <v>45270</v>
      </c>
      <c r="P11623" s="50">
        <v>76.680000000000007</v>
      </c>
    </row>
    <row r="11624" spans="4:16" x14ac:dyDescent="0.2">
      <c r="D11624">
        <v>100007003</v>
      </c>
      <c r="E11624" s="49">
        <v>45350</v>
      </c>
      <c r="F11624" t="s">
        <v>7695</v>
      </c>
      <c r="G11624" t="s">
        <v>1833</v>
      </c>
      <c r="H11624">
        <v>5</v>
      </c>
      <c r="I11624">
        <v>103.65</v>
      </c>
      <c r="J11624" s="50">
        <v>518.25</v>
      </c>
      <c r="K11624" t="s">
        <v>1618</v>
      </c>
      <c r="L11624" t="s">
        <v>4200</v>
      </c>
      <c r="M11624" t="s">
        <v>1627</v>
      </c>
      <c r="N11624">
        <v>54.7</v>
      </c>
      <c r="O11624" s="49">
        <v>45354</v>
      </c>
      <c r="P11624" s="50">
        <v>233.21250000000001</v>
      </c>
    </row>
    <row r="11625" spans="4:16" x14ac:dyDescent="0.2">
      <c r="D11625">
        <v>100007003</v>
      </c>
      <c r="E11625" s="49">
        <v>45602</v>
      </c>
      <c r="F11625" t="s">
        <v>7695</v>
      </c>
      <c r="G11625" t="s">
        <v>1939</v>
      </c>
      <c r="H11625">
        <v>1</v>
      </c>
      <c r="I11625">
        <v>55.27</v>
      </c>
      <c r="J11625" s="50">
        <v>55.27</v>
      </c>
      <c r="K11625" t="s">
        <v>1618</v>
      </c>
      <c r="L11625" t="s">
        <v>4200</v>
      </c>
      <c r="M11625" t="s">
        <v>1627</v>
      </c>
      <c r="N11625">
        <v>29.17</v>
      </c>
      <c r="O11625" s="49">
        <v>45603</v>
      </c>
      <c r="P11625" s="50">
        <v>24.871500000000001</v>
      </c>
    </row>
    <row r="11626" spans="4:16" x14ac:dyDescent="0.2">
      <c r="D11626">
        <v>100007004</v>
      </c>
      <c r="E11626" s="49">
        <v>45343</v>
      </c>
      <c r="F11626" t="s">
        <v>7696</v>
      </c>
      <c r="G11626" t="s">
        <v>1812</v>
      </c>
      <c r="H11626">
        <v>2</v>
      </c>
      <c r="I11626">
        <v>93.84</v>
      </c>
      <c r="J11626" s="50">
        <v>187.68</v>
      </c>
      <c r="K11626" t="s">
        <v>1618</v>
      </c>
      <c r="M11626" t="s">
        <v>1627</v>
      </c>
      <c r="N11626">
        <v>49.53</v>
      </c>
      <c r="O11626" s="49">
        <v>45344</v>
      </c>
      <c r="P11626" s="50">
        <v>84.456000000000003</v>
      </c>
    </row>
    <row r="11627" spans="4:16" x14ac:dyDescent="0.2">
      <c r="D11627">
        <v>100007006</v>
      </c>
      <c r="E11627" s="49">
        <v>45523</v>
      </c>
      <c r="F11627" t="s">
        <v>7697</v>
      </c>
      <c r="G11627" t="s">
        <v>1819</v>
      </c>
      <c r="H11627">
        <v>3</v>
      </c>
      <c r="I11627">
        <v>45.65</v>
      </c>
      <c r="J11627" s="50">
        <v>136.94999999999999</v>
      </c>
      <c r="K11627" t="s">
        <v>1632</v>
      </c>
      <c r="M11627" t="s">
        <v>1619</v>
      </c>
      <c r="N11627">
        <v>24.09</v>
      </c>
      <c r="O11627" s="49">
        <v>45524</v>
      </c>
      <c r="P11627" s="50">
        <v>61.627499999999998</v>
      </c>
    </row>
    <row r="11628" spans="4:16" x14ac:dyDescent="0.2">
      <c r="D11628">
        <v>100007006</v>
      </c>
      <c r="E11628" s="49">
        <v>44587</v>
      </c>
      <c r="F11628" t="s">
        <v>7697</v>
      </c>
      <c r="G11628" t="s">
        <v>2733</v>
      </c>
      <c r="H11628">
        <v>10</v>
      </c>
      <c r="I11628">
        <v>18.62</v>
      </c>
      <c r="J11628" s="50">
        <v>186.2</v>
      </c>
      <c r="K11628" t="s">
        <v>1632</v>
      </c>
      <c r="M11628" t="s">
        <v>1629</v>
      </c>
      <c r="N11628">
        <v>9.83</v>
      </c>
      <c r="O11628" s="49">
        <v>44591</v>
      </c>
      <c r="P11628" s="50">
        <v>83.789999999999992</v>
      </c>
    </row>
    <row r="11629" spans="4:16" x14ac:dyDescent="0.2">
      <c r="D11629">
        <v>100007006</v>
      </c>
      <c r="E11629" s="49">
        <v>44962</v>
      </c>
      <c r="F11629" t="s">
        <v>7697</v>
      </c>
      <c r="G11629" t="s">
        <v>1932</v>
      </c>
      <c r="H11629">
        <v>1</v>
      </c>
      <c r="I11629">
        <v>72.33</v>
      </c>
      <c r="J11629" s="50">
        <v>72.33</v>
      </c>
      <c r="K11629" t="s">
        <v>1632</v>
      </c>
      <c r="M11629" t="s">
        <v>1619</v>
      </c>
      <c r="N11629">
        <v>38.17</v>
      </c>
      <c r="O11629" s="49">
        <v>44967</v>
      </c>
      <c r="P11629" s="50">
        <v>32.548499999999997</v>
      </c>
    </row>
    <row r="11630" spans="4:16" x14ac:dyDescent="0.2">
      <c r="D11630">
        <v>100007006</v>
      </c>
      <c r="E11630" s="49">
        <v>44581</v>
      </c>
      <c r="F11630" t="s">
        <v>7697</v>
      </c>
      <c r="G11630" t="s">
        <v>1856</v>
      </c>
      <c r="H11630">
        <v>8</v>
      </c>
      <c r="I11630">
        <v>112.44</v>
      </c>
      <c r="J11630" s="50">
        <v>899.52</v>
      </c>
      <c r="K11630" t="s">
        <v>1632</v>
      </c>
      <c r="M11630" t="s">
        <v>1629</v>
      </c>
      <c r="N11630">
        <v>59.34</v>
      </c>
      <c r="O11630" s="49">
        <v>44585</v>
      </c>
      <c r="P11630" s="50">
        <v>404.78399999999999</v>
      </c>
    </row>
    <row r="11631" spans="4:16" x14ac:dyDescent="0.2">
      <c r="D11631">
        <v>100007006</v>
      </c>
      <c r="E11631" s="49">
        <v>44352</v>
      </c>
      <c r="F11631" t="s">
        <v>7697</v>
      </c>
      <c r="G11631" t="s">
        <v>1841</v>
      </c>
      <c r="H11631">
        <v>10</v>
      </c>
      <c r="I11631">
        <v>54.77</v>
      </c>
      <c r="J11631" s="50">
        <v>547.70000000000005</v>
      </c>
      <c r="K11631" t="s">
        <v>1632</v>
      </c>
      <c r="M11631" t="s">
        <v>1621</v>
      </c>
      <c r="N11631">
        <v>28.91</v>
      </c>
      <c r="O11631" s="49">
        <v>44353</v>
      </c>
      <c r="P11631" s="50">
        <v>246.46500000000003</v>
      </c>
    </row>
    <row r="11632" spans="4:16" x14ac:dyDescent="0.2">
      <c r="D11632">
        <v>100007006</v>
      </c>
      <c r="E11632" s="49">
        <v>44353</v>
      </c>
      <c r="F11632" t="s">
        <v>7697</v>
      </c>
      <c r="G11632" t="s">
        <v>2305</v>
      </c>
      <c r="H11632">
        <v>4</v>
      </c>
      <c r="I11632">
        <v>46.12</v>
      </c>
      <c r="J11632" s="50">
        <v>184.48</v>
      </c>
      <c r="K11632" t="s">
        <v>1632</v>
      </c>
      <c r="M11632" t="s">
        <v>1629</v>
      </c>
      <c r="N11632">
        <v>24.34</v>
      </c>
      <c r="O11632" s="49">
        <v>44355</v>
      </c>
      <c r="P11632" s="50">
        <v>83.015999999999991</v>
      </c>
    </row>
    <row r="11633" spans="4:16" x14ac:dyDescent="0.2">
      <c r="D11633">
        <v>100007006</v>
      </c>
      <c r="E11633" s="49">
        <v>44392</v>
      </c>
      <c r="F11633" t="s">
        <v>7697</v>
      </c>
      <c r="G11633" t="s">
        <v>2103</v>
      </c>
      <c r="H11633">
        <v>6</v>
      </c>
      <c r="I11633">
        <v>109.63</v>
      </c>
      <c r="J11633" s="50">
        <v>657.78</v>
      </c>
      <c r="K11633" t="s">
        <v>1632</v>
      </c>
      <c r="M11633" t="s">
        <v>1627</v>
      </c>
      <c r="N11633">
        <v>57.86</v>
      </c>
      <c r="O11633" s="49">
        <v>44395</v>
      </c>
      <c r="P11633" s="50">
        <v>296.00099999999998</v>
      </c>
    </row>
    <row r="11634" spans="4:16" x14ac:dyDescent="0.2">
      <c r="D11634">
        <v>100007006</v>
      </c>
      <c r="E11634" s="49">
        <v>44202</v>
      </c>
      <c r="F11634" t="s">
        <v>7697</v>
      </c>
      <c r="G11634" t="s">
        <v>2633</v>
      </c>
      <c r="H11634">
        <v>3</v>
      </c>
      <c r="I11634">
        <v>10.029999999999999</v>
      </c>
      <c r="J11634" s="50">
        <v>30.09</v>
      </c>
      <c r="K11634" t="s">
        <v>1632</v>
      </c>
      <c r="M11634" t="s">
        <v>1629</v>
      </c>
      <c r="N11634">
        <v>5.29</v>
      </c>
      <c r="O11634" s="49">
        <v>44203</v>
      </c>
      <c r="P11634" s="50">
        <v>13.5405</v>
      </c>
    </row>
    <row r="11635" spans="4:16" x14ac:dyDescent="0.2">
      <c r="D11635">
        <v>100007008</v>
      </c>
      <c r="E11635" s="49">
        <v>44258</v>
      </c>
      <c r="F11635" t="s">
        <v>7698</v>
      </c>
      <c r="G11635" t="s">
        <v>1671</v>
      </c>
      <c r="H11635">
        <v>2</v>
      </c>
      <c r="I11635">
        <v>50.48</v>
      </c>
      <c r="J11635" s="50">
        <v>100.96</v>
      </c>
      <c r="K11635" t="s">
        <v>1618</v>
      </c>
      <c r="M11635" t="s">
        <v>1619</v>
      </c>
      <c r="N11635">
        <v>26.64</v>
      </c>
      <c r="O11635" s="49">
        <v>44259</v>
      </c>
      <c r="P11635" s="50">
        <v>45.431999999999995</v>
      </c>
    </row>
    <row r="11636" spans="4:16" x14ac:dyDescent="0.2">
      <c r="D11636">
        <v>100007008</v>
      </c>
      <c r="E11636" s="49">
        <v>44237</v>
      </c>
      <c r="F11636" t="s">
        <v>7698</v>
      </c>
      <c r="G11636" t="s">
        <v>1797</v>
      </c>
      <c r="H11636">
        <v>7</v>
      </c>
      <c r="I11636">
        <v>52.75</v>
      </c>
      <c r="J11636" s="50">
        <v>369.25</v>
      </c>
      <c r="K11636" t="s">
        <v>1618</v>
      </c>
      <c r="M11636" t="s">
        <v>1621</v>
      </c>
      <c r="N11636">
        <v>27.84</v>
      </c>
      <c r="O11636" s="49">
        <v>44238</v>
      </c>
      <c r="P11636" s="50">
        <v>166.16249999999999</v>
      </c>
    </row>
    <row r="11637" spans="4:16" x14ac:dyDescent="0.2">
      <c r="D11637">
        <v>100007008</v>
      </c>
      <c r="E11637" s="49">
        <v>44470</v>
      </c>
      <c r="F11637" t="s">
        <v>7698</v>
      </c>
      <c r="G11637" t="s">
        <v>2099</v>
      </c>
      <c r="H11637">
        <v>4</v>
      </c>
      <c r="I11637">
        <v>96.12</v>
      </c>
      <c r="J11637" s="50">
        <v>384.48</v>
      </c>
      <c r="K11637" t="s">
        <v>1618</v>
      </c>
      <c r="M11637" t="s">
        <v>1629</v>
      </c>
      <c r="N11637">
        <v>50.73</v>
      </c>
      <c r="O11637" s="49">
        <v>44471</v>
      </c>
      <c r="P11637" s="50">
        <v>173.01600000000002</v>
      </c>
    </row>
    <row r="11638" spans="4:16" x14ac:dyDescent="0.2">
      <c r="D11638">
        <v>100007008</v>
      </c>
      <c r="E11638" s="49">
        <v>45188</v>
      </c>
      <c r="F11638" t="s">
        <v>7698</v>
      </c>
      <c r="G11638" t="s">
        <v>1937</v>
      </c>
      <c r="H11638">
        <v>9</v>
      </c>
      <c r="I11638">
        <v>37.67</v>
      </c>
      <c r="J11638" s="50">
        <v>339.03</v>
      </c>
      <c r="K11638" t="s">
        <v>1618</v>
      </c>
      <c r="M11638" t="s">
        <v>1627</v>
      </c>
      <c r="N11638">
        <v>19.88</v>
      </c>
      <c r="O11638" s="49">
        <v>45189</v>
      </c>
      <c r="P11638" s="50">
        <v>152.5635</v>
      </c>
    </row>
    <row r="11639" spans="4:16" x14ac:dyDescent="0.2">
      <c r="D11639">
        <v>100007008</v>
      </c>
      <c r="E11639" s="49">
        <v>44455</v>
      </c>
      <c r="F11639" t="s">
        <v>7698</v>
      </c>
      <c r="G11639" t="s">
        <v>1985</v>
      </c>
      <c r="H11639">
        <v>1</v>
      </c>
      <c r="I11639">
        <v>69.41</v>
      </c>
      <c r="J11639" s="50">
        <v>69.41</v>
      </c>
      <c r="K11639" t="s">
        <v>1618</v>
      </c>
      <c r="M11639" t="s">
        <v>1629</v>
      </c>
      <c r="N11639">
        <v>36.630000000000003</v>
      </c>
      <c r="O11639" s="49">
        <v>44456</v>
      </c>
      <c r="P11639" s="50">
        <v>31.234500000000001</v>
      </c>
    </row>
    <row r="11640" spans="4:16" x14ac:dyDescent="0.2">
      <c r="D11640">
        <v>100007009</v>
      </c>
      <c r="E11640" s="49">
        <v>45098</v>
      </c>
      <c r="F11640" t="s">
        <v>3657</v>
      </c>
      <c r="G11640" t="s">
        <v>1827</v>
      </c>
      <c r="H11640">
        <v>7</v>
      </c>
      <c r="I11640">
        <v>32.130000000000003</v>
      </c>
      <c r="J11640" s="50">
        <v>224.91</v>
      </c>
      <c r="K11640" t="s">
        <v>1618</v>
      </c>
      <c r="L11640" t="s">
        <v>7202</v>
      </c>
      <c r="M11640" t="s">
        <v>1627</v>
      </c>
      <c r="N11640">
        <v>16.96</v>
      </c>
      <c r="O11640" s="49">
        <v>45103</v>
      </c>
      <c r="P11640" s="50">
        <v>101.20950000000001</v>
      </c>
    </row>
    <row r="11641" spans="4:16" x14ac:dyDescent="0.2">
      <c r="D11641">
        <v>100007009</v>
      </c>
      <c r="E11641" s="49">
        <v>45116</v>
      </c>
      <c r="F11641" t="s">
        <v>3657</v>
      </c>
      <c r="G11641" t="s">
        <v>2182</v>
      </c>
      <c r="H11641">
        <v>6</v>
      </c>
      <c r="I11641">
        <v>31.07</v>
      </c>
      <c r="J11641" s="50">
        <v>186.42</v>
      </c>
      <c r="K11641" t="s">
        <v>1618</v>
      </c>
      <c r="L11641" t="s">
        <v>7202</v>
      </c>
      <c r="M11641" t="s">
        <v>1629</v>
      </c>
      <c r="N11641">
        <v>16.399999999999999</v>
      </c>
      <c r="O11641" s="49">
        <v>45121</v>
      </c>
      <c r="P11641" s="50">
        <v>83.888999999999996</v>
      </c>
    </row>
    <row r="11642" spans="4:16" x14ac:dyDescent="0.2">
      <c r="D11642">
        <v>100007009</v>
      </c>
      <c r="E11642" s="49">
        <v>45448</v>
      </c>
      <c r="F11642" t="s">
        <v>3657</v>
      </c>
      <c r="G11642" t="s">
        <v>2065</v>
      </c>
      <c r="H11642">
        <v>4</v>
      </c>
      <c r="I11642">
        <v>38.92</v>
      </c>
      <c r="J11642" s="50">
        <v>155.68</v>
      </c>
      <c r="K11642" t="s">
        <v>1618</v>
      </c>
      <c r="L11642" t="s">
        <v>7202</v>
      </c>
      <c r="M11642" t="s">
        <v>1619</v>
      </c>
      <c r="N11642">
        <v>20.54</v>
      </c>
      <c r="O11642" s="49">
        <v>45451</v>
      </c>
      <c r="P11642" s="50">
        <v>70.056000000000012</v>
      </c>
    </row>
    <row r="11643" spans="4:16" x14ac:dyDescent="0.2">
      <c r="D11643">
        <v>100007009</v>
      </c>
      <c r="E11643" s="49">
        <v>45443</v>
      </c>
      <c r="F11643" t="s">
        <v>3657</v>
      </c>
      <c r="G11643" t="s">
        <v>1950</v>
      </c>
      <c r="H11643">
        <v>9</v>
      </c>
      <c r="I11643">
        <v>71.23</v>
      </c>
      <c r="J11643" s="50">
        <v>641.07000000000005</v>
      </c>
      <c r="K11643" t="s">
        <v>1618</v>
      </c>
      <c r="L11643" t="s">
        <v>7202</v>
      </c>
      <c r="M11643" t="s">
        <v>1624</v>
      </c>
      <c r="N11643">
        <v>37.590000000000003</v>
      </c>
      <c r="O11643" s="49">
        <v>45447</v>
      </c>
      <c r="P11643" s="50">
        <v>288.48150000000004</v>
      </c>
    </row>
    <row r="11644" spans="4:16" x14ac:dyDescent="0.2">
      <c r="D11644">
        <v>100007009</v>
      </c>
      <c r="E11644" s="49">
        <v>45192</v>
      </c>
      <c r="F11644" t="s">
        <v>3657</v>
      </c>
      <c r="G11644" t="s">
        <v>2033</v>
      </c>
      <c r="H11644">
        <v>8</v>
      </c>
      <c r="I11644">
        <v>63.81</v>
      </c>
      <c r="J11644" s="50">
        <v>510.48</v>
      </c>
      <c r="K11644" t="s">
        <v>1618</v>
      </c>
      <c r="L11644" t="s">
        <v>7202</v>
      </c>
      <c r="M11644" t="s">
        <v>1624</v>
      </c>
      <c r="N11644">
        <v>33.68</v>
      </c>
      <c r="O11644" s="49">
        <v>45197</v>
      </c>
      <c r="P11644" s="50">
        <v>229.71600000000001</v>
      </c>
    </row>
    <row r="11645" spans="4:16" x14ac:dyDescent="0.2">
      <c r="D11645">
        <v>100007009</v>
      </c>
      <c r="E11645" s="49">
        <v>44820</v>
      </c>
      <c r="F11645" t="s">
        <v>3657</v>
      </c>
      <c r="G11645" t="s">
        <v>2071</v>
      </c>
      <c r="H11645">
        <v>1</v>
      </c>
      <c r="I11645">
        <v>14.8</v>
      </c>
      <c r="J11645" s="50">
        <v>14.8</v>
      </c>
      <c r="K11645" t="s">
        <v>1618</v>
      </c>
      <c r="L11645" t="s">
        <v>7202</v>
      </c>
      <c r="M11645" t="s">
        <v>1619</v>
      </c>
      <c r="N11645">
        <v>7.81</v>
      </c>
      <c r="O11645" s="49">
        <v>44821</v>
      </c>
      <c r="P11645" s="50">
        <v>6.66</v>
      </c>
    </row>
    <row r="11646" spans="4:16" x14ac:dyDescent="0.2">
      <c r="D11646">
        <v>100007009</v>
      </c>
      <c r="E11646" s="49">
        <v>45080</v>
      </c>
      <c r="F11646" t="s">
        <v>3657</v>
      </c>
      <c r="G11646" t="s">
        <v>2372</v>
      </c>
      <c r="H11646">
        <v>1</v>
      </c>
      <c r="I11646">
        <v>118.19</v>
      </c>
      <c r="J11646" s="50">
        <v>118.19</v>
      </c>
      <c r="K11646" t="s">
        <v>1618</v>
      </c>
      <c r="L11646" t="s">
        <v>7202</v>
      </c>
      <c r="M11646" t="s">
        <v>1629</v>
      </c>
      <c r="N11646">
        <v>62.38</v>
      </c>
      <c r="O11646" s="49">
        <v>45084</v>
      </c>
      <c r="P11646" s="50">
        <v>53.185499999999998</v>
      </c>
    </row>
    <row r="11647" spans="4:16" x14ac:dyDescent="0.2">
      <c r="D11647">
        <v>100007010</v>
      </c>
      <c r="E11647" s="49">
        <v>45074</v>
      </c>
      <c r="F11647" t="s">
        <v>7699</v>
      </c>
      <c r="G11647" t="s">
        <v>1765</v>
      </c>
      <c r="H11647">
        <v>8</v>
      </c>
      <c r="I11647">
        <v>37.979999999999997</v>
      </c>
      <c r="J11647" s="50">
        <v>303.83999999999997</v>
      </c>
      <c r="K11647" t="s">
        <v>1618</v>
      </c>
      <c r="M11647" t="s">
        <v>1619</v>
      </c>
      <c r="N11647">
        <v>20.04</v>
      </c>
      <c r="O11647" s="49">
        <v>45075</v>
      </c>
      <c r="P11647" s="50">
        <v>136.72799999999998</v>
      </c>
    </row>
    <row r="11648" spans="4:16" x14ac:dyDescent="0.2">
      <c r="D11648">
        <v>100007011</v>
      </c>
      <c r="E11648" s="49">
        <v>45455</v>
      </c>
      <c r="F11648" t="s">
        <v>7700</v>
      </c>
      <c r="G11648" t="s">
        <v>1901</v>
      </c>
      <c r="H11648">
        <v>6</v>
      </c>
      <c r="I11648">
        <v>111.57</v>
      </c>
      <c r="J11648" s="50">
        <v>669.42</v>
      </c>
      <c r="K11648" t="s">
        <v>1618</v>
      </c>
      <c r="M11648" t="s">
        <v>1627</v>
      </c>
      <c r="N11648">
        <v>58.88</v>
      </c>
      <c r="O11648" s="49">
        <v>45456</v>
      </c>
      <c r="P11648" s="50">
        <v>301.23899999999998</v>
      </c>
    </row>
    <row r="11649" spans="4:16" x14ac:dyDescent="0.2">
      <c r="D11649">
        <v>100007011</v>
      </c>
      <c r="E11649" s="49">
        <v>45331</v>
      </c>
      <c r="F11649" t="s">
        <v>7700</v>
      </c>
      <c r="G11649" t="s">
        <v>1724</v>
      </c>
      <c r="H11649">
        <v>9</v>
      </c>
      <c r="I11649">
        <v>11.72</v>
      </c>
      <c r="J11649" s="50">
        <v>105.48</v>
      </c>
      <c r="K11649" t="s">
        <v>1618</v>
      </c>
      <c r="M11649" t="s">
        <v>1621</v>
      </c>
      <c r="N11649">
        <v>6.19</v>
      </c>
      <c r="O11649" s="49">
        <v>45332</v>
      </c>
      <c r="P11649" s="50">
        <v>47.466000000000001</v>
      </c>
    </row>
    <row r="11650" spans="4:16" x14ac:dyDescent="0.2">
      <c r="D11650">
        <v>100007011</v>
      </c>
      <c r="E11650" s="49">
        <v>44908</v>
      </c>
      <c r="F11650" t="s">
        <v>7700</v>
      </c>
      <c r="G11650" t="s">
        <v>1877</v>
      </c>
      <c r="H11650">
        <v>3</v>
      </c>
      <c r="I11650">
        <v>22.09</v>
      </c>
      <c r="J11650" s="50">
        <v>66.27</v>
      </c>
      <c r="K11650" t="s">
        <v>1618</v>
      </c>
      <c r="M11650" t="s">
        <v>1621</v>
      </c>
      <c r="N11650">
        <v>11.66</v>
      </c>
      <c r="O11650" s="49">
        <v>44913</v>
      </c>
      <c r="P11650" s="50">
        <v>29.8215</v>
      </c>
    </row>
    <row r="11651" spans="4:16" x14ac:dyDescent="0.2">
      <c r="D11651">
        <v>100007011</v>
      </c>
      <c r="E11651" s="49">
        <v>44810</v>
      </c>
      <c r="F11651" t="s">
        <v>7700</v>
      </c>
      <c r="G11651" t="s">
        <v>1833</v>
      </c>
      <c r="H11651">
        <v>9</v>
      </c>
      <c r="I11651">
        <v>73.92</v>
      </c>
      <c r="J11651" s="50">
        <v>665.28</v>
      </c>
      <c r="K11651" t="s">
        <v>1618</v>
      </c>
      <c r="M11651" t="s">
        <v>1627</v>
      </c>
      <c r="N11651">
        <v>39.01</v>
      </c>
      <c r="O11651" s="49">
        <v>44814</v>
      </c>
      <c r="P11651" s="50">
        <v>299.37599999999998</v>
      </c>
    </row>
    <row r="11652" spans="4:16" x14ac:dyDescent="0.2">
      <c r="D11652">
        <v>100007011</v>
      </c>
      <c r="E11652" s="49">
        <v>44485</v>
      </c>
      <c r="F11652" t="s">
        <v>7700</v>
      </c>
      <c r="G11652" t="s">
        <v>1831</v>
      </c>
      <c r="H11652">
        <v>9</v>
      </c>
      <c r="I11652">
        <v>17.41</v>
      </c>
      <c r="J11652" s="50">
        <v>156.69</v>
      </c>
      <c r="K11652" t="s">
        <v>1618</v>
      </c>
      <c r="M11652" t="s">
        <v>1621</v>
      </c>
      <c r="N11652">
        <v>9.19</v>
      </c>
      <c r="O11652" s="49">
        <v>44489</v>
      </c>
      <c r="P11652" s="50">
        <v>70.510500000000008</v>
      </c>
    </row>
    <row r="11653" spans="4:16" x14ac:dyDescent="0.2">
      <c r="D11653">
        <v>100007012</v>
      </c>
      <c r="E11653" s="49">
        <v>44253</v>
      </c>
      <c r="F11653" t="s">
        <v>7701</v>
      </c>
      <c r="G11653" t="s">
        <v>1859</v>
      </c>
      <c r="H11653">
        <v>1</v>
      </c>
      <c r="I11653">
        <v>85.5</v>
      </c>
      <c r="J11653" s="50">
        <v>85.5</v>
      </c>
      <c r="K11653" t="s">
        <v>1632</v>
      </c>
      <c r="L11653" t="s">
        <v>2555</v>
      </c>
      <c r="M11653" t="s">
        <v>1619</v>
      </c>
      <c r="N11653">
        <v>45.12</v>
      </c>
      <c r="O11653" s="49">
        <v>44255</v>
      </c>
      <c r="P11653" s="50">
        <v>38.475000000000001</v>
      </c>
    </row>
    <row r="11654" spans="4:16" x14ac:dyDescent="0.2">
      <c r="D11654">
        <v>100007012</v>
      </c>
      <c r="E11654" s="49">
        <v>45100</v>
      </c>
      <c r="F11654" t="s">
        <v>7701</v>
      </c>
      <c r="G11654" t="s">
        <v>2291</v>
      </c>
      <c r="H11654">
        <v>4</v>
      </c>
      <c r="I11654">
        <v>54.39</v>
      </c>
      <c r="J11654" s="50">
        <v>217.56</v>
      </c>
      <c r="K11654" t="s">
        <v>1632</v>
      </c>
      <c r="L11654" t="s">
        <v>2555</v>
      </c>
      <c r="M11654" t="s">
        <v>1621</v>
      </c>
      <c r="N11654">
        <v>28.71</v>
      </c>
      <c r="O11654" s="49">
        <v>45103</v>
      </c>
      <c r="P11654" s="50">
        <v>97.902000000000001</v>
      </c>
    </row>
    <row r="11655" spans="4:16" x14ac:dyDescent="0.2">
      <c r="D11655">
        <v>100007014</v>
      </c>
      <c r="E11655" s="49">
        <v>45394</v>
      </c>
      <c r="F11655" t="s">
        <v>7702</v>
      </c>
      <c r="G11655" t="s">
        <v>1900</v>
      </c>
      <c r="H11655">
        <v>7</v>
      </c>
      <c r="I11655">
        <v>21.41</v>
      </c>
      <c r="J11655" s="50">
        <v>149.87</v>
      </c>
      <c r="K11655" t="s">
        <v>1632</v>
      </c>
      <c r="M11655" t="s">
        <v>1627</v>
      </c>
      <c r="N11655">
        <v>11.3</v>
      </c>
      <c r="O11655" s="49">
        <v>45396</v>
      </c>
      <c r="P11655" s="50">
        <v>67.441500000000005</v>
      </c>
    </row>
    <row r="11656" spans="4:16" x14ac:dyDescent="0.2">
      <c r="D11656">
        <v>100007014</v>
      </c>
      <c r="E11656" s="49">
        <v>44884</v>
      </c>
      <c r="F11656" t="s">
        <v>7702</v>
      </c>
      <c r="G11656" t="s">
        <v>1781</v>
      </c>
      <c r="H11656">
        <v>5</v>
      </c>
      <c r="I11656">
        <v>107.19</v>
      </c>
      <c r="J11656" s="50">
        <v>535.95000000000005</v>
      </c>
      <c r="K11656" t="s">
        <v>1632</v>
      </c>
      <c r="M11656" t="s">
        <v>1629</v>
      </c>
      <c r="N11656">
        <v>56.57</v>
      </c>
      <c r="O11656" s="49">
        <v>44887</v>
      </c>
      <c r="P11656" s="50">
        <v>241.17750000000004</v>
      </c>
    </row>
    <row r="11657" spans="4:16" x14ac:dyDescent="0.2">
      <c r="D11657">
        <v>100007015</v>
      </c>
      <c r="E11657" s="49">
        <v>44357</v>
      </c>
      <c r="F11657" t="s">
        <v>7570</v>
      </c>
      <c r="G11657" t="s">
        <v>1864</v>
      </c>
      <c r="H11657">
        <v>9</v>
      </c>
      <c r="I11657">
        <v>113.62</v>
      </c>
      <c r="J11657" s="50">
        <v>1022.58</v>
      </c>
      <c r="K11657" t="s">
        <v>1618</v>
      </c>
      <c r="M11657" t="s">
        <v>1624</v>
      </c>
      <c r="N11657">
        <v>59.97</v>
      </c>
      <c r="O11657" s="49">
        <v>44361</v>
      </c>
      <c r="P11657" s="50">
        <v>460.161</v>
      </c>
    </row>
    <row r="11658" spans="4:16" x14ac:dyDescent="0.2">
      <c r="D11658">
        <v>100007015</v>
      </c>
      <c r="E11658" s="49">
        <v>44532</v>
      </c>
      <c r="F11658" t="s">
        <v>7570</v>
      </c>
      <c r="G11658" t="s">
        <v>1924</v>
      </c>
      <c r="H11658">
        <v>2</v>
      </c>
      <c r="I11658">
        <v>75.05</v>
      </c>
      <c r="J11658" s="50">
        <v>150.1</v>
      </c>
      <c r="K11658" t="s">
        <v>1618</v>
      </c>
      <c r="M11658" t="s">
        <v>1627</v>
      </c>
      <c r="N11658">
        <v>39.61</v>
      </c>
      <c r="O11658" s="49">
        <v>44533</v>
      </c>
      <c r="P11658" s="50">
        <v>67.545000000000002</v>
      </c>
    </row>
    <row r="11659" spans="4:16" x14ac:dyDescent="0.2">
      <c r="D11659">
        <v>100007015</v>
      </c>
      <c r="E11659" s="49">
        <v>45465</v>
      </c>
      <c r="F11659" t="s">
        <v>7570</v>
      </c>
      <c r="G11659" t="s">
        <v>1838</v>
      </c>
      <c r="H11659">
        <v>6</v>
      </c>
      <c r="I11659">
        <v>72.569999999999993</v>
      </c>
      <c r="J11659" s="50">
        <v>435.42</v>
      </c>
      <c r="K11659" t="s">
        <v>1618</v>
      </c>
      <c r="M11659" t="s">
        <v>1621</v>
      </c>
      <c r="N11659">
        <v>38.299999999999997</v>
      </c>
      <c r="O11659" s="49">
        <v>45468</v>
      </c>
      <c r="P11659" s="50">
        <v>195.93900000000002</v>
      </c>
    </row>
    <row r="11660" spans="4:16" x14ac:dyDescent="0.2">
      <c r="D11660">
        <v>100007015</v>
      </c>
      <c r="E11660" s="49">
        <v>45283</v>
      </c>
      <c r="F11660" t="s">
        <v>7570</v>
      </c>
      <c r="G11660" t="s">
        <v>1865</v>
      </c>
      <c r="H11660">
        <v>2</v>
      </c>
      <c r="I11660">
        <v>57.23</v>
      </c>
      <c r="J11660" s="50">
        <v>114.46</v>
      </c>
      <c r="K11660" t="s">
        <v>1618</v>
      </c>
      <c r="M11660" t="s">
        <v>1619</v>
      </c>
      <c r="N11660">
        <v>30.2</v>
      </c>
      <c r="O11660" s="49">
        <v>45284</v>
      </c>
      <c r="P11660" s="50">
        <v>51.506999999999998</v>
      </c>
    </row>
    <row r="11661" spans="4:16" x14ac:dyDescent="0.2">
      <c r="D11661">
        <v>100007015</v>
      </c>
      <c r="E11661" s="49">
        <v>45067</v>
      </c>
      <c r="F11661" t="s">
        <v>7570</v>
      </c>
      <c r="G11661" t="s">
        <v>1730</v>
      </c>
      <c r="H11661">
        <v>10</v>
      </c>
      <c r="I11661">
        <v>103.63</v>
      </c>
      <c r="J11661" s="50">
        <v>1036.3</v>
      </c>
      <c r="K11661" t="s">
        <v>1618</v>
      </c>
      <c r="M11661" t="s">
        <v>1621</v>
      </c>
      <c r="N11661">
        <v>54.69</v>
      </c>
      <c r="O11661" s="49">
        <v>45071</v>
      </c>
      <c r="P11661" s="50">
        <v>466.33499999999998</v>
      </c>
    </row>
    <row r="11662" spans="4:16" x14ac:dyDescent="0.2">
      <c r="D11662">
        <v>100007016</v>
      </c>
      <c r="E11662" s="49">
        <v>44835</v>
      </c>
      <c r="F11662" t="s">
        <v>7703</v>
      </c>
      <c r="G11662" t="s">
        <v>1805</v>
      </c>
      <c r="H11662">
        <v>6</v>
      </c>
      <c r="I11662">
        <v>23.97</v>
      </c>
      <c r="J11662" s="50">
        <v>143.82</v>
      </c>
      <c r="K11662" t="s">
        <v>1618</v>
      </c>
      <c r="M11662" t="s">
        <v>1624</v>
      </c>
      <c r="N11662">
        <v>12.65</v>
      </c>
      <c r="O11662" s="49">
        <v>44837</v>
      </c>
      <c r="P11662" s="50">
        <v>64.718999999999994</v>
      </c>
    </row>
    <row r="11663" spans="4:16" x14ac:dyDescent="0.2">
      <c r="D11663">
        <v>100007016</v>
      </c>
      <c r="E11663" s="49">
        <v>45068</v>
      </c>
      <c r="F11663" t="s">
        <v>7703</v>
      </c>
      <c r="G11663" t="s">
        <v>2057</v>
      </c>
      <c r="H11663">
        <v>6</v>
      </c>
      <c r="I11663">
        <v>44.26</v>
      </c>
      <c r="J11663" s="50">
        <v>265.56</v>
      </c>
      <c r="K11663" t="s">
        <v>1618</v>
      </c>
      <c r="M11663" t="s">
        <v>1621</v>
      </c>
      <c r="N11663">
        <v>23.36</v>
      </c>
      <c r="O11663" s="49">
        <v>45071</v>
      </c>
      <c r="P11663" s="50">
        <v>119.50200000000001</v>
      </c>
    </row>
    <row r="11664" spans="4:16" x14ac:dyDescent="0.2">
      <c r="D11664">
        <v>100007018</v>
      </c>
      <c r="E11664" s="49">
        <v>45033</v>
      </c>
      <c r="F11664" t="s">
        <v>7704</v>
      </c>
      <c r="G11664" t="s">
        <v>1807</v>
      </c>
      <c r="H11664">
        <v>5</v>
      </c>
      <c r="I11664">
        <v>73.89</v>
      </c>
      <c r="J11664" s="50">
        <v>369.45</v>
      </c>
      <c r="K11664" t="s">
        <v>1618</v>
      </c>
      <c r="M11664" t="s">
        <v>1621</v>
      </c>
      <c r="N11664">
        <v>39</v>
      </c>
      <c r="O11664" s="49">
        <v>45037</v>
      </c>
      <c r="P11664" s="50">
        <v>166.2525</v>
      </c>
    </row>
    <row r="11665" spans="4:16" x14ac:dyDescent="0.2">
      <c r="D11665">
        <v>100007019</v>
      </c>
      <c r="E11665" s="49">
        <v>44690</v>
      </c>
      <c r="F11665" t="s">
        <v>7705</v>
      </c>
      <c r="G11665" t="s">
        <v>1675</v>
      </c>
      <c r="H11665">
        <v>5</v>
      </c>
      <c r="I11665">
        <v>72.010000000000005</v>
      </c>
      <c r="J11665" s="50">
        <v>360.05</v>
      </c>
      <c r="K11665" t="s">
        <v>1618</v>
      </c>
      <c r="M11665" t="s">
        <v>1621</v>
      </c>
      <c r="N11665">
        <v>38.01</v>
      </c>
      <c r="O11665" s="49">
        <v>44695</v>
      </c>
      <c r="P11665" s="50">
        <v>162.02250000000001</v>
      </c>
    </row>
    <row r="11666" spans="4:16" x14ac:dyDescent="0.2">
      <c r="D11666">
        <v>100007019</v>
      </c>
      <c r="E11666" s="49">
        <v>45256</v>
      </c>
      <c r="F11666" t="s">
        <v>7705</v>
      </c>
      <c r="G11666" t="s">
        <v>1634</v>
      </c>
      <c r="H11666">
        <v>10</v>
      </c>
      <c r="I11666">
        <v>52.68</v>
      </c>
      <c r="J11666" s="50">
        <v>526.79999999999995</v>
      </c>
      <c r="K11666" t="s">
        <v>1618</v>
      </c>
      <c r="M11666" t="s">
        <v>1629</v>
      </c>
      <c r="N11666">
        <v>27.8</v>
      </c>
      <c r="O11666" s="49">
        <v>45258</v>
      </c>
      <c r="P11666" s="50">
        <v>237.05999999999997</v>
      </c>
    </row>
    <row r="11667" spans="4:16" x14ac:dyDescent="0.2">
      <c r="D11667">
        <v>100007020</v>
      </c>
      <c r="E11667" s="49">
        <v>44222</v>
      </c>
      <c r="F11667" t="s">
        <v>7706</v>
      </c>
      <c r="G11667" t="s">
        <v>2134</v>
      </c>
      <c r="H11667">
        <v>5</v>
      </c>
      <c r="I11667">
        <v>90.62</v>
      </c>
      <c r="J11667" s="50">
        <v>453.1</v>
      </c>
      <c r="K11667" t="s">
        <v>1618</v>
      </c>
      <c r="M11667" t="s">
        <v>1621</v>
      </c>
      <c r="N11667">
        <v>47.83</v>
      </c>
      <c r="O11667" s="49">
        <v>44223</v>
      </c>
      <c r="P11667" s="50">
        <v>203.89500000000001</v>
      </c>
    </row>
    <row r="11668" spans="4:16" x14ac:dyDescent="0.2">
      <c r="D11668">
        <v>100007020</v>
      </c>
      <c r="E11668" s="49">
        <v>45384</v>
      </c>
      <c r="F11668" t="s">
        <v>7706</v>
      </c>
      <c r="G11668" t="s">
        <v>1947</v>
      </c>
      <c r="H11668">
        <v>5</v>
      </c>
      <c r="I11668">
        <v>88.5</v>
      </c>
      <c r="J11668" s="50">
        <v>442.5</v>
      </c>
      <c r="K11668" t="s">
        <v>1618</v>
      </c>
      <c r="M11668" t="s">
        <v>1621</v>
      </c>
      <c r="N11668">
        <v>46.71</v>
      </c>
      <c r="O11668" s="49">
        <v>45385</v>
      </c>
      <c r="P11668" s="50">
        <v>199.125</v>
      </c>
    </row>
    <row r="11669" spans="4:16" x14ac:dyDescent="0.2">
      <c r="D11669">
        <v>100007020</v>
      </c>
      <c r="E11669" s="49">
        <v>45447</v>
      </c>
      <c r="F11669" t="s">
        <v>7706</v>
      </c>
      <c r="G11669" t="s">
        <v>2145</v>
      </c>
      <c r="H11669">
        <v>5</v>
      </c>
      <c r="I11669">
        <v>55.83</v>
      </c>
      <c r="J11669" s="50">
        <v>279.14999999999998</v>
      </c>
      <c r="K11669" t="s">
        <v>1618</v>
      </c>
      <c r="M11669" t="s">
        <v>1627</v>
      </c>
      <c r="N11669">
        <v>29.47</v>
      </c>
      <c r="O11669" s="49">
        <v>45450</v>
      </c>
      <c r="P11669" s="50">
        <v>125.61749999999999</v>
      </c>
    </row>
    <row r="11670" spans="4:16" x14ac:dyDescent="0.2">
      <c r="D11670">
        <v>100007022</v>
      </c>
      <c r="E11670" s="49">
        <v>45243</v>
      </c>
      <c r="F11670" t="s">
        <v>7707</v>
      </c>
      <c r="G11670" t="s">
        <v>1649</v>
      </c>
      <c r="H11670">
        <v>6</v>
      </c>
      <c r="I11670">
        <v>12.98</v>
      </c>
      <c r="J11670" s="50">
        <v>77.88</v>
      </c>
      <c r="K11670" t="s">
        <v>1618</v>
      </c>
      <c r="L11670" t="s">
        <v>2932</v>
      </c>
      <c r="M11670" t="s">
        <v>1624</v>
      </c>
      <c r="N11670">
        <v>6.85</v>
      </c>
      <c r="O11670" s="49">
        <v>45246</v>
      </c>
      <c r="P11670" s="50">
        <v>35.045999999999999</v>
      </c>
    </row>
    <row r="11671" spans="4:16" x14ac:dyDescent="0.2">
      <c r="D11671">
        <v>100007022</v>
      </c>
      <c r="E11671" s="49">
        <v>44441</v>
      </c>
      <c r="F11671" t="s">
        <v>7707</v>
      </c>
      <c r="G11671" t="s">
        <v>1855</v>
      </c>
      <c r="H11671">
        <v>9</v>
      </c>
      <c r="I11671">
        <v>12.7</v>
      </c>
      <c r="J11671" s="50">
        <v>114.3</v>
      </c>
      <c r="K11671" t="s">
        <v>1618</v>
      </c>
      <c r="L11671" t="s">
        <v>2932</v>
      </c>
      <c r="M11671" t="s">
        <v>1624</v>
      </c>
      <c r="N11671">
        <v>6.7</v>
      </c>
      <c r="O11671" s="49">
        <v>44444</v>
      </c>
      <c r="P11671" s="50">
        <v>51.435000000000002</v>
      </c>
    </row>
    <row r="11672" spans="4:16" x14ac:dyDescent="0.2">
      <c r="D11672">
        <v>100007022</v>
      </c>
      <c r="E11672" s="49">
        <v>45626</v>
      </c>
      <c r="F11672" t="s">
        <v>7707</v>
      </c>
      <c r="G11672" t="s">
        <v>2427</v>
      </c>
      <c r="H11672">
        <v>5</v>
      </c>
      <c r="I11672">
        <v>25.92</v>
      </c>
      <c r="J11672" s="50">
        <v>129.6</v>
      </c>
      <c r="K11672" t="s">
        <v>1618</v>
      </c>
      <c r="L11672" t="s">
        <v>2932</v>
      </c>
      <c r="M11672" t="s">
        <v>1624</v>
      </c>
      <c r="N11672">
        <v>13.68</v>
      </c>
      <c r="O11672" s="49">
        <v>45629</v>
      </c>
      <c r="P11672" s="50">
        <v>58.32</v>
      </c>
    </row>
    <row r="11673" spans="4:16" x14ac:dyDescent="0.2">
      <c r="D11673">
        <v>100007022</v>
      </c>
      <c r="E11673" s="49">
        <v>44864</v>
      </c>
      <c r="F11673" t="s">
        <v>7707</v>
      </c>
      <c r="G11673" t="s">
        <v>1760</v>
      </c>
      <c r="H11673">
        <v>1</v>
      </c>
      <c r="I11673">
        <v>108.94</v>
      </c>
      <c r="J11673" s="50">
        <v>108.94</v>
      </c>
      <c r="K11673" t="s">
        <v>1618</v>
      </c>
      <c r="L11673" t="s">
        <v>2932</v>
      </c>
      <c r="M11673" t="s">
        <v>1629</v>
      </c>
      <c r="N11673">
        <v>57.5</v>
      </c>
      <c r="O11673" s="49">
        <v>44868</v>
      </c>
      <c r="P11673" s="50">
        <v>49.023000000000003</v>
      </c>
    </row>
    <row r="11674" spans="4:16" x14ac:dyDescent="0.2">
      <c r="D11674">
        <v>100007024</v>
      </c>
      <c r="E11674" s="49">
        <v>45413</v>
      </c>
      <c r="F11674" t="s">
        <v>7708</v>
      </c>
      <c r="G11674" t="s">
        <v>1781</v>
      </c>
      <c r="H11674">
        <v>9</v>
      </c>
      <c r="I11674">
        <v>53.23</v>
      </c>
      <c r="J11674" s="50">
        <v>479.07</v>
      </c>
      <c r="K11674" t="s">
        <v>1618</v>
      </c>
      <c r="L11674" t="s">
        <v>7497</v>
      </c>
      <c r="M11674" t="s">
        <v>1621</v>
      </c>
      <c r="N11674">
        <v>28.09</v>
      </c>
      <c r="O11674" s="49">
        <v>45416</v>
      </c>
      <c r="P11674" s="50">
        <v>215.58150000000001</v>
      </c>
    </row>
    <row r="11675" spans="4:16" x14ac:dyDescent="0.2">
      <c r="D11675">
        <v>100007024</v>
      </c>
      <c r="E11675" s="49">
        <v>45057</v>
      </c>
      <c r="F11675" t="s">
        <v>7708</v>
      </c>
      <c r="G11675" t="s">
        <v>2057</v>
      </c>
      <c r="H11675">
        <v>9</v>
      </c>
      <c r="I11675">
        <v>108.79</v>
      </c>
      <c r="J11675" s="50">
        <v>979.11</v>
      </c>
      <c r="K11675" t="s">
        <v>1618</v>
      </c>
      <c r="L11675" t="s">
        <v>7497</v>
      </c>
      <c r="M11675" t="s">
        <v>1624</v>
      </c>
      <c r="N11675">
        <v>57.42</v>
      </c>
      <c r="O11675" s="49">
        <v>45059</v>
      </c>
      <c r="P11675" s="50">
        <v>440.59950000000003</v>
      </c>
    </row>
    <row r="11676" spans="4:16" x14ac:dyDescent="0.2">
      <c r="D11676">
        <v>100007024</v>
      </c>
      <c r="E11676" s="49">
        <v>44279</v>
      </c>
      <c r="F11676" t="s">
        <v>7708</v>
      </c>
      <c r="G11676" t="s">
        <v>1904</v>
      </c>
      <c r="H11676">
        <v>6</v>
      </c>
      <c r="I11676">
        <v>49.97</v>
      </c>
      <c r="J11676" s="50">
        <v>299.82</v>
      </c>
      <c r="K11676" t="s">
        <v>1618</v>
      </c>
      <c r="L11676" t="s">
        <v>7497</v>
      </c>
      <c r="M11676" t="s">
        <v>1629</v>
      </c>
      <c r="N11676">
        <v>26.37</v>
      </c>
      <c r="O11676" s="49">
        <v>44281</v>
      </c>
      <c r="P11676" s="50">
        <v>134.91900000000001</v>
      </c>
    </row>
    <row r="11677" spans="4:16" x14ac:dyDescent="0.2">
      <c r="D11677">
        <v>100007025</v>
      </c>
      <c r="E11677" s="49">
        <v>45618</v>
      </c>
      <c r="F11677" t="s">
        <v>7709</v>
      </c>
      <c r="G11677" t="s">
        <v>1939</v>
      </c>
      <c r="H11677">
        <v>7</v>
      </c>
      <c r="I11677">
        <v>57.13</v>
      </c>
      <c r="J11677" s="50">
        <v>399.91</v>
      </c>
      <c r="K11677" t="s">
        <v>1632</v>
      </c>
      <c r="L11677" t="s">
        <v>5127</v>
      </c>
      <c r="M11677" t="s">
        <v>1627</v>
      </c>
      <c r="N11677">
        <v>30.15</v>
      </c>
      <c r="O11677" s="49">
        <v>45620</v>
      </c>
      <c r="P11677" s="50">
        <v>179.95950000000002</v>
      </c>
    </row>
    <row r="11678" spans="4:16" x14ac:dyDescent="0.2">
      <c r="D11678">
        <v>100007025</v>
      </c>
      <c r="E11678" s="49">
        <v>44592</v>
      </c>
      <c r="F11678" t="s">
        <v>7709</v>
      </c>
      <c r="G11678" t="s">
        <v>1792</v>
      </c>
      <c r="H11678">
        <v>6</v>
      </c>
      <c r="I11678">
        <v>86.52</v>
      </c>
      <c r="J11678" s="50">
        <v>519.12</v>
      </c>
      <c r="K11678" t="s">
        <v>1632</v>
      </c>
      <c r="L11678" t="s">
        <v>5127</v>
      </c>
      <c r="M11678" t="s">
        <v>1624</v>
      </c>
      <c r="N11678">
        <v>45.66</v>
      </c>
      <c r="O11678" s="49">
        <v>44597</v>
      </c>
      <c r="P11678" s="50">
        <v>233.60400000000001</v>
      </c>
    </row>
    <row r="11679" spans="4:16" x14ac:dyDescent="0.2">
      <c r="D11679">
        <v>100007025</v>
      </c>
      <c r="E11679" s="49">
        <v>45204</v>
      </c>
      <c r="F11679" t="s">
        <v>7709</v>
      </c>
      <c r="G11679" t="s">
        <v>1650</v>
      </c>
      <c r="H11679">
        <v>8</v>
      </c>
      <c r="I11679">
        <v>49.19</v>
      </c>
      <c r="J11679" s="50">
        <v>393.52</v>
      </c>
      <c r="K11679" t="s">
        <v>1632</v>
      </c>
      <c r="L11679" t="s">
        <v>5127</v>
      </c>
      <c r="M11679" t="s">
        <v>1627</v>
      </c>
      <c r="N11679">
        <v>25.96</v>
      </c>
      <c r="O11679" s="49">
        <v>45209</v>
      </c>
      <c r="P11679" s="50">
        <v>177.084</v>
      </c>
    </row>
    <row r="11680" spans="4:16" x14ac:dyDescent="0.2">
      <c r="D11680">
        <v>100007026</v>
      </c>
      <c r="E11680" s="49">
        <v>44693</v>
      </c>
      <c r="F11680" t="s">
        <v>7710</v>
      </c>
      <c r="G11680" t="s">
        <v>1705</v>
      </c>
      <c r="H11680">
        <v>1</v>
      </c>
      <c r="I11680">
        <v>39.36</v>
      </c>
      <c r="J11680" s="50">
        <v>39.36</v>
      </c>
      <c r="K11680" t="s">
        <v>1632</v>
      </c>
      <c r="M11680" t="s">
        <v>1619</v>
      </c>
      <c r="N11680">
        <v>20.77</v>
      </c>
      <c r="O11680" s="49">
        <v>44694</v>
      </c>
      <c r="P11680" s="50">
        <v>17.712</v>
      </c>
    </row>
    <row r="11681" spans="4:16" x14ac:dyDescent="0.2">
      <c r="D11681">
        <v>100007026</v>
      </c>
      <c r="E11681" s="49">
        <v>45251</v>
      </c>
      <c r="F11681" t="s">
        <v>7710</v>
      </c>
      <c r="G11681" t="s">
        <v>1874</v>
      </c>
      <c r="H11681">
        <v>6</v>
      </c>
      <c r="I11681">
        <v>77.38</v>
      </c>
      <c r="J11681" s="50">
        <v>464.28</v>
      </c>
      <c r="K11681" t="s">
        <v>1632</v>
      </c>
      <c r="M11681" t="s">
        <v>1629</v>
      </c>
      <c r="N11681">
        <v>40.840000000000003</v>
      </c>
      <c r="O11681" s="49">
        <v>45255</v>
      </c>
      <c r="P11681" s="50">
        <v>208.92599999999999</v>
      </c>
    </row>
    <row r="11682" spans="4:16" x14ac:dyDescent="0.2">
      <c r="D11682">
        <v>100007027</v>
      </c>
      <c r="E11682" s="49">
        <v>44832</v>
      </c>
      <c r="F11682" t="s">
        <v>7711</v>
      </c>
      <c r="G11682" t="s">
        <v>1880</v>
      </c>
      <c r="H11682">
        <v>1</v>
      </c>
      <c r="I11682">
        <v>63.74</v>
      </c>
      <c r="J11682" s="50">
        <v>63.74</v>
      </c>
      <c r="K11682" t="s">
        <v>1618</v>
      </c>
      <c r="M11682" t="s">
        <v>1621</v>
      </c>
      <c r="N11682">
        <v>33.64</v>
      </c>
      <c r="O11682" s="49">
        <v>44833</v>
      </c>
      <c r="P11682" s="50">
        <v>28.683</v>
      </c>
    </row>
    <row r="11683" spans="4:16" x14ac:dyDescent="0.2">
      <c r="D11683">
        <v>100007028</v>
      </c>
      <c r="E11683" s="49">
        <v>44408</v>
      </c>
      <c r="F11683" t="s">
        <v>7712</v>
      </c>
      <c r="G11683" t="s">
        <v>2217</v>
      </c>
      <c r="H11683">
        <v>5</v>
      </c>
      <c r="I11683">
        <v>34.979999999999997</v>
      </c>
      <c r="J11683" s="50">
        <v>174.9</v>
      </c>
      <c r="K11683" t="s">
        <v>1618</v>
      </c>
      <c r="M11683" t="s">
        <v>1627</v>
      </c>
      <c r="N11683">
        <v>18.46</v>
      </c>
      <c r="O11683" s="49">
        <v>44409</v>
      </c>
      <c r="P11683" s="50">
        <v>78.704999999999998</v>
      </c>
    </row>
    <row r="11684" spans="4:16" x14ac:dyDescent="0.2">
      <c r="D11684">
        <v>100007029</v>
      </c>
      <c r="E11684" s="49">
        <v>44467</v>
      </c>
      <c r="F11684" t="s">
        <v>7713</v>
      </c>
      <c r="G11684" t="s">
        <v>1758</v>
      </c>
      <c r="H11684">
        <v>7</v>
      </c>
      <c r="I11684">
        <v>34.83</v>
      </c>
      <c r="J11684" s="50">
        <v>243.81</v>
      </c>
      <c r="K11684" t="s">
        <v>1618</v>
      </c>
      <c r="L11684" t="s">
        <v>7714</v>
      </c>
      <c r="M11684" t="s">
        <v>1629</v>
      </c>
      <c r="N11684">
        <v>18.38</v>
      </c>
      <c r="O11684" s="49">
        <v>44468</v>
      </c>
      <c r="P11684" s="50">
        <v>109.7145</v>
      </c>
    </row>
    <row r="11685" spans="4:16" x14ac:dyDescent="0.2">
      <c r="D11685">
        <v>100007030</v>
      </c>
      <c r="E11685" s="49">
        <v>44467</v>
      </c>
      <c r="F11685" t="s">
        <v>7715</v>
      </c>
      <c r="G11685" t="s">
        <v>2344</v>
      </c>
      <c r="H11685">
        <v>10</v>
      </c>
      <c r="I11685">
        <v>22.21</v>
      </c>
      <c r="J11685" s="50">
        <v>222.1</v>
      </c>
      <c r="K11685" t="s">
        <v>1632</v>
      </c>
      <c r="M11685" t="s">
        <v>1624</v>
      </c>
      <c r="N11685">
        <v>11.72</v>
      </c>
      <c r="O11685" s="49">
        <v>44471</v>
      </c>
      <c r="P11685" s="50">
        <v>99.944999999999993</v>
      </c>
    </row>
    <row r="11686" spans="4:16" x14ac:dyDescent="0.2">
      <c r="D11686">
        <v>100007031</v>
      </c>
      <c r="E11686" s="49">
        <v>45220</v>
      </c>
      <c r="F11686" t="s">
        <v>7716</v>
      </c>
      <c r="G11686" t="s">
        <v>2116</v>
      </c>
      <c r="H11686">
        <v>1</v>
      </c>
      <c r="I11686">
        <v>109.31</v>
      </c>
      <c r="J11686" s="50">
        <v>109.31</v>
      </c>
      <c r="K11686" t="s">
        <v>1618</v>
      </c>
      <c r="M11686" t="s">
        <v>1627</v>
      </c>
      <c r="N11686">
        <v>57.69</v>
      </c>
      <c r="O11686" s="49">
        <v>45224</v>
      </c>
      <c r="P11686" s="50">
        <v>49.189500000000002</v>
      </c>
    </row>
    <row r="11687" spans="4:16" x14ac:dyDescent="0.2">
      <c r="D11687">
        <v>100007031</v>
      </c>
      <c r="E11687" s="49">
        <v>44430</v>
      </c>
      <c r="F11687" t="s">
        <v>7716</v>
      </c>
      <c r="G11687" t="s">
        <v>2603</v>
      </c>
      <c r="H11687">
        <v>7</v>
      </c>
      <c r="I11687">
        <v>62.41</v>
      </c>
      <c r="J11687" s="50">
        <v>436.87</v>
      </c>
      <c r="K11687" t="s">
        <v>1618</v>
      </c>
      <c r="M11687" t="s">
        <v>1629</v>
      </c>
      <c r="N11687">
        <v>32.94</v>
      </c>
      <c r="O11687" s="49">
        <v>44432</v>
      </c>
      <c r="P11687" s="50">
        <v>196.5915</v>
      </c>
    </row>
    <row r="11688" spans="4:16" x14ac:dyDescent="0.2">
      <c r="D11688">
        <v>100007032</v>
      </c>
      <c r="E11688" s="49">
        <v>44679</v>
      </c>
      <c r="F11688" t="s">
        <v>7717</v>
      </c>
      <c r="G11688" t="s">
        <v>2420</v>
      </c>
      <c r="H11688">
        <v>10</v>
      </c>
      <c r="I11688">
        <v>48.07</v>
      </c>
      <c r="J11688" s="50">
        <v>480.7</v>
      </c>
      <c r="K11688" t="s">
        <v>1618</v>
      </c>
      <c r="M11688" t="s">
        <v>1619</v>
      </c>
      <c r="N11688">
        <v>25.37</v>
      </c>
      <c r="O11688" s="49">
        <v>44684</v>
      </c>
      <c r="P11688" s="50">
        <v>216.315</v>
      </c>
    </row>
    <row r="11689" spans="4:16" x14ac:dyDescent="0.2">
      <c r="D11689">
        <v>100007032</v>
      </c>
      <c r="E11689" s="49">
        <v>44484</v>
      </c>
      <c r="F11689" t="s">
        <v>7717</v>
      </c>
      <c r="G11689" t="s">
        <v>2348</v>
      </c>
      <c r="H11689">
        <v>7</v>
      </c>
      <c r="I11689">
        <v>75.8</v>
      </c>
      <c r="J11689" s="50">
        <v>530.6</v>
      </c>
      <c r="K11689" t="s">
        <v>1618</v>
      </c>
      <c r="M11689" t="s">
        <v>1621</v>
      </c>
      <c r="N11689">
        <v>40.01</v>
      </c>
      <c r="O11689" s="49">
        <v>44488</v>
      </c>
      <c r="P11689" s="50">
        <v>238.77</v>
      </c>
    </row>
    <row r="11690" spans="4:16" x14ac:dyDescent="0.2">
      <c r="D11690">
        <v>100007033</v>
      </c>
      <c r="E11690" s="49">
        <v>45206</v>
      </c>
      <c r="F11690" t="s">
        <v>7718</v>
      </c>
      <c r="G11690" t="s">
        <v>2301</v>
      </c>
      <c r="H11690">
        <v>3</v>
      </c>
      <c r="I11690">
        <v>67.260000000000005</v>
      </c>
      <c r="J11690" s="50">
        <v>201.78</v>
      </c>
      <c r="K11690" t="s">
        <v>1632</v>
      </c>
      <c r="M11690" t="s">
        <v>1629</v>
      </c>
      <c r="N11690">
        <v>35.5</v>
      </c>
      <c r="O11690" s="49">
        <v>45208</v>
      </c>
      <c r="P11690" s="50">
        <v>90.801000000000002</v>
      </c>
    </row>
    <row r="11691" spans="4:16" x14ac:dyDescent="0.2">
      <c r="D11691">
        <v>100007033</v>
      </c>
      <c r="E11691" s="49">
        <v>45232</v>
      </c>
      <c r="F11691" t="s">
        <v>7718</v>
      </c>
      <c r="G11691" t="s">
        <v>1768</v>
      </c>
      <c r="H11691">
        <v>5</v>
      </c>
      <c r="I11691">
        <v>87.9</v>
      </c>
      <c r="J11691" s="50">
        <v>439.5</v>
      </c>
      <c r="K11691" t="s">
        <v>1632</v>
      </c>
      <c r="M11691" t="s">
        <v>1619</v>
      </c>
      <c r="N11691">
        <v>46.39</v>
      </c>
      <c r="O11691" s="49">
        <v>45236</v>
      </c>
      <c r="P11691" s="50">
        <v>197.77500000000001</v>
      </c>
    </row>
    <row r="11692" spans="4:16" x14ac:dyDescent="0.2">
      <c r="D11692">
        <v>100007033</v>
      </c>
      <c r="E11692" s="49">
        <v>45293</v>
      </c>
      <c r="F11692" t="s">
        <v>7718</v>
      </c>
      <c r="G11692" t="s">
        <v>3075</v>
      </c>
      <c r="H11692">
        <v>2</v>
      </c>
      <c r="I11692">
        <v>99.08</v>
      </c>
      <c r="J11692" s="50">
        <v>198.16</v>
      </c>
      <c r="K11692" t="s">
        <v>1632</v>
      </c>
      <c r="M11692" t="s">
        <v>1629</v>
      </c>
      <c r="N11692">
        <v>52.29</v>
      </c>
      <c r="O11692" s="49">
        <v>45295</v>
      </c>
      <c r="P11692" s="50">
        <v>89.171999999999997</v>
      </c>
    </row>
    <row r="11693" spans="4:16" x14ac:dyDescent="0.2">
      <c r="D11693">
        <v>100007036</v>
      </c>
      <c r="E11693" s="49">
        <v>45320</v>
      </c>
      <c r="F11693" t="s">
        <v>7719</v>
      </c>
      <c r="G11693" t="s">
        <v>2348</v>
      </c>
      <c r="H11693">
        <v>7</v>
      </c>
      <c r="I11693">
        <v>19.32</v>
      </c>
      <c r="J11693" s="50">
        <v>135.24</v>
      </c>
      <c r="K11693" t="s">
        <v>1632</v>
      </c>
      <c r="M11693" t="s">
        <v>1619</v>
      </c>
      <c r="N11693">
        <v>10.199999999999999</v>
      </c>
      <c r="O11693" s="49">
        <v>45323</v>
      </c>
      <c r="P11693" s="50">
        <v>60.858000000000004</v>
      </c>
    </row>
    <row r="11694" spans="4:16" x14ac:dyDescent="0.2">
      <c r="D11694">
        <v>100007036</v>
      </c>
      <c r="E11694" s="49">
        <v>44699</v>
      </c>
      <c r="F11694" t="s">
        <v>7719</v>
      </c>
      <c r="G11694" t="s">
        <v>2585</v>
      </c>
      <c r="H11694">
        <v>6</v>
      </c>
      <c r="I11694">
        <v>25.35</v>
      </c>
      <c r="J11694" s="50">
        <v>152.1</v>
      </c>
      <c r="K11694" t="s">
        <v>1632</v>
      </c>
      <c r="M11694" t="s">
        <v>1619</v>
      </c>
      <c r="N11694">
        <v>13.38</v>
      </c>
      <c r="O11694" s="49">
        <v>44704</v>
      </c>
      <c r="P11694" s="50">
        <v>68.444999999999993</v>
      </c>
    </row>
    <row r="11695" spans="4:16" x14ac:dyDescent="0.2">
      <c r="D11695">
        <v>100007037</v>
      </c>
      <c r="E11695" s="49">
        <v>44899</v>
      </c>
      <c r="F11695" t="s">
        <v>7720</v>
      </c>
      <c r="G11695" t="s">
        <v>2242</v>
      </c>
      <c r="H11695">
        <v>6</v>
      </c>
      <c r="I11695">
        <v>116.8</v>
      </c>
      <c r="J11695" s="50">
        <v>700.8</v>
      </c>
      <c r="K11695" t="s">
        <v>1618</v>
      </c>
      <c r="L11695" t="s">
        <v>5028</v>
      </c>
      <c r="M11695" t="s">
        <v>1629</v>
      </c>
      <c r="N11695">
        <v>61.64</v>
      </c>
      <c r="O11695" s="49">
        <v>44904</v>
      </c>
      <c r="P11695" s="50">
        <v>315.36</v>
      </c>
    </row>
    <row r="11696" spans="4:16" x14ac:dyDescent="0.2">
      <c r="D11696">
        <v>100007038</v>
      </c>
      <c r="E11696" s="49">
        <v>44842</v>
      </c>
      <c r="F11696" t="s">
        <v>3943</v>
      </c>
      <c r="G11696" t="s">
        <v>2343</v>
      </c>
      <c r="H11696">
        <v>9</v>
      </c>
      <c r="I11696">
        <v>48.81</v>
      </c>
      <c r="J11696" s="50">
        <v>439.29</v>
      </c>
      <c r="K11696" t="s">
        <v>1618</v>
      </c>
      <c r="M11696" t="s">
        <v>1621</v>
      </c>
      <c r="N11696">
        <v>25.76</v>
      </c>
      <c r="O11696" s="49">
        <v>44847</v>
      </c>
      <c r="P11696" s="50">
        <v>197.68050000000002</v>
      </c>
    </row>
    <row r="11697" spans="4:16" x14ac:dyDescent="0.2">
      <c r="D11697">
        <v>100007041</v>
      </c>
      <c r="E11697" s="49">
        <v>44346</v>
      </c>
      <c r="F11697" t="s">
        <v>7721</v>
      </c>
      <c r="G11697" t="s">
        <v>2112</v>
      </c>
      <c r="H11697">
        <v>4</v>
      </c>
      <c r="I11697">
        <v>62.93</v>
      </c>
      <c r="J11697" s="50">
        <v>251.72</v>
      </c>
      <c r="K11697" t="s">
        <v>1632</v>
      </c>
      <c r="M11697" t="s">
        <v>1624</v>
      </c>
      <c r="N11697">
        <v>33.21</v>
      </c>
      <c r="O11697" s="49">
        <v>44351</v>
      </c>
      <c r="P11697" s="50">
        <v>113.274</v>
      </c>
    </row>
    <row r="11698" spans="4:16" x14ac:dyDescent="0.2">
      <c r="D11698">
        <v>100007042</v>
      </c>
      <c r="E11698" s="49">
        <v>45202</v>
      </c>
      <c r="F11698" t="s">
        <v>7722</v>
      </c>
      <c r="G11698" t="s">
        <v>2372</v>
      </c>
      <c r="H11698">
        <v>1</v>
      </c>
      <c r="I11698">
        <v>95.78</v>
      </c>
      <c r="J11698" s="50">
        <v>95.78</v>
      </c>
      <c r="K11698" t="s">
        <v>1618</v>
      </c>
      <c r="L11698" t="s">
        <v>5841</v>
      </c>
      <c r="M11698" t="s">
        <v>1624</v>
      </c>
      <c r="N11698">
        <v>50.55</v>
      </c>
      <c r="O11698" s="49">
        <v>45204</v>
      </c>
      <c r="P11698" s="50">
        <v>43.100999999999999</v>
      </c>
    </row>
    <row r="11699" spans="4:16" x14ac:dyDescent="0.2">
      <c r="D11699">
        <v>100007042</v>
      </c>
      <c r="E11699" s="49">
        <v>45015</v>
      </c>
      <c r="F11699" t="s">
        <v>7722</v>
      </c>
      <c r="G11699" t="s">
        <v>1885</v>
      </c>
      <c r="H11699">
        <v>5</v>
      </c>
      <c r="I11699">
        <v>119.14</v>
      </c>
      <c r="J11699" s="50">
        <v>595.70000000000005</v>
      </c>
      <c r="K11699" t="s">
        <v>1618</v>
      </c>
      <c r="L11699" t="s">
        <v>5841</v>
      </c>
      <c r="M11699" t="s">
        <v>1629</v>
      </c>
      <c r="N11699">
        <v>62.88</v>
      </c>
      <c r="O11699" s="49">
        <v>45019</v>
      </c>
      <c r="P11699" s="50">
        <v>268.06500000000005</v>
      </c>
    </row>
    <row r="11700" spans="4:16" x14ac:dyDescent="0.2">
      <c r="D11700">
        <v>100007042</v>
      </c>
      <c r="E11700" s="49">
        <v>45386</v>
      </c>
      <c r="F11700" t="s">
        <v>7722</v>
      </c>
      <c r="G11700" t="s">
        <v>1812</v>
      </c>
      <c r="H11700">
        <v>3</v>
      </c>
      <c r="I11700">
        <v>94.91</v>
      </c>
      <c r="J11700" s="50">
        <v>284.73</v>
      </c>
      <c r="K11700" t="s">
        <v>1618</v>
      </c>
      <c r="L11700" t="s">
        <v>5841</v>
      </c>
      <c r="M11700" t="s">
        <v>1624</v>
      </c>
      <c r="N11700">
        <v>50.09</v>
      </c>
      <c r="O11700" s="49">
        <v>45387</v>
      </c>
      <c r="P11700" s="50">
        <v>128.1285</v>
      </c>
    </row>
    <row r="11701" spans="4:16" x14ac:dyDescent="0.2">
      <c r="D11701">
        <v>100007042</v>
      </c>
      <c r="E11701" s="49">
        <v>44546</v>
      </c>
      <c r="F11701" t="s">
        <v>7722</v>
      </c>
      <c r="G11701" t="s">
        <v>1815</v>
      </c>
      <c r="H11701">
        <v>8</v>
      </c>
      <c r="I11701">
        <v>52.55</v>
      </c>
      <c r="J11701" s="50">
        <v>420.4</v>
      </c>
      <c r="K11701" t="s">
        <v>1618</v>
      </c>
      <c r="L11701" t="s">
        <v>5841</v>
      </c>
      <c r="M11701" t="s">
        <v>1629</v>
      </c>
      <c r="N11701">
        <v>27.73</v>
      </c>
      <c r="O11701" s="49">
        <v>44551</v>
      </c>
      <c r="P11701" s="50">
        <v>189.18</v>
      </c>
    </row>
    <row r="11702" spans="4:16" x14ac:dyDescent="0.2">
      <c r="D11702">
        <v>100007042</v>
      </c>
      <c r="E11702" s="49">
        <v>44202</v>
      </c>
      <c r="F11702" t="s">
        <v>7722</v>
      </c>
      <c r="G11702" t="s">
        <v>1752</v>
      </c>
      <c r="H11702">
        <v>10</v>
      </c>
      <c r="I11702">
        <v>69.790000000000006</v>
      </c>
      <c r="J11702" s="50">
        <v>697.90000000000009</v>
      </c>
      <c r="K11702" t="s">
        <v>1618</v>
      </c>
      <c r="L11702" t="s">
        <v>5841</v>
      </c>
      <c r="M11702" t="s">
        <v>1627</v>
      </c>
      <c r="N11702">
        <v>36.83</v>
      </c>
      <c r="O11702" s="49">
        <v>44205</v>
      </c>
      <c r="P11702" s="50">
        <v>314.05500000000006</v>
      </c>
    </row>
    <row r="11703" spans="4:16" x14ac:dyDescent="0.2">
      <c r="D11703">
        <v>100007042</v>
      </c>
      <c r="E11703" s="49">
        <v>45439</v>
      </c>
      <c r="F11703" t="s">
        <v>7722</v>
      </c>
      <c r="G11703" t="s">
        <v>2571</v>
      </c>
      <c r="H11703">
        <v>9</v>
      </c>
      <c r="I11703">
        <v>32.32</v>
      </c>
      <c r="J11703" s="50">
        <v>290.88</v>
      </c>
      <c r="K11703" t="s">
        <v>1618</v>
      </c>
      <c r="L11703" t="s">
        <v>5841</v>
      </c>
      <c r="M11703" t="s">
        <v>1619</v>
      </c>
      <c r="N11703">
        <v>17.059999999999999</v>
      </c>
      <c r="O11703" s="49">
        <v>45443</v>
      </c>
      <c r="P11703" s="50">
        <v>130.89600000000002</v>
      </c>
    </row>
    <row r="11704" spans="4:16" x14ac:dyDescent="0.2">
      <c r="D11704">
        <v>100007042</v>
      </c>
      <c r="E11704" s="49">
        <v>44248</v>
      </c>
      <c r="F11704" t="s">
        <v>7722</v>
      </c>
      <c r="G11704" t="s">
        <v>1828</v>
      </c>
      <c r="H11704">
        <v>8</v>
      </c>
      <c r="I11704">
        <v>12.23</v>
      </c>
      <c r="J11704" s="50">
        <v>97.84</v>
      </c>
      <c r="K11704" t="s">
        <v>1618</v>
      </c>
      <c r="L11704" t="s">
        <v>5841</v>
      </c>
      <c r="M11704" t="s">
        <v>1627</v>
      </c>
      <c r="N11704">
        <v>6.45</v>
      </c>
      <c r="O11704" s="49">
        <v>44250</v>
      </c>
      <c r="P11704" s="50">
        <v>44.028000000000006</v>
      </c>
    </row>
    <row r="11705" spans="4:16" x14ac:dyDescent="0.2">
      <c r="D11705">
        <v>100007043</v>
      </c>
      <c r="E11705" s="49">
        <v>44537</v>
      </c>
      <c r="F11705" t="s">
        <v>7723</v>
      </c>
      <c r="G11705" t="s">
        <v>2240</v>
      </c>
      <c r="H11705">
        <v>7</v>
      </c>
      <c r="I11705">
        <v>49.56</v>
      </c>
      <c r="J11705" s="50">
        <v>346.92</v>
      </c>
      <c r="K11705" t="s">
        <v>1632</v>
      </c>
      <c r="M11705" t="s">
        <v>1624</v>
      </c>
      <c r="N11705">
        <v>26.16</v>
      </c>
      <c r="O11705" s="49">
        <v>44540</v>
      </c>
      <c r="P11705" s="50">
        <v>156.114</v>
      </c>
    </row>
    <row r="11706" spans="4:16" x14ac:dyDescent="0.2">
      <c r="D11706">
        <v>100007044</v>
      </c>
      <c r="E11706" s="49">
        <v>44974</v>
      </c>
      <c r="F11706" t="s">
        <v>7724</v>
      </c>
      <c r="G11706" t="s">
        <v>2047</v>
      </c>
      <c r="H11706">
        <v>10</v>
      </c>
      <c r="I11706">
        <v>61.13</v>
      </c>
      <c r="J11706" s="50">
        <v>611.30000000000007</v>
      </c>
      <c r="K11706" t="s">
        <v>1632</v>
      </c>
      <c r="L11706" t="s">
        <v>2055</v>
      </c>
      <c r="M11706" t="s">
        <v>1627</v>
      </c>
      <c r="N11706">
        <v>32.26</v>
      </c>
      <c r="O11706" s="49">
        <v>44975</v>
      </c>
      <c r="P11706" s="50">
        <v>275.08500000000004</v>
      </c>
    </row>
    <row r="11707" spans="4:16" x14ac:dyDescent="0.2">
      <c r="D11707">
        <v>100007044</v>
      </c>
      <c r="E11707" s="49">
        <v>44401</v>
      </c>
      <c r="F11707" t="s">
        <v>7724</v>
      </c>
      <c r="G11707" t="s">
        <v>2078</v>
      </c>
      <c r="H11707">
        <v>5</v>
      </c>
      <c r="I11707">
        <v>44.83</v>
      </c>
      <c r="J11707" s="50">
        <v>224.15</v>
      </c>
      <c r="K11707" t="s">
        <v>1632</v>
      </c>
      <c r="L11707" t="s">
        <v>2055</v>
      </c>
      <c r="M11707" t="s">
        <v>1629</v>
      </c>
      <c r="N11707">
        <v>23.66</v>
      </c>
      <c r="O11707" s="49">
        <v>44402</v>
      </c>
      <c r="P11707" s="50">
        <v>100.86750000000001</v>
      </c>
    </row>
    <row r="11708" spans="4:16" x14ac:dyDescent="0.2">
      <c r="D11708">
        <v>100007045</v>
      </c>
      <c r="E11708" s="49">
        <v>44623</v>
      </c>
      <c r="F11708" t="s">
        <v>7725</v>
      </c>
      <c r="G11708" t="s">
        <v>2042</v>
      </c>
      <c r="H11708">
        <v>8</v>
      </c>
      <c r="I11708">
        <v>91.47</v>
      </c>
      <c r="J11708" s="50">
        <v>731.76</v>
      </c>
      <c r="K11708" t="s">
        <v>1618</v>
      </c>
      <c r="M11708" t="s">
        <v>1621</v>
      </c>
      <c r="N11708">
        <v>48.28</v>
      </c>
      <c r="O11708" s="49">
        <v>44627</v>
      </c>
      <c r="P11708" s="50">
        <v>329.29200000000003</v>
      </c>
    </row>
    <row r="11709" spans="4:16" x14ac:dyDescent="0.2">
      <c r="D11709">
        <v>100007046</v>
      </c>
      <c r="E11709" s="49">
        <v>45087</v>
      </c>
      <c r="F11709" t="s">
        <v>7726</v>
      </c>
      <c r="G11709" t="s">
        <v>2302</v>
      </c>
      <c r="H11709">
        <v>3</v>
      </c>
      <c r="I11709">
        <v>96.5</v>
      </c>
      <c r="J11709" s="50">
        <v>289.5</v>
      </c>
      <c r="K11709" t="s">
        <v>1632</v>
      </c>
      <c r="M11709" t="s">
        <v>1627</v>
      </c>
      <c r="N11709">
        <v>50.93</v>
      </c>
      <c r="O11709" s="49">
        <v>45092</v>
      </c>
      <c r="P11709" s="50">
        <v>130.27500000000001</v>
      </c>
    </row>
    <row r="11710" spans="4:16" x14ac:dyDescent="0.2">
      <c r="D11710">
        <v>100007047</v>
      </c>
      <c r="E11710" s="49">
        <v>44508</v>
      </c>
      <c r="F11710" t="s">
        <v>7507</v>
      </c>
      <c r="G11710" t="s">
        <v>1722</v>
      </c>
      <c r="H11710">
        <v>5</v>
      </c>
      <c r="I11710">
        <v>87.06</v>
      </c>
      <c r="J11710" s="50">
        <v>435.3</v>
      </c>
      <c r="K11710" t="s">
        <v>1632</v>
      </c>
      <c r="M11710" t="s">
        <v>1629</v>
      </c>
      <c r="N11710">
        <v>45.95</v>
      </c>
      <c r="O11710" s="49">
        <v>44511</v>
      </c>
      <c r="P11710" s="50">
        <v>195.88500000000002</v>
      </c>
    </row>
    <row r="11711" spans="4:16" x14ac:dyDescent="0.2">
      <c r="D11711">
        <v>100007049</v>
      </c>
      <c r="E11711" s="49">
        <v>45541</v>
      </c>
      <c r="F11711" t="s">
        <v>7727</v>
      </c>
      <c r="G11711" t="s">
        <v>1812</v>
      </c>
      <c r="H11711">
        <v>8</v>
      </c>
      <c r="I11711">
        <v>46.72</v>
      </c>
      <c r="J11711" s="50">
        <v>373.76</v>
      </c>
      <c r="K11711" t="s">
        <v>1618</v>
      </c>
      <c r="M11711" t="s">
        <v>1619</v>
      </c>
      <c r="N11711">
        <v>24.66</v>
      </c>
      <c r="O11711" s="49">
        <v>45544</v>
      </c>
      <c r="P11711" s="50">
        <v>168.19200000000001</v>
      </c>
    </row>
    <row r="11712" spans="4:16" x14ac:dyDescent="0.2">
      <c r="D11712">
        <v>100007050</v>
      </c>
      <c r="E11712" s="49">
        <v>44717</v>
      </c>
      <c r="F11712" t="s">
        <v>7728</v>
      </c>
      <c r="G11712" t="s">
        <v>2372</v>
      </c>
      <c r="H11712">
        <v>5</v>
      </c>
      <c r="I11712">
        <v>69.66</v>
      </c>
      <c r="J11712" s="50">
        <v>348.3</v>
      </c>
      <c r="K11712" t="s">
        <v>1632</v>
      </c>
      <c r="L11712" t="s">
        <v>2989</v>
      </c>
      <c r="M11712" t="s">
        <v>1629</v>
      </c>
      <c r="N11712">
        <v>36.76</v>
      </c>
      <c r="O11712" s="49">
        <v>44720</v>
      </c>
      <c r="P11712" s="50">
        <v>156.73500000000001</v>
      </c>
    </row>
    <row r="11713" spans="4:16" x14ac:dyDescent="0.2">
      <c r="D11713">
        <v>100007051</v>
      </c>
      <c r="E11713" s="49">
        <v>45524</v>
      </c>
      <c r="F11713" t="s">
        <v>7238</v>
      </c>
      <c r="G11713" t="s">
        <v>2016</v>
      </c>
      <c r="H11713">
        <v>1</v>
      </c>
      <c r="I11713">
        <v>118.11</v>
      </c>
      <c r="J11713" s="50">
        <v>118.11</v>
      </c>
      <c r="K11713" t="s">
        <v>1632</v>
      </c>
      <c r="M11713" t="s">
        <v>1629</v>
      </c>
      <c r="N11713">
        <v>62.34</v>
      </c>
      <c r="O11713" s="49">
        <v>45526</v>
      </c>
      <c r="P11713" s="50">
        <v>53.149500000000003</v>
      </c>
    </row>
    <row r="11714" spans="4:16" x14ac:dyDescent="0.2">
      <c r="D11714">
        <v>100007051</v>
      </c>
      <c r="E11714" s="49">
        <v>44782</v>
      </c>
      <c r="F11714" t="s">
        <v>7238</v>
      </c>
      <c r="G11714" t="s">
        <v>2025</v>
      </c>
      <c r="H11714">
        <v>1</v>
      </c>
      <c r="I11714">
        <v>50.85</v>
      </c>
      <c r="J11714" s="50">
        <v>50.85</v>
      </c>
      <c r="K11714" t="s">
        <v>1632</v>
      </c>
      <c r="M11714" t="s">
        <v>1619</v>
      </c>
      <c r="N11714">
        <v>26.84</v>
      </c>
      <c r="O11714" s="49">
        <v>44786</v>
      </c>
      <c r="P11714" s="50">
        <v>22.8825</v>
      </c>
    </row>
    <row r="11715" spans="4:16" x14ac:dyDescent="0.2">
      <c r="D11715">
        <v>100007052</v>
      </c>
      <c r="E11715" s="49">
        <v>44823</v>
      </c>
      <c r="F11715" t="s">
        <v>7729</v>
      </c>
      <c r="G11715" t="s">
        <v>2357</v>
      </c>
      <c r="H11715">
        <v>9</v>
      </c>
      <c r="I11715">
        <v>99.67</v>
      </c>
      <c r="J11715" s="50">
        <v>897.03</v>
      </c>
      <c r="K11715" t="s">
        <v>1618</v>
      </c>
      <c r="M11715" t="s">
        <v>1619</v>
      </c>
      <c r="N11715">
        <v>52.6</v>
      </c>
      <c r="O11715" s="49">
        <v>44824</v>
      </c>
      <c r="P11715" s="50">
        <v>403.6635</v>
      </c>
    </row>
    <row r="11716" spans="4:16" x14ac:dyDescent="0.2">
      <c r="D11716">
        <v>100007052</v>
      </c>
      <c r="E11716" s="49">
        <v>44310</v>
      </c>
      <c r="F11716" t="s">
        <v>7729</v>
      </c>
      <c r="G11716" t="s">
        <v>2232</v>
      </c>
      <c r="H11716">
        <v>2</v>
      </c>
      <c r="I11716">
        <v>99.31</v>
      </c>
      <c r="J11716" s="50">
        <v>198.62</v>
      </c>
      <c r="K11716" t="s">
        <v>1618</v>
      </c>
      <c r="M11716" t="s">
        <v>1624</v>
      </c>
      <c r="N11716">
        <v>52.41</v>
      </c>
      <c r="O11716" s="49">
        <v>44314</v>
      </c>
      <c r="P11716" s="50">
        <v>89.379000000000005</v>
      </c>
    </row>
    <row r="11717" spans="4:16" x14ac:dyDescent="0.2">
      <c r="D11717">
        <v>100007052</v>
      </c>
      <c r="E11717" s="49">
        <v>45211</v>
      </c>
      <c r="F11717" t="s">
        <v>7729</v>
      </c>
      <c r="G11717" t="s">
        <v>1724</v>
      </c>
      <c r="H11717">
        <v>5</v>
      </c>
      <c r="I11717">
        <v>40.6</v>
      </c>
      <c r="J11717" s="50">
        <v>203</v>
      </c>
      <c r="K11717" t="s">
        <v>1618</v>
      </c>
      <c r="M11717" t="s">
        <v>1624</v>
      </c>
      <c r="N11717">
        <v>21.43</v>
      </c>
      <c r="O11717" s="49">
        <v>45214</v>
      </c>
      <c r="P11717" s="50">
        <v>91.350000000000009</v>
      </c>
    </row>
    <row r="11718" spans="4:16" x14ac:dyDescent="0.2">
      <c r="D11718">
        <v>100007052</v>
      </c>
      <c r="E11718" s="49">
        <v>44445</v>
      </c>
      <c r="F11718" t="s">
        <v>7729</v>
      </c>
      <c r="G11718" t="s">
        <v>1866</v>
      </c>
      <c r="H11718">
        <v>8</v>
      </c>
      <c r="I11718">
        <v>54.39</v>
      </c>
      <c r="J11718" s="50">
        <v>435.12</v>
      </c>
      <c r="K11718" t="s">
        <v>1618</v>
      </c>
      <c r="M11718" t="s">
        <v>1627</v>
      </c>
      <c r="N11718">
        <v>28.71</v>
      </c>
      <c r="O11718" s="49">
        <v>44450</v>
      </c>
      <c r="P11718" s="50">
        <v>195.804</v>
      </c>
    </row>
    <row r="11719" spans="4:16" x14ac:dyDescent="0.2">
      <c r="D11719">
        <v>100007053</v>
      </c>
      <c r="E11719" s="49">
        <v>44633</v>
      </c>
      <c r="F11719" t="s">
        <v>7730</v>
      </c>
      <c r="G11719" t="s">
        <v>1705</v>
      </c>
      <c r="H11719">
        <v>10</v>
      </c>
      <c r="I11719">
        <v>103.78</v>
      </c>
      <c r="J11719" s="50">
        <v>1037.8</v>
      </c>
      <c r="K11719" t="s">
        <v>1618</v>
      </c>
      <c r="M11719" t="s">
        <v>1624</v>
      </c>
      <c r="N11719">
        <v>54.77</v>
      </c>
      <c r="O11719" s="49">
        <v>44637</v>
      </c>
      <c r="P11719" s="50">
        <v>467.01</v>
      </c>
    </row>
    <row r="11720" spans="4:16" x14ac:dyDescent="0.2">
      <c r="D11720">
        <v>100007053</v>
      </c>
      <c r="E11720" s="49">
        <v>44667</v>
      </c>
      <c r="F11720" t="s">
        <v>7730</v>
      </c>
      <c r="G11720" t="s">
        <v>1828</v>
      </c>
      <c r="H11720">
        <v>6</v>
      </c>
      <c r="I11720">
        <v>61.19</v>
      </c>
      <c r="J11720" s="50">
        <v>367.14</v>
      </c>
      <c r="K11720" t="s">
        <v>1618</v>
      </c>
      <c r="M11720" t="s">
        <v>1619</v>
      </c>
      <c r="N11720">
        <v>32.29</v>
      </c>
      <c r="O11720" s="49">
        <v>44670</v>
      </c>
      <c r="P11720" s="50">
        <v>165.21299999999999</v>
      </c>
    </row>
    <row r="11721" spans="4:16" x14ac:dyDescent="0.2">
      <c r="D11721">
        <v>100007054</v>
      </c>
      <c r="E11721" s="49">
        <v>44424</v>
      </c>
      <c r="F11721" t="s">
        <v>7731</v>
      </c>
      <c r="G11721" t="s">
        <v>1857</v>
      </c>
      <c r="H11721">
        <v>1</v>
      </c>
      <c r="I11721">
        <v>100.1</v>
      </c>
      <c r="J11721" s="50">
        <v>100.1</v>
      </c>
      <c r="K11721" t="s">
        <v>1618</v>
      </c>
      <c r="M11721" t="s">
        <v>1629</v>
      </c>
      <c r="N11721">
        <v>52.83</v>
      </c>
      <c r="O11721" s="49">
        <v>44427</v>
      </c>
      <c r="P11721" s="50">
        <v>45.045000000000002</v>
      </c>
    </row>
    <row r="11722" spans="4:16" x14ac:dyDescent="0.2">
      <c r="D11722">
        <v>100007055</v>
      </c>
      <c r="E11722" s="49">
        <v>45263</v>
      </c>
      <c r="F11722" t="s">
        <v>7732</v>
      </c>
      <c r="G11722" t="s">
        <v>2331</v>
      </c>
      <c r="H11722">
        <v>8</v>
      </c>
      <c r="I11722">
        <v>67.56</v>
      </c>
      <c r="J11722" s="50">
        <v>540.48</v>
      </c>
      <c r="K11722" t="s">
        <v>1618</v>
      </c>
      <c r="M11722" t="s">
        <v>1619</v>
      </c>
      <c r="N11722">
        <v>35.659999999999997</v>
      </c>
      <c r="O11722" s="49">
        <v>45266</v>
      </c>
      <c r="P11722" s="50">
        <v>243.21600000000001</v>
      </c>
    </row>
    <row r="11723" spans="4:16" x14ac:dyDescent="0.2">
      <c r="D11723">
        <v>100007056</v>
      </c>
      <c r="E11723" s="49">
        <v>44548</v>
      </c>
      <c r="F11723" t="s">
        <v>4357</v>
      </c>
      <c r="G11723" t="s">
        <v>1828</v>
      </c>
      <c r="H11723">
        <v>3</v>
      </c>
      <c r="I11723">
        <v>70.319999999999993</v>
      </c>
      <c r="J11723" s="50">
        <v>210.96</v>
      </c>
      <c r="K11723" t="s">
        <v>1618</v>
      </c>
      <c r="M11723" t="s">
        <v>1619</v>
      </c>
      <c r="N11723">
        <v>37.11</v>
      </c>
      <c r="O11723" s="49">
        <v>44553</v>
      </c>
      <c r="P11723" s="50">
        <v>94.932000000000002</v>
      </c>
    </row>
    <row r="11724" spans="4:16" x14ac:dyDescent="0.2">
      <c r="D11724">
        <v>100007058</v>
      </c>
      <c r="E11724" s="49">
        <v>44632</v>
      </c>
      <c r="F11724" t="s">
        <v>7733</v>
      </c>
      <c r="G11724" t="s">
        <v>2375</v>
      </c>
      <c r="H11724">
        <v>10</v>
      </c>
      <c r="I11724">
        <v>115.47</v>
      </c>
      <c r="J11724" s="50">
        <v>1154.7</v>
      </c>
      <c r="K11724" t="s">
        <v>1618</v>
      </c>
      <c r="M11724" t="s">
        <v>1629</v>
      </c>
      <c r="N11724">
        <v>60.94</v>
      </c>
      <c r="O11724" s="49">
        <v>44633</v>
      </c>
      <c r="P11724" s="50">
        <v>519.61500000000001</v>
      </c>
    </row>
    <row r="11725" spans="4:16" x14ac:dyDescent="0.2">
      <c r="D11725">
        <v>100007059</v>
      </c>
      <c r="E11725" s="49">
        <v>44674</v>
      </c>
      <c r="F11725" t="s">
        <v>7734</v>
      </c>
      <c r="G11725" t="s">
        <v>2194</v>
      </c>
      <c r="H11725">
        <v>10</v>
      </c>
      <c r="I11725">
        <v>47.41</v>
      </c>
      <c r="J11725" s="50">
        <v>474.1</v>
      </c>
      <c r="K11725" t="s">
        <v>1632</v>
      </c>
      <c r="M11725" t="s">
        <v>1619</v>
      </c>
      <c r="N11725">
        <v>25.02</v>
      </c>
      <c r="O11725" s="49">
        <v>44675</v>
      </c>
      <c r="P11725" s="50">
        <v>213.34500000000003</v>
      </c>
    </row>
    <row r="11726" spans="4:16" x14ac:dyDescent="0.2">
      <c r="D11726">
        <v>100007060</v>
      </c>
      <c r="E11726" s="49">
        <v>44881</v>
      </c>
      <c r="F11726" t="s">
        <v>7735</v>
      </c>
      <c r="G11726" t="s">
        <v>1664</v>
      </c>
      <c r="H11726">
        <v>1</v>
      </c>
      <c r="I11726">
        <v>104.2</v>
      </c>
      <c r="J11726" s="50">
        <v>104.2</v>
      </c>
      <c r="K11726" t="s">
        <v>1618</v>
      </c>
      <c r="L11726" t="s">
        <v>4656</v>
      </c>
      <c r="M11726" t="s">
        <v>1627</v>
      </c>
      <c r="N11726">
        <v>54.99</v>
      </c>
      <c r="O11726" s="49">
        <v>44884</v>
      </c>
      <c r="P11726" s="50">
        <v>46.89</v>
      </c>
    </row>
    <row r="11727" spans="4:16" x14ac:dyDescent="0.2">
      <c r="D11727">
        <v>100007060</v>
      </c>
      <c r="E11727" s="49">
        <v>45168</v>
      </c>
      <c r="F11727" t="s">
        <v>7735</v>
      </c>
      <c r="G11727" t="s">
        <v>1802</v>
      </c>
      <c r="H11727">
        <v>8</v>
      </c>
      <c r="I11727">
        <v>52.95</v>
      </c>
      <c r="J11727" s="50">
        <v>423.6</v>
      </c>
      <c r="K11727" t="s">
        <v>1618</v>
      </c>
      <c r="L11727" t="s">
        <v>4656</v>
      </c>
      <c r="M11727" t="s">
        <v>1629</v>
      </c>
      <c r="N11727">
        <v>27.95</v>
      </c>
      <c r="O11727" s="49">
        <v>45171</v>
      </c>
      <c r="P11727" s="50">
        <v>190.62</v>
      </c>
    </row>
    <row r="11728" spans="4:16" x14ac:dyDescent="0.2">
      <c r="D11728">
        <v>100007061</v>
      </c>
      <c r="E11728" s="49">
        <v>44585</v>
      </c>
      <c r="F11728" t="s">
        <v>7736</v>
      </c>
      <c r="G11728" t="s">
        <v>1723</v>
      </c>
      <c r="H11728">
        <v>2</v>
      </c>
      <c r="I11728">
        <v>41.59</v>
      </c>
      <c r="J11728" s="50">
        <v>83.18</v>
      </c>
      <c r="K11728" t="s">
        <v>1618</v>
      </c>
      <c r="M11728" t="s">
        <v>1629</v>
      </c>
      <c r="N11728">
        <v>21.95</v>
      </c>
      <c r="O11728" s="49">
        <v>44590</v>
      </c>
      <c r="P11728" s="50">
        <v>37.431000000000004</v>
      </c>
    </row>
    <row r="11729" spans="4:16" x14ac:dyDescent="0.2">
      <c r="D11729">
        <v>100007063</v>
      </c>
      <c r="E11729" s="49">
        <v>45494</v>
      </c>
      <c r="F11729" t="s">
        <v>7737</v>
      </c>
      <c r="G11729" t="s">
        <v>1731</v>
      </c>
      <c r="H11729">
        <v>8</v>
      </c>
      <c r="I11729">
        <v>28.6</v>
      </c>
      <c r="J11729" s="50">
        <v>228.8</v>
      </c>
      <c r="K11729" t="s">
        <v>1632</v>
      </c>
      <c r="L11729" t="s">
        <v>7738</v>
      </c>
      <c r="M11729" t="s">
        <v>1621</v>
      </c>
      <c r="N11729">
        <v>15.09</v>
      </c>
      <c r="O11729" s="49">
        <v>45497</v>
      </c>
      <c r="P11729" s="50">
        <v>102.96000000000001</v>
      </c>
    </row>
    <row r="11730" spans="4:16" x14ac:dyDescent="0.2">
      <c r="D11730">
        <v>100007063</v>
      </c>
      <c r="E11730" s="49">
        <v>45531</v>
      </c>
      <c r="F11730" t="s">
        <v>7737</v>
      </c>
      <c r="G11730" t="s">
        <v>1634</v>
      </c>
      <c r="H11730">
        <v>1</v>
      </c>
      <c r="I11730">
        <v>88.83</v>
      </c>
      <c r="J11730" s="50">
        <v>88.83</v>
      </c>
      <c r="K11730" t="s">
        <v>1632</v>
      </c>
      <c r="L11730" t="s">
        <v>7738</v>
      </c>
      <c r="M11730" t="s">
        <v>1619</v>
      </c>
      <c r="N11730">
        <v>46.88</v>
      </c>
      <c r="O11730" s="49">
        <v>45533</v>
      </c>
      <c r="P11730" s="50">
        <v>39.973500000000001</v>
      </c>
    </row>
    <row r="11731" spans="4:16" x14ac:dyDescent="0.2">
      <c r="D11731">
        <v>100007063</v>
      </c>
      <c r="E11731" s="49">
        <v>44997</v>
      </c>
      <c r="F11731" t="s">
        <v>7737</v>
      </c>
      <c r="G11731" t="s">
        <v>2485</v>
      </c>
      <c r="H11731">
        <v>9</v>
      </c>
      <c r="I11731">
        <v>66.34</v>
      </c>
      <c r="J11731" s="50">
        <v>597.06000000000006</v>
      </c>
      <c r="K11731" t="s">
        <v>1632</v>
      </c>
      <c r="L11731" t="s">
        <v>7738</v>
      </c>
      <c r="M11731" t="s">
        <v>1624</v>
      </c>
      <c r="N11731">
        <v>35.01</v>
      </c>
      <c r="O11731" s="49">
        <v>45000</v>
      </c>
      <c r="P11731" s="50">
        <v>268.67700000000002</v>
      </c>
    </row>
    <row r="11732" spans="4:16" x14ac:dyDescent="0.2">
      <c r="D11732">
        <v>100007064</v>
      </c>
      <c r="E11732" s="49">
        <v>45125</v>
      </c>
      <c r="F11732" t="s">
        <v>7739</v>
      </c>
      <c r="G11732" t="s">
        <v>1645</v>
      </c>
      <c r="H11732">
        <v>4</v>
      </c>
      <c r="I11732">
        <v>66.87</v>
      </c>
      <c r="J11732" s="50">
        <v>267.48</v>
      </c>
      <c r="K11732" t="s">
        <v>1632</v>
      </c>
      <c r="M11732" t="s">
        <v>1629</v>
      </c>
      <c r="N11732">
        <v>35.29</v>
      </c>
      <c r="O11732" s="49">
        <v>45128</v>
      </c>
      <c r="P11732" s="50">
        <v>120.36600000000001</v>
      </c>
    </row>
    <row r="11733" spans="4:16" x14ac:dyDescent="0.2">
      <c r="D11733">
        <v>100007064</v>
      </c>
      <c r="E11733" s="49">
        <v>44339</v>
      </c>
      <c r="F11733" t="s">
        <v>7739</v>
      </c>
      <c r="G11733" t="s">
        <v>1752</v>
      </c>
      <c r="H11733">
        <v>9</v>
      </c>
      <c r="I11733">
        <v>37.880000000000003</v>
      </c>
      <c r="J11733" s="50">
        <v>340.92</v>
      </c>
      <c r="K11733" t="s">
        <v>1632</v>
      </c>
      <c r="M11733" t="s">
        <v>1629</v>
      </c>
      <c r="N11733">
        <v>19.989999999999998</v>
      </c>
      <c r="O11733" s="49">
        <v>44343</v>
      </c>
      <c r="P11733" s="50">
        <v>153.41400000000002</v>
      </c>
    </row>
    <row r="11734" spans="4:16" x14ac:dyDescent="0.2">
      <c r="D11734">
        <v>100007064</v>
      </c>
      <c r="E11734" s="49">
        <v>44827</v>
      </c>
      <c r="F11734" t="s">
        <v>7739</v>
      </c>
      <c r="G11734" t="s">
        <v>1797</v>
      </c>
      <c r="H11734">
        <v>1</v>
      </c>
      <c r="I11734">
        <v>60.55</v>
      </c>
      <c r="J11734" s="50">
        <v>60.55</v>
      </c>
      <c r="K11734" t="s">
        <v>1632</v>
      </c>
      <c r="M11734" t="s">
        <v>1621</v>
      </c>
      <c r="N11734">
        <v>31.96</v>
      </c>
      <c r="O11734" s="49">
        <v>44831</v>
      </c>
      <c r="P11734" s="50">
        <v>27.247499999999999</v>
      </c>
    </row>
    <row r="11735" spans="4:16" x14ac:dyDescent="0.2">
      <c r="D11735">
        <v>100007064</v>
      </c>
      <c r="E11735" s="49">
        <v>44387</v>
      </c>
      <c r="F11735" t="s">
        <v>7739</v>
      </c>
      <c r="G11735" t="s">
        <v>1628</v>
      </c>
      <c r="H11735">
        <v>6</v>
      </c>
      <c r="I11735">
        <v>52.85</v>
      </c>
      <c r="J11735" s="50">
        <v>317.10000000000002</v>
      </c>
      <c r="K11735" t="s">
        <v>1632</v>
      </c>
      <c r="M11735" t="s">
        <v>1624</v>
      </c>
      <c r="N11735">
        <v>27.89</v>
      </c>
      <c r="O11735" s="49">
        <v>44391</v>
      </c>
      <c r="P11735" s="50">
        <v>142.69500000000002</v>
      </c>
    </row>
    <row r="11736" spans="4:16" x14ac:dyDescent="0.2">
      <c r="D11736">
        <v>100007064</v>
      </c>
      <c r="E11736" s="49">
        <v>44792</v>
      </c>
      <c r="F11736" t="s">
        <v>7739</v>
      </c>
      <c r="G11736" t="s">
        <v>2088</v>
      </c>
      <c r="H11736">
        <v>5</v>
      </c>
      <c r="I11736">
        <v>75.98</v>
      </c>
      <c r="J11736" s="50">
        <v>379.9</v>
      </c>
      <c r="K11736" t="s">
        <v>1632</v>
      </c>
      <c r="M11736" t="s">
        <v>1619</v>
      </c>
      <c r="N11736">
        <v>40.1</v>
      </c>
      <c r="O11736" s="49">
        <v>44795</v>
      </c>
      <c r="P11736" s="50">
        <v>170.95499999999998</v>
      </c>
    </row>
    <row r="11737" spans="4:16" x14ac:dyDescent="0.2">
      <c r="D11737">
        <v>100007064</v>
      </c>
      <c r="E11737" s="49">
        <v>44313</v>
      </c>
      <c r="F11737" t="s">
        <v>7739</v>
      </c>
      <c r="G11737" t="s">
        <v>1890</v>
      </c>
      <c r="H11737">
        <v>5</v>
      </c>
      <c r="I11737">
        <v>118.92</v>
      </c>
      <c r="J11737" s="50">
        <v>594.6</v>
      </c>
      <c r="K11737" t="s">
        <v>1632</v>
      </c>
      <c r="M11737" t="s">
        <v>1621</v>
      </c>
      <c r="N11737">
        <v>62.76</v>
      </c>
      <c r="O11737" s="49">
        <v>44317</v>
      </c>
      <c r="P11737" s="50">
        <v>267.57</v>
      </c>
    </row>
    <row r="11738" spans="4:16" x14ac:dyDescent="0.2">
      <c r="D11738">
        <v>100007064</v>
      </c>
      <c r="E11738" s="49">
        <v>44940</v>
      </c>
      <c r="F11738" t="s">
        <v>7739</v>
      </c>
      <c r="G11738" t="s">
        <v>2390</v>
      </c>
      <c r="H11738">
        <v>5</v>
      </c>
      <c r="I11738">
        <v>48.36</v>
      </c>
      <c r="J11738" s="50">
        <v>241.8</v>
      </c>
      <c r="K11738" t="s">
        <v>1632</v>
      </c>
      <c r="M11738" t="s">
        <v>1621</v>
      </c>
      <c r="N11738">
        <v>25.52</v>
      </c>
      <c r="O11738" s="49">
        <v>44941</v>
      </c>
      <c r="P11738" s="50">
        <v>108.81</v>
      </c>
    </row>
    <row r="11739" spans="4:16" x14ac:dyDescent="0.2">
      <c r="D11739">
        <v>100007065</v>
      </c>
      <c r="E11739" s="49">
        <v>44270</v>
      </c>
      <c r="F11739" t="s">
        <v>7740</v>
      </c>
      <c r="G11739" t="s">
        <v>1853</v>
      </c>
      <c r="H11739">
        <v>1</v>
      </c>
      <c r="I11739">
        <v>50.05</v>
      </c>
      <c r="J11739" s="50">
        <v>50.05</v>
      </c>
      <c r="K11739" t="s">
        <v>1618</v>
      </c>
      <c r="M11739" t="s">
        <v>1629</v>
      </c>
      <c r="N11739">
        <v>26.42</v>
      </c>
      <c r="O11739" s="49">
        <v>44272</v>
      </c>
      <c r="P11739" s="50">
        <v>22.522500000000001</v>
      </c>
    </row>
    <row r="11740" spans="4:16" x14ac:dyDescent="0.2">
      <c r="D11740">
        <v>100007065</v>
      </c>
      <c r="E11740" s="49">
        <v>44641</v>
      </c>
      <c r="F11740" t="s">
        <v>7740</v>
      </c>
      <c r="G11740" t="s">
        <v>1719</v>
      </c>
      <c r="H11740">
        <v>9</v>
      </c>
      <c r="I11740">
        <v>27.27</v>
      </c>
      <c r="J11740" s="50">
        <v>245.43</v>
      </c>
      <c r="K11740" t="s">
        <v>1618</v>
      </c>
      <c r="M11740" t="s">
        <v>1619</v>
      </c>
      <c r="N11740">
        <v>14.39</v>
      </c>
      <c r="O11740" s="49">
        <v>44644</v>
      </c>
      <c r="P11740" s="50">
        <v>110.4435</v>
      </c>
    </row>
    <row r="11741" spans="4:16" x14ac:dyDescent="0.2">
      <c r="D11741">
        <v>100007066</v>
      </c>
      <c r="E11741" s="49">
        <v>44511</v>
      </c>
      <c r="F11741" t="s">
        <v>7741</v>
      </c>
      <c r="G11741" t="s">
        <v>1712</v>
      </c>
      <c r="H11741">
        <v>8</v>
      </c>
      <c r="I11741">
        <v>92.8</v>
      </c>
      <c r="J11741" s="50">
        <v>742.4</v>
      </c>
      <c r="K11741" t="s">
        <v>1618</v>
      </c>
      <c r="M11741" t="s">
        <v>1629</v>
      </c>
      <c r="N11741">
        <v>48.98</v>
      </c>
      <c r="O11741" s="49">
        <v>44513</v>
      </c>
      <c r="P11741" s="50">
        <v>334.08</v>
      </c>
    </row>
    <row r="11742" spans="4:16" x14ac:dyDescent="0.2">
      <c r="D11742">
        <v>100007066</v>
      </c>
      <c r="E11742" s="49">
        <v>44349</v>
      </c>
      <c r="F11742" t="s">
        <v>7741</v>
      </c>
      <c r="G11742" t="s">
        <v>1789</v>
      </c>
      <c r="H11742">
        <v>4</v>
      </c>
      <c r="I11742">
        <v>51.63</v>
      </c>
      <c r="J11742" s="50">
        <v>206.52</v>
      </c>
      <c r="K11742" t="s">
        <v>1618</v>
      </c>
      <c r="M11742" t="s">
        <v>1627</v>
      </c>
      <c r="N11742">
        <v>27.25</v>
      </c>
      <c r="O11742" s="49">
        <v>44351</v>
      </c>
      <c r="P11742" s="50">
        <v>92.934000000000012</v>
      </c>
    </row>
    <row r="11743" spans="4:16" x14ac:dyDescent="0.2">
      <c r="D11743">
        <v>100007067</v>
      </c>
      <c r="E11743" s="49">
        <v>44494</v>
      </c>
      <c r="F11743" t="s">
        <v>7742</v>
      </c>
      <c r="G11743" t="s">
        <v>2431</v>
      </c>
      <c r="H11743">
        <v>10</v>
      </c>
      <c r="I11743">
        <v>88.36</v>
      </c>
      <c r="J11743" s="50">
        <v>883.6</v>
      </c>
      <c r="K11743" t="s">
        <v>1618</v>
      </c>
      <c r="M11743" t="s">
        <v>1624</v>
      </c>
      <c r="N11743">
        <v>46.63</v>
      </c>
      <c r="O11743" s="49">
        <v>44498</v>
      </c>
      <c r="P11743" s="50">
        <v>397.62</v>
      </c>
    </row>
    <row r="11744" spans="4:16" x14ac:dyDescent="0.2">
      <c r="D11744">
        <v>100007068</v>
      </c>
      <c r="E11744" s="49">
        <v>44750</v>
      </c>
      <c r="F11744" t="s">
        <v>7743</v>
      </c>
      <c r="G11744" t="s">
        <v>1802</v>
      </c>
      <c r="H11744">
        <v>1</v>
      </c>
      <c r="I11744">
        <v>82.14</v>
      </c>
      <c r="J11744" s="50">
        <v>82.14</v>
      </c>
      <c r="K11744" t="s">
        <v>1618</v>
      </c>
      <c r="M11744" t="s">
        <v>1629</v>
      </c>
      <c r="N11744">
        <v>43.35</v>
      </c>
      <c r="O11744" s="49">
        <v>44754</v>
      </c>
      <c r="P11744" s="50">
        <v>36.963000000000001</v>
      </c>
    </row>
    <row r="11745" spans="4:16" x14ac:dyDescent="0.2">
      <c r="D11745">
        <v>100007069</v>
      </c>
      <c r="E11745" s="49">
        <v>44544</v>
      </c>
      <c r="F11745" t="s">
        <v>7744</v>
      </c>
      <c r="G11745" t="s">
        <v>1645</v>
      </c>
      <c r="H11745">
        <v>2</v>
      </c>
      <c r="I11745">
        <v>24.72</v>
      </c>
      <c r="J11745" s="50">
        <v>49.44</v>
      </c>
      <c r="K11745" t="s">
        <v>1632</v>
      </c>
      <c r="M11745" t="s">
        <v>1627</v>
      </c>
      <c r="N11745">
        <v>13.05</v>
      </c>
      <c r="O11745" s="49">
        <v>44545</v>
      </c>
      <c r="P11745" s="50">
        <v>22.248000000000001</v>
      </c>
    </row>
    <row r="11746" spans="4:16" x14ac:dyDescent="0.2">
      <c r="D11746">
        <v>100007069</v>
      </c>
      <c r="E11746" s="49">
        <v>44279</v>
      </c>
      <c r="F11746" t="s">
        <v>7744</v>
      </c>
      <c r="G11746" t="s">
        <v>2387</v>
      </c>
      <c r="H11746">
        <v>3</v>
      </c>
      <c r="I11746">
        <v>110.12</v>
      </c>
      <c r="J11746" s="50">
        <v>330.36</v>
      </c>
      <c r="K11746" t="s">
        <v>1632</v>
      </c>
      <c r="M11746" t="s">
        <v>1629</v>
      </c>
      <c r="N11746">
        <v>58.12</v>
      </c>
      <c r="O11746" s="49">
        <v>44281</v>
      </c>
      <c r="P11746" s="50">
        <v>148.66200000000001</v>
      </c>
    </row>
    <row r="11747" spans="4:16" x14ac:dyDescent="0.2">
      <c r="D11747">
        <v>100007069</v>
      </c>
      <c r="E11747" s="49">
        <v>44575</v>
      </c>
      <c r="F11747" t="s">
        <v>7744</v>
      </c>
      <c r="G11747" t="s">
        <v>2005</v>
      </c>
      <c r="H11747">
        <v>9</v>
      </c>
      <c r="I11747">
        <v>59.83</v>
      </c>
      <c r="J11747" s="50">
        <v>538.47</v>
      </c>
      <c r="K11747" t="s">
        <v>1632</v>
      </c>
      <c r="M11747" t="s">
        <v>1629</v>
      </c>
      <c r="N11747">
        <v>31.58</v>
      </c>
      <c r="O11747" s="49">
        <v>44576</v>
      </c>
      <c r="P11747" s="50">
        <v>242.31150000000002</v>
      </c>
    </row>
    <row r="11748" spans="4:16" x14ac:dyDescent="0.2">
      <c r="D11748">
        <v>100007069</v>
      </c>
      <c r="E11748" s="49">
        <v>45048</v>
      </c>
      <c r="F11748" t="s">
        <v>7744</v>
      </c>
      <c r="G11748" t="s">
        <v>1953</v>
      </c>
      <c r="H11748">
        <v>7</v>
      </c>
      <c r="I11748">
        <v>95.36</v>
      </c>
      <c r="J11748" s="50">
        <v>667.52</v>
      </c>
      <c r="K11748" t="s">
        <v>1632</v>
      </c>
      <c r="M11748" t="s">
        <v>1627</v>
      </c>
      <c r="N11748">
        <v>50.33</v>
      </c>
      <c r="O11748" s="49">
        <v>45049</v>
      </c>
      <c r="P11748" s="50">
        <v>300.38400000000001</v>
      </c>
    </row>
    <row r="11749" spans="4:16" x14ac:dyDescent="0.2">
      <c r="D11749">
        <v>100007069</v>
      </c>
      <c r="E11749" s="49">
        <v>45015</v>
      </c>
      <c r="F11749" t="s">
        <v>7744</v>
      </c>
      <c r="G11749" t="s">
        <v>1825</v>
      </c>
      <c r="H11749">
        <v>3</v>
      </c>
      <c r="I11749">
        <v>88.53</v>
      </c>
      <c r="J11749" s="50">
        <v>265.58999999999997</v>
      </c>
      <c r="K11749" t="s">
        <v>1632</v>
      </c>
      <c r="M11749" t="s">
        <v>1619</v>
      </c>
      <c r="N11749">
        <v>46.72</v>
      </c>
      <c r="O11749" s="49">
        <v>45017</v>
      </c>
      <c r="P11749" s="50">
        <v>119.51549999999999</v>
      </c>
    </row>
    <row r="11750" spans="4:16" x14ac:dyDescent="0.2">
      <c r="D11750">
        <v>100007070</v>
      </c>
      <c r="E11750" s="49">
        <v>45464</v>
      </c>
      <c r="F11750" t="s">
        <v>7745</v>
      </c>
      <c r="G11750" t="s">
        <v>2698</v>
      </c>
      <c r="H11750">
        <v>2</v>
      </c>
      <c r="I11750">
        <v>104.11</v>
      </c>
      <c r="J11750" s="50">
        <v>208.22</v>
      </c>
      <c r="K11750" t="s">
        <v>1632</v>
      </c>
      <c r="M11750" t="s">
        <v>1619</v>
      </c>
      <c r="N11750">
        <v>54.95</v>
      </c>
      <c r="O11750" s="49">
        <v>45467</v>
      </c>
      <c r="P11750" s="50">
        <v>93.698999999999998</v>
      </c>
    </row>
    <row r="11751" spans="4:16" x14ac:dyDescent="0.2">
      <c r="D11751">
        <v>100007070</v>
      </c>
      <c r="E11751" s="49">
        <v>44276</v>
      </c>
      <c r="F11751" t="s">
        <v>7745</v>
      </c>
      <c r="G11751" t="s">
        <v>2357</v>
      </c>
      <c r="H11751">
        <v>10</v>
      </c>
      <c r="I11751">
        <v>62.75</v>
      </c>
      <c r="J11751" s="50">
        <v>627.5</v>
      </c>
      <c r="K11751" t="s">
        <v>1632</v>
      </c>
      <c r="M11751" t="s">
        <v>1629</v>
      </c>
      <c r="N11751">
        <v>33.119999999999997</v>
      </c>
      <c r="O11751" s="49">
        <v>44278</v>
      </c>
      <c r="P11751" s="50">
        <v>282.375</v>
      </c>
    </row>
    <row r="11752" spans="4:16" x14ac:dyDescent="0.2">
      <c r="D11752">
        <v>100007070</v>
      </c>
      <c r="E11752" s="49">
        <v>44902</v>
      </c>
      <c r="F11752" t="s">
        <v>7745</v>
      </c>
      <c r="G11752" t="s">
        <v>2331</v>
      </c>
      <c r="H11752">
        <v>6</v>
      </c>
      <c r="I11752">
        <v>101.54</v>
      </c>
      <c r="J11752" s="50">
        <v>609.24</v>
      </c>
      <c r="K11752" t="s">
        <v>1632</v>
      </c>
      <c r="M11752" t="s">
        <v>1621</v>
      </c>
      <c r="N11752">
        <v>53.59</v>
      </c>
      <c r="O11752" s="49">
        <v>44904</v>
      </c>
      <c r="P11752" s="50">
        <v>274.15800000000002</v>
      </c>
    </row>
    <row r="11753" spans="4:16" x14ac:dyDescent="0.2">
      <c r="D11753">
        <v>100007070</v>
      </c>
      <c r="E11753" s="49">
        <v>45496</v>
      </c>
      <c r="F11753" t="s">
        <v>7745</v>
      </c>
      <c r="G11753" t="s">
        <v>1643</v>
      </c>
      <c r="H11753">
        <v>8</v>
      </c>
      <c r="I11753">
        <v>47.32</v>
      </c>
      <c r="J11753" s="50">
        <v>378.56</v>
      </c>
      <c r="K11753" t="s">
        <v>1632</v>
      </c>
      <c r="M11753" t="s">
        <v>1621</v>
      </c>
      <c r="N11753">
        <v>24.97</v>
      </c>
      <c r="O11753" s="49">
        <v>45497</v>
      </c>
      <c r="P11753" s="50">
        <v>170.352</v>
      </c>
    </row>
    <row r="11754" spans="4:16" x14ac:dyDescent="0.2">
      <c r="D11754">
        <v>100007071</v>
      </c>
      <c r="E11754" s="49">
        <v>45188</v>
      </c>
      <c r="F11754" t="s">
        <v>7746</v>
      </c>
      <c r="G11754" t="s">
        <v>1802</v>
      </c>
      <c r="H11754">
        <v>8</v>
      </c>
      <c r="I11754">
        <v>32.57</v>
      </c>
      <c r="J11754" s="50">
        <v>260.56</v>
      </c>
      <c r="K11754" t="s">
        <v>1618</v>
      </c>
      <c r="M11754" t="s">
        <v>1629</v>
      </c>
      <c r="N11754">
        <v>17.190000000000001</v>
      </c>
      <c r="O11754" s="49">
        <v>45192</v>
      </c>
      <c r="P11754" s="50">
        <v>117.25200000000001</v>
      </c>
    </row>
    <row r="11755" spans="4:16" x14ac:dyDescent="0.2">
      <c r="D11755">
        <v>100007072</v>
      </c>
      <c r="E11755" s="49">
        <v>44709</v>
      </c>
      <c r="F11755" t="s">
        <v>7747</v>
      </c>
      <c r="G11755" t="s">
        <v>2485</v>
      </c>
      <c r="H11755">
        <v>5</v>
      </c>
      <c r="I11755">
        <v>91.16</v>
      </c>
      <c r="J11755" s="50">
        <v>455.8</v>
      </c>
      <c r="K11755" t="s">
        <v>1632</v>
      </c>
      <c r="M11755" t="s">
        <v>1627</v>
      </c>
      <c r="N11755">
        <v>48.11</v>
      </c>
      <c r="O11755" s="49">
        <v>44710</v>
      </c>
      <c r="P11755" s="50">
        <v>205.11</v>
      </c>
    </row>
    <row r="11756" spans="4:16" x14ac:dyDescent="0.2">
      <c r="D11756">
        <v>100007072</v>
      </c>
      <c r="E11756" s="49">
        <v>44900</v>
      </c>
      <c r="F11756" t="s">
        <v>7747</v>
      </c>
      <c r="G11756" t="s">
        <v>2628</v>
      </c>
      <c r="H11756">
        <v>6</v>
      </c>
      <c r="I11756">
        <v>80.040000000000006</v>
      </c>
      <c r="J11756" s="50">
        <v>480.24</v>
      </c>
      <c r="K11756" t="s">
        <v>1632</v>
      </c>
      <c r="M11756" t="s">
        <v>1629</v>
      </c>
      <c r="N11756">
        <v>42.24</v>
      </c>
      <c r="O11756" s="49">
        <v>44901</v>
      </c>
      <c r="P11756" s="50">
        <v>216.108</v>
      </c>
    </row>
    <row r="11757" spans="4:16" x14ac:dyDescent="0.2">
      <c r="D11757">
        <v>100007072</v>
      </c>
      <c r="E11757" s="49">
        <v>44231</v>
      </c>
      <c r="F11757" t="s">
        <v>7747</v>
      </c>
      <c r="G11757" t="s">
        <v>1900</v>
      </c>
      <c r="H11757">
        <v>1</v>
      </c>
      <c r="I11757">
        <v>52.07</v>
      </c>
      <c r="J11757" s="50">
        <v>52.07</v>
      </c>
      <c r="K11757" t="s">
        <v>1632</v>
      </c>
      <c r="M11757" t="s">
        <v>1619</v>
      </c>
      <c r="N11757">
        <v>27.48</v>
      </c>
      <c r="O11757" s="49">
        <v>44234</v>
      </c>
      <c r="P11757" s="50">
        <v>23.4315</v>
      </c>
    </row>
    <row r="11758" spans="4:16" x14ac:dyDescent="0.2">
      <c r="D11758">
        <v>100007072</v>
      </c>
      <c r="E11758" s="49">
        <v>45240</v>
      </c>
      <c r="F11758" t="s">
        <v>7747</v>
      </c>
      <c r="G11758" t="s">
        <v>2305</v>
      </c>
      <c r="H11758">
        <v>3</v>
      </c>
      <c r="I11758">
        <v>47.91</v>
      </c>
      <c r="J11758" s="50">
        <v>143.72999999999999</v>
      </c>
      <c r="K11758" t="s">
        <v>1632</v>
      </c>
      <c r="M11758" t="s">
        <v>1627</v>
      </c>
      <c r="N11758">
        <v>25.29</v>
      </c>
      <c r="O11758" s="49">
        <v>45242</v>
      </c>
      <c r="P11758" s="50">
        <v>64.6785</v>
      </c>
    </row>
    <row r="11759" spans="4:16" x14ac:dyDescent="0.2">
      <c r="D11759">
        <v>100007073</v>
      </c>
      <c r="E11759" s="49">
        <v>45445</v>
      </c>
      <c r="F11759" t="s">
        <v>7748</v>
      </c>
      <c r="G11759" t="s">
        <v>1705</v>
      </c>
      <c r="H11759">
        <v>5</v>
      </c>
      <c r="I11759">
        <v>37.26</v>
      </c>
      <c r="J11759" s="50">
        <v>186.3</v>
      </c>
      <c r="K11759" t="s">
        <v>1632</v>
      </c>
      <c r="M11759" t="s">
        <v>1629</v>
      </c>
      <c r="N11759">
        <v>19.66</v>
      </c>
      <c r="O11759" s="49">
        <v>45449</v>
      </c>
      <c r="P11759" s="50">
        <v>83.835000000000008</v>
      </c>
    </row>
    <row r="11760" spans="4:16" x14ac:dyDescent="0.2">
      <c r="D11760">
        <v>100007073</v>
      </c>
      <c r="E11760" s="49">
        <v>45283</v>
      </c>
      <c r="F11760" t="s">
        <v>7748</v>
      </c>
      <c r="G11760" t="s">
        <v>1641</v>
      </c>
      <c r="H11760">
        <v>2</v>
      </c>
      <c r="I11760">
        <v>49.81</v>
      </c>
      <c r="J11760" s="50">
        <v>99.62</v>
      </c>
      <c r="K11760" t="s">
        <v>1632</v>
      </c>
      <c r="M11760" t="s">
        <v>1629</v>
      </c>
      <c r="N11760">
        <v>26.29</v>
      </c>
      <c r="O11760" s="49">
        <v>45284</v>
      </c>
      <c r="P11760" s="50">
        <v>44.829000000000001</v>
      </c>
    </row>
    <row r="11761" spans="4:16" x14ac:dyDescent="0.2">
      <c r="D11761">
        <v>100007074</v>
      </c>
      <c r="E11761" s="49">
        <v>45366</v>
      </c>
      <c r="F11761" t="s">
        <v>7749</v>
      </c>
      <c r="G11761" t="s">
        <v>2242</v>
      </c>
      <c r="H11761">
        <v>10</v>
      </c>
      <c r="I11761">
        <v>103.12</v>
      </c>
      <c r="J11761" s="50">
        <v>1031.2</v>
      </c>
      <c r="K11761" t="s">
        <v>1632</v>
      </c>
      <c r="L11761" t="s">
        <v>5742</v>
      </c>
      <c r="M11761" t="s">
        <v>1627</v>
      </c>
      <c r="N11761">
        <v>54.42</v>
      </c>
      <c r="O11761" s="49">
        <v>45369</v>
      </c>
      <c r="P11761" s="50">
        <v>464.04</v>
      </c>
    </row>
    <row r="11762" spans="4:16" x14ac:dyDescent="0.2">
      <c r="D11762">
        <v>100007074</v>
      </c>
      <c r="E11762" s="49">
        <v>44940</v>
      </c>
      <c r="F11762" t="s">
        <v>7749</v>
      </c>
      <c r="G11762" t="s">
        <v>1956</v>
      </c>
      <c r="H11762">
        <v>8</v>
      </c>
      <c r="I11762">
        <v>52.51</v>
      </c>
      <c r="J11762" s="50">
        <v>420.08</v>
      </c>
      <c r="K11762" t="s">
        <v>1632</v>
      </c>
      <c r="L11762" t="s">
        <v>5742</v>
      </c>
      <c r="M11762" t="s">
        <v>1621</v>
      </c>
      <c r="N11762">
        <v>27.71</v>
      </c>
      <c r="O11762" s="49">
        <v>44945</v>
      </c>
      <c r="P11762" s="50">
        <v>189.036</v>
      </c>
    </row>
    <row r="11763" spans="4:16" x14ac:dyDescent="0.2">
      <c r="D11763">
        <v>100007074</v>
      </c>
      <c r="E11763" s="49">
        <v>44286</v>
      </c>
      <c r="F11763" t="s">
        <v>7749</v>
      </c>
      <c r="G11763" t="s">
        <v>1702</v>
      </c>
      <c r="H11763">
        <v>6</v>
      </c>
      <c r="I11763">
        <v>96.9</v>
      </c>
      <c r="J11763" s="50">
        <v>581.40000000000009</v>
      </c>
      <c r="K11763" t="s">
        <v>1632</v>
      </c>
      <c r="L11763" t="s">
        <v>5742</v>
      </c>
      <c r="M11763" t="s">
        <v>1621</v>
      </c>
      <c r="N11763">
        <v>51.14</v>
      </c>
      <c r="O11763" s="49">
        <v>44289</v>
      </c>
      <c r="P11763" s="50">
        <v>261.63000000000005</v>
      </c>
    </row>
    <row r="11764" spans="4:16" x14ac:dyDescent="0.2">
      <c r="D11764">
        <v>100007077</v>
      </c>
      <c r="E11764" s="49">
        <v>44994</v>
      </c>
      <c r="F11764" t="s">
        <v>7750</v>
      </c>
      <c r="G11764" t="s">
        <v>1646</v>
      </c>
      <c r="H11764">
        <v>2</v>
      </c>
      <c r="I11764">
        <v>25.07</v>
      </c>
      <c r="J11764" s="50">
        <v>50.14</v>
      </c>
      <c r="K11764" t="s">
        <v>1632</v>
      </c>
      <c r="M11764" t="s">
        <v>1624</v>
      </c>
      <c r="N11764">
        <v>13.23</v>
      </c>
      <c r="O11764" s="49">
        <v>44997</v>
      </c>
      <c r="P11764" s="50">
        <v>22.563000000000002</v>
      </c>
    </row>
    <row r="11765" spans="4:16" x14ac:dyDescent="0.2">
      <c r="D11765">
        <v>100007078</v>
      </c>
      <c r="E11765" s="49">
        <v>45511</v>
      </c>
      <c r="F11765" t="s">
        <v>7751</v>
      </c>
      <c r="G11765" t="s">
        <v>2142</v>
      </c>
      <c r="H11765">
        <v>9</v>
      </c>
      <c r="I11765">
        <v>92.6</v>
      </c>
      <c r="J11765" s="50">
        <v>833.4</v>
      </c>
      <c r="K11765" t="s">
        <v>1632</v>
      </c>
      <c r="M11765" t="s">
        <v>1624</v>
      </c>
      <c r="N11765">
        <v>48.87</v>
      </c>
      <c r="O11765" s="49">
        <v>45516</v>
      </c>
      <c r="P11765" s="50">
        <v>375.03</v>
      </c>
    </row>
    <row r="11766" spans="4:16" x14ac:dyDescent="0.2">
      <c r="D11766">
        <v>100007079</v>
      </c>
      <c r="E11766" s="49">
        <v>44515</v>
      </c>
      <c r="F11766" t="s">
        <v>7752</v>
      </c>
      <c r="G11766" t="s">
        <v>1781</v>
      </c>
      <c r="H11766">
        <v>3</v>
      </c>
      <c r="I11766">
        <v>18.5</v>
      </c>
      <c r="J11766" s="50">
        <v>55.5</v>
      </c>
      <c r="K11766" t="s">
        <v>1632</v>
      </c>
      <c r="L11766" t="s">
        <v>6781</v>
      </c>
      <c r="M11766" t="s">
        <v>1629</v>
      </c>
      <c r="N11766">
        <v>9.76</v>
      </c>
      <c r="O11766" s="49">
        <v>44519</v>
      </c>
      <c r="P11766" s="50">
        <v>24.975000000000001</v>
      </c>
    </row>
    <row r="11767" spans="4:16" x14ac:dyDescent="0.2">
      <c r="D11767">
        <v>100007080</v>
      </c>
      <c r="E11767" s="49">
        <v>45195</v>
      </c>
      <c r="F11767" t="s">
        <v>7753</v>
      </c>
      <c r="G11767" t="s">
        <v>1677</v>
      </c>
      <c r="H11767">
        <v>10</v>
      </c>
      <c r="I11767">
        <v>114.33</v>
      </c>
      <c r="J11767" s="50">
        <v>1143.3</v>
      </c>
      <c r="K11767" t="s">
        <v>1632</v>
      </c>
      <c r="M11767" t="s">
        <v>1629</v>
      </c>
      <c r="N11767">
        <v>60.34</v>
      </c>
      <c r="O11767" s="49">
        <v>45197</v>
      </c>
      <c r="P11767" s="50">
        <v>514.48500000000001</v>
      </c>
    </row>
    <row r="11768" spans="4:16" x14ac:dyDescent="0.2">
      <c r="D11768">
        <v>100007081</v>
      </c>
      <c r="E11768" s="49">
        <v>45000</v>
      </c>
      <c r="F11768" t="s">
        <v>7754</v>
      </c>
      <c r="G11768" t="s">
        <v>2121</v>
      </c>
      <c r="H11768">
        <v>3</v>
      </c>
      <c r="I11768">
        <v>97.94</v>
      </c>
      <c r="J11768" s="50">
        <v>293.82</v>
      </c>
      <c r="K11768" t="s">
        <v>1632</v>
      </c>
      <c r="M11768" t="s">
        <v>1627</v>
      </c>
      <c r="N11768">
        <v>51.69</v>
      </c>
      <c r="O11768" s="49">
        <v>45002</v>
      </c>
      <c r="P11768" s="50">
        <v>132.21899999999999</v>
      </c>
    </row>
    <row r="11769" spans="4:16" x14ac:dyDescent="0.2">
      <c r="D11769">
        <v>100007082</v>
      </c>
      <c r="E11769" s="49">
        <v>45026</v>
      </c>
      <c r="F11769" t="s">
        <v>7755</v>
      </c>
      <c r="G11769" t="s">
        <v>1733</v>
      </c>
      <c r="H11769">
        <v>6</v>
      </c>
      <c r="I11769">
        <v>58.81</v>
      </c>
      <c r="J11769" s="50">
        <v>352.86</v>
      </c>
      <c r="K11769" t="s">
        <v>1618</v>
      </c>
      <c r="L11769" t="s">
        <v>3331</v>
      </c>
      <c r="M11769" t="s">
        <v>1619</v>
      </c>
      <c r="N11769">
        <v>31.04</v>
      </c>
      <c r="O11769" s="49">
        <v>45028</v>
      </c>
      <c r="P11769" s="50">
        <v>158.78700000000001</v>
      </c>
    </row>
    <row r="11770" spans="4:16" x14ac:dyDescent="0.2">
      <c r="D11770">
        <v>100007082</v>
      </c>
      <c r="E11770" s="49">
        <v>45528</v>
      </c>
      <c r="F11770" t="s">
        <v>7755</v>
      </c>
      <c r="G11770" t="s">
        <v>1842</v>
      </c>
      <c r="H11770">
        <v>9</v>
      </c>
      <c r="I11770">
        <v>100.16</v>
      </c>
      <c r="J11770" s="50">
        <v>901.43999999999994</v>
      </c>
      <c r="K11770" t="s">
        <v>1618</v>
      </c>
      <c r="L11770" t="s">
        <v>3331</v>
      </c>
      <c r="M11770" t="s">
        <v>1621</v>
      </c>
      <c r="N11770">
        <v>52.86</v>
      </c>
      <c r="O11770" s="49">
        <v>45529</v>
      </c>
      <c r="P11770" s="50">
        <v>405.64799999999997</v>
      </c>
    </row>
    <row r="11771" spans="4:16" x14ac:dyDescent="0.2">
      <c r="D11771">
        <v>100007082</v>
      </c>
      <c r="E11771" s="49">
        <v>44644</v>
      </c>
      <c r="F11771" t="s">
        <v>7755</v>
      </c>
      <c r="G11771" t="s">
        <v>2057</v>
      </c>
      <c r="H11771">
        <v>5</v>
      </c>
      <c r="I11771">
        <v>34.04</v>
      </c>
      <c r="J11771" s="50">
        <v>170.2</v>
      </c>
      <c r="K11771" t="s">
        <v>1618</v>
      </c>
      <c r="L11771" t="s">
        <v>3331</v>
      </c>
      <c r="M11771" t="s">
        <v>1627</v>
      </c>
      <c r="N11771">
        <v>17.97</v>
      </c>
      <c r="O11771" s="49">
        <v>44646</v>
      </c>
      <c r="P11771" s="50">
        <v>76.59</v>
      </c>
    </row>
    <row r="11772" spans="4:16" x14ac:dyDescent="0.2">
      <c r="D11772">
        <v>100007083</v>
      </c>
      <c r="E11772" s="49">
        <v>44366</v>
      </c>
      <c r="F11772" t="s">
        <v>7756</v>
      </c>
      <c r="G11772" t="s">
        <v>2076</v>
      </c>
      <c r="H11772">
        <v>9</v>
      </c>
      <c r="I11772">
        <v>50.57</v>
      </c>
      <c r="J11772" s="50">
        <v>455.13</v>
      </c>
      <c r="K11772" t="s">
        <v>1618</v>
      </c>
      <c r="L11772" t="s">
        <v>7757</v>
      </c>
      <c r="M11772" t="s">
        <v>1627</v>
      </c>
      <c r="N11772">
        <v>26.69</v>
      </c>
      <c r="O11772" s="49">
        <v>44371</v>
      </c>
      <c r="P11772" s="50">
        <v>204.80850000000001</v>
      </c>
    </row>
    <row r="11773" spans="4:16" x14ac:dyDescent="0.2">
      <c r="D11773">
        <v>100007084</v>
      </c>
      <c r="E11773" s="49">
        <v>45030</v>
      </c>
      <c r="F11773" t="s">
        <v>7694</v>
      </c>
      <c r="G11773" t="s">
        <v>2733</v>
      </c>
      <c r="H11773">
        <v>3</v>
      </c>
      <c r="I11773">
        <v>78.2</v>
      </c>
      <c r="J11773" s="50">
        <v>234.6</v>
      </c>
      <c r="K11773" t="s">
        <v>1618</v>
      </c>
      <c r="M11773" t="s">
        <v>1621</v>
      </c>
      <c r="N11773">
        <v>41.27</v>
      </c>
      <c r="O11773" s="49">
        <v>45032</v>
      </c>
      <c r="P11773" s="50">
        <v>105.57</v>
      </c>
    </row>
    <row r="11774" spans="4:16" x14ac:dyDescent="0.2">
      <c r="D11774">
        <v>100007084</v>
      </c>
      <c r="E11774" s="49">
        <v>45604</v>
      </c>
      <c r="F11774" t="s">
        <v>7694</v>
      </c>
      <c r="G11774" t="s">
        <v>2210</v>
      </c>
      <c r="H11774">
        <v>5</v>
      </c>
      <c r="I11774">
        <v>97.37</v>
      </c>
      <c r="J11774" s="50">
        <v>486.85</v>
      </c>
      <c r="K11774" t="s">
        <v>1618</v>
      </c>
      <c r="M11774" t="s">
        <v>1629</v>
      </c>
      <c r="N11774">
        <v>51.39</v>
      </c>
      <c r="O11774" s="49">
        <v>45607</v>
      </c>
      <c r="P11774" s="50">
        <v>219.08250000000001</v>
      </c>
    </row>
    <row r="11775" spans="4:16" x14ac:dyDescent="0.2">
      <c r="D11775">
        <v>100007084</v>
      </c>
      <c r="E11775" s="49">
        <v>45361</v>
      </c>
      <c r="F11775" t="s">
        <v>7694</v>
      </c>
      <c r="G11775" t="s">
        <v>2103</v>
      </c>
      <c r="H11775">
        <v>3</v>
      </c>
      <c r="I11775">
        <v>101.82</v>
      </c>
      <c r="J11775" s="50">
        <v>305.45999999999998</v>
      </c>
      <c r="K11775" t="s">
        <v>1618</v>
      </c>
      <c r="M11775" t="s">
        <v>1621</v>
      </c>
      <c r="N11775">
        <v>53.74</v>
      </c>
      <c r="O11775" s="49">
        <v>45365</v>
      </c>
      <c r="P11775" s="50">
        <v>137.45699999999999</v>
      </c>
    </row>
    <row r="11776" spans="4:16" x14ac:dyDescent="0.2">
      <c r="D11776">
        <v>100007084</v>
      </c>
      <c r="E11776" s="49">
        <v>44425</v>
      </c>
      <c r="F11776" t="s">
        <v>7694</v>
      </c>
      <c r="G11776" t="s">
        <v>1739</v>
      </c>
      <c r="H11776">
        <v>8</v>
      </c>
      <c r="I11776">
        <v>24.78</v>
      </c>
      <c r="J11776" s="50">
        <v>198.24</v>
      </c>
      <c r="K11776" t="s">
        <v>1618</v>
      </c>
      <c r="M11776" t="s">
        <v>1627</v>
      </c>
      <c r="N11776">
        <v>13.08</v>
      </c>
      <c r="O11776" s="49">
        <v>44430</v>
      </c>
      <c r="P11776" s="50">
        <v>89.208000000000013</v>
      </c>
    </row>
    <row r="11777" spans="4:16" x14ac:dyDescent="0.2">
      <c r="D11777">
        <v>100007085</v>
      </c>
      <c r="E11777" s="49">
        <v>44237</v>
      </c>
      <c r="F11777" t="s">
        <v>7758</v>
      </c>
      <c r="G11777" t="s">
        <v>1768</v>
      </c>
      <c r="H11777">
        <v>10</v>
      </c>
      <c r="I11777">
        <v>28.16</v>
      </c>
      <c r="J11777" s="50">
        <v>281.60000000000002</v>
      </c>
      <c r="K11777" t="s">
        <v>1632</v>
      </c>
      <c r="M11777" t="s">
        <v>1621</v>
      </c>
      <c r="N11777">
        <v>14.86</v>
      </c>
      <c r="O11777" s="49">
        <v>44238</v>
      </c>
      <c r="P11777" s="50">
        <v>126.72000000000001</v>
      </c>
    </row>
    <row r="11778" spans="4:16" x14ac:dyDescent="0.2">
      <c r="D11778">
        <v>100007088</v>
      </c>
      <c r="E11778" s="49">
        <v>44599</v>
      </c>
      <c r="F11778" t="s">
        <v>2885</v>
      </c>
      <c r="G11778" t="s">
        <v>1929</v>
      </c>
      <c r="H11778">
        <v>8</v>
      </c>
      <c r="I11778">
        <v>38.590000000000003</v>
      </c>
      <c r="J11778" s="50">
        <v>308.72000000000003</v>
      </c>
      <c r="K11778" t="s">
        <v>1618</v>
      </c>
      <c r="M11778" t="s">
        <v>1619</v>
      </c>
      <c r="N11778">
        <v>20.37</v>
      </c>
      <c r="O11778" s="49">
        <v>44600</v>
      </c>
      <c r="P11778" s="50">
        <v>138.92400000000001</v>
      </c>
    </row>
    <row r="11779" spans="4:16" x14ac:dyDescent="0.2">
      <c r="D11779">
        <v>100007089</v>
      </c>
      <c r="E11779" s="49">
        <v>44993</v>
      </c>
      <c r="F11779" t="s">
        <v>7759</v>
      </c>
      <c r="G11779" t="s">
        <v>2571</v>
      </c>
      <c r="H11779">
        <v>7</v>
      </c>
      <c r="I11779">
        <v>109.65</v>
      </c>
      <c r="J11779" s="50">
        <v>767.55000000000007</v>
      </c>
      <c r="K11779" t="s">
        <v>1618</v>
      </c>
      <c r="M11779" t="s">
        <v>1624</v>
      </c>
      <c r="N11779">
        <v>57.87</v>
      </c>
      <c r="O11779" s="49">
        <v>44994</v>
      </c>
      <c r="P11779" s="50">
        <v>345.39750000000004</v>
      </c>
    </row>
    <row r="11780" spans="4:16" x14ac:dyDescent="0.2">
      <c r="D11780">
        <v>100007089</v>
      </c>
      <c r="E11780" s="49">
        <v>45347</v>
      </c>
      <c r="F11780" t="s">
        <v>7759</v>
      </c>
      <c r="G11780" t="s">
        <v>1658</v>
      </c>
      <c r="H11780">
        <v>2</v>
      </c>
      <c r="I11780">
        <v>16.48</v>
      </c>
      <c r="J11780" s="50">
        <v>32.96</v>
      </c>
      <c r="K11780" t="s">
        <v>1618</v>
      </c>
      <c r="M11780" t="s">
        <v>1624</v>
      </c>
      <c r="N11780">
        <v>8.6999999999999993</v>
      </c>
      <c r="O11780" s="49">
        <v>45351</v>
      </c>
      <c r="P11780" s="50">
        <v>14.832000000000001</v>
      </c>
    </row>
    <row r="11781" spans="4:16" x14ac:dyDescent="0.2">
      <c r="D11781">
        <v>100007090</v>
      </c>
      <c r="E11781" s="49">
        <v>45347</v>
      </c>
      <c r="F11781" t="s">
        <v>7760</v>
      </c>
      <c r="G11781" t="s">
        <v>2706</v>
      </c>
      <c r="H11781">
        <v>3</v>
      </c>
      <c r="I11781">
        <v>62.08</v>
      </c>
      <c r="J11781" s="50">
        <v>186.24</v>
      </c>
      <c r="K11781" t="s">
        <v>1618</v>
      </c>
      <c r="M11781" t="s">
        <v>1621</v>
      </c>
      <c r="N11781">
        <v>32.76</v>
      </c>
      <c r="O11781" s="49">
        <v>45350</v>
      </c>
      <c r="P11781" s="50">
        <v>83.808000000000007</v>
      </c>
    </row>
    <row r="11782" spans="4:16" x14ac:dyDescent="0.2">
      <c r="D11782">
        <v>100007090</v>
      </c>
      <c r="E11782" s="49">
        <v>44879</v>
      </c>
      <c r="F11782" t="s">
        <v>7760</v>
      </c>
      <c r="G11782" t="s">
        <v>1853</v>
      </c>
      <c r="H11782">
        <v>9</v>
      </c>
      <c r="I11782">
        <v>33.82</v>
      </c>
      <c r="J11782" s="50">
        <v>304.38</v>
      </c>
      <c r="K11782" t="s">
        <v>1618</v>
      </c>
      <c r="M11782" t="s">
        <v>1621</v>
      </c>
      <c r="N11782">
        <v>17.850000000000001</v>
      </c>
      <c r="O11782" s="49">
        <v>44883</v>
      </c>
      <c r="P11782" s="50">
        <v>136.971</v>
      </c>
    </row>
    <row r="11783" spans="4:16" x14ac:dyDescent="0.2">
      <c r="D11783">
        <v>100007094</v>
      </c>
      <c r="E11783" s="49">
        <v>44285</v>
      </c>
      <c r="F11783" t="s">
        <v>7761</v>
      </c>
      <c r="G11783" t="s">
        <v>1658</v>
      </c>
      <c r="H11783">
        <v>5</v>
      </c>
      <c r="I11783">
        <v>37.79</v>
      </c>
      <c r="J11783" s="50">
        <v>188.95</v>
      </c>
      <c r="K11783" t="s">
        <v>1618</v>
      </c>
      <c r="M11783" t="s">
        <v>1619</v>
      </c>
      <c r="N11783">
        <v>19.940000000000001</v>
      </c>
      <c r="O11783" s="49">
        <v>44289</v>
      </c>
      <c r="P11783" s="50">
        <v>85.027500000000003</v>
      </c>
    </row>
    <row r="11784" spans="4:16" x14ac:dyDescent="0.2">
      <c r="D11784">
        <v>100007094</v>
      </c>
      <c r="E11784" s="49">
        <v>45053</v>
      </c>
      <c r="F11784" t="s">
        <v>7761</v>
      </c>
      <c r="G11784" t="s">
        <v>1902</v>
      </c>
      <c r="H11784">
        <v>4</v>
      </c>
      <c r="I11784">
        <v>70.25</v>
      </c>
      <c r="J11784" s="50">
        <v>281</v>
      </c>
      <c r="K11784" t="s">
        <v>1618</v>
      </c>
      <c r="M11784" t="s">
        <v>1621</v>
      </c>
      <c r="N11784">
        <v>37.08</v>
      </c>
      <c r="O11784" s="49">
        <v>45057</v>
      </c>
      <c r="P11784" s="50">
        <v>126.45</v>
      </c>
    </row>
    <row r="11785" spans="4:16" x14ac:dyDescent="0.2">
      <c r="D11785">
        <v>100007094</v>
      </c>
      <c r="E11785" s="49">
        <v>44202</v>
      </c>
      <c r="F11785" t="s">
        <v>7761</v>
      </c>
      <c r="G11785" t="s">
        <v>2003</v>
      </c>
      <c r="H11785">
        <v>1</v>
      </c>
      <c r="I11785">
        <v>59.84</v>
      </c>
      <c r="J11785" s="50">
        <v>59.84</v>
      </c>
      <c r="K11785" t="s">
        <v>1618</v>
      </c>
      <c r="M11785" t="s">
        <v>1624</v>
      </c>
      <c r="N11785">
        <v>31.58</v>
      </c>
      <c r="O11785" s="49">
        <v>44204</v>
      </c>
      <c r="P11785" s="50">
        <v>26.928000000000001</v>
      </c>
    </row>
    <row r="11786" spans="4:16" x14ac:dyDescent="0.2">
      <c r="D11786">
        <v>100007094</v>
      </c>
      <c r="E11786" s="49">
        <v>44758</v>
      </c>
      <c r="F11786" t="s">
        <v>7761</v>
      </c>
      <c r="G11786" t="s">
        <v>1712</v>
      </c>
      <c r="H11786">
        <v>6</v>
      </c>
      <c r="I11786">
        <v>43.94</v>
      </c>
      <c r="J11786" s="50">
        <v>263.64</v>
      </c>
      <c r="K11786" t="s">
        <v>1618</v>
      </c>
      <c r="M11786" t="s">
        <v>1624</v>
      </c>
      <c r="N11786">
        <v>23.19</v>
      </c>
      <c r="O11786" s="49">
        <v>44762</v>
      </c>
      <c r="P11786" s="50">
        <v>118.63799999999999</v>
      </c>
    </row>
    <row r="11787" spans="4:16" x14ac:dyDescent="0.2">
      <c r="D11787">
        <v>100007095</v>
      </c>
      <c r="E11787" s="49">
        <v>45547</v>
      </c>
      <c r="F11787" t="s">
        <v>7762</v>
      </c>
      <c r="G11787" t="s">
        <v>1799</v>
      </c>
      <c r="H11787">
        <v>3</v>
      </c>
      <c r="I11787">
        <v>18.73</v>
      </c>
      <c r="J11787" s="50">
        <v>56.19</v>
      </c>
      <c r="K11787" t="s">
        <v>1618</v>
      </c>
      <c r="M11787" t="s">
        <v>1629</v>
      </c>
      <c r="N11787">
        <v>9.89</v>
      </c>
      <c r="O11787" s="49">
        <v>45552</v>
      </c>
      <c r="P11787" s="50">
        <v>25.285499999999999</v>
      </c>
    </row>
    <row r="11788" spans="4:16" x14ac:dyDescent="0.2">
      <c r="D11788">
        <v>100007095</v>
      </c>
      <c r="E11788" s="49">
        <v>44470</v>
      </c>
      <c r="F11788" t="s">
        <v>7762</v>
      </c>
      <c r="G11788" t="s">
        <v>1642</v>
      </c>
      <c r="H11788">
        <v>1</v>
      </c>
      <c r="I11788">
        <v>33.590000000000003</v>
      </c>
      <c r="J11788" s="50">
        <v>33.590000000000003</v>
      </c>
      <c r="K11788" t="s">
        <v>1618</v>
      </c>
      <c r="M11788" t="s">
        <v>1621</v>
      </c>
      <c r="N11788">
        <v>17.73</v>
      </c>
      <c r="O11788" s="49">
        <v>44471</v>
      </c>
      <c r="P11788" s="50">
        <v>15.115500000000003</v>
      </c>
    </row>
    <row r="11789" spans="4:16" x14ac:dyDescent="0.2">
      <c r="D11789">
        <v>100007095</v>
      </c>
      <c r="E11789" s="49">
        <v>44487</v>
      </c>
      <c r="F11789" t="s">
        <v>7762</v>
      </c>
      <c r="G11789" t="s">
        <v>1670</v>
      </c>
      <c r="H11789">
        <v>2</v>
      </c>
      <c r="I11789">
        <v>12.39</v>
      </c>
      <c r="J11789" s="50">
        <v>24.78</v>
      </c>
      <c r="K11789" t="s">
        <v>1618</v>
      </c>
      <c r="M11789" t="s">
        <v>1619</v>
      </c>
      <c r="N11789">
        <v>6.54</v>
      </c>
      <c r="O11789" s="49">
        <v>44492</v>
      </c>
      <c r="P11789" s="50">
        <v>11.151000000000002</v>
      </c>
    </row>
    <row r="11790" spans="4:16" x14ac:dyDescent="0.2">
      <c r="D11790">
        <v>100007097</v>
      </c>
      <c r="E11790" s="49">
        <v>44790</v>
      </c>
      <c r="F11790" t="s">
        <v>7763</v>
      </c>
      <c r="G11790" t="s">
        <v>2194</v>
      </c>
      <c r="H11790">
        <v>9</v>
      </c>
      <c r="I11790">
        <v>43.81</v>
      </c>
      <c r="J11790" s="50">
        <v>394.29</v>
      </c>
      <c r="K11790" t="s">
        <v>1632</v>
      </c>
      <c r="M11790" t="s">
        <v>1629</v>
      </c>
      <c r="N11790">
        <v>23.12</v>
      </c>
      <c r="O11790" s="49">
        <v>44793</v>
      </c>
      <c r="P11790" s="50">
        <v>177.43050000000002</v>
      </c>
    </row>
    <row r="11791" spans="4:16" x14ac:dyDescent="0.2">
      <c r="D11791">
        <v>100007098</v>
      </c>
      <c r="E11791" s="49">
        <v>44397</v>
      </c>
      <c r="F11791" t="s">
        <v>7764</v>
      </c>
      <c r="G11791" t="s">
        <v>2007</v>
      </c>
      <c r="H11791">
        <v>9</v>
      </c>
      <c r="I11791">
        <v>33.270000000000003</v>
      </c>
      <c r="J11791" s="50">
        <v>299.43</v>
      </c>
      <c r="K11791" t="s">
        <v>1632</v>
      </c>
      <c r="M11791" t="s">
        <v>1624</v>
      </c>
      <c r="N11791">
        <v>17.559999999999999</v>
      </c>
      <c r="O11791" s="49">
        <v>44401</v>
      </c>
      <c r="P11791" s="50">
        <v>134.74350000000001</v>
      </c>
    </row>
    <row r="11792" spans="4:16" x14ac:dyDescent="0.2">
      <c r="D11792">
        <v>100007099</v>
      </c>
      <c r="E11792" s="49">
        <v>44300</v>
      </c>
      <c r="F11792" t="s">
        <v>7765</v>
      </c>
      <c r="G11792" t="s">
        <v>1733</v>
      </c>
      <c r="H11792">
        <v>10</v>
      </c>
      <c r="I11792">
        <v>113.73</v>
      </c>
      <c r="J11792" s="50">
        <v>1137.3</v>
      </c>
      <c r="K11792" t="s">
        <v>1632</v>
      </c>
      <c r="M11792" t="s">
        <v>1621</v>
      </c>
      <c r="N11792">
        <v>60.02</v>
      </c>
      <c r="O11792" s="49">
        <v>44302</v>
      </c>
      <c r="P11792" s="50">
        <v>511.78499999999997</v>
      </c>
    </row>
    <row r="11793" spans="4:16" x14ac:dyDescent="0.2">
      <c r="D11793">
        <v>100007099</v>
      </c>
      <c r="E11793" s="49">
        <v>44338</v>
      </c>
      <c r="F11793" t="s">
        <v>7765</v>
      </c>
      <c r="G11793" t="s">
        <v>2041</v>
      </c>
      <c r="H11793">
        <v>3</v>
      </c>
      <c r="I11793">
        <v>28.61</v>
      </c>
      <c r="J11793" s="50">
        <v>85.83</v>
      </c>
      <c r="K11793" t="s">
        <v>1632</v>
      </c>
      <c r="M11793" t="s">
        <v>1621</v>
      </c>
      <c r="N11793">
        <v>15.1</v>
      </c>
      <c r="O11793" s="49">
        <v>44341</v>
      </c>
      <c r="P11793" s="50">
        <v>38.6235</v>
      </c>
    </row>
    <row r="11794" spans="4:16" x14ac:dyDescent="0.2">
      <c r="D11794">
        <v>100007100</v>
      </c>
      <c r="E11794" s="49">
        <v>44986</v>
      </c>
      <c r="F11794" t="s">
        <v>7766</v>
      </c>
      <c r="G11794" t="s">
        <v>1712</v>
      </c>
      <c r="H11794">
        <v>9</v>
      </c>
      <c r="I11794">
        <v>84.18</v>
      </c>
      <c r="J11794" s="50">
        <v>757.62000000000012</v>
      </c>
      <c r="K11794" t="s">
        <v>1618</v>
      </c>
      <c r="L11794" t="s">
        <v>3241</v>
      </c>
      <c r="M11794" t="s">
        <v>1621</v>
      </c>
      <c r="N11794">
        <v>44.43</v>
      </c>
      <c r="O11794" s="49">
        <v>44987</v>
      </c>
      <c r="P11794" s="50">
        <v>340.92900000000009</v>
      </c>
    </row>
    <row r="11795" spans="4:16" x14ac:dyDescent="0.2">
      <c r="D11795">
        <v>100007100</v>
      </c>
      <c r="E11795" s="49">
        <v>44881</v>
      </c>
      <c r="F11795" t="s">
        <v>7766</v>
      </c>
      <c r="G11795" t="s">
        <v>1947</v>
      </c>
      <c r="H11795">
        <v>7</v>
      </c>
      <c r="I11795">
        <v>86.57</v>
      </c>
      <c r="J11795" s="50">
        <v>605.99</v>
      </c>
      <c r="K11795" t="s">
        <v>1618</v>
      </c>
      <c r="L11795" t="s">
        <v>3241</v>
      </c>
      <c r="M11795" t="s">
        <v>1627</v>
      </c>
      <c r="N11795">
        <v>45.69</v>
      </c>
      <c r="O11795" s="49">
        <v>44883</v>
      </c>
      <c r="P11795" s="50">
        <v>272.69550000000004</v>
      </c>
    </row>
    <row r="11796" spans="4:16" x14ac:dyDescent="0.2">
      <c r="D11796">
        <v>100007100</v>
      </c>
      <c r="E11796" s="49">
        <v>44341</v>
      </c>
      <c r="F11796" t="s">
        <v>7766</v>
      </c>
      <c r="G11796" t="s">
        <v>2174</v>
      </c>
      <c r="H11796">
        <v>5</v>
      </c>
      <c r="I11796">
        <v>17.63</v>
      </c>
      <c r="J11796" s="50">
        <v>88.149999999999991</v>
      </c>
      <c r="K11796" t="s">
        <v>1618</v>
      </c>
      <c r="L11796" t="s">
        <v>3241</v>
      </c>
      <c r="M11796" t="s">
        <v>1621</v>
      </c>
      <c r="N11796">
        <v>9.3000000000000007</v>
      </c>
      <c r="O11796" s="49">
        <v>44343</v>
      </c>
      <c r="P11796" s="50">
        <v>39.667499999999997</v>
      </c>
    </row>
    <row r="11797" spans="4:16" x14ac:dyDescent="0.2">
      <c r="D11797">
        <v>100007100</v>
      </c>
      <c r="E11797" s="49">
        <v>44354</v>
      </c>
      <c r="F11797" t="s">
        <v>7766</v>
      </c>
      <c r="G11797" t="s">
        <v>2039</v>
      </c>
      <c r="H11797">
        <v>5</v>
      </c>
      <c r="I11797">
        <v>92.61</v>
      </c>
      <c r="J11797" s="50">
        <v>463.05</v>
      </c>
      <c r="K11797" t="s">
        <v>1618</v>
      </c>
      <c r="L11797" t="s">
        <v>3241</v>
      </c>
      <c r="M11797" t="s">
        <v>1619</v>
      </c>
      <c r="N11797">
        <v>48.88</v>
      </c>
      <c r="O11797" s="49">
        <v>44355</v>
      </c>
      <c r="P11797" s="50">
        <v>208.3725</v>
      </c>
    </row>
    <row r="11798" spans="4:16" x14ac:dyDescent="0.2">
      <c r="D11798">
        <v>100007100</v>
      </c>
      <c r="E11798" s="49">
        <v>44807</v>
      </c>
      <c r="F11798" t="s">
        <v>7766</v>
      </c>
      <c r="G11798" t="s">
        <v>1941</v>
      </c>
      <c r="H11798">
        <v>3</v>
      </c>
      <c r="I11798">
        <v>117.57</v>
      </c>
      <c r="J11798" s="50">
        <v>352.71</v>
      </c>
      <c r="K11798" t="s">
        <v>1618</v>
      </c>
      <c r="L11798" t="s">
        <v>3241</v>
      </c>
      <c r="M11798" t="s">
        <v>1627</v>
      </c>
      <c r="N11798">
        <v>62.05</v>
      </c>
      <c r="O11798" s="49">
        <v>44812</v>
      </c>
      <c r="P11798" s="50">
        <v>158.71949999999998</v>
      </c>
    </row>
    <row r="11799" spans="4:16" x14ac:dyDescent="0.2">
      <c r="D11799">
        <v>100007100</v>
      </c>
      <c r="E11799" s="49">
        <v>45382</v>
      </c>
      <c r="F11799" t="s">
        <v>7766</v>
      </c>
      <c r="G11799" t="s">
        <v>1945</v>
      </c>
      <c r="H11799">
        <v>2</v>
      </c>
      <c r="I11799">
        <v>80.84</v>
      </c>
      <c r="J11799" s="50">
        <v>161.68</v>
      </c>
      <c r="K11799" t="s">
        <v>1618</v>
      </c>
      <c r="L11799" t="s">
        <v>3241</v>
      </c>
      <c r="M11799" t="s">
        <v>1629</v>
      </c>
      <c r="N11799">
        <v>42.67</v>
      </c>
      <c r="O11799" s="49">
        <v>45384</v>
      </c>
      <c r="P11799" s="50">
        <v>72.756</v>
      </c>
    </row>
    <row r="11800" spans="4:16" x14ac:dyDescent="0.2">
      <c r="D11800">
        <v>100007101</v>
      </c>
      <c r="E11800" s="49">
        <v>44465</v>
      </c>
      <c r="F11800" t="s">
        <v>7767</v>
      </c>
      <c r="G11800" t="s">
        <v>1671</v>
      </c>
      <c r="H11800">
        <v>4</v>
      </c>
      <c r="I11800">
        <v>14.26</v>
      </c>
      <c r="J11800" s="50">
        <v>57.04</v>
      </c>
      <c r="K11800" t="s">
        <v>1632</v>
      </c>
      <c r="M11800" t="s">
        <v>1621</v>
      </c>
      <c r="N11800">
        <v>7.53</v>
      </c>
      <c r="O11800" s="49">
        <v>44466</v>
      </c>
      <c r="P11800" s="50">
        <v>25.667999999999999</v>
      </c>
    </row>
    <row r="11801" spans="4:16" x14ac:dyDescent="0.2">
      <c r="D11801">
        <v>100007101</v>
      </c>
      <c r="E11801" s="49">
        <v>44360</v>
      </c>
      <c r="F11801" t="s">
        <v>7767</v>
      </c>
      <c r="G11801" t="s">
        <v>1885</v>
      </c>
      <c r="H11801">
        <v>9</v>
      </c>
      <c r="I11801">
        <v>42.02</v>
      </c>
      <c r="J11801" s="50">
        <v>378.18</v>
      </c>
      <c r="K11801" t="s">
        <v>1632</v>
      </c>
      <c r="M11801" t="s">
        <v>1619</v>
      </c>
      <c r="N11801">
        <v>22.18</v>
      </c>
      <c r="O11801" s="49">
        <v>44364</v>
      </c>
      <c r="P11801" s="50">
        <v>170.18100000000001</v>
      </c>
    </row>
    <row r="11802" spans="4:16" x14ac:dyDescent="0.2">
      <c r="D11802">
        <v>100007102</v>
      </c>
      <c r="E11802" s="49">
        <v>44243</v>
      </c>
      <c r="F11802" t="s">
        <v>7768</v>
      </c>
      <c r="G11802" t="s">
        <v>2707</v>
      </c>
      <c r="H11802">
        <v>4</v>
      </c>
      <c r="I11802">
        <v>34.22</v>
      </c>
      <c r="J11802" s="50">
        <v>136.88</v>
      </c>
      <c r="K11802" t="s">
        <v>1618</v>
      </c>
      <c r="M11802" t="s">
        <v>1629</v>
      </c>
      <c r="N11802">
        <v>18.059999999999999</v>
      </c>
      <c r="O11802" s="49">
        <v>44244</v>
      </c>
      <c r="P11802" s="50">
        <v>61.595999999999997</v>
      </c>
    </row>
    <row r="11803" spans="4:16" x14ac:dyDescent="0.2">
      <c r="D11803">
        <v>100007103</v>
      </c>
      <c r="E11803" s="49">
        <v>45643</v>
      </c>
      <c r="F11803" t="s">
        <v>7769</v>
      </c>
      <c r="G11803" t="s">
        <v>1690</v>
      </c>
      <c r="H11803">
        <v>2</v>
      </c>
      <c r="I11803">
        <v>81.69</v>
      </c>
      <c r="J11803" s="50">
        <v>163.38</v>
      </c>
      <c r="K11803" t="s">
        <v>1632</v>
      </c>
      <c r="M11803" t="s">
        <v>1629</v>
      </c>
      <c r="N11803">
        <v>43.11</v>
      </c>
      <c r="O11803" s="49">
        <v>45647</v>
      </c>
      <c r="P11803" s="50">
        <v>73.521000000000001</v>
      </c>
    </row>
    <row r="11804" spans="4:16" x14ac:dyDescent="0.2">
      <c r="D11804">
        <v>100007103</v>
      </c>
      <c r="E11804" s="49">
        <v>45586</v>
      </c>
      <c r="F11804" t="s">
        <v>7769</v>
      </c>
      <c r="G11804" t="s">
        <v>2378</v>
      </c>
      <c r="H11804">
        <v>1</v>
      </c>
      <c r="I11804">
        <v>75.62</v>
      </c>
      <c r="J11804" s="50">
        <v>75.62</v>
      </c>
      <c r="K11804" t="s">
        <v>1632</v>
      </c>
      <c r="M11804" t="s">
        <v>1619</v>
      </c>
      <c r="N11804">
        <v>39.909999999999997</v>
      </c>
      <c r="O11804" s="49">
        <v>45587</v>
      </c>
      <c r="P11804" s="50">
        <v>34.029000000000003</v>
      </c>
    </row>
    <row r="11805" spans="4:16" x14ac:dyDescent="0.2">
      <c r="D11805">
        <v>100007106</v>
      </c>
      <c r="E11805" s="49">
        <v>44247</v>
      </c>
      <c r="F11805" t="s">
        <v>7770</v>
      </c>
      <c r="G11805" t="s">
        <v>1644</v>
      </c>
      <c r="H11805">
        <v>7</v>
      </c>
      <c r="I11805">
        <v>108.52</v>
      </c>
      <c r="J11805" s="50">
        <v>759.64</v>
      </c>
      <c r="K11805" t="s">
        <v>1632</v>
      </c>
      <c r="M11805" t="s">
        <v>1629</v>
      </c>
      <c r="N11805">
        <v>57.27</v>
      </c>
      <c r="O11805" s="49">
        <v>44248</v>
      </c>
      <c r="P11805" s="50">
        <v>341.83800000000002</v>
      </c>
    </row>
    <row r="11806" spans="4:16" x14ac:dyDescent="0.2">
      <c r="D11806">
        <v>100007106</v>
      </c>
      <c r="E11806" s="49">
        <v>44433</v>
      </c>
      <c r="F11806" t="s">
        <v>7770</v>
      </c>
      <c r="G11806" t="s">
        <v>2217</v>
      </c>
      <c r="H11806">
        <v>8</v>
      </c>
      <c r="I11806">
        <v>90.9</v>
      </c>
      <c r="J11806" s="50">
        <v>727.2</v>
      </c>
      <c r="K11806" t="s">
        <v>1632</v>
      </c>
      <c r="M11806" t="s">
        <v>1629</v>
      </c>
      <c r="N11806">
        <v>47.97</v>
      </c>
      <c r="O11806" s="49">
        <v>44434</v>
      </c>
      <c r="P11806" s="50">
        <v>327.24</v>
      </c>
    </row>
    <row r="11807" spans="4:16" x14ac:dyDescent="0.2">
      <c r="D11807">
        <v>100007109</v>
      </c>
      <c r="E11807" s="49">
        <v>44534</v>
      </c>
      <c r="F11807" t="s">
        <v>7771</v>
      </c>
      <c r="G11807" t="s">
        <v>1628</v>
      </c>
      <c r="H11807">
        <v>3</v>
      </c>
      <c r="I11807">
        <v>74.02</v>
      </c>
      <c r="J11807" s="50">
        <v>222.06</v>
      </c>
      <c r="K11807" t="s">
        <v>1618</v>
      </c>
      <c r="M11807" t="s">
        <v>1627</v>
      </c>
      <c r="N11807">
        <v>39.07</v>
      </c>
      <c r="O11807" s="49">
        <v>44539</v>
      </c>
      <c r="P11807" s="50">
        <v>99.927000000000007</v>
      </c>
    </row>
    <row r="11808" spans="4:16" x14ac:dyDescent="0.2">
      <c r="D11808">
        <v>100007109</v>
      </c>
      <c r="E11808" s="49">
        <v>44286</v>
      </c>
      <c r="F11808" t="s">
        <v>7771</v>
      </c>
      <c r="G11808" t="s">
        <v>2194</v>
      </c>
      <c r="H11808">
        <v>8</v>
      </c>
      <c r="I11808">
        <v>98.09</v>
      </c>
      <c r="J11808" s="50">
        <v>784.72</v>
      </c>
      <c r="K11808" t="s">
        <v>1618</v>
      </c>
      <c r="M11808" t="s">
        <v>1629</v>
      </c>
      <c r="N11808">
        <v>51.77</v>
      </c>
      <c r="O11808" s="49">
        <v>44287</v>
      </c>
      <c r="P11808" s="50">
        <v>353.12400000000002</v>
      </c>
    </row>
    <row r="11809" spans="4:16" x14ac:dyDescent="0.2">
      <c r="D11809">
        <v>100007109</v>
      </c>
      <c r="E11809" s="49">
        <v>44993</v>
      </c>
      <c r="F11809" t="s">
        <v>7771</v>
      </c>
      <c r="G11809" t="s">
        <v>1947</v>
      </c>
      <c r="H11809">
        <v>1</v>
      </c>
      <c r="I11809">
        <v>28.6</v>
      </c>
      <c r="J11809" s="50">
        <v>28.6</v>
      </c>
      <c r="K11809" t="s">
        <v>1618</v>
      </c>
      <c r="M11809" t="s">
        <v>1619</v>
      </c>
      <c r="N11809">
        <v>15.09</v>
      </c>
      <c r="O11809" s="49">
        <v>44998</v>
      </c>
      <c r="P11809" s="50">
        <v>12.870000000000001</v>
      </c>
    </row>
    <row r="11810" spans="4:16" x14ac:dyDescent="0.2">
      <c r="D11810">
        <v>100007111</v>
      </c>
      <c r="E11810" s="49">
        <v>45561</v>
      </c>
      <c r="F11810" t="s">
        <v>5847</v>
      </c>
      <c r="G11810" t="s">
        <v>1941</v>
      </c>
      <c r="H11810">
        <v>7</v>
      </c>
      <c r="I11810">
        <v>29.14</v>
      </c>
      <c r="J11810" s="50">
        <v>203.98</v>
      </c>
      <c r="K11810" t="s">
        <v>1618</v>
      </c>
      <c r="M11810" t="s">
        <v>1619</v>
      </c>
      <c r="N11810">
        <v>15.38</v>
      </c>
      <c r="O11810" s="49">
        <v>45563</v>
      </c>
      <c r="P11810" s="50">
        <v>91.790999999999997</v>
      </c>
    </row>
    <row r="11811" spans="4:16" x14ac:dyDescent="0.2">
      <c r="D11811">
        <v>100007112</v>
      </c>
      <c r="E11811" s="49">
        <v>45392</v>
      </c>
      <c r="F11811" t="s">
        <v>7772</v>
      </c>
      <c r="G11811" t="s">
        <v>1634</v>
      </c>
      <c r="H11811">
        <v>2</v>
      </c>
      <c r="I11811">
        <v>23.85</v>
      </c>
      <c r="J11811" s="50">
        <v>47.7</v>
      </c>
      <c r="K11811" t="s">
        <v>1632</v>
      </c>
      <c r="L11811" t="s">
        <v>2119</v>
      </c>
      <c r="M11811" t="s">
        <v>1624</v>
      </c>
      <c r="N11811">
        <v>12.59</v>
      </c>
      <c r="O11811" s="49">
        <v>45397</v>
      </c>
      <c r="P11811" s="50">
        <v>21.465000000000003</v>
      </c>
    </row>
    <row r="11812" spans="4:16" x14ac:dyDescent="0.2">
      <c r="D11812">
        <v>100007112</v>
      </c>
      <c r="E11812" s="49">
        <v>44229</v>
      </c>
      <c r="F11812" t="s">
        <v>7772</v>
      </c>
      <c r="G11812" t="s">
        <v>1990</v>
      </c>
      <c r="H11812">
        <v>3</v>
      </c>
      <c r="I11812">
        <v>76.14</v>
      </c>
      <c r="J11812" s="50">
        <v>228.42</v>
      </c>
      <c r="K11812" t="s">
        <v>1632</v>
      </c>
      <c r="L11812" t="s">
        <v>2119</v>
      </c>
      <c r="M11812" t="s">
        <v>1619</v>
      </c>
      <c r="N11812">
        <v>40.18</v>
      </c>
      <c r="O11812" s="49">
        <v>44234</v>
      </c>
      <c r="P11812" s="50">
        <v>102.789</v>
      </c>
    </row>
    <row r="11813" spans="4:16" x14ac:dyDescent="0.2">
      <c r="D11813">
        <v>100007112</v>
      </c>
      <c r="E11813" s="49">
        <v>44404</v>
      </c>
      <c r="F11813" t="s">
        <v>7772</v>
      </c>
      <c r="G11813" t="s">
        <v>2121</v>
      </c>
      <c r="H11813">
        <v>4</v>
      </c>
      <c r="I11813">
        <v>28.96</v>
      </c>
      <c r="J11813" s="50">
        <v>115.84</v>
      </c>
      <c r="K11813" t="s">
        <v>1632</v>
      </c>
      <c r="L11813" t="s">
        <v>2119</v>
      </c>
      <c r="M11813" t="s">
        <v>1619</v>
      </c>
      <c r="N11813">
        <v>15.28</v>
      </c>
      <c r="O11813" s="49">
        <v>44407</v>
      </c>
      <c r="P11813" s="50">
        <v>52.128</v>
      </c>
    </row>
    <row r="11814" spans="4:16" x14ac:dyDescent="0.2">
      <c r="D11814">
        <v>100007112</v>
      </c>
      <c r="E11814" s="49">
        <v>44561</v>
      </c>
      <c r="F11814" t="s">
        <v>7772</v>
      </c>
      <c r="G11814" t="s">
        <v>2514</v>
      </c>
      <c r="H11814">
        <v>5</v>
      </c>
      <c r="I11814">
        <v>43.64</v>
      </c>
      <c r="J11814" s="50">
        <v>218.2</v>
      </c>
      <c r="K11814" t="s">
        <v>1632</v>
      </c>
      <c r="L11814" t="s">
        <v>2119</v>
      </c>
      <c r="M11814" t="s">
        <v>1619</v>
      </c>
      <c r="N11814">
        <v>23.03</v>
      </c>
      <c r="O11814" s="49">
        <v>44565</v>
      </c>
      <c r="P11814" s="50">
        <v>98.19</v>
      </c>
    </row>
    <row r="11815" spans="4:16" x14ac:dyDescent="0.2">
      <c r="D11815">
        <v>100007112</v>
      </c>
      <c r="E11815" s="49">
        <v>45069</v>
      </c>
      <c r="F11815" t="s">
        <v>7772</v>
      </c>
      <c r="G11815" t="s">
        <v>2255</v>
      </c>
      <c r="H11815">
        <v>10</v>
      </c>
      <c r="I11815">
        <v>87.25</v>
      </c>
      <c r="J11815" s="50">
        <v>872.5</v>
      </c>
      <c r="K11815" t="s">
        <v>1632</v>
      </c>
      <c r="L11815" t="s">
        <v>2119</v>
      </c>
      <c r="M11815" t="s">
        <v>1619</v>
      </c>
      <c r="N11815">
        <v>46.05</v>
      </c>
      <c r="O11815" s="49">
        <v>45070</v>
      </c>
      <c r="P11815" s="50">
        <v>392.625</v>
      </c>
    </row>
    <row r="11816" spans="4:16" x14ac:dyDescent="0.2">
      <c r="D11816">
        <v>100007114</v>
      </c>
      <c r="E11816" s="49">
        <v>44398</v>
      </c>
      <c r="F11816" t="s">
        <v>7773</v>
      </c>
      <c r="G11816" t="s">
        <v>2658</v>
      </c>
      <c r="H11816">
        <v>3</v>
      </c>
      <c r="I11816">
        <v>82.58</v>
      </c>
      <c r="J11816" s="50">
        <v>247.74</v>
      </c>
      <c r="K11816" t="s">
        <v>1618</v>
      </c>
      <c r="L11816" t="s">
        <v>3644</v>
      </c>
      <c r="M11816" t="s">
        <v>1624</v>
      </c>
      <c r="N11816">
        <v>43.58</v>
      </c>
      <c r="O11816" s="49">
        <v>44399</v>
      </c>
      <c r="P11816" s="50">
        <v>111.483</v>
      </c>
    </row>
    <row r="11817" spans="4:16" x14ac:dyDescent="0.2">
      <c r="D11817">
        <v>100007114</v>
      </c>
      <c r="E11817" s="49">
        <v>45428</v>
      </c>
      <c r="F11817" t="s">
        <v>7773</v>
      </c>
      <c r="G11817" t="s">
        <v>2207</v>
      </c>
      <c r="H11817">
        <v>5</v>
      </c>
      <c r="I11817">
        <v>71.8</v>
      </c>
      <c r="J11817" s="50">
        <v>359</v>
      </c>
      <c r="K11817" t="s">
        <v>1618</v>
      </c>
      <c r="L11817" t="s">
        <v>3644</v>
      </c>
      <c r="M11817" t="s">
        <v>1629</v>
      </c>
      <c r="N11817">
        <v>37.89</v>
      </c>
      <c r="O11817" s="49">
        <v>45431</v>
      </c>
      <c r="P11817" s="50">
        <v>161.55000000000001</v>
      </c>
    </row>
    <row r="11818" spans="4:16" x14ac:dyDescent="0.2">
      <c r="D11818">
        <v>100007115</v>
      </c>
      <c r="E11818" s="49">
        <v>44606</v>
      </c>
      <c r="F11818" t="s">
        <v>7774</v>
      </c>
      <c r="G11818" t="s">
        <v>1628</v>
      </c>
      <c r="H11818">
        <v>5</v>
      </c>
      <c r="I11818">
        <v>23.94</v>
      </c>
      <c r="J11818" s="50">
        <v>119.7</v>
      </c>
      <c r="K11818" t="s">
        <v>1618</v>
      </c>
      <c r="L11818" t="s">
        <v>7775</v>
      </c>
      <c r="M11818" t="s">
        <v>1621</v>
      </c>
      <c r="N11818">
        <v>12.63</v>
      </c>
      <c r="O11818" s="49">
        <v>44607</v>
      </c>
      <c r="P11818" s="50">
        <v>53.865000000000002</v>
      </c>
    </row>
    <row r="11819" spans="4:16" x14ac:dyDescent="0.2">
      <c r="D11819">
        <v>100007121</v>
      </c>
      <c r="E11819" s="49">
        <v>44347</v>
      </c>
      <c r="F11819" t="s">
        <v>7776</v>
      </c>
      <c r="G11819" t="s">
        <v>1677</v>
      </c>
      <c r="H11819">
        <v>7</v>
      </c>
      <c r="I11819">
        <v>58.21</v>
      </c>
      <c r="J11819" s="50">
        <v>407.47</v>
      </c>
      <c r="K11819" t="s">
        <v>1618</v>
      </c>
      <c r="L11819" t="s">
        <v>7777</v>
      </c>
      <c r="M11819" t="s">
        <v>1621</v>
      </c>
      <c r="N11819">
        <v>30.72</v>
      </c>
      <c r="O11819" s="49">
        <v>44351</v>
      </c>
      <c r="P11819" s="50">
        <v>183.36150000000001</v>
      </c>
    </row>
    <row r="11820" spans="4:16" x14ac:dyDescent="0.2">
      <c r="D11820">
        <v>100007122</v>
      </c>
      <c r="E11820" s="49">
        <v>45193</v>
      </c>
      <c r="F11820" t="s">
        <v>3561</v>
      </c>
      <c r="G11820" t="s">
        <v>2038</v>
      </c>
      <c r="H11820">
        <v>10</v>
      </c>
      <c r="I11820">
        <v>102.91</v>
      </c>
      <c r="J11820" s="50">
        <v>1029.0999999999999</v>
      </c>
      <c r="K11820" t="s">
        <v>1632</v>
      </c>
      <c r="L11820" t="s">
        <v>4743</v>
      </c>
      <c r="M11820" t="s">
        <v>1629</v>
      </c>
      <c r="N11820">
        <v>54.31</v>
      </c>
      <c r="O11820" s="49">
        <v>45196</v>
      </c>
      <c r="P11820" s="50">
        <v>463.09499999999997</v>
      </c>
    </row>
    <row r="11821" spans="4:16" x14ac:dyDescent="0.2">
      <c r="D11821">
        <v>100007122</v>
      </c>
      <c r="E11821" s="49">
        <v>45007</v>
      </c>
      <c r="F11821" t="s">
        <v>3561</v>
      </c>
      <c r="G11821" t="s">
        <v>2136</v>
      </c>
      <c r="H11821">
        <v>3</v>
      </c>
      <c r="I11821">
        <v>32.89</v>
      </c>
      <c r="J11821" s="50">
        <v>98.67</v>
      </c>
      <c r="K11821" t="s">
        <v>1632</v>
      </c>
      <c r="L11821" t="s">
        <v>4743</v>
      </c>
      <c r="M11821" t="s">
        <v>1619</v>
      </c>
      <c r="N11821">
        <v>17.36</v>
      </c>
      <c r="O11821" s="49">
        <v>45011</v>
      </c>
      <c r="P11821" s="50">
        <v>44.401499999999999</v>
      </c>
    </row>
    <row r="11822" spans="4:16" x14ac:dyDescent="0.2">
      <c r="D11822">
        <v>100007125</v>
      </c>
      <c r="E11822" s="49">
        <v>44682</v>
      </c>
      <c r="F11822" t="s">
        <v>7778</v>
      </c>
      <c r="G11822" t="s">
        <v>1672</v>
      </c>
      <c r="H11822">
        <v>7</v>
      </c>
      <c r="I11822">
        <v>98.26</v>
      </c>
      <c r="J11822" s="50">
        <v>687.82</v>
      </c>
      <c r="K11822" t="s">
        <v>1632</v>
      </c>
      <c r="L11822" t="s">
        <v>2462</v>
      </c>
      <c r="M11822" t="s">
        <v>1629</v>
      </c>
      <c r="N11822">
        <v>51.86</v>
      </c>
      <c r="O11822" s="49">
        <v>44684</v>
      </c>
      <c r="P11822" s="50">
        <v>309.51900000000001</v>
      </c>
    </row>
    <row r="11823" spans="4:16" x14ac:dyDescent="0.2">
      <c r="D11823">
        <v>100007125</v>
      </c>
      <c r="E11823" s="49">
        <v>45425</v>
      </c>
      <c r="F11823" t="s">
        <v>7778</v>
      </c>
      <c r="G11823" t="s">
        <v>2071</v>
      </c>
      <c r="H11823">
        <v>1</v>
      </c>
      <c r="I11823">
        <v>50.03</v>
      </c>
      <c r="J11823" s="50">
        <v>50.03</v>
      </c>
      <c r="K11823" t="s">
        <v>1632</v>
      </c>
      <c r="L11823" t="s">
        <v>2462</v>
      </c>
      <c r="M11823" t="s">
        <v>1627</v>
      </c>
      <c r="N11823">
        <v>26.4</v>
      </c>
      <c r="O11823" s="49">
        <v>45430</v>
      </c>
      <c r="P11823" s="50">
        <v>22.513500000000001</v>
      </c>
    </row>
    <row r="11824" spans="4:16" x14ac:dyDescent="0.2">
      <c r="D11824">
        <v>100007125</v>
      </c>
      <c r="E11824" s="49">
        <v>44369</v>
      </c>
      <c r="F11824" t="s">
        <v>7778</v>
      </c>
      <c r="G11824" t="s">
        <v>2514</v>
      </c>
      <c r="H11824">
        <v>3</v>
      </c>
      <c r="I11824">
        <v>41.01</v>
      </c>
      <c r="J11824" s="50">
        <v>123.03</v>
      </c>
      <c r="K11824" t="s">
        <v>1632</v>
      </c>
      <c r="L11824" t="s">
        <v>2462</v>
      </c>
      <c r="M11824" t="s">
        <v>1627</v>
      </c>
      <c r="N11824">
        <v>21.64</v>
      </c>
      <c r="O11824" s="49">
        <v>44372</v>
      </c>
      <c r="P11824" s="50">
        <v>55.363500000000002</v>
      </c>
    </row>
    <row r="11825" spans="4:16" x14ac:dyDescent="0.2">
      <c r="D11825">
        <v>100007125</v>
      </c>
      <c r="E11825" s="49">
        <v>44965</v>
      </c>
      <c r="F11825" t="s">
        <v>7778</v>
      </c>
      <c r="G11825" t="s">
        <v>2134</v>
      </c>
      <c r="H11825">
        <v>6</v>
      </c>
      <c r="I11825">
        <v>115.27</v>
      </c>
      <c r="J11825" s="50">
        <v>691.62</v>
      </c>
      <c r="K11825" t="s">
        <v>1632</v>
      </c>
      <c r="L11825" t="s">
        <v>2462</v>
      </c>
      <c r="M11825" t="s">
        <v>1629</v>
      </c>
      <c r="N11825">
        <v>60.84</v>
      </c>
      <c r="O11825" s="49">
        <v>44966</v>
      </c>
      <c r="P11825" s="50">
        <v>311.22899999999998</v>
      </c>
    </row>
    <row r="11826" spans="4:16" x14ac:dyDescent="0.2">
      <c r="D11826">
        <v>100007128</v>
      </c>
      <c r="E11826" s="49">
        <v>45641</v>
      </c>
      <c r="F11826" t="s">
        <v>7779</v>
      </c>
      <c r="G11826" t="s">
        <v>1978</v>
      </c>
      <c r="H11826">
        <v>6</v>
      </c>
      <c r="I11826">
        <v>116.28</v>
      </c>
      <c r="J11826" s="50">
        <v>697.68000000000006</v>
      </c>
      <c r="K11826" t="s">
        <v>1632</v>
      </c>
      <c r="M11826" t="s">
        <v>1624</v>
      </c>
      <c r="N11826">
        <v>61.37</v>
      </c>
      <c r="O11826" s="49">
        <v>45644</v>
      </c>
      <c r="P11826" s="50">
        <v>313.95600000000002</v>
      </c>
    </row>
    <row r="11827" spans="4:16" x14ac:dyDescent="0.2">
      <c r="D11827">
        <v>100007129</v>
      </c>
      <c r="E11827" s="49">
        <v>44954</v>
      </c>
      <c r="F11827" t="s">
        <v>7780</v>
      </c>
      <c r="G11827" t="s">
        <v>1665</v>
      </c>
      <c r="H11827">
        <v>8</v>
      </c>
      <c r="I11827">
        <v>50.11</v>
      </c>
      <c r="J11827" s="50">
        <v>400.88</v>
      </c>
      <c r="K11827" t="s">
        <v>1632</v>
      </c>
      <c r="M11827" t="s">
        <v>1629</v>
      </c>
      <c r="N11827">
        <v>26.45</v>
      </c>
      <c r="O11827" s="49">
        <v>44959</v>
      </c>
      <c r="P11827" s="50">
        <v>180.39600000000002</v>
      </c>
    </row>
    <row r="11828" spans="4:16" x14ac:dyDescent="0.2">
      <c r="D11828">
        <v>100007131</v>
      </c>
      <c r="E11828" s="49">
        <v>45383</v>
      </c>
      <c r="F11828" t="s">
        <v>3992</v>
      </c>
      <c r="G11828" t="s">
        <v>1626</v>
      </c>
      <c r="H11828">
        <v>3</v>
      </c>
      <c r="I11828">
        <v>108.92</v>
      </c>
      <c r="J11828" s="50">
        <v>326.76</v>
      </c>
      <c r="K11828" t="s">
        <v>1618</v>
      </c>
      <c r="M11828" t="s">
        <v>1619</v>
      </c>
      <c r="N11828">
        <v>57.49</v>
      </c>
      <c r="O11828" s="49">
        <v>45386</v>
      </c>
      <c r="P11828" s="50">
        <v>147.042</v>
      </c>
    </row>
    <row r="11829" spans="4:16" x14ac:dyDescent="0.2">
      <c r="D11829">
        <v>100007131</v>
      </c>
      <c r="E11829" s="49">
        <v>44852</v>
      </c>
      <c r="F11829" t="s">
        <v>3992</v>
      </c>
      <c r="G11829" t="s">
        <v>2025</v>
      </c>
      <c r="H11829">
        <v>7</v>
      </c>
      <c r="I11829">
        <v>116.29</v>
      </c>
      <c r="J11829" s="50">
        <v>814.03000000000009</v>
      </c>
      <c r="K11829" t="s">
        <v>1618</v>
      </c>
      <c r="M11829" t="s">
        <v>1619</v>
      </c>
      <c r="N11829">
        <v>61.37</v>
      </c>
      <c r="O11829" s="49">
        <v>44857</v>
      </c>
      <c r="P11829" s="50">
        <v>366.31350000000003</v>
      </c>
    </row>
    <row r="11830" spans="4:16" x14ac:dyDescent="0.2">
      <c r="D11830">
        <v>100007131</v>
      </c>
      <c r="E11830" s="49">
        <v>44741</v>
      </c>
      <c r="F11830" t="s">
        <v>3992</v>
      </c>
      <c r="G11830" t="s">
        <v>1637</v>
      </c>
      <c r="H11830">
        <v>9</v>
      </c>
      <c r="I11830">
        <v>93.06</v>
      </c>
      <c r="J11830" s="50">
        <v>837.54</v>
      </c>
      <c r="K11830" t="s">
        <v>1618</v>
      </c>
      <c r="M11830" t="s">
        <v>1621</v>
      </c>
      <c r="N11830">
        <v>49.11</v>
      </c>
      <c r="O11830" s="49">
        <v>44743</v>
      </c>
      <c r="P11830" s="50">
        <v>376.89299999999997</v>
      </c>
    </row>
    <row r="11831" spans="4:16" x14ac:dyDescent="0.2">
      <c r="D11831">
        <v>100007132</v>
      </c>
      <c r="E11831" s="49">
        <v>44388</v>
      </c>
      <c r="F11831" t="s">
        <v>7781</v>
      </c>
      <c r="G11831" t="s">
        <v>2033</v>
      </c>
      <c r="H11831">
        <v>6</v>
      </c>
      <c r="I11831">
        <v>98.33</v>
      </c>
      <c r="J11831" s="50">
        <v>589.98</v>
      </c>
      <c r="K11831" t="s">
        <v>1618</v>
      </c>
      <c r="M11831" t="s">
        <v>1621</v>
      </c>
      <c r="N11831">
        <v>51.9</v>
      </c>
      <c r="O11831" s="49">
        <v>44393</v>
      </c>
      <c r="P11831" s="50">
        <v>265.49100000000004</v>
      </c>
    </row>
    <row r="11832" spans="4:16" x14ac:dyDescent="0.2">
      <c r="D11832">
        <v>100007132</v>
      </c>
      <c r="E11832" s="49">
        <v>45295</v>
      </c>
      <c r="F11832" t="s">
        <v>7781</v>
      </c>
      <c r="G11832" t="s">
        <v>2447</v>
      </c>
      <c r="H11832">
        <v>7</v>
      </c>
      <c r="I11832">
        <v>29.46</v>
      </c>
      <c r="J11832" s="50">
        <v>206.22</v>
      </c>
      <c r="K11832" t="s">
        <v>1618</v>
      </c>
      <c r="M11832" t="s">
        <v>1619</v>
      </c>
      <c r="N11832">
        <v>15.55</v>
      </c>
      <c r="O11832" s="49">
        <v>45297</v>
      </c>
      <c r="P11832" s="50">
        <v>92.799000000000007</v>
      </c>
    </row>
    <row r="11833" spans="4:16" x14ac:dyDescent="0.2">
      <c r="D11833">
        <v>100007132</v>
      </c>
      <c r="E11833" s="49">
        <v>45182</v>
      </c>
      <c r="F11833" t="s">
        <v>7781</v>
      </c>
      <c r="G11833" t="s">
        <v>1953</v>
      </c>
      <c r="H11833">
        <v>6</v>
      </c>
      <c r="I11833">
        <v>113.12</v>
      </c>
      <c r="J11833" s="50">
        <v>678.72</v>
      </c>
      <c r="K11833" t="s">
        <v>1618</v>
      </c>
      <c r="M11833" t="s">
        <v>1624</v>
      </c>
      <c r="N11833">
        <v>59.7</v>
      </c>
      <c r="O11833" s="49">
        <v>45187</v>
      </c>
      <c r="P11833" s="50">
        <v>305.42400000000004</v>
      </c>
    </row>
    <row r="11834" spans="4:16" x14ac:dyDescent="0.2">
      <c r="D11834">
        <v>100007132</v>
      </c>
      <c r="E11834" s="49">
        <v>44908</v>
      </c>
      <c r="F11834" t="s">
        <v>7781</v>
      </c>
      <c r="G11834" t="s">
        <v>1841</v>
      </c>
      <c r="H11834">
        <v>2</v>
      </c>
      <c r="I11834">
        <v>58.92</v>
      </c>
      <c r="J11834" s="50">
        <v>117.84</v>
      </c>
      <c r="K11834" t="s">
        <v>1618</v>
      </c>
      <c r="M11834" t="s">
        <v>1621</v>
      </c>
      <c r="N11834">
        <v>31.1</v>
      </c>
      <c r="O11834" s="49">
        <v>44909</v>
      </c>
      <c r="P11834" s="50">
        <v>53.028000000000006</v>
      </c>
    </row>
    <row r="11835" spans="4:16" x14ac:dyDescent="0.2">
      <c r="D11835">
        <v>100007132</v>
      </c>
      <c r="E11835" s="49">
        <v>45341</v>
      </c>
      <c r="F11835" t="s">
        <v>7781</v>
      </c>
      <c r="G11835" t="s">
        <v>2357</v>
      </c>
      <c r="H11835">
        <v>3</v>
      </c>
      <c r="I11835">
        <v>23.57</v>
      </c>
      <c r="J11835" s="50">
        <v>70.710000000000008</v>
      </c>
      <c r="K11835" t="s">
        <v>1618</v>
      </c>
      <c r="M11835" t="s">
        <v>1629</v>
      </c>
      <c r="N11835">
        <v>12.44</v>
      </c>
      <c r="O11835" s="49">
        <v>45345</v>
      </c>
      <c r="P11835" s="50">
        <v>31.819500000000005</v>
      </c>
    </row>
    <row r="11836" spans="4:16" x14ac:dyDescent="0.2">
      <c r="D11836">
        <v>100007133</v>
      </c>
      <c r="E11836" s="49">
        <v>44627</v>
      </c>
      <c r="F11836" t="s">
        <v>7782</v>
      </c>
      <c r="G11836" t="s">
        <v>2301</v>
      </c>
      <c r="H11836">
        <v>9</v>
      </c>
      <c r="I11836">
        <v>55.99</v>
      </c>
      <c r="J11836" s="50">
        <v>503.91</v>
      </c>
      <c r="K11836" t="s">
        <v>1618</v>
      </c>
      <c r="M11836" t="s">
        <v>1621</v>
      </c>
      <c r="N11836">
        <v>29.55</v>
      </c>
      <c r="O11836" s="49">
        <v>44630</v>
      </c>
      <c r="P11836" s="50">
        <v>226.7595</v>
      </c>
    </row>
    <row r="11837" spans="4:16" x14ac:dyDescent="0.2">
      <c r="D11837">
        <v>100007133</v>
      </c>
      <c r="E11837" s="49">
        <v>44228</v>
      </c>
      <c r="F11837" t="s">
        <v>7782</v>
      </c>
      <c r="G11837" t="s">
        <v>1754</v>
      </c>
      <c r="H11837">
        <v>4</v>
      </c>
      <c r="I11837">
        <v>106.72</v>
      </c>
      <c r="J11837" s="50">
        <v>426.88</v>
      </c>
      <c r="K11837" t="s">
        <v>1618</v>
      </c>
      <c r="M11837" t="s">
        <v>1627</v>
      </c>
      <c r="N11837">
        <v>56.32</v>
      </c>
      <c r="O11837" s="49">
        <v>44229</v>
      </c>
      <c r="P11837" s="50">
        <v>192.096</v>
      </c>
    </row>
    <row r="11838" spans="4:16" x14ac:dyDescent="0.2">
      <c r="D11838">
        <v>100007133</v>
      </c>
      <c r="E11838" s="49">
        <v>44284</v>
      </c>
      <c r="F11838" t="s">
        <v>7782</v>
      </c>
      <c r="G11838" t="s">
        <v>1717</v>
      </c>
      <c r="H11838">
        <v>4</v>
      </c>
      <c r="I11838">
        <v>43.18</v>
      </c>
      <c r="J11838" s="50">
        <v>172.72</v>
      </c>
      <c r="K11838" t="s">
        <v>1618</v>
      </c>
      <c r="M11838" t="s">
        <v>1629</v>
      </c>
      <c r="N11838">
        <v>22.79</v>
      </c>
      <c r="O11838" s="49">
        <v>44286</v>
      </c>
      <c r="P11838" s="50">
        <v>77.724000000000004</v>
      </c>
    </row>
    <row r="11839" spans="4:16" x14ac:dyDescent="0.2">
      <c r="D11839">
        <v>100007134</v>
      </c>
      <c r="E11839" s="49">
        <v>44498</v>
      </c>
      <c r="F11839" t="s">
        <v>6304</v>
      </c>
      <c r="G11839" t="s">
        <v>2480</v>
      </c>
      <c r="H11839">
        <v>10</v>
      </c>
      <c r="I11839">
        <v>100.58</v>
      </c>
      <c r="J11839" s="50">
        <v>1005.8</v>
      </c>
      <c r="K11839" t="s">
        <v>1618</v>
      </c>
      <c r="L11839" t="s">
        <v>7406</v>
      </c>
      <c r="M11839" t="s">
        <v>1629</v>
      </c>
      <c r="N11839">
        <v>53.08</v>
      </c>
      <c r="O11839" s="49">
        <v>44499</v>
      </c>
      <c r="P11839" s="50">
        <v>452.61</v>
      </c>
    </row>
    <row r="11840" spans="4:16" x14ac:dyDescent="0.2">
      <c r="D11840">
        <v>100007134</v>
      </c>
      <c r="E11840" s="49">
        <v>44618</v>
      </c>
      <c r="F11840" t="s">
        <v>6304</v>
      </c>
      <c r="G11840" t="s">
        <v>2357</v>
      </c>
      <c r="H11840">
        <v>10</v>
      </c>
      <c r="I11840">
        <v>84.86</v>
      </c>
      <c r="J11840" s="50">
        <v>848.6</v>
      </c>
      <c r="K11840" t="s">
        <v>1618</v>
      </c>
      <c r="L11840" t="s">
        <v>7406</v>
      </c>
      <c r="M11840" t="s">
        <v>1624</v>
      </c>
      <c r="N11840">
        <v>44.79</v>
      </c>
      <c r="O11840" s="49">
        <v>44621</v>
      </c>
      <c r="P11840" s="50">
        <v>381.87</v>
      </c>
    </row>
    <row r="11841" spans="4:16" x14ac:dyDescent="0.2">
      <c r="D11841">
        <v>100007134</v>
      </c>
      <c r="E11841" s="49">
        <v>44325</v>
      </c>
      <c r="F11841" t="s">
        <v>6304</v>
      </c>
      <c r="G11841" t="s">
        <v>2658</v>
      </c>
      <c r="H11841">
        <v>10</v>
      </c>
      <c r="I11841">
        <v>88.96</v>
      </c>
      <c r="J11841" s="50">
        <v>889.59999999999991</v>
      </c>
      <c r="K11841" t="s">
        <v>1618</v>
      </c>
      <c r="L11841" t="s">
        <v>7406</v>
      </c>
      <c r="M11841" t="s">
        <v>1621</v>
      </c>
      <c r="N11841">
        <v>46.95</v>
      </c>
      <c r="O11841" s="49">
        <v>44327</v>
      </c>
      <c r="P11841" s="50">
        <v>400.32</v>
      </c>
    </row>
    <row r="11842" spans="4:16" x14ac:dyDescent="0.2">
      <c r="D11842">
        <v>100007134</v>
      </c>
      <c r="E11842" s="49">
        <v>44211</v>
      </c>
      <c r="F11842" t="s">
        <v>6304</v>
      </c>
      <c r="G11842" t="s">
        <v>2412</v>
      </c>
      <c r="H11842">
        <v>9</v>
      </c>
      <c r="I11842">
        <v>98.1</v>
      </c>
      <c r="J11842" s="50">
        <v>882.9</v>
      </c>
      <c r="K11842" t="s">
        <v>1618</v>
      </c>
      <c r="L11842" t="s">
        <v>7406</v>
      </c>
      <c r="M11842" t="s">
        <v>1624</v>
      </c>
      <c r="N11842">
        <v>51.77</v>
      </c>
      <c r="O11842" s="49">
        <v>44216</v>
      </c>
      <c r="P11842" s="50">
        <v>397.30500000000001</v>
      </c>
    </row>
    <row r="11843" spans="4:16" x14ac:dyDescent="0.2">
      <c r="D11843">
        <v>100007134</v>
      </c>
      <c r="E11843" s="49">
        <v>44819</v>
      </c>
      <c r="F11843" t="s">
        <v>6304</v>
      </c>
      <c r="G11843" t="s">
        <v>1655</v>
      </c>
      <c r="H11843">
        <v>7</v>
      </c>
      <c r="I11843">
        <v>97.75</v>
      </c>
      <c r="J11843" s="50">
        <v>684.25</v>
      </c>
      <c r="K11843" t="s">
        <v>1618</v>
      </c>
      <c r="L11843" t="s">
        <v>7406</v>
      </c>
      <c r="M11843" t="s">
        <v>1627</v>
      </c>
      <c r="N11843">
        <v>51.59</v>
      </c>
      <c r="O11843" s="49">
        <v>44824</v>
      </c>
      <c r="P11843" s="50">
        <v>307.91250000000002</v>
      </c>
    </row>
    <row r="11844" spans="4:16" x14ac:dyDescent="0.2">
      <c r="D11844">
        <v>100007135</v>
      </c>
      <c r="E11844" s="49">
        <v>45463</v>
      </c>
      <c r="F11844" t="s">
        <v>7783</v>
      </c>
      <c r="G11844" t="s">
        <v>1714</v>
      </c>
      <c r="H11844">
        <v>2</v>
      </c>
      <c r="I11844">
        <v>84.89</v>
      </c>
      <c r="J11844" s="50">
        <v>169.78</v>
      </c>
      <c r="K11844" t="s">
        <v>1618</v>
      </c>
      <c r="M11844" t="s">
        <v>1627</v>
      </c>
      <c r="N11844">
        <v>44.8</v>
      </c>
      <c r="O11844" s="49">
        <v>45465</v>
      </c>
      <c r="P11844" s="50">
        <v>76.400999999999996</v>
      </c>
    </row>
    <row r="11845" spans="4:16" x14ac:dyDescent="0.2">
      <c r="D11845">
        <v>100007138</v>
      </c>
      <c r="E11845" s="49">
        <v>44220</v>
      </c>
      <c r="F11845" t="s">
        <v>7784</v>
      </c>
      <c r="G11845" t="s">
        <v>2028</v>
      </c>
      <c r="H11845">
        <v>1</v>
      </c>
      <c r="I11845">
        <v>31.02</v>
      </c>
      <c r="J11845" s="50">
        <v>31.02</v>
      </c>
      <c r="K11845" t="s">
        <v>1618</v>
      </c>
      <c r="M11845" t="s">
        <v>1624</v>
      </c>
      <c r="N11845">
        <v>16.37</v>
      </c>
      <c r="O11845" s="49">
        <v>44225</v>
      </c>
      <c r="P11845" s="50">
        <v>13.959</v>
      </c>
    </row>
    <row r="11846" spans="4:16" x14ac:dyDescent="0.2">
      <c r="D11846">
        <v>100007138</v>
      </c>
      <c r="E11846" s="49">
        <v>44383</v>
      </c>
      <c r="F11846" t="s">
        <v>7784</v>
      </c>
      <c r="G11846" t="s">
        <v>1955</v>
      </c>
      <c r="H11846">
        <v>5</v>
      </c>
      <c r="I11846">
        <v>87.22</v>
      </c>
      <c r="J11846" s="50">
        <v>436.1</v>
      </c>
      <c r="K11846" t="s">
        <v>1618</v>
      </c>
      <c r="M11846" t="s">
        <v>1619</v>
      </c>
      <c r="N11846">
        <v>46.03</v>
      </c>
      <c r="O11846" s="49">
        <v>44388</v>
      </c>
      <c r="P11846" s="50">
        <v>196.245</v>
      </c>
    </row>
    <row r="11847" spans="4:16" x14ac:dyDescent="0.2">
      <c r="D11847">
        <v>100007139</v>
      </c>
      <c r="E11847" s="49">
        <v>45049</v>
      </c>
      <c r="F11847" t="s">
        <v>7785</v>
      </c>
      <c r="G11847" t="s">
        <v>1901</v>
      </c>
      <c r="H11847">
        <v>8</v>
      </c>
      <c r="I11847">
        <v>103.25</v>
      </c>
      <c r="J11847" s="50">
        <v>826</v>
      </c>
      <c r="K11847" t="s">
        <v>1618</v>
      </c>
      <c r="L11847" t="s">
        <v>7786</v>
      </c>
      <c r="M11847" t="s">
        <v>1619</v>
      </c>
      <c r="N11847">
        <v>54.49</v>
      </c>
      <c r="O11847" s="49">
        <v>45052</v>
      </c>
      <c r="P11847" s="50">
        <v>371.7</v>
      </c>
    </row>
    <row r="11848" spans="4:16" x14ac:dyDescent="0.2">
      <c r="D11848">
        <v>100007140</v>
      </c>
      <c r="E11848" s="49">
        <v>45201</v>
      </c>
      <c r="F11848" t="s">
        <v>7787</v>
      </c>
      <c r="G11848" t="s">
        <v>1857</v>
      </c>
      <c r="H11848">
        <v>2</v>
      </c>
      <c r="I11848">
        <v>48.87</v>
      </c>
      <c r="J11848" s="50">
        <v>97.74</v>
      </c>
      <c r="K11848" t="s">
        <v>1618</v>
      </c>
      <c r="M11848" t="s">
        <v>1627</v>
      </c>
      <c r="N11848">
        <v>25.79</v>
      </c>
      <c r="O11848" s="49">
        <v>45203</v>
      </c>
      <c r="P11848" s="50">
        <v>43.982999999999997</v>
      </c>
    </row>
    <row r="11849" spans="4:16" x14ac:dyDescent="0.2">
      <c r="D11849">
        <v>100007141</v>
      </c>
      <c r="E11849" s="49">
        <v>45103</v>
      </c>
      <c r="F11849" t="s">
        <v>7788</v>
      </c>
      <c r="G11849" t="s">
        <v>1928</v>
      </c>
      <c r="H11849">
        <v>1</v>
      </c>
      <c r="I11849">
        <v>102.47</v>
      </c>
      <c r="J11849" s="50">
        <v>102.47</v>
      </c>
      <c r="K11849" t="s">
        <v>1618</v>
      </c>
      <c r="M11849" t="s">
        <v>1621</v>
      </c>
      <c r="N11849">
        <v>54.08</v>
      </c>
      <c r="O11849" s="49">
        <v>45104</v>
      </c>
      <c r="P11849" s="50">
        <v>46.111499999999999</v>
      </c>
    </row>
    <row r="11850" spans="4:16" x14ac:dyDescent="0.2">
      <c r="D11850">
        <v>100007141</v>
      </c>
      <c r="E11850" s="49">
        <v>45600</v>
      </c>
      <c r="F11850" t="s">
        <v>7788</v>
      </c>
      <c r="G11850" t="s">
        <v>2514</v>
      </c>
      <c r="H11850">
        <v>5</v>
      </c>
      <c r="I11850">
        <v>28.99</v>
      </c>
      <c r="J11850" s="50">
        <v>144.94999999999999</v>
      </c>
      <c r="K11850" t="s">
        <v>1618</v>
      </c>
      <c r="M11850" t="s">
        <v>1629</v>
      </c>
      <c r="N11850">
        <v>15.3</v>
      </c>
      <c r="O11850" s="49">
        <v>45604</v>
      </c>
      <c r="P11850" s="50">
        <v>65.227499999999992</v>
      </c>
    </row>
    <row r="11851" spans="4:16" x14ac:dyDescent="0.2">
      <c r="D11851">
        <v>100007141</v>
      </c>
      <c r="E11851" s="49">
        <v>45321</v>
      </c>
      <c r="F11851" t="s">
        <v>7788</v>
      </c>
      <c r="G11851" t="s">
        <v>1893</v>
      </c>
      <c r="H11851">
        <v>9</v>
      </c>
      <c r="I11851">
        <v>42.7</v>
      </c>
      <c r="J11851" s="50">
        <v>384.3</v>
      </c>
      <c r="K11851" t="s">
        <v>1618</v>
      </c>
      <c r="M11851" t="s">
        <v>1621</v>
      </c>
      <c r="N11851">
        <v>22.54</v>
      </c>
      <c r="O11851" s="49">
        <v>45322</v>
      </c>
      <c r="P11851" s="50">
        <v>172.935</v>
      </c>
    </row>
    <row r="11852" spans="4:16" x14ac:dyDescent="0.2">
      <c r="D11852">
        <v>100007142</v>
      </c>
      <c r="E11852" s="49">
        <v>44308</v>
      </c>
      <c r="F11852" t="s">
        <v>7789</v>
      </c>
      <c r="G11852" t="s">
        <v>2278</v>
      </c>
      <c r="H11852">
        <v>4</v>
      </c>
      <c r="I11852">
        <v>48.23</v>
      </c>
      <c r="J11852" s="50">
        <v>192.92</v>
      </c>
      <c r="K11852" t="s">
        <v>1618</v>
      </c>
      <c r="M11852" t="s">
        <v>1627</v>
      </c>
      <c r="N11852">
        <v>25.45</v>
      </c>
      <c r="O11852" s="49">
        <v>44310</v>
      </c>
      <c r="P11852" s="50">
        <v>86.813999999999993</v>
      </c>
    </row>
    <row r="11853" spans="4:16" x14ac:dyDescent="0.2">
      <c r="D11853">
        <v>100007142</v>
      </c>
      <c r="E11853" s="49">
        <v>45647</v>
      </c>
      <c r="F11853" t="s">
        <v>7789</v>
      </c>
      <c r="G11853" t="s">
        <v>2416</v>
      </c>
      <c r="H11853">
        <v>2</v>
      </c>
      <c r="I11853">
        <v>89.66</v>
      </c>
      <c r="J11853" s="50">
        <v>179.32</v>
      </c>
      <c r="K11853" t="s">
        <v>1618</v>
      </c>
      <c r="M11853" t="s">
        <v>1627</v>
      </c>
      <c r="N11853">
        <v>47.32</v>
      </c>
      <c r="O11853" s="49">
        <v>45652</v>
      </c>
      <c r="P11853" s="50">
        <v>80.694000000000003</v>
      </c>
    </row>
    <row r="11854" spans="4:16" x14ac:dyDescent="0.2">
      <c r="D11854">
        <v>100007142</v>
      </c>
      <c r="E11854" s="49">
        <v>44649</v>
      </c>
      <c r="F11854" t="s">
        <v>7789</v>
      </c>
      <c r="G11854" t="s">
        <v>1841</v>
      </c>
      <c r="H11854">
        <v>10</v>
      </c>
      <c r="I11854">
        <v>111</v>
      </c>
      <c r="J11854" s="50">
        <v>1110</v>
      </c>
      <c r="K11854" t="s">
        <v>1618</v>
      </c>
      <c r="M11854" t="s">
        <v>1627</v>
      </c>
      <c r="N11854">
        <v>58.58</v>
      </c>
      <c r="O11854" s="49">
        <v>44653</v>
      </c>
      <c r="P11854" s="50">
        <v>499.5</v>
      </c>
    </row>
    <row r="11855" spans="4:16" x14ac:dyDescent="0.2">
      <c r="D11855">
        <v>100007142</v>
      </c>
      <c r="E11855" s="49">
        <v>44839</v>
      </c>
      <c r="F11855" t="s">
        <v>7789</v>
      </c>
      <c r="G11855" t="s">
        <v>2337</v>
      </c>
      <c r="H11855">
        <v>8</v>
      </c>
      <c r="I11855">
        <v>61.35</v>
      </c>
      <c r="J11855" s="50">
        <v>490.8</v>
      </c>
      <c r="K11855" t="s">
        <v>1618</v>
      </c>
      <c r="M11855" t="s">
        <v>1621</v>
      </c>
      <c r="N11855">
        <v>32.380000000000003</v>
      </c>
      <c r="O11855" s="49">
        <v>44842</v>
      </c>
      <c r="P11855" s="50">
        <v>220.86</v>
      </c>
    </row>
    <row r="11856" spans="4:16" x14ac:dyDescent="0.2">
      <c r="D11856">
        <v>100007145</v>
      </c>
      <c r="E11856" s="49">
        <v>44627</v>
      </c>
      <c r="F11856" t="s">
        <v>7790</v>
      </c>
      <c r="G11856" t="s">
        <v>2093</v>
      </c>
      <c r="H11856">
        <v>7</v>
      </c>
      <c r="I11856">
        <v>42.61</v>
      </c>
      <c r="J11856" s="50">
        <v>298.27</v>
      </c>
      <c r="K11856" t="s">
        <v>1618</v>
      </c>
      <c r="M11856" t="s">
        <v>1629</v>
      </c>
      <c r="N11856">
        <v>22.49</v>
      </c>
      <c r="O11856" s="49">
        <v>44628</v>
      </c>
      <c r="P11856" s="50">
        <v>134.22149999999999</v>
      </c>
    </row>
    <row r="11857" spans="4:16" x14ac:dyDescent="0.2">
      <c r="D11857">
        <v>100007145</v>
      </c>
      <c r="E11857" s="49">
        <v>44375</v>
      </c>
      <c r="F11857" t="s">
        <v>7790</v>
      </c>
      <c r="G11857" t="s">
        <v>1947</v>
      </c>
      <c r="H11857">
        <v>5</v>
      </c>
      <c r="I11857">
        <v>88.68</v>
      </c>
      <c r="J11857" s="50">
        <v>443.4</v>
      </c>
      <c r="K11857" t="s">
        <v>1618</v>
      </c>
      <c r="M11857" t="s">
        <v>1624</v>
      </c>
      <c r="N11857">
        <v>46.8</v>
      </c>
      <c r="O11857" s="49">
        <v>44377</v>
      </c>
      <c r="P11857" s="50">
        <v>199.53</v>
      </c>
    </row>
    <row r="11858" spans="4:16" x14ac:dyDescent="0.2">
      <c r="D11858">
        <v>100007145</v>
      </c>
      <c r="E11858" s="49">
        <v>44365</v>
      </c>
      <c r="F11858" t="s">
        <v>7790</v>
      </c>
      <c r="G11858" t="s">
        <v>1730</v>
      </c>
      <c r="H11858">
        <v>3</v>
      </c>
      <c r="I11858">
        <v>109.11</v>
      </c>
      <c r="J11858" s="50">
        <v>327.33</v>
      </c>
      <c r="K11858" t="s">
        <v>1618</v>
      </c>
      <c r="M11858" t="s">
        <v>1619</v>
      </c>
      <c r="N11858">
        <v>57.59</v>
      </c>
      <c r="O11858" s="49">
        <v>44370</v>
      </c>
      <c r="P11858" s="50">
        <v>147.29849999999999</v>
      </c>
    </row>
    <row r="11859" spans="4:16" x14ac:dyDescent="0.2">
      <c r="D11859">
        <v>100007146</v>
      </c>
      <c r="E11859" s="49">
        <v>45373</v>
      </c>
      <c r="F11859" t="s">
        <v>7791</v>
      </c>
      <c r="G11859" t="s">
        <v>1695</v>
      </c>
      <c r="H11859">
        <v>5</v>
      </c>
      <c r="I11859">
        <v>91.52</v>
      </c>
      <c r="J11859" s="50">
        <v>457.6</v>
      </c>
      <c r="K11859" t="s">
        <v>1618</v>
      </c>
      <c r="M11859" t="s">
        <v>1619</v>
      </c>
      <c r="N11859">
        <v>48.3</v>
      </c>
      <c r="O11859" s="49">
        <v>45374</v>
      </c>
      <c r="P11859" s="50">
        <v>205.92000000000002</v>
      </c>
    </row>
    <row r="11860" spans="4:16" x14ac:dyDescent="0.2">
      <c r="D11860">
        <v>100007146</v>
      </c>
      <c r="E11860" s="49">
        <v>44673</v>
      </c>
      <c r="F11860" t="s">
        <v>7791</v>
      </c>
      <c r="G11860" t="s">
        <v>1799</v>
      </c>
      <c r="H11860">
        <v>10</v>
      </c>
      <c r="I11860">
        <v>114.16</v>
      </c>
      <c r="J11860" s="50">
        <v>1141.5999999999999</v>
      </c>
      <c r="K11860" t="s">
        <v>1618</v>
      </c>
      <c r="M11860" t="s">
        <v>1619</v>
      </c>
      <c r="N11860">
        <v>60.25</v>
      </c>
      <c r="O11860" s="49">
        <v>44677</v>
      </c>
      <c r="P11860" s="50">
        <v>513.72</v>
      </c>
    </row>
    <row r="11861" spans="4:16" x14ac:dyDescent="0.2">
      <c r="D11861">
        <v>100007148</v>
      </c>
      <c r="E11861" s="49">
        <v>45541</v>
      </c>
      <c r="F11861" t="s">
        <v>7792</v>
      </c>
      <c r="G11861" t="s">
        <v>1801</v>
      </c>
      <c r="H11861">
        <v>10</v>
      </c>
      <c r="I11861">
        <v>49.3</v>
      </c>
      <c r="J11861" s="50">
        <v>493</v>
      </c>
      <c r="K11861" t="s">
        <v>1632</v>
      </c>
      <c r="M11861" t="s">
        <v>1629</v>
      </c>
      <c r="N11861">
        <v>26.02</v>
      </c>
      <c r="O11861" s="49">
        <v>45546</v>
      </c>
      <c r="P11861" s="50">
        <v>221.85</v>
      </c>
    </row>
    <row r="11862" spans="4:16" x14ac:dyDescent="0.2">
      <c r="D11862">
        <v>100007148</v>
      </c>
      <c r="E11862" s="49">
        <v>44734</v>
      </c>
      <c r="F11862" t="s">
        <v>7792</v>
      </c>
      <c r="G11862" t="s">
        <v>2079</v>
      </c>
      <c r="H11862">
        <v>4</v>
      </c>
      <c r="I11862">
        <v>72.930000000000007</v>
      </c>
      <c r="J11862" s="50">
        <v>291.72000000000003</v>
      </c>
      <c r="K11862" t="s">
        <v>1632</v>
      </c>
      <c r="M11862" t="s">
        <v>1624</v>
      </c>
      <c r="N11862">
        <v>38.49</v>
      </c>
      <c r="O11862" s="49">
        <v>44739</v>
      </c>
      <c r="P11862" s="50">
        <v>131.27400000000003</v>
      </c>
    </row>
    <row r="11863" spans="4:16" x14ac:dyDescent="0.2">
      <c r="D11863">
        <v>100007148</v>
      </c>
      <c r="E11863" s="49">
        <v>44603</v>
      </c>
      <c r="F11863" t="s">
        <v>7792</v>
      </c>
      <c r="G11863" t="s">
        <v>1812</v>
      </c>
      <c r="H11863">
        <v>7</v>
      </c>
      <c r="I11863">
        <v>42.09</v>
      </c>
      <c r="J11863" s="50">
        <v>294.63</v>
      </c>
      <c r="K11863" t="s">
        <v>1632</v>
      </c>
      <c r="M11863" t="s">
        <v>1627</v>
      </c>
      <c r="N11863">
        <v>22.21</v>
      </c>
      <c r="O11863" s="49">
        <v>44608</v>
      </c>
      <c r="P11863" s="50">
        <v>132.58350000000002</v>
      </c>
    </row>
    <row r="11864" spans="4:16" x14ac:dyDescent="0.2">
      <c r="D11864">
        <v>100007149</v>
      </c>
      <c r="E11864" s="49">
        <v>45219</v>
      </c>
      <c r="F11864" t="s">
        <v>7793</v>
      </c>
      <c r="G11864" t="s">
        <v>2306</v>
      </c>
      <c r="H11864">
        <v>6</v>
      </c>
      <c r="I11864">
        <v>25.27</v>
      </c>
      <c r="J11864" s="50">
        <v>151.62</v>
      </c>
      <c r="K11864" t="s">
        <v>1632</v>
      </c>
      <c r="M11864" t="s">
        <v>1627</v>
      </c>
      <c r="N11864">
        <v>13.34</v>
      </c>
      <c r="O11864" s="49">
        <v>45220</v>
      </c>
      <c r="P11864" s="50">
        <v>68.228999999999999</v>
      </c>
    </row>
    <row r="11865" spans="4:16" x14ac:dyDescent="0.2">
      <c r="D11865">
        <v>100007149</v>
      </c>
      <c r="E11865" s="49">
        <v>44722</v>
      </c>
      <c r="F11865" t="s">
        <v>7793</v>
      </c>
      <c r="G11865" t="s">
        <v>2180</v>
      </c>
      <c r="H11865">
        <v>5</v>
      </c>
      <c r="I11865">
        <v>75.97</v>
      </c>
      <c r="J11865" s="50">
        <v>379.85</v>
      </c>
      <c r="K11865" t="s">
        <v>1632</v>
      </c>
      <c r="M11865" t="s">
        <v>1619</v>
      </c>
      <c r="N11865">
        <v>40.090000000000003</v>
      </c>
      <c r="O11865" s="49">
        <v>44725</v>
      </c>
      <c r="P11865" s="50">
        <v>170.9325</v>
      </c>
    </row>
    <row r="11866" spans="4:16" x14ac:dyDescent="0.2">
      <c r="D11866">
        <v>100007149</v>
      </c>
      <c r="E11866" s="49">
        <v>44610</v>
      </c>
      <c r="F11866" t="s">
        <v>7793</v>
      </c>
      <c r="G11866" t="s">
        <v>1719</v>
      </c>
      <c r="H11866">
        <v>5</v>
      </c>
      <c r="I11866">
        <v>82.14</v>
      </c>
      <c r="J11866" s="50">
        <v>410.7</v>
      </c>
      <c r="K11866" t="s">
        <v>1632</v>
      </c>
      <c r="M11866" t="s">
        <v>1627</v>
      </c>
      <c r="N11866">
        <v>43.35</v>
      </c>
      <c r="O11866" s="49">
        <v>44615</v>
      </c>
      <c r="P11866" s="50">
        <v>184.815</v>
      </c>
    </row>
    <row r="11867" spans="4:16" x14ac:dyDescent="0.2">
      <c r="D11867">
        <v>100007149</v>
      </c>
      <c r="E11867" s="49">
        <v>44365</v>
      </c>
      <c r="F11867" t="s">
        <v>7793</v>
      </c>
      <c r="G11867" t="s">
        <v>2255</v>
      </c>
      <c r="H11867">
        <v>7</v>
      </c>
      <c r="I11867">
        <v>106.53</v>
      </c>
      <c r="J11867" s="50">
        <v>745.71</v>
      </c>
      <c r="K11867" t="s">
        <v>1632</v>
      </c>
      <c r="M11867" t="s">
        <v>1629</v>
      </c>
      <c r="N11867">
        <v>56.22</v>
      </c>
      <c r="O11867" s="49">
        <v>44366</v>
      </c>
      <c r="P11867" s="50">
        <v>335.56950000000001</v>
      </c>
    </row>
    <row r="11868" spans="4:16" x14ac:dyDescent="0.2">
      <c r="D11868">
        <v>100007150</v>
      </c>
      <c r="E11868" s="49">
        <v>44687</v>
      </c>
      <c r="F11868" t="s">
        <v>7794</v>
      </c>
      <c r="G11868" t="s">
        <v>2447</v>
      </c>
      <c r="H11868">
        <v>6</v>
      </c>
      <c r="I11868">
        <v>33.17</v>
      </c>
      <c r="J11868" s="50">
        <v>199.02</v>
      </c>
      <c r="K11868" t="s">
        <v>1618</v>
      </c>
      <c r="M11868" t="s">
        <v>1624</v>
      </c>
      <c r="N11868">
        <v>17.510000000000002</v>
      </c>
      <c r="O11868" s="49">
        <v>44689</v>
      </c>
      <c r="P11868" s="50">
        <v>89.559000000000012</v>
      </c>
    </row>
    <row r="11869" spans="4:16" x14ac:dyDescent="0.2">
      <c r="D11869">
        <v>100007150</v>
      </c>
      <c r="E11869" s="49">
        <v>45223</v>
      </c>
      <c r="F11869" t="s">
        <v>7794</v>
      </c>
      <c r="G11869" t="s">
        <v>1808</v>
      </c>
      <c r="H11869">
        <v>1</v>
      </c>
      <c r="I11869">
        <v>107.13</v>
      </c>
      <c r="J11869" s="50">
        <v>107.13</v>
      </c>
      <c r="K11869" t="s">
        <v>1618</v>
      </c>
      <c r="M11869" t="s">
        <v>1621</v>
      </c>
      <c r="N11869">
        <v>56.54</v>
      </c>
      <c r="O11869" s="49">
        <v>45227</v>
      </c>
      <c r="P11869" s="50">
        <v>48.208500000000001</v>
      </c>
    </row>
    <row r="11870" spans="4:16" x14ac:dyDescent="0.2">
      <c r="D11870">
        <v>100007151</v>
      </c>
      <c r="E11870" s="49">
        <v>45187</v>
      </c>
      <c r="F11870" t="s">
        <v>7795</v>
      </c>
      <c r="G11870" t="s">
        <v>1714</v>
      </c>
      <c r="H11870">
        <v>1</v>
      </c>
      <c r="I11870">
        <v>33.53</v>
      </c>
      <c r="J11870" s="50">
        <v>33.53</v>
      </c>
      <c r="K11870" t="s">
        <v>1618</v>
      </c>
      <c r="M11870" t="s">
        <v>1627</v>
      </c>
      <c r="N11870">
        <v>17.7</v>
      </c>
      <c r="O11870" s="49">
        <v>45188</v>
      </c>
      <c r="P11870" s="50">
        <v>15.088500000000002</v>
      </c>
    </row>
    <row r="11871" spans="4:16" x14ac:dyDescent="0.2">
      <c r="D11871">
        <v>100007152</v>
      </c>
      <c r="E11871" s="49">
        <v>44300</v>
      </c>
      <c r="F11871" t="s">
        <v>7796</v>
      </c>
      <c r="G11871" t="s">
        <v>1904</v>
      </c>
      <c r="H11871">
        <v>2</v>
      </c>
      <c r="I11871">
        <v>67.25</v>
      </c>
      <c r="J11871" s="50">
        <v>134.5</v>
      </c>
      <c r="K11871" t="s">
        <v>1618</v>
      </c>
      <c r="M11871" t="s">
        <v>1629</v>
      </c>
      <c r="N11871">
        <v>35.49</v>
      </c>
      <c r="O11871" s="49">
        <v>44302</v>
      </c>
      <c r="P11871" s="50">
        <v>60.524999999999999</v>
      </c>
    </row>
    <row r="11872" spans="4:16" x14ac:dyDescent="0.2">
      <c r="D11872">
        <v>100007152</v>
      </c>
      <c r="E11872" s="49">
        <v>44308</v>
      </c>
      <c r="F11872" t="s">
        <v>7796</v>
      </c>
      <c r="G11872" t="s">
        <v>1846</v>
      </c>
      <c r="H11872">
        <v>1</v>
      </c>
      <c r="I11872">
        <v>25.4</v>
      </c>
      <c r="J11872" s="50">
        <v>25.4</v>
      </c>
      <c r="K11872" t="s">
        <v>1618</v>
      </c>
      <c r="M11872" t="s">
        <v>1624</v>
      </c>
      <c r="N11872">
        <v>13.41</v>
      </c>
      <c r="O11872" s="49">
        <v>44309</v>
      </c>
      <c r="P11872" s="50">
        <v>11.43</v>
      </c>
    </row>
    <row r="11873" spans="4:16" x14ac:dyDescent="0.2">
      <c r="D11873">
        <v>100007152</v>
      </c>
      <c r="E11873" s="49">
        <v>44320</v>
      </c>
      <c r="F11873" t="s">
        <v>7796</v>
      </c>
      <c r="G11873" t="s">
        <v>2062</v>
      </c>
      <c r="H11873">
        <v>2</v>
      </c>
      <c r="I11873">
        <v>78.25</v>
      </c>
      <c r="J11873" s="50">
        <v>156.5</v>
      </c>
      <c r="K11873" t="s">
        <v>1618</v>
      </c>
      <c r="M11873" t="s">
        <v>1619</v>
      </c>
      <c r="N11873">
        <v>41.3</v>
      </c>
      <c r="O11873" s="49">
        <v>44323</v>
      </c>
      <c r="P11873" s="50">
        <v>70.424999999999997</v>
      </c>
    </row>
    <row r="11874" spans="4:16" x14ac:dyDescent="0.2">
      <c r="D11874">
        <v>100007152</v>
      </c>
      <c r="E11874" s="49">
        <v>45402</v>
      </c>
      <c r="F11874" t="s">
        <v>7796</v>
      </c>
      <c r="G11874" t="s">
        <v>1760</v>
      </c>
      <c r="H11874">
        <v>3</v>
      </c>
      <c r="I11874">
        <v>106.32</v>
      </c>
      <c r="J11874" s="50">
        <v>318.95999999999998</v>
      </c>
      <c r="K11874" t="s">
        <v>1618</v>
      </c>
      <c r="M11874" t="s">
        <v>1624</v>
      </c>
      <c r="N11874">
        <v>56.11</v>
      </c>
      <c r="O11874" s="49">
        <v>45405</v>
      </c>
      <c r="P11874" s="50">
        <v>143.53199999999998</v>
      </c>
    </row>
    <row r="11875" spans="4:16" x14ac:dyDescent="0.2">
      <c r="D11875">
        <v>100007152</v>
      </c>
      <c r="E11875" s="49">
        <v>45031</v>
      </c>
      <c r="F11875" t="s">
        <v>7796</v>
      </c>
      <c r="G11875" t="s">
        <v>2057</v>
      </c>
      <c r="H11875">
        <v>6</v>
      </c>
      <c r="I11875">
        <v>116.65</v>
      </c>
      <c r="J11875" s="50">
        <v>699.90000000000009</v>
      </c>
      <c r="K11875" t="s">
        <v>1618</v>
      </c>
      <c r="M11875" t="s">
        <v>1619</v>
      </c>
      <c r="N11875">
        <v>61.56</v>
      </c>
      <c r="O11875" s="49">
        <v>45036</v>
      </c>
      <c r="P11875" s="50">
        <v>314.95500000000004</v>
      </c>
    </row>
    <row r="11876" spans="4:16" x14ac:dyDescent="0.2">
      <c r="D11876">
        <v>100007153</v>
      </c>
      <c r="E11876" s="49">
        <v>44315</v>
      </c>
      <c r="F11876" t="s">
        <v>7797</v>
      </c>
      <c r="G11876" t="s">
        <v>2373</v>
      </c>
      <c r="H11876">
        <v>10</v>
      </c>
      <c r="I11876">
        <v>67.63</v>
      </c>
      <c r="J11876" s="50">
        <v>676.3</v>
      </c>
      <c r="K11876" t="s">
        <v>1632</v>
      </c>
      <c r="M11876" t="s">
        <v>1624</v>
      </c>
      <c r="N11876">
        <v>35.69</v>
      </c>
      <c r="O11876" s="49">
        <v>44318</v>
      </c>
      <c r="P11876" s="50">
        <v>304.33499999999998</v>
      </c>
    </row>
    <row r="11877" spans="4:16" x14ac:dyDescent="0.2">
      <c r="D11877">
        <v>100007156</v>
      </c>
      <c r="E11877" s="49">
        <v>45174</v>
      </c>
      <c r="F11877" t="s">
        <v>7798</v>
      </c>
      <c r="G11877" t="s">
        <v>1718</v>
      </c>
      <c r="H11877">
        <v>6</v>
      </c>
      <c r="I11877">
        <v>37.229999999999997</v>
      </c>
      <c r="J11877" s="50">
        <v>223.38</v>
      </c>
      <c r="K11877" t="s">
        <v>1618</v>
      </c>
      <c r="M11877" t="s">
        <v>1629</v>
      </c>
      <c r="N11877">
        <v>19.649999999999999</v>
      </c>
      <c r="O11877" s="49">
        <v>45176</v>
      </c>
      <c r="P11877" s="50">
        <v>100.521</v>
      </c>
    </row>
    <row r="11878" spans="4:16" x14ac:dyDescent="0.2">
      <c r="D11878">
        <v>100007156</v>
      </c>
      <c r="E11878" s="49">
        <v>45047</v>
      </c>
      <c r="F11878" t="s">
        <v>7798</v>
      </c>
      <c r="G11878" t="s">
        <v>2553</v>
      </c>
      <c r="H11878">
        <v>8</v>
      </c>
      <c r="I11878">
        <v>91.34</v>
      </c>
      <c r="J11878" s="50">
        <v>730.72</v>
      </c>
      <c r="K11878" t="s">
        <v>1618</v>
      </c>
      <c r="M11878" t="s">
        <v>1621</v>
      </c>
      <c r="N11878">
        <v>48.21</v>
      </c>
      <c r="O11878" s="49">
        <v>45048</v>
      </c>
      <c r="P11878" s="50">
        <v>328.82400000000001</v>
      </c>
    </row>
    <row r="11879" spans="4:16" x14ac:dyDescent="0.2">
      <c r="D11879">
        <v>100007156</v>
      </c>
      <c r="E11879" s="49">
        <v>44404</v>
      </c>
      <c r="F11879" t="s">
        <v>7798</v>
      </c>
      <c r="G11879" t="s">
        <v>2378</v>
      </c>
      <c r="H11879">
        <v>3</v>
      </c>
      <c r="I11879">
        <v>107.22</v>
      </c>
      <c r="J11879" s="50">
        <v>321.66000000000003</v>
      </c>
      <c r="K11879" t="s">
        <v>1618</v>
      </c>
      <c r="M11879" t="s">
        <v>1619</v>
      </c>
      <c r="N11879">
        <v>56.59</v>
      </c>
      <c r="O11879" s="49">
        <v>44408</v>
      </c>
      <c r="P11879" s="50">
        <v>144.74700000000001</v>
      </c>
    </row>
    <row r="11880" spans="4:16" x14ac:dyDescent="0.2">
      <c r="D11880">
        <v>100007157</v>
      </c>
      <c r="E11880" s="49">
        <v>44354</v>
      </c>
      <c r="F11880" t="s">
        <v>7799</v>
      </c>
      <c r="G11880" t="s">
        <v>1704</v>
      </c>
      <c r="H11880">
        <v>6</v>
      </c>
      <c r="I11880">
        <v>82.19</v>
      </c>
      <c r="J11880" s="50">
        <v>493.14</v>
      </c>
      <c r="K11880" t="s">
        <v>1618</v>
      </c>
      <c r="L11880" t="s">
        <v>4036</v>
      </c>
      <c r="M11880" t="s">
        <v>1621</v>
      </c>
      <c r="N11880">
        <v>43.38</v>
      </c>
      <c r="O11880" s="49">
        <v>44359</v>
      </c>
      <c r="P11880" s="50">
        <v>221.91300000000001</v>
      </c>
    </row>
    <row r="11881" spans="4:16" x14ac:dyDescent="0.2">
      <c r="D11881">
        <v>100007157</v>
      </c>
      <c r="E11881" s="49">
        <v>44447</v>
      </c>
      <c r="F11881" t="s">
        <v>7799</v>
      </c>
      <c r="G11881" t="s">
        <v>1978</v>
      </c>
      <c r="H11881">
        <v>6</v>
      </c>
      <c r="I11881">
        <v>53.42</v>
      </c>
      <c r="J11881" s="50">
        <v>320.52</v>
      </c>
      <c r="K11881" t="s">
        <v>1618</v>
      </c>
      <c r="L11881" t="s">
        <v>4036</v>
      </c>
      <c r="M11881" t="s">
        <v>1621</v>
      </c>
      <c r="N11881">
        <v>28.19</v>
      </c>
      <c r="O11881" s="49">
        <v>44451</v>
      </c>
      <c r="P11881" s="50">
        <v>144.23400000000001</v>
      </c>
    </row>
    <row r="11882" spans="4:16" x14ac:dyDescent="0.2">
      <c r="D11882">
        <v>100007157</v>
      </c>
      <c r="E11882" s="49">
        <v>45152</v>
      </c>
      <c r="F11882" t="s">
        <v>7799</v>
      </c>
      <c r="G11882" t="s">
        <v>2330</v>
      </c>
      <c r="H11882">
        <v>2</v>
      </c>
      <c r="I11882">
        <v>18.03</v>
      </c>
      <c r="J11882" s="50">
        <v>36.06</v>
      </c>
      <c r="K11882" t="s">
        <v>1618</v>
      </c>
      <c r="L11882" t="s">
        <v>4036</v>
      </c>
      <c r="M11882" t="s">
        <v>1629</v>
      </c>
      <c r="N11882">
        <v>9.52</v>
      </c>
      <c r="O11882" s="49">
        <v>45154</v>
      </c>
      <c r="P11882" s="50">
        <v>16.227</v>
      </c>
    </row>
    <row r="11883" spans="4:16" x14ac:dyDescent="0.2">
      <c r="D11883">
        <v>100007157</v>
      </c>
      <c r="E11883" s="49">
        <v>44269</v>
      </c>
      <c r="F11883" t="s">
        <v>7799</v>
      </c>
      <c r="G11883" t="s">
        <v>1918</v>
      </c>
      <c r="H11883">
        <v>9</v>
      </c>
      <c r="I11883">
        <v>82.97</v>
      </c>
      <c r="J11883" s="50">
        <v>746.73</v>
      </c>
      <c r="K11883" t="s">
        <v>1618</v>
      </c>
      <c r="L11883" t="s">
        <v>4036</v>
      </c>
      <c r="M11883" t="s">
        <v>1619</v>
      </c>
      <c r="N11883">
        <v>43.79</v>
      </c>
      <c r="O11883" s="49">
        <v>44274</v>
      </c>
      <c r="P11883" s="50">
        <v>336.02850000000001</v>
      </c>
    </row>
    <row r="11884" spans="4:16" x14ac:dyDescent="0.2">
      <c r="D11884">
        <v>100007157</v>
      </c>
      <c r="E11884" s="49">
        <v>45444</v>
      </c>
      <c r="F11884" t="s">
        <v>7799</v>
      </c>
      <c r="G11884" t="s">
        <v>1766</v>
      </c>
      <c r="H11884">
        <v>2</v>
      </c>
      <c r="I11884">
        <v>33.01</v>
      </c>
      <c r="J11884" s="50">
        <v>66.02</v>
      </c>
      <c r="K11884" t="s">
        <v>1618</v>
      </c>
      <c r="L11884" t="s">
        <v>4036</v>
      </c>
      <c r="M11884" t="s">
        <v>1619</v>
      </c>
      <c r="N11884">
        <v>17.420000000000002</v>
      </c>
      <c r="O11884" s="49">
        <v>45449</v>
      </c>
      <c r="P11884" s="50">
        <v>29.709</v>
      </c>
    </row>
    <row r="11885" spans="4:16" x14ac:dyDescent="0.2">
      <c r="D11885">
        <v>100007157</v>
      </c>
      <c r="E11885" s="49">
        <v>44486</v>
      </c>
      <c r="F11885" t="s">
        <v>7799</v>
      </c>
      <c r="G11885" t="s">
        <v>2207</v>
      </c>
      <c r="H11885">
        <v>10</v>
      </c>
      <c r="I11885">
        <v>66.52</v>
      </c>
      <c r="J11885" s="50">
        <v>665.19999999999993</v>
      </c>
      <c r="K11885" t="s">
        <v>1618</v>
      </c>
      <c r="L11885" t="s">
        <v>4036</v>
      </c>
      <c r="M11885" t="s">
        <v>1624</v>
      </c>
      <c r="N11885">
        <v>35.11</v>
      </c>
      <c r="O11885" s="49">
        <v>44489</v>
      </c>
      <c r="P11885" s="50">
        <v>299.33999999999997</v>
      </c>
    </row>
    <row r="11886" spans="4:16" x14ac:dyDescent="0.2">
      <c r="D11886">
        <v>100007157</v>
      </c>
      <c r="E11886" s="49">
        <v>45280</v>
      </c>
      <c r="F11886" t="s">
        <v>7799</v>
      </c>
      <c r="G11886" t="s">
        <v>1653</v>
      </c>
      <c r="H11886">
        <v>8</v>
      </c>
      <c r="I11886">
        <v>90.02</v>
      </c>
      <c r="J11886" s="50">
        <v>720.16</v>
      </c>
      <c r="K11886" t="s">
        <v>1618</v>
      </c>
      <c r="L11886" t="s">
        <v>4036</v>
      </c>
      <c r="M11886" t="s">
        <v>1621</v>
      </c>
      <c r="N11886">
        <v>47.51</v>
      </c>
      <c r="O11886" s="49">
        <v>45282</v>
      </c>
      <c r="P11886" s="50">
        <v>324.072</v>
      </c>
    </row>
    <row r="11887" spans="4:16" x14ac:dyDescent="0.2">
      <c r="D11887">
        <v>100007157</v>
      </c>
      <c r="E11887" s="49">
        <v>44487</v>
      </c>
      <c r="F11887" t="s">
        <v>7799</v>
      </c>
      <c r="G11887" t="s">
        <v>1676</v>
      </c>
      <c r="H11887">
        <v>3</v>
      </c>
      <c r="I11887">
        <v>78.7</v>
      </c>
      <c r="J11887" s="50">
        <v>236.1</v>
      </c>
      <c r="K11887" t="s">
        <v>1618</v>
      </c>
      <c r="L11887" t="s">
        <v>4036</v>
      </c>
      <c r="M11887" t="s">
        <v>1621</v>
      </c>
      <c r="N11887">
        <v>41.54</v>
      </c>
      <c r="O11887" s="49">
        <v>44492</v>
      </c>
      <c r="P11887" s="50">
        <v>106.245</v>
      </c>
    </row>
    <row r="11888" spans="4:16" x14ac:dyDescent="0.2">
      <c r="D11888">
        <v>100007157</v>
      </c>
      <c r="E11888" s="49">
        <v>44997</v>
      </c>
      <c r="F11888" t="s">
        <v>7799</v>
      </c>
      <c r="G11888" t="s">
        <v>1670</v>
      </c>
      <c r="H11888">
        <v>7</v>
      </c>
      <c r="I11888">
        <v>105.58</v>
      </c>
      <c r="J11888" s="50">
        <v>739.06</v>
      </c>
      <c r="K11888" t="s">
        <v>1618</v>
      </c>
      <c r="L11888" t="s">
        <v>4036</v>
      </c>
      <c r="M11888" t="s">
        <v>1619</v>
      </c>
      <c r="N11888">
        <v>55.72</v>
      </c>
      <c r="O11888" s="49">
        <v>45000</v>
      </c>
      <c r="P11888" s="50">
        <v>332.577</v>
      </c>
    </row>
    <row r="11889" spans="4:16" x14ac:dyDescent="0.2">
      <c r="D11889">
        <v>100007157</v>
      </c>
      <c r="E11889" s="49">
        <v>44987</v>
      </c>
      <c r="F11889" t="s">
        <v>7799</v>
      </c>
      <c r="G11889" t="s">
        <v>2762</v>
      </c>
      <c r="H11889">
        <v>5</v>
      </c>
      <c r="I11889">
        <v>100.47</v>
      </c>
      <c r="J11889" s="50">
        <v>502.35</v>
      </c>
      <c r="K11889" t="s">
        <v>1618</v>
      </c>
      <c r="L11889" t="s">
        <v>4036</v>
      </c>
      <c r="M11889" t="s">
        <v>1621</v>
      </c>
      <c r="N11889">
        <v>53.03</v>
      </c>
      <c r="O11889" s="49">
        <v>44991</v>
      </c>
      <c r="P11889" s="50">
        <v>226.0575</v>
      </c>
    </row>
    <row r="11890" spans="4:16" x14ac:dyDescent="0.2">
      <c r="D11890">
        <v>100007158</v>
      </c>
      <c r="E11890" s="49">
        <v>45544</v>
      </c>
      <c r="F11890" t="s">
        <v>7800</v>
      </c>
      <c r="G11890" t="s">
        <v>1900</v>
      </c>
      <c r="H11890">
        <v>3</v>
      </c>
      <c r="I11890">
        <v>44.9</v>
      </c>
      <c r="J11890" s="50">
        <v>134.69999999999999</v>
      </c>
      <c r="K11890" t="s">
        <v>1632</v>
      </c>
      <c r="M11890" t="s">
        <v>1627</v>
      </c>
      <c r="N11890">
        <v>23.7</v>
      </c>
      <c r="O11890" s="49">
        <v>45546</v>
      </c>
      <c r="P11890" s="50">
        <v>60.614999999999995</v>
      </c>
    </row>
    <row r="11891" spans="4:16" x14ac:dyDescent="0.2">
      <c r="D11891">
        <v>100007159</v>
      </c>
      <c r="E11891" s="49">
        <v>45495</v>
      </c>
      <c r="F11891" t="s">
        <v>7801</v>
      </c>
      <c r="G11891" t="s">
        <v>2706</v>
      </c>
      <c r="H11891">
        <v>8</v>
      </c>
      <c r="I11891">
        <v>18.39</v>
      </c>
      <c r="J11891" s="50">
        <v>147.12</v>
      </c>
      <c r="K11891" t="s">
        <v>1618</v>
      </c>
      <c r="M11891" t="s">
        <v>1621</v>
      </c>
      <c r="N11891">
        <v>9.7100000000000009</v>
      </c>
      <c r="O11891" s="49">
        <v>45498</v>
      </c>
      <c r="P11891" s="50">
        <v>66.204000000000008</v>
      </c>
    </row>
    <row r="11892" spans="4:16" x14ac:dyDescent="0.2">
      <c r="D11892">
        <v>100007159</v>
      </c>
      <c r="E11892" s="49">
        <v>45054</v>
      </c>
      <c r="F11892" t="s">
        <v>7801</v>
      </c>
      <c r="G11892" t="s">
        <v>2182</v>
      </c>
      <c r="H11892">
        <v>6</v>
      </c>
      <c r="I11892">
        <v>53.69</v>
      </c>
      <c r="J11892" s="50">
        <v>322.14</v>
      </c>
      <c r="K11892" t="s">
        <v>1618</v>
      </c>
      <c r="M11892" t="s">
        <v>1619</v>
      </c>
      <c r="N11892">
        <v>28.34</v>
      </c>
      <c r="O11892" s="49">
        <v>45059</v>
      </c>
      <c r="P11892" s="50">
        <v>144.96299999999999</v>
      </c>
    </row>
    <row r="11893" spans="4:16" x14ac:dyDescent="0.2">
      <c r="D11893">
        <v>100007160</v>
      </c>
      <c r="E11893" s="49">
        <v>45279</v>
      </c>
      <c r="F11893" t="s">
        <v>7802</v>
      </c>
      <c r="G11893" t="s">
        <v>2328</v>
      </c>
      <c r="H11893">
        <v>9</v>
      </c>
      <c r="I11893">
        <v>23.45</v>
      </c>
      <c r="J11893" s="50">
        <v>211.05</v>
      </c>
      <c r="K11893" t="s">
        <v>1618</v>
      </c>
      <c r="M11893" t="s">
        <v>1624</v>
      </c>
      <c r="N11893">
        <v>12.38</v>
      </c>
      <c r="O11893" s="49">
        <v>45283</v>
      </c>
      <c r="P11893" s="50">
        <v>94.972500000000011</v>
      </c>
    </row>
    <row r="11894" spans="4:16" x14ac:dyDescent="0.2">
      <c r="D11894">
        <v>100007160</v>
      </c>
      <c r="E11894" s="49">
        <v>44698</v>
      </c>
      <c r="F11894" t="s">
        <v>7802</v>
      </c>
      <c r="G11894" t="s">
        <v>1859</v>
      </c>
      <c r="H11894">
        <v>1</v>
      </c>
      <c r="I11894">
        <v>63.56</v>
      </c>
      <c r="J11894" s="50">
        <v>63.56</v>
      </c>
      <c r="K11894" t="s">
        <v>1618</v>
      </c>
      <c r="M11894" t="s">
        <v>1619</v>
      </c>
      <c r="N11894">
        <v>33.549999999999997</v>
      </c>
      <c r="O11894" s="49">
        <v>44701</v>
      </c>
      <c r="P11894" s="50">
        <v>28.602</v>
      </c>
    </row>
    <row r="11895" spans="4:16" x14ac:dyDescent="0.2">
      <c r="D11895">
        <v>100007160</v>
      </c>
      <c r="E11895" s="49">
        <v>45217</v>
      </c>
      <c r="F11895" t="s">
        <v>7802</v>
      </c>
      <c r="G11895" t="s">
        <v>2255</v>
      </c>
      <c r="H11895">
        <v>10</v>
      </c>
      <c r="I11895">
        <v>56.68</v>
      </c>
      <c r="J11895" s="50">
        <v>566.79999999999995</v>
      </c>
      <c r="K11895" t="s">
        <v>1618</v>
      </c>
      <c r="M11895" t="s">
        <v>1629</v>
      </c>
      <c r="N11895">
        <v>29.91</v>
      </c>
      <c r="O11895" s="49">
        <v>45220</v>
      </c>
      <c r="P11895" s="50">
        <v>255.05999999999997</v>
      </c>
    </row>
    <row r="11896" spans="4:16" x14ac:dyDescent="0.2">
      <c r="D11896">
        <v>100007161</v>
      </c>
      <c r="E11896" s="49">
        <v>45026</v>
      </c>
      <c r="F11896" t="s">
        <v>7803</v>
      </c>
      <c r="G11896" t="s">
        <v>2204</v>
      </c>
      <c r="H11896">
        <v>3</v>
      </c>
      <c r="I11896">
        <v>75.11</v>
      </c>
      <c r="J11896" s="50">
        <v>225.33</v>
      </c>
      <c r="K11896" t="s">
        <v>1632</v>
      </c>
      <c r="M11896" t="s">
        <v>1629</v>
      </c>
      <c r="N11896">
        <v>39.64</v>
      </c>
      <c r="O11896" s="49">
        <v>45030</v>
      </c>
      <c r="P11896" s="50">
        <v>101.39850000000001</v>
      </c>
    </row>
    <row r="11897" spans="4:16" x14ac:dyDescent="0.2">
      <c r="D11897">
        <v>100007162</v>
      </c>
      <c r="E11897" s="49">
        <v>45198</v>
      </c>
      <c r="F11897" t="s">
        <v>7804</v>
      </c>
      <c r="G11897" t="s">
        <v>1717</v>
      </c>
      <c r="H11897">
        <v>1</v>
      </c>
      <c r="I11897">
        <v>89.49</v>
      </c>
      <c r="J11897" s="50">
        <v>89.49</v>
      </c>
      <c r="K11897" t="s">
        <v>1632</v>
      </c>
      <c r="M11897" t="s">
        <v>1621</v>
      </c>
      <c r="N11897">
        <v>47.23</v>
      </c>
      <c r="O11897" s="49">
        <v>45200</v>
      </c>
      <c r="P11897" s="50">
        <v>40.270499999999998</v>
      </c>
    </row>
    <row r="11898" spans="4:16" x14ac:dyDescent="0.2">
      <c r="D11898">
        <v>100007163</v>
      </c>
      <c r="E11898" s="49">
        <v>44900</v>
      </c>
      <c r="F11898" t="s">
        <v>7805</v>
      </c>
      <c r="G11898" t="s">
        <v>2003</v>
      </c>
      <c r="H11898">
        <v>7</v>
      </c>
      <c r="I11898">
        <v>111.24</v>
      </c>
      <c r="J11898" s="50">
        <v>778.68</v>
      </c>
      <c r="K11898" t="s">
        <v>1632</v>
      </c>
      <c r="M11898" t="s">
        <v>1629</v>
      </c>
      <c r="N11898">
        <v>58.71</v>
      </c>
      <c r="O11898" s="49">
        <v>44903</v>
      </c>
      <c r="P11898" s="50">
        <v>350.40600000000001</v>
      </c>
    </row>
    <row r="11899" spans="4:16" x14ac:dyDescent="0.2">
      <c r="D11899">
        <v>100007164</v>
      </c>
      <c r="E11899" s="49">
        <v>45062</v>
      </c>
      <c r="F11899" t="s">
        <v>7806</v>
      </c>
      <c r="G11899" t="s">
        <v>2103</v>
      </c>
      <c r="H11899">
        <v>3</v>
      </c>
      <c r="I11899">
        <v>106.61</v>
      </c>
      <c r="J11899" s="50">
        <v>319.83</v>
      </c>
      <c r="K11899" t="s">
        <v>1618</v>
      </c>
      <c r="L11899" t="s">
        <v>7807</v>
      </c>
      <c r="M11899" t="s">
        <v>1629</v>
      </c>
      <c r="N11899">
        <v>56.27</v>
      </c>
      <c r="O11899" s="49">
        <v>45066</v>
      </c>
      <c r="P11899" s="50">
        <v>143.92349999999999</v>
      </c>
    </row>
    <row r="11900" spans="4:16" x14ac:dyDescent="0.2">
      <c r="D11900">
        <v>100007165</v>
      </c>
      <c r="E11900" s="49">
        <v>45500</v>
      </c>
      <c r="F11900" t="s">
        <v>7808</v>
      </c>
      <c r="G11900" t="s">
        <v>1916</v>
      </c>
      <c r="H11900">
        <v>8</v>
      </c>
      <c r="I11900">
        <v>89.46</v>
      </c>
      <c r="J11900" s="50">
        <v>715.68</v>
      </c>
      <c r="K11900" t="s">
        <v>1618</v>
      </c>
      <c r="M11900" t="s">
        <v>1624</v>
      </c>
      <c r="N11900">
        <v>47.21</v>
      </c>
      <c r="O11900" s="49">
        <v>45504</v>
      </c>
      <c r="P11900" s="50">
        <v>322.05599999999998</v>
      </c>
    </row>
    <row r="11901" spans="4:16" x14ac:dyDescent="0.2">
      <c r="D11901">
        <v>100007166</v>
      </c>
      <c r="E11901" s="49">
        <v>44745</v>
      </c>
      <c r="F11901" t="s">
        <v>7809</v>
      </c>
      <c r="G11901" t="s">
        <v>2103</v>
      </c>
      <c r="H11901">
        <v>3</v>
      </c>
      <c r="I11901">
        <v>40.130000000000003</v>
      </c>
      <c r="J11901" s="50">
        <v>120.39</v>
      </c>
      <c r="K11901" t="s">
        <v>1618</v>
      </c>
      <c r="M11901" t="s">
        <v>1629</v>
      </c>
      <c r="N11901">
        <v>21.18</v>
      </c>
      <c r="O11901" s="49">
        <v>44750</v>
      </c>
      <c r="P11901" s="50">
        <v>54.1755</v>
      </c>
    </row>
    <row r="11902" spans="4:16" x14ac:dyDescent="0.2">
      <c r="D11902">
        <v>100007166</v>
      </c>
      <c r="E11902" s="49">
        <v>45254</v>
      </c>
      <c r="F11902" t="s">
        <v>7809</v>
      </c>
      <c r="G11902" t="s">
        <v>1820</v>
      </c>
      <c r="H11902">
        <v>3</v>
      </c>
      <c r="I11902">
        <v>96.31</v>
      </c>
      <c r="J11902" s="50">
        <v>288.93</v>
      </c>
      <c r="K11902" t="s">
        <v>1618</v>
      </c>
      <c r="M11902" t="s">
        <v>1629</v>
      </c>
      <c r="N11902">
        <v>50.83</v>
      </c>
      <c r="O11902" s="49">
        <v>45255</v>
      </c>
      <c r="P11902" s="50">
        <v>130.01850000000002</v>
      </c>
    </row>
    <row r="11903" spans="4:16" x14ac:dyDescent="0.2">
      <c r="D11903">
        <v>100007166</v>
      </c>
      <c r="E11903" s="49">
        <v>45344</v>
      </c>
      <c r="F11903" t="s">
        <v>7809</v>
      </c>
      <c r="G11903" t="s">
        <v>2305</v>
      </c>
      <c r="H11903">
        <v>2</v>
      </c>
      <c r="I11903">
        <v>36.03</v>
      </c>
      <c r="J11903" s="50">
        <v>72.06</v>
      </c>
      <c r="K11903" t="s">
        <v>1618</v>
      </c>
      <c r="M11903" t="s">
        <v>1619</v>
      </c>
      <c r="N11903">
        <v>19.02</v>
      </c>
      <c r="O11903" s="49">
        <v>45345</v>
      </c>
      <c r="P11903" s="50">
        <v>32.427</v>
      </c>
    </row>
    <row r="11904" spans="4:16" x14ac:dyDescent="0.2">
      <c r="D11904">
        <v>100007167</v>
      </c>
      <c r="E11904" s="49">
        <v>44251</v>
      </c>
      <c r="F11904" t="s">
        <v>7810</v>
      </c>
      <c r="G11904" t="s">
        <v>1895</v>
      </c>
      <c r="H11904">
        <v>8</v>
      </c>
      <c r="I11904">
        <v>78.260000000000005</v>
      </c>
      <c r="J11904" s="50">
        <v>626.08000000000004</v>
      </c>
      <c r="K11904" t="s">
        <v>1632</v>
      </c>
      <c r="L11904" t="s">
        <v>7811</v>
      </c>
      <c r="M11904" t="s">
        <v>1629</v>
      </c>
      <c r="N11904">
        <v>41.3</v>
      </c>
      <c r="O11904" s="49">
        <v>44253</v>
      </c>
      <c r="P11904" s="50">
        <v>281.73600000000005</v>
      </c>
    </row>
    <row r="11905" spans="4:16" x14ac:dyDescent="0.2">
      <c r="D11905">
        <v>100007169</v>
      </c>
      <c r="E11905" s="49">
        <v>45140</v>
      </c>
      <c r="F11905" t="s">
        <v>7812</v>
      </c>
      <c r="G11905" t="s">
        <v>1842</v>
      </c>
      <c r="H11905">
        <v>6</v>
      </c>
      <c r="I11905">
        <v>87.8</v>
      </c>
      <c r="J11905" s="50">
        <v>526.79999999999995</v>
      </c>
      <c r="K11905" t="s">
        <v>1618</v>
      </c>
      <c r="M11905" t="s">
        <v>1629</v>
      </c>
      <c r="N11905">
        <v>46.34</v>
      </c>
      <c r="O11905" s="49">
        <v>45144</v>
      </c>
      <c r="P11905" s="50">
        <v>237.05999999999997</v>
      </c>
    </row>
    <row r="11906" spans="4:16" x14ac:dyDescent="0.2">
      <c r="D11906">
        <v>100007169</v>
      </c>
      <c r="E11906" s="49">
        <v>44359</v>
      </c>
      <c r="F11906" t="s">
        <v>7812</v>
      </c>
      <c r="G11906" t="s">
        <v>1846</v>
      </c>
      <c r="H11906">
        <v>10</v>
      </c>
      <c r="I11906">
        <v>65.260000000000005</v>
      </c>
      <c r="J11906" s="50">
        <v>652.6</v>
      </c>
      <c r="K11906" t="s">
        <v>1618</v>
      </c>
      <c r="M11906" t="s">
        <v>1621</v>
      </c>
      <c r="N11906">
        <v>34.44</v>
      </c>
      <c r="O11906" s="49">
        <v>44362</v>
      </c>
      <c r="P11906" s="50">
        <v>293.67</v>
      </c>
    </row>
    <row r="11907" spans="4:16" x14ac:dyDescent="0.2">
      <c r="D11907">
        <v>100007169</v>
      </c>
      <c r="E11907" s="49">
        <v>44459</v>
      </c>
      <c r="F11907" t="s">
        <v>7812</v>
      </c>
      <c r="G11907" t="s">
        <v>2348</v>
      </c>
      <c r="H11907">
        <v>2</v>
      </c>
      <c r="I11907">
        <v>64.17</v>
      </c>
      <c r="J11907" s="50">
        <v>128.34</v>
      </c>
      <c r="K11907" t="s">
        <v>1618</v>
      </c>
      <c r="M11907" t="s">
        <v>1621</v>
      </c>
      <c r="N11907">
        <v>33.869999999999997</v>
      </c>
      <c r="O11907" s="49">
        <v>44460</v>
      </c>
      <c r="P11907" s="50">
        <v>57.753</v>
      </c>
    </row>
    <row r="11908" spans="4:16" x14ac:dyDescent="0.2">
      <c r="D11908">
        <v>100007169</v>
      </c>
      <c r="E11908" s="49">
        <v>45444</v>
      </c>
      <c r="F11908" t="s">
        <v>7812</v>
      </c>
      <c r="G11908" t="s">
        <v>2121</v>
      </c>
      <c r="H11908">
        <v>7</v>
      </c>
      <c r="I11908">
        <v>41.28</v>
      </c>
      <c r="J11908" s="50">
        <v>288.95999999999998</v>
      </c>
      <c r="K11908" t="s">
        <v>1618</v>
      </c>
      <c r="M11908" t="s">
        <v>1624</v>
      </c>
      <c r="N11908">
        <v>21.79</v>
      </c>
      <c r="O11908" s="49">
        <v>45446</v>
      </c>
      <c r="P11908" s="50">
        <v>130.03199999999998</v>
      </c>
    </row>
    <row r="11909" spans="4:16" x14ac:dyDescent="0.2">
      <c r="D11909">
        <v>100007169</v>
      </c>
      <c r="E11909" s="49">
        <v>44365</v>
      </c>
      <c r="F11909" t="s">
        <v>7812</v>
      </c>
      <c r="G11909" t="s">
        <v>2658</v>
      </c>
      <c r="H11909">
        <v>4</v>
      </c>
      <c r="I11909">
        <v>16.25</v>
      </c>
      <c r="J11909" s="50">
        <v>65</v>
      </c>
      <c r="K11909" t="s">
        <v>1618</v>
      </c>
      <c r="M11909" t="s">
        <v>1629</v>
      </c>
      <c r="N11909">
        <v>8.58</v>
      </c>
      <c r="O11909" s="49">
        <v>44368</v>
      </c>
      <c r="P11909" s="50">
        <v>29.25</v>
      </c>
    </row>
    <row r="11910" spans="4:16" x14ac:dyDescent="0.2">
      <c r="D11910">
        <v>100007170</v>
      </c>
      <c r="E11910" s="49">
        <v>45151</v>
      </c>
      <c r="F11910" t="s">
        <v>7813</v>
      </c>
      <c r="G11910" t="s">
        <v>1648</v>
      </c>
      <c r="H11910">
        <v>8</v>
      </c>
      <c r="I11910">
        <v>115.06</v>
      </c>
      <c r="J11910" s="50">
        <v>920.48</v>
      </c>
      <c r="K11910" t="s">
        <v>1618</v>
      </c>
      <c r="L11910" t="s">
        <v>5581</v>
      </c>
      <c r="M11910" t="s">
        <v>1624</v>
      </c>
      <c r="N11910">
        <v>60.73</v>
      </c>
      <c r="O11910" s="49">
        <v>45156</v>
      </c>
      <c r="P11910" s="50">
        <v>414.21600000000001</v>
      </c>
    </row>
    <row r="11911" spans="4:16" x14ac:dyDescent="0.2">
      <c r="D11911">
        <v>100007170</v>
      </c>
      <c r="E11911" s="49">
        <v>44567</v>
      </c>
      <c r="F11911" t="s">
        <v>7813</v>
      </c>
      <c r="G11911" t="s">
        <v>1999</v>
      </c>
      <c r="H11911">
        <v>9</v>
      </c>
      <c r="I11911">
        <v>10.62</v>
      </c>
      <c r="J11911" s="50">
        <v>95.58</v>
      </c>
      <c r="K11911" t="s">
        <v>1618</v>
      </c>
      <c r="L11911" t="s">
        <v>5581</v>
      </c>
      <c r="M11911" t="s">
        <v>1627</v>
      </c>
      <c r="N11911">
        <v>5.6</v>
      </c>
      <c r="O11911" s="49">
        <v>44570</v>
      </c>
      <c r="P11911" s="50">
        <v>43.011000000000003</v>
      </c>
    </row>
    <row r="11912" spans="4:16" x14ac:dyDescent="0.2">
      <c r="D11912">
        <v>100007170</v>
      </c>
      <c r="E11912" s="49">
        <v>44493</v>
      </c>
      <c r="F11912" t="s">
        <v>7813</v>
      </c>
      <c r="G11912" t="s">
        <v>1838</v>
      </c>
      <c r="H11912">
        <v>7</v>
      </c>
      <c r="I11912">
        <v>55.69</v>
      </c>
      <c r="J11912" s="50">
        <v>389.83</v>
      </c>
      <c r="K11912" t="s">
        <v>1618</v>
      </c>
      <c r="L11912" t="s">
        <v>5581</v>
      </c>
      <c r="M11912" t="s">
        <v>1624</v>
      </c>
      <c r="N11912">
        <v>29.39</v>
      </c>
      <c r="O11912" s="49">
        <v>44498</v>
      </c>
      <c r="P11912" s="50">
        <v>175.42349999999999</v>
      </c>
    </row>
    <row r="11913" spans="4:16" x14ac:dyDescent="0.2">
      <c r="D11913">
        <v>100007171</v>
      </c>
      <c r="E11913" s="49">
        <v>44427</v>
      </c>
      <c r="F11913" t="s">
        <v>7814</v>
      </c>
      <c r="G11913" t="s">
        <v>1762</v>
      </c>
      <c r="H11913">
        <v>3</v>
      </c>
      <c r="I11913">
        <v>10.47</v>
      </c>
      <c r="J11913" s="50">
        <v>31.41</v>
      </c>
      <c r="K11913" t="s">
        <v>1632</v>
      </c>
      <c r="L11913" t="s">
        <v>7815</v>
      </c>
      <c r="M11913" t="s">
        <v>1621</v>
      </c>
      <c r="N11913">
        <v>5.53</v>
      </c>
      <c r="O11913" s="49">
        <v>44431</v>
      </c>
      <c r="P11913" s="50">
        <v>14.134500000000001</v>
      </c>
    </row>
    <row r="11914" spans="4:16" x14ac:dyDescent="0.2">
      <c r="D11914">
        <v>100007171</v>
      </c>
      <c r="E11914" s="49">
        <v>45398</v>
      </c>
      <c r="F11914" t="s">
        <v>7814</v>
      </c>
      <c r="G11914" t="s">
        <v>1749</v>
      </c>
      <c r="H11914">
        <v>9</v>
      </c>
      <c r="I11914">
        <v>67.47</v>
      </c>
      <c r="J11914" s="50">
        <v>607.23</v>
      </c>
      <c r="K11914" t="s">
        <v>1632</v>
      </c>
      <c r="L11914" t="s">
        <v>7815</v>
      </c>
      <c r="M11914" t="s">
        <v>1627</v>
      </c>
      <c r="N11914">
        <v>35.61</v>
      </c>
      <c r="O11914" s="49">
        <v>45400</v>
      </c>
      <c r="P11914" s="50">
        <v>273.25350000000003</v>
      </c>
    </row>
    <row r="11915" spans="4:16" x14ac:dyDescent="0.2">
      <c r="D11915">
        <v>100007172</v>
      </c>
      <c r="E11915" s="49">
        <v>44847</v>
      </c>
      <c r="F11915" t="s">
        <v>7816</v>
      </c>
      <c r="G11915" t="s">
        <v>2071</v>
      </c>
      <c r="H11915">
        <v>3</v>
      </c>
      <c r="I11915">
        <v>15.67</v>
      </c>
      <c r="J11915" s="50">
        <v>47.01</v>
      </c>
      <c r="K11915" t="s">
        <v>1618</v>
      </c>
      <c r="M11915" t="s">
        <v>1627</v>
      </c>
      <c r="N11915">
        <v>8.27</v>
      </c>
      <c r="O11915" s="49">
        <v>44848</v>
      </c>
      <c r="P11915" s="50">
        <v>21.154499999999999</v>
      </c>
    </row>
    <row r="11916" spans="4:16" x14ac:dyDescent="0.2">
      <c r="D11916">
        <v>100007172</v>
      </c>
      <c r="E11916" s="49">
        <v>45392</v>
      </c>
      <c r="F11916" t="s">
        <v>7816</v>
      </c>
      <c r="G11916" t="s">
        <v>1729</v>
      </c>
      <c r="H11916">
        <v>1</v>
      </c>
      <c r="I11916">
        <v>95.71</v>
      </c>
      <c r="J11916" s="50">
        <v>95.71</v>
      </c>
      <c r="K11916" t="s">
        <v>1618</v>
      </c>
      <c r="M11916" t="s">
        <v>1621</v>
      </c>
      <c r="N11916">
        <v>50.51</v>
      </c>
      <c r="O11916" s="49">
        <v>45393</v>
      </c>
      <c r="P11916" s="50">
        <v>43.069499999999998</v>
      </c>
    </row>
    <row r="11917" spans="4:16" x14ac:dyDescent="0.2">
      <c r="D11917">
        <v>100007173</v>
      </c>
      <c r="E11917" s="49">
        <v>45220</v>
      </c>
      <c r="F11917" t="s">
        <v>6374</v>
      </c>
      <c r="G11917" t="s">
        <v>2057</v>
      </c>
      <c r="H11917">
        <v>5</v>
      </c>
      <c r="I11917">
        <v>27.69</v>
      </c>
      <c r="J11917" s="50">
        <v>138.44999999999999</v>
      </c>
      <c r="K11917" t="s">
        <v>1632</v>
      </c>
      <c r="M11917" t="s">
        <v>1629</v>
      </c>
      <c r="N11917">
        <v>14.61</v>
      </c>
      <c r="O11917" s="49">
        <v>45221</v>
      </c>
      <c r="P11917" s="50">
        <v>62.302499999999995</v>
      </c>
    </row>
    <row r="11918" spans="4:16" x14ac:dyDescent="0.2">
      <c r="D11918">
        <v>100007173</v>
      </c>
      <c r="E11918" s="49">
        <v>44902</v>
      </c>
      <c r="F11918" t="s">
        <v>6374</v>
      </c>
      <c r="G11918" t="s">
        <v>2372</v>
      </c>
      <c r="H11918">
        <v>3</v>
      </c>
      <c r="I11918">
        <v>103.18</v>
      </c>
      <c r="J11918" s="50">
        <v>309.54000000000002</v>
      </c>
      <c r="K11918" t="s">
        <v>1632</v>
      </c>
      <c r="M11918" t="s">
        <v>1619</v>
      </c>
      <c r="N11918">
        <v>54.46</v>
      </c>
      <c r="O11918" s="49">
        <v>44906</v>
      </c>
      <c r="P11918" s="50">
        <v>139.29300000000001</v>
      </c>
    </row>
    <row r="11919" spans="4:16" x14ac:dyDescent="0.2">
      <c r="D11919">
        <v>100007174</v>
      </c>
      <c r="E11919" s="49">
        <v>44623</v>
      </c>
      <c r="F11919" t="s">
        <v>7817</v>
      </c>
      <c r="G11919" t="s">
        <v>2330</v>
      </c>
      <c r="H11919">
        <v>4</v>
      </c>
      <c r="I11919">
        <v>48.29</v>
      </c>
      <c r="J11919" s="50">
        <v>193.16</v>
      </c>
      <c r="K11919" t="s">
        <v>1618</v>
      </c>
      <c r="L11919" t="s">
        <v>3518</v>
      </c>
      <c r="M11919" t="s">
        <v>1624</v>
      </c>
      <c r="N11919">
        <v>25.49</v>
      </c>
      <c r="O11919" s="49">
        <v>44626</v>
      </c>
      <c r="P11919" s="50">
        <v>86.921999999999997</v>
      </c>
    </row>
    <row r="11920" spans="4:16" x14ac:dyDescent="0.2">
      <c r="D11920">
        <v>100007174</v>
      </c>
      <c r="E11920" s="49">
        <v>44201</v>
      </c>
      <c r="F11920" t="s">
        <v>7817</v>
      </c>
      <c r="G11920" t="s">
        <v>1880</v>
      </c>
      <c r="H11920">
        <v>3</v>
      </c>
      <c r="I11920">
        <v>16.02</v>
      </c>
      <c r="J11920" s="50">
        <v>48.06</v>
      </c>
      <c r="K11920" t="s">
        <v>1618</v>
      </c>
      <c r="L11920" t="s">
        <v>3518</v>
      </c>
      <c r="M11920" t="s">
        <v>1629</v>
      </c>
      <c r="N11920">
        <v>8.4499999999999993</v>
      </c>
      <c r="O11920" s="49">
        <v>44204</v>
      </c>
      <c r="P11920" s="50">
        <v>21.627000000000002</v>
      </c>
    </row>
    <row r="11921" spans="4:16" x14ac:dyDescent="0.2">
      <c r="D11921">
        <v>100007174</v>
      </c>
      <c r="E11921" s="49">
        <v>44212</v>
      </c>
      <c r="F11921" t="s">
        <v>7817</v>
      </c>
      <c r="G11921" t="s">
        <v>1941</v>
      </c>
      <c r="H11921">
        <v>3</v>
      </c>
      <c r="I11921">
        <v>59.52</v>
      </c>
      <c r="J11921" s="50">
        <v>178.56</v>
      </c>
      <c r="K11921" t="s">
        <v>1618</v>
      </c>
      <c r="L11921" t="s">
        <v>3518</v>
      </c>
      <c r="M11921" t="s">
        <v>1621</v>
      </c>
      <c r="N11921">
        <v>31.41</v>
      </c>
      <c r="O11921" s="49">
        <v>44215</v>
      </c>
      <c r="P11921" s="50">
        <v>80.352000000000004</v>
      </c>
    </row>
    <row r="11922" spans="4:16" x14ac:dyDescent="0.2">
      <c r="D11922">
        <v>100007174</v>
      </c>
      <c r="E11922" s="49">
        <v>45011</v>
      </c>
      <c r="F11922" t="s">
        <v>7817</v>
      </c>
      <c r="G11922" t="s">
        <v>1704</v>
      </c>
      <c r="H11922">
        <v>5</v>
      </c>
      <c r="I11922">
        <v>47.1</v>
      </c>
      <c r="J11922" s="50">
        <v>235.5</v>
      </c>
      <c r="K11922" t="s">
        <v>1618</v>
      </c>
      <c r="L11922" t="s">
        <v>3518</v>
      </c>
      <c r="M11922" t="s">
        <v>1619</v>
      </c>
      <c r="N11922">
        <v>24.86</v>
      </c>
      <c r="O11922" s="49">
        <v>45015</v>
      </c>
      <c r="P11922" s="50">
        <v>105.97500000000001</v>
      </c>
    </row>
    <row r="11923" spans="4:16" x14ac:dyDescent="0.2">
      <c r="D11923">
        <v>100007175</v>
      </c>
      <c r="E11923" s="49">
        <v>45442</v>
      </c>
      <c r="F11923" t="s">
        <v>4370</v>
      </c>
      <c r="G11923" t="s">
        <v>2261</v>
      </c>
      <c r="H11923">
        <v>2</v>
      </c>
      <c r="I11923">
        <v>11.03</v>
      </c>
      <c r="J11923" s="50">
        <v>22.06</v>
      </c>
      <c r="K11923" t="s">
        <v>1618</v>
      </c>
      <c r="M11923" t="s">
        <v>1627</v>
      </c>
      <c r="N11923">
        <v>5.82</v>
      </c>
      <c r="O11923" s="49">
        <v>45444</v>
      </c>
      <c r="P11923" s="50">
        <v>9.9269999999999996</v>
      </c>
    </row>
    <row r="11924" spans="4:16" x14ac:dyDescent="0.2">
      <c r="D11924">
        <v>100007176</v>
      </c>
      <c r="E11924" s="49">
        <v>44543</v>
      </c>
      <c r="F11924" t="s">
        <v>7818</v>
      </c>
      <c r="G11924" t="s">
        <v>1675</v>
      </c>
      <c r="H11924">
        <v>7</v>
      </c>
      <c r="I11924">
        <v>114.88</v>
      </c>
      <c r="J11924" s="50">
        <v>804.16</v>
      </c>
      <c r="K11924" t="s">
        <v>1632</v>
      </c>
      <c r="L11924" t="s">
        <v>4078</v>
      </c>
      <c r="M11924" t="s">
        <v>1624</v>
      </c>
      <c r="N11924">
        <v>60.63</v>
      </c>
      <c r="O11924" s="49">
        <v>44545</v>
      </c>
      <c r="P11924" s="50">
        <v>361.87200000000001</v>
      </c>
    </row>
    <row r="11925" spans="4:16" x14ac:dyDescent="0.2">
      <c r="D11925">
        <v>100007176</v>
      </c>
      <c r="E11925" s="49">
        <v>44209</v>
      </c>
      <c r="F11925" t="s">
        <v>7818</v>
      </c>
      <c r="G11925" t="s">
        <v>1737</v>
      </c>
      <c r="H11925">
        <v>1</v>
      </c>
      <c r="I11925">
        <v>86.92</v>
      </c>
      <c r="J11925" s="50">
        <v>86.92</v>
      </c>
      <c r="K11925" t="s">
        <v>1632</v>
      </c>
      <c r="L11925" t="s">
        <v>4078</v>
      </c>
      <c r="M11925" t="s">
        <v>1619</v>
      </c>
      <c r="N11925">
        <v>45.87</v>
      </c>
      <c r="O11925" s="49">
        <v>44211</v>
      </c>
      <c r="P11925" s="50">
        <v>39.114000000000004</v>
      </c>
    </row>
    <row r="11926" spans="4:16" x14ac:dyDescent="0.2">
      <c r="D11926">
        <v>100007176</v>
      </c>
      <c r="E11926" s="49">
        <v>44433</v>
      </c>
      <c r="F11926" t="s">
        <v>7818</v>
      </c>
      <c r="G11926" t="s">
        <v>1670</v>
      </c>
      <c r="H11926">
        <v>4</v>
      </c>
      <c r="I11926">
        <v>105.43</v>
      </c>
      <c r="J11926" s="50">
        <v>421.72</v>
      </c>
      <c r="K11926" t="s">
        <v>1632</v>
      </c>
      <c r="L11926" t="s">
        <v>4078</v>
      </c>
      <c r="M11926" t="s">
        <v>1629</v>
      </c>
      <c r="N11926">
        <v>55.64</v>
      </c>
      <c r="O11926" s="49">
        <v>44434</v>
      </c>
      <c r="P11926" s="50">
        <v>189.77400000000003</v>
      </c>
    </row>
    <row r="11927" spans="4:16" x14ac:dyDescent="0.2">
      <c r="D11927">
        <v>100007176</v>
      </c>
      <c r="E11927" s="49">
        <v>44387</v>
      </c>
      <c r="F11927" t="s">
        <v>7818</v>
      </c>
      <c r="G11927" t="s">
        <v>2192</v>
      </c>
      <c r="H11927">
        <v>8</v>
      </c>
      <c r="I11927">
        <v>92.48</v>
      </c>
      <c r="J11927" s="50">
        <v>739.84</v>
      </c>
      <c r="K11927" t="s">
        <v>1632</v>
      </c>
      <c r="L11927" t="s">
        <v>4078</v>
      </c>
      <c r="M11927" t="s">
        <v>1621</v>
      </c>
      <c r="N11927">
        <v>48.81</v>
      </c>
      <c r="O11927" s="49">
        <v>44389</v>
      </c>
      <c r="P11927" s="50">
        <v>332.928</v>
      </c>
    </row>
    <row r="11928" spans="4:16" x14ac:dyDescent="0.2">
      <c r="D11928">
        <v>100007176</v>
      </c>
      <c r="E11928" s="49">
        <v>44218</v>
      </c>
      <c r="F11928" t="s">
        <v>7818</v>
      </c>
      <c r="G11928" t="s">
        <v>1944</v>
      </c>
      <c r="H11928">
        <v>6</v>
      </c>
      <c r="I11928">
        <v>50.07</v>
      </c>
      <c r="J11928" s="50">
        <v>300.42</v>
      </c>
      <c r="K11928" t="s">
        <v>1632</v>
      </c>
      <c r="L11928" t="s">
        <v>4078</v>
      </c>
      <c r="M11928" t="s">
        <v>1627</v>
      </c>
      <c r="N11928">
        <v>26.43</v>
      </c>
      <c r="O11928" s="49">
        <v>44222</v>
      </c>
      <c r="P11928" s="50">
        <v>135.18900000000002</v>
      </c>
    </row>
    <row r="11929" spans="4:16" x14ac:dyDescent="0.2">
      <c r="D11929">
        <v>100007177</v>
      </c>
      <c r="E11929" s="49">
        <v>44839</v>
      </c>
      <c r="F11929" t="s">
        <v>7819</v>
      </c>
      <c r="G11929" t="s">
        <v>1895</v>
      </c>
      <c r="H11929">
        <v>8</v>
      </c>
      <c r="I11929">
        <v>32.57</v>
      </c>
      <c r="J11929" s="50">
        <v>260.56</v>
      </c>
      <c r="K11929" t="s">
        <v>1632</v>
      </c>
      <c r="M11929" t="s">
        <v>1629</v>
      </c>
      <c r="N11929">
        <v>17.190000000000001</v>
      </c>
      <c r="O11929" s="49">
        <v>44843</v>
      </c>
      <c r="P11929" s="50">
        <v>117.25200000000001</v>
      </c>
    </row>
    <row r="11930" spans="4:16" x14ac:dyDescent="0.2">
      <c r="D11930">
        <v>100007177</v>
      </c>
      <c r="E11930" s="49">
        <v>44228</v>
      </c>
      <c r="F11930" t="s">
        <v>7819</v>
      </c>
      <c r="G11930" t="s">
        <v>1641</v>
      </c>
      <c r="H11930">
        <v>10</v>
      </c>
      <c r="I11930">
        <v>58.39</v>
      </c>
      <c r="J11930" s="50">
        <v>583.9</v>
      </c>
      <c r="K11930" t="s">
        <v>1632</v>
      </c>
      <c r="M11930" t="s">
        <v>1624</v>
      </c>
      <c r="N11930">
        <v>30.82</v>
      </c>
      <c r="O11930" s="49">
        <v>44231</v>
      </c>
      <c r="P11930" s="50">
        <v>262.755</v>
      </c>
    </row>
    <row r="11931" spans="4:16" x14ac:dyDescent="0.2">
      <c r="D11931">
        <v>100007177</v>
      </c>
      <c r="E11931" s="49">
        <v>44806</v>
      </c>
      <c r="F11931" t="s">
        <v>7819</v>
      </c>
      <c r="G11931" t="s">
        <v>1655</v>
      </c>
      <c r="H11931">
        <v>7</v>
      </c>
      <c r="I11931">
        <v>73.739999999999995</v>
      </c>
      <c r="J11931" s="50">
        <v>516.17999999999995</v>
      </c>
      <c r="K11931" t="s">
        <v>1632</v>
      </c>
      <c r="M11931" t="s">
        <v>1621</v>
      </c>
      <c r="N11931">
        <v>38.92</v>
      </c>
      <c r="O11931" s="49">
        <v>44810</v>
      </c>
      <c r="P11931" s="50">
        <v>232.28099999999998</v>
      </c>
    </row>
    <row r="11932" spans="4:16" x14ac:dyDescent="0.2">
      <c r="D11932">
        <v>100007177</v>
      </c>
      <c r="E11932" s="49">
        <v>44513</v>
      </c>
      <c r="F11932" t="s">
        <v>7819</v>
      </c>
      <c r="G11932" t="s">
        <v>2198</v>
      </c>
      <c r="H11932">
        <v>7</v>
      </c>
      <c r="I11932">
        <v>35.01</v>
      </c>
      <c r="J11932" s="50">
        <v>245.07</v>
      </c>
      <c r="K11932" t="s">
        <v>1632</v>
      </c>
      <c r="M11932" t="s">
        <v>1624</v>
      </c>
      <c r="N11932">
        <v>18.48</v>
      </c>
      <c r="O11932" s="49">
        <v>44514</v>
      </c>
      <c r="P11932" s="50">
        <v>110.28149999999999</v>
      </c>
    </row>
    <row r="11933" spans="4:16" x14ac:dyDescent="0.2">
      <c r="D11933">
        <v>100007177</v>
      </c>
      <c r="E11933" s="49">
        <v>44628</v>
      </c>
      <c r="F11933" t="s">
        <v>7819</v>
      </c>
      <c r="G11933" t="s">
        <v>2232</v>
      </c>
      <c r="H11933">
        <v>3</v>
      </c>
      <c r="I11933">
        <v>57.94</v>
      </c>
      <c r="J11933" s="50">
        <v>173.82</v>
      </c>
      <c r="K11933" t="s">
        <v>1632</v>
      </c>
      <c r="M11933" t="s">
        <v>1624</v>
      </c>
      <c r="N11933">
        <v>30.58</v>
      </c>
      <c r="O11933" s="49">
        <v>44633</v>
      </c>
      <c r="P11933" s="50">
        <v>78.218999999999994</v>
      </c>
    </row>
    <row r="11934" spans="4:16" x14ac:dyDescent="0.2">
      <c r="D11934">
        <v>100007177</v>
      </c>
      <c r="E11934" s="49">
        <v>45203</v>
      </c>
      <c r="F11934" t="s">
        <v>7819</v>
      </c>
      <c r="G11934" t="s">
        <v>2480</v>
      </c>
      <c r="H11934">
        <v>10</v>
      </c>
      <c r="I11934">
        <v>77.16</v>
      </c>
      <c r="J11934" s="50">
        <v>771.59999999999991</v>
      </c>
      <c r="K11934" t="s">
        <v>1632</v>
      </c>
      <c r="M11934" t="s">
        <v>1619</v>
      </c>
      <c r="N11934">
        <v>40.72</v>
      </c>
      <c r="O11934" s="49">
        <v>45204</v>
      </c>
      <c r="P11934" s="50">
        <v>347.21999999999997</v>
      </c>
    </row>
    <row r="11935" spans="4:16" x14ac:dyDescent="0.2">
      <c r="D11935">
        <v>100007177</v>
      </c>
      <c r="E11935" s="49">
        <v>45394</v>
      </c>
      <c r="F11935" t="s">
        <v>7819</v>
      </c>
      <c r="G11935" t="s">
        <v>2090</v>
      </c>
      <c r="H11935">
        <v>2</v>
      </c>
      <c r="I11935">
        <v>88.08</v>
      </c>
      <c r="J11935" s="50">
        <v>176.16</v>
      </c>
      <c r="K11935" t="s">
        <v>1632</v>
      </c>
      <c r="M11935" t="s">
        <v>1629</v>
      </c>
      <c r="N11935">
        <v>46.49</v>
      </c>
      <c r="O11935" s="49">
        <v>45396</v>
      </c>
      <c r="P11935" s="50">
        <v>79.272000000000006</v>
      </c>
    </row>
    <row r="11936" spans="4:16" x14ac:dyDescent="0.2">
      <c r="D11936">
        <v>100007177</v>
      </c>
      <c r="E11936" s="49">
        <v>45020</v>
      </c>
      <c r="F11936" t="s">
        <v>7819</v>
      </c>
      <c r="G11936" t="s">
        <v>2232</v>
      </c>
      <c r="H11936">
        <v>9</v>
      </c>
      <c r="I11936">
        <v>13.92</v>
      </c>
      <c r="J11936" s="50">
        <v>125.28</v>
      </c>
      <c r="K11936" t="s">
        <v>1632</v>
      </c>
      <c r="M11936" t="s">
        <v>1621</v>
      </c>
      <c r="N11936">
        <v>7.35</v>
      </c>
      <c r="O11936" s="49">
        <v>45025</v>
      </c>
      <c r="P11936" s="50">
        <v>56.376000000000005</v>
      </c>
    </row>
    <row r="11937" spans="4:16" x14ac:dyDescent="0.2">
      <c r="D11937">
        <v>100007178</v>
      </c>
      <c r="E11937" s="49">
        <v>44317</v>
      </c>
      <c r="F11937" t="s">
        <v>7820</v>
      </c>
      <c r="G11937" t="s">
        <v>2302</v>
      </c>
      <c r="H11937">
        <v>4</v>
      </c>
      <c r="I11937">
        <v>64.25</v>
      </c>
      <c r="J11937" s="50">
        <v>257</v>
      </c>
      <c r="K11937" t="s">
        <v>1618</v>
      </c>
      <c r="M11937" t="s">
        <v>1627</v>
      </c>
      <c r="N11937">
        <v>33.909999999999997</v>
      </c>
      <c r="O11937" s="49">
        <v>44320</v>
      </c>
      <c r="P11937" s="50">
        <v>115.65</v>
      </c>
    </row>
    <row r="11938" spans="4:16" x14ac:dyDescent="0.2">
      <c r="D11938">
        <v>100007179</v>
      </c>
      <c r="E11938" s="49">
        <v>44959</v>
      </c>
      <c r="F11938" t="s">
        <v>7821</v>
      </c>
      <c r="G11938" t="s">
        <v>2078</v>
      </c>
      <c r="H11938">
        <v>4</v>
      </c>
      <c r="I11938">
        <v>22.17</v>
      </c>
      <c r="J11938" s="50">
        <v>88.68</v>
      </c>
      <c r="K11938" t="s">
        <v>1618</v>
      </c>
      <c r="M11938" t="s">
        <v>1624</v>
      </c>
      <c r="N11938">
        <v>11.7</v>
      </c>
      <c r="O11938" s="49">
        <v>44963</v>
      </c>
      <c r="P11938" s="50">
        <v>39.906000000000006</v>
      </c>
    </row>
    <row r="11939" spans="4:16" x14ac:dyDescent="0.2">
      <c r="D11939">
        <v>100007180</v>
      </c>
      <c r="E11939" s="49">
        <v>45564</v>
      </c>
      <c r="F11939" t="s">
        <v>7822</v>
      </c>
      <c r="G11939" t="s">
        <v>1720</v>
      </c>
      <c r="H11939">
        <v>10</v>
      </c>
      <c r="I11939">
        <v>83.8</v>
      </c>
      <c r="J11939" s="50">
        <v>838</v>
      </c>
      <c r="K11939" t="s">
        <v>1618</v>
      </c>
      <c r="M11939" t="s">
        <v>1619</v>
      </c>
      <c r="N11939">
        <v>44.23</v>
      </c>
      <c r="O11939" s="49">
        <v>45567</v>
      </c>
      <c r="P11939" s="50">
        <v>377.1</v>
      </c>
    </row>
    <row r="11940" spans="4:16" x14ac:dyDescent="0.2">
      <c r="D11940">
        <v>100007180</v>
      </c>
      <c r="E11940" s="49">
        <v>45378</v>
      </c>
      <c r="F11940" t="s">
        <v>7822</v>
      </c>
      <c r="G11940" t="s">
        <v>2357</v>
      </c>
      <c r="H11940">
        <v>2</v>
      </c>
      <c r="I11940">
        <v>79.56</v>
      </c>
      <c r="J11940" s="50">
        <v>159.12</v>
      </c>
      <c r="K11940" t="s">
        <v>1618</v>
      </c>
      <c r="M11940" t="s">
        <v>1627</v>
      </c>
      <c r="N11940">
        <v>41.99</v>
      </c>
      <c r="O11940" s="49">
        <v>45380</v>
      </c>
      <c r="P11940" s="50">
        <v>71.603999999999999</v>
      </c>
    </row>
    <row r="11941" spans="4:16" x14ac:dyDescent="0.2">
      <c r="D11941">
        <v>100007181</v>
      </c>
      <c r="E11941" s="49">
        <v>44513</v>
      </c>
      <c r="F11941" t="s">
        <v>7823</v>
      </c>
      <c r="G11941" t="s">
        <v>2202</v>
      </c>
      <c r="H11941">
        <v>10</v>
      </c>
      <c r="I11941">
        <v>77.34</v>
      </c>
      <c r="J11941" s="50">
        <v>773.40000000000009</v>
      </c>
      <c r="K11941" t="s">
        <v>1618</v>
      </c>
      <c r="M11941" t="s">
        <v>1629</v>
      </c>
      <c r="N11941">
        <v>40.82</v>
      </c>
      <c r="O11941" s="49">
        <v>44517</v>
      </c>
      <c r="P11941" s="50">
        <v>348.03000000000003</v>
      </c>
    </row>
    <row r="11942" spans="4:16" x14ac:dyDescent="0.2">
      <c r="D11942">
        <v>100007181</v>
      </c>
      <c r="E11942" s="49">
        <v>44199</v>
      </c>
      <c r="F11942" t="s">
        <v>7823</v>
      </c>
      <c r="G11942" t="s">
        <v>2378</v>
      </c>
      <c r="H11942">
        <v>8</v>
      </c>
      <c r="I11942">
        <v>59.84</v>
      </c>
      <c r="J11942" s="50">
        <v>478.72</v>
      </c>
      <c r="K11942" t="s">
        <v>1618</v>
      </c>
      <c r="M11942" t="s">
        <v>1621</v>
      </c>
      <c r="N11942">
        <v>31.58</v>
      </c>
      <c r="O11942" s="49">
        <v>44204</v>
      </c>
      <c r="P11942" s="50">
        <v>215.42400000000001</v>
      </c>
    </row>
    <row r="11943" spans="4:16" x14ac:dyDescent="0.2">
      <c r="D11943">
        <v>100007181</v>
      </c>
      <c r="E11943" s="49">
        <v>45131</v>
      </c>
      <c r="F11943" t="s">
        <v>7823</v>
      </c>
      <c r="G11943" t="s">
        <v>1913</v>
      </c>
      <c r="H11943">
        <v>2</v>
      </c>
      <c r="I11943">
        <v>88.11</v>
      </c>
      <c r="J11943" s="50">
        <v>176.22</v>
      </c>
      <c r="K11943" t="s">
        <v>1618</v>
      </c>
      <c r="M11943" t="s">
        <v>1619</v>
      </c>
      <c r="N11943">
        <v>46.5</v>
      </c>
      <c r="O11943" s="49">
        <v>45136</v>
      </c>
      <c r="P11943" s="50">
        <v>79.299000000000007</v>
      </c>
    </row>
    <row r="11944" spans="4:16" x14ac:dyDescent="0.2">
      <c r="D11944">
        <v>100007182</v>
      </c>
      <c r="E11944" s="49">
        <v>45365</v>
      </c>
      <c r="F11944" t="s">
        <v>7824</v>
      </c>
      <c r="G11944" t="s">
        <v>1707</v>
      </c>
      <c r="H11944">
        <v>2</v>
      </c>
      <c r="I11944">
        <v>27.83</v>
      </c>
      <c r="J11944" s="50">
        <v>55.66</v>
      </c>
      <c r="K11944" t="s">
        <v>1618</v>
      </c>
      <c r="M11944" t="s">
        <v>1624</v>
      </c>
      <c r="N11944">
        <v>14.69</v>
      </c>
      <c r="O11944" s="49">
        <v>45367</v>
      </c>
      <c r="P11944" s="50">
        <v>25.047000000000001</v>
      </c>
    </row>
    <row r="11945" spans="4:16" x14ac:dyDescent="0.2">
      <c r="D11945">
        <v>100007184</v>
      </c>
      <c r="E11945" s="49">
        <v>44935</v>
      </c>
      <c r="F11945" t="s">
        <v>4034</v>
      </c>
      <c r="G11945" t="s">
        <v>1642</v>
      </c>
      <c r="H11945">
        <v>8</v>
      </c>
      <c r="I11945">
        <v>28.22</v>
      </c>
      <c r="J11945" s="50">
        <v>225.76</v>
      </c>
      <c r="K11945" t="s">
        <v>1618</v>
      </c>
      <c r="M11945" t="s">
        <v>1627</v>
      </c>
      <c r="N11945">
        <v>14.89</v>
      </c>
      <c r="O11945" s="49">
        <v>44938</v>
      </c>
      <c r="P11945" s="50">
        <v>101.592</v>
      </c>
    </row>
    <row r="11946" spans="4:16" x14ac:dyDescent="0.2">
      <c r="D11946">
        <v>100007184</v>
      </c>
      <c r="E11946" s="49">
        <v>44359</v>
      </c>
      <c r="F11946" t="s">
        <v>4034</v>
      </c>
      <c r="G11946" t="s">
        <v>1722</v>
      </c>
      <c r="H11946">
        <v>7</v>
      </c>
      <c r="I11946">
        <v>60.57</v>
      </c>
      <c r="J11946" s="50">
        <v>423.99</v>
      </c>
      <c r="K11946" t="s">
        <v>1618</v>
      </c>
      <c r="M11946" t="s">
        <v>1624</v>
      </c>
      <c r="N11946">
        <v>31.97</v>
      </c>
      <c r="O11946" s="49">
        <v>44360</v>
      </c>
      <c r="P11946" s="50">
        <v>190.7955</v>
      </c>
    </row>
    <row r="11947" spans="4:16" x14ac:dyDescent="0.2">
      <c r="D11947">
        <v>100007184</v>
      </c>
      <c r="E11947" s="49">
        <v>44843</v>
      </c>
      <c r="F11947" t="s">
        <v>4034</v>
      </c>
      <c r="G11947" t="s">
        <v>2111</v>
      </c>
      <c r="H11947">
        <v>1</v>
      </c>
      <c r="I11947">
        <v>97.67</v>
      </c>
      <c r="J11947" s="50">
        <v>97.67</v>
      </c>
      <c r="K11947" t="s">
        <v>1618</v>
      </c>
      <c r="M11947" t="s">
        <v>1624</v>
      </c>
      <c r="N11947">
        <v>51.55</v>
      </c>
      <c r="O11947" s="49">
        <v>44846</v>
      </c>
      <c r="P11947" s="50">
        <v>43.951500000000003</v>
      </c>
    </row>
    <row r="11948" spans="4:16" x14ac:dyDescent="0.2">
      <c r="D11948">
        <v>100007185</v>
      </c>
      <c r="E11948" s="49">
        <v>44998</v>
      </c>
      <c r="F11948" t="s">
        <v>7825</v>
      </c>
      <c r="G11948" t="s">
        <v>1724</v>
      </c>
      <c r="H11948">
        <v>1</v>
      </c>
      <c r="I11948">
        <v>88.39</v>
      </c>
      <c r="J11948" s="50">
        <v>88.39</v>
      </c>
      <c r="K11948" t="s">
        <v>1618</v>
      </c>
      <c r="L11948" t="s">
        <v>3377</v>
      </c>
      <c r="M11948" t="s">
        <v>1621</v>
      </c>
      <c r="N11948">
        <v>46.65</v>
      </c>
      <c r="O11948" s="49">
        <v>45001</v>
      </c>
      <c r="P11948" s="50">
        <v>39.775500000000001</v>
      </c>
    </row>
    <row r="11949" spans="4:16" x14ac:dyDescent="0.2">
      <c r="D11949">
        <v>100007185</v>
      </c>
      <c r="E11949" s="49">
        <v>44497</v>
      </c>
      <c r="F11949" t="s">
        <v>7825</v>
      </c>
      <c r="G11949" t="s">
        <v>2574</v>
      </c>
      <c r="H11949">
        <v>10</v>
      </c>
      <c r="I11949">
        <v>54.33</v>
      </c>
      <c r="J11949" s="50">
        <v>543.29999999999995</v>
      </c>
      <c r="K11949" t="s">
        <v>1618</v>
      </c>
      <c r="L11949" t="s">
        <v>3377</v>
      </c>
      <c r="M11949" t="s">
        <v>1619</v>
      </c>
      <c r="N11949">
        <v>28.67</v>
      </c>
      <c r="O11949" s="49">
        <v>44501</v>
      </c>
      <c r="P11949" s="50">
        <v>244.48499999999999</v>
      </c>
    </row>
    <row r="11950" spans="4:16" x14ac:dyDescent="0.2">
      <c r="D11950">
        <v>100007185</v>
      </c>
      <c r="E11950" s="49">
        <v>44335</v>
      </c>
      <c r="F11950" t="s">
        <v>7825</v>
      </c>
      <c r="G11950" t="s">
        <v>1751</v>
      </c>
      <c r="H11950">
        <v>8</v>
      </c>
      <c r="I11950">
        <v>23.24</v>
      </c>
      <c r="J11950" s="50">
        <v>185.92</v>
      </c>
      <c r="K11950" t="s">
        <v>1618</v>
      </c>
      <c r="L11950" t="s">
        <v>3377</v>
      </c>
      <c r="M11950" t="s">
        <v>1621</v>
      </c>
      <c r="N11950">
        <v>12.27</v>
      </c>
      <c r="O11950" s="49">
        <v>44336</v>
      </c>
      <c r="P11950" s="50">
        <v>83.664000000000001</v>
      </c>
    </row>
    <row r="11951" spans="4:16" x14ac:dyDescent="0.2">
      <c r="D11951">
        <v>100007185</v>
      </c>
      <c r="E11951" s="49">
        <v>45477</v>
      </c>
      <c r="F11951" t="s">
        <v>7825</v>
      </c>
      <c r="G11951" t="s">
        <v>1781</v>
      </c>
      <c r="H11951">
        <v>5</v>
      </c>
      <c r="I11951">
        <v>30.33</v>
      </c>
      <c r="J11951" s="50">
        <v>151.65</v>
      </c>
      <c r="K11951" t="s">
        <v>1618</v>
      </c>
      <c r="L11951" t="s">
        <v>3377</v>
      </c>
      <c r="M11951" t="s">
        <v>1624</v>
      </c>
      <c r="N11951">
        <v>16.010000000000002</v>
      </c>
      <c r="O11951" s="49">
        <v>45481</v>
      </c>
      <c r="P11951" s="50">
        <v>68.242500000000007</v>
      </c>
    </row>
    <row r="11952" spans="4:16" x14ac:dyDescent="0.2">
      <c r="D11952">
        <v>100007185</v>
      </c>
      <c r="E11952" s="49">
        <v>45279</v>
      </c>
      <c r="F11952" t="s">
        <v>7825</v>
      </c>
      <c r="G11952" t="s">
        <v>1967</v>
      </c>
      <c r="H11952">
        <v>9</v>
      </c>
      <c r="I11952">
        <v>65.099999999999994</v>
      </c>
      <c r="J11952" s="50">
        <v>585.9</v>
      </c>
      <c r="K11952" t="s">
        <v>1618</v>
      </c>
      <c r="L11952" t="s">
        <v>3377</v>
      </c>
      <c r="M11952" t="s">
        <v>1621</v>
      </c>
      <c r="N11952">
        <v>34.36</v>
      </c>
      <c r="O11952" s="49">
        <v>45283</v>
      </c>
      <c r="P11952" s="50">
        <v>263.65499999999997</v>
      </c>
    </row>
    <row r="11953" spans="4:16" x14ac:dyDescent="0.2">
      <c r="D11953">
        <v>100007185</v>
      </c>
      <c r="E11953" s="49">
        <v>45409</v>
      </c>
      <c r="F11953" t="s">
        <v>7825</v>
      </c>
      <c r="G11953" t="s">
        <v>2180</v>
      </c>
      <c r="H11953">
        <v>4</v>
      </c>
      <c r="I11953">
        <v>24.91</v>
      </c>
      <c r="J11953" s="50">
        <v>99.64</v>
      </c>
      <c r="K11953" t="s">
        <v>1618</v>
      </c>
      <c r="L11953" t="s">
        <v>3377</v>
      </c>
      <c r="M11953" t="s">
        <v>1627</v>
      </c>
      <c r="N11953">
        <v>13.15</v>
      </c>
      <c r="O11953" s="49">
        <v>45411</v>
      </c>
      <c r="P11953" s="50">
        <v>44.838000000000001</v>
      </c>
    </row>
    <row r="11954" spans="4:16" x14ac:dyDescent="0.2">
      <c r="D11954">
        <v>100007186</v>
      </c>
      <c r="E11954" s="49">
        <v>45344</v>
      </c>
      <c r="F11954" t="s">
        <v>7826</v>
      </c>
      <c r="G11954" t="s">
        <v>1736</v>
      </c>
      <c r="H11954">
        <v>4</v>
      </c>
      <c r="I11954">
        <v>40.229999999999997</v>
      </c>
      <c r="J11954" s="50">
        <v>160.91999999999999</v>
      </c>
      <c r="K11954" t="s">
        <v>1618</v>
      </c>
      <c r="M11954" t="s">
        <v>1629</v>
      </c>
      <c r="N11954">
        <v>21.23</v>
      </c>
      <c r="O11954" s="49">
        <v>45349</v>
      </c>
      <c r="P11954" s="50">
        <v>72.414000000000001</v>
      </c>
    </row>
    <row r="11955" spans="4:16" x14ac:dyDescent="0.2">
      <c r="D11955">
        <v>100007186</v>
      </c>
      <c r="E11955" s="49">
        <v>44896</v>
      </c>
      <c r="F11955" t="s">
        <v>7826</v>
      </c>
      <c r="G11955" t="s">
        <v>2373</v>
      </c>
      <c r="H11955">
        <v>10</v>
      </c>
      <c r="I11955">
        <v>55.67</v>
      </c>
      <c r="J11955" s="50">
        <v>556.70000000000005</v>
      </c>
      <c r="K11955" t="s">
        <v>1618</v>
      </c>
      <c r="M11955" t="s">
        <v>1621</v>
      </c>
      <c r="N11955">
        <v>29.38</v>
      </c>
      <c r="O11955" s="49">
        <v>44900</v>
      </c>
      <c r="P11955" s="50">
        <v>250.51500000000001</v>
      </c>
    </row>
    <row r="11956" spans="4:16" x14ac:dyDescent="0.2">
      <c r="D11956">
        <v>100007186</v>
      </c>
      <c r="E11956" s="49">
        <v>44729</v>
      </c>
      <c r="F11956" t="s">
        <v>7826</v>
      </c>
      <c r="G11956" t="s">
        <v>2378</v>
      </c>
      <c r="H11956">
        <v>10</v>
      </c>
      <c r="I11956">
        <v>58.36</v>
      </c>
      <c r="J11956" s="50">
        <v>583.6</v>
      </c>
      <c r="K11956" t="s">
        <v>1618</v>
      </c>
      <c r="M11956" t="s">
        <v>1621</v>
      </c>
      <c r="N11956">
        <v>30.8</v>
      </c>
      <c r="O11956" s="49">
        <v>44733</v>
      </c>
      <c r="P11956" s="50">
        <v>262.62</v>
      </c>
    </row>
    <row r="11957" spans="4:16" x14ac:dyDescent="0.2">
      <c r="D11957">
        <v>100007186</v>
      </c>
      <c r="E11957" s="49">
        <v>44703</v>
      </c>
      <c r="F11957" t="s">
        <v>7826</v>
      </c>
      <c r="G11957" t="s">
        <v>1623</v>
      </c>
      <c r="H11957">
        <v>4</v>
      </c>
      <c r="I11957">
        <v>38.67</v>
      </c>
      <c r="J11957" s="50">
        <v>154.68</v>
      </c>
      <c r="K11957" t="s">
        <v>1618</v>
      </c>
      <c r="M11957" t="s">
        <v>1629</v>
      </c>
      <c r="N11957">
        <v>20.41</v>
      </c>
      <c r="O11957" s="49">
        <v>44708</v>
      </c>
      <c r="P11957" s="50">
        <v>69.606000000000009</v>
      </c>
    </row>
    <row r="11958" spans="4:16" x14ac:dyDescent="0.2">
      <c r="D11958">
        <v>100007187</v>
      </c>
      <c r="E11958" s="49">
        <v>44272</v>
      </c>
      <c r="F11958" t="s">
        <v>7827</v>
      </c>
      <c r="G11958" t="s">
        <v>2416</v>
      </c>
      <c r="H11958">
        <v>9</v>
      </c>
      <c r="I11958">
        <v>26.48</v>
      </c>
      <c r="J11958" s="50">
        <v>238.32</v>
      </c>
      <c r="K11958" t="s">
        <v>1618</v>
      </c>
      <c r="M11958" t="s">
        <v>1629</v>
      </c>
      <c r="N11958">
        <v>13.98</v>
      </c>
      <c r="O11958" s="49">
        <v>44276</v>
      </c>
      <c r="P11958" s="50">
        <v>107.244</v>
      </c>
    </row>
    <row r="11959" spans="4:16" x14ac:dyDescent="0.2">
      <c r="D11959">
        <v>100007189</v>
      </c>
      <c r="E11959" s="49">
        <v>44275</v>
      </c>
      <c r="F11959" t="s">
        <v>4947</v>
      </c>
      <c r="G11959" t="s">
        <v>2692</v>
      </c>
      <c r="H11959">
        <v>4</v>
      </c>
      <c r="I11959">
        <v>82.44</v>
      </c>
      <c r="J11959" s="50">
        <v>329.76</v>
      </c>
      <c r="K11959" t="s">
        <v>1632</v>
      </c>
      <c r="M11959" t="s">
        <v>1629</v>
      </c>
      <c r="N11959">
        <v>43.51</v>
      </c>
      <c r="O11959" s="49">
        <v>44279</v>
      </c>
      <c r="P11959" s="50">
        <v>148.392</v>
      </c>
    </row>
    <row r="11960" spans="4:16" x14ac:dyDescent="0.2">
      <c r="D11960">
        <v>100007189</v>
      </c>
      <c r="E11960" s="49">
        <v>45421</v>
      </c>
      <c r="F11960" t="s">
        <v>4947</v>
      </c>
      <c r="G11960" t="s">
        <v>1736</v>
      </c>
      <c r="H11960">
        <v>2</v>
      </c>
      <c r="I11960">
        <v>92.96</v>
      </c>
      <c r="J11960" s="50">
        <v>185.92</v>
      </c>
      <c r="K11960" t="s">
        <v>1632</v>
      </c>
      <c r="M11960" t="s">
        <v>1624</v>
      </c>
      <c r="N11960">
        <v>49.06</v>
      </c>
      <c r="O11960" s="49">
        <v>45422</v>
      </c>
      <c r="P11960" s="50">
        <v>83.664000000000001</v>
      </c>
    </row>
    <row r="11961" spans="4:16" x14ac:dyDescent="0.2">
      <c r="D11961">
        <v>100007189</v>
      </c>
      <c r="E11961" s="49">
        <v>44740</v>
      </c>
      <c r="F11961" t="s">
        <v>4947</v>
      </c>
      <c r="G11961" t="s">
        <v>1924</v>
      </c>
      <c r="H11961">
        <v>8</v>
      </c>
      <c r="I11961">
        <v>103.63</v>
      </c>
      <c r="J11961" s="50">
        <v>829.04</v>
      </c>
      <c r="K11961" t="s">
        <v>1632</v>
      </c>
      <c r="M11961" t="s">
        <v>1619</v>
      </c>
      <c r="N11961">
        <v>54.69</v>
      </c>
      <c r="O11961" s="49">
        <v>44744</v>
      </c>
      <c r="P11961" s="50">
        <v>373.06799999999998</v>
      </c>
    </row>
    <row r="11962" spans="4:16" x14ac:dyDescent="0.2">
      <c r="D11962">
        <v>100007190</v>
      </c>
      <c r="E11962" s="49">
        <v>44883</v>
      </c>
      <c r="F11962" t="s">
        <v>6960</v>
      </c>
      <c r="G11962" t="s">
        <v>2132</v>
      </c>
      <c r="H11962">
        <v>7</v>
      </c>
      <c r="I11962">
        <v>79.459999999999994</v>
      </c>
      <c r="J11962" s="50">
        <v>556.21999999999991</v>
      </c>
      <c r="K11962" t="s">
        <v>1632</v>
      </c>
      <c r="M11962" t="s">
        <v>1624</v>
      </c>
      <c r="N11962">
        <v>41.94</v>
      </c>
      <c r="O11962" s="49">
        <v>44888</v>
      </c>
      <c r="P11962" s="50">
        <v>250.29899999999998</v>
      </c>
    </row>
    <row r="11963" spans="4:16" x14ac:dyDescent="0.2">
      <c r="D11963">
        <v>100007190</v>
      </c>
      <c r="E11963" s="49">
        <v>44948</v>
      </c>
      <c r="F11963" t="s">
        <v>6960</v>
      </c>
      <c r="G11963" t="s">
        <v>1751</v>
      </c>
      <c r="H11963">
        <v>10</v>
      </c>
      <c r="I11963">
        <v>108.76</v>
      </c>
      <c r="J11963" s="50">
        <v>1087.5999999999999</v>
      </c>
      <c r="K11963" t="s">
        <v>1632</v>
      </c>
      <c r="M11963" t="s">
        <v>1619</v>
      </c>
      <c r="N11963">
        <v>57.4</v>
      </c>
      <c r="O11963" s="49">
        <v>44952</v>
      </c>
      <c r="P11963" s="50">
        <v>489.41999999999996</v>
      </c>
    </row>
    <row r="11964" spans="4:16" x14ac:dyDescent="0.2">
      <c r="D11964">
        <v>100007191</v>
      </c>
      <c r="E11964" s="49">
        <v>44553</v>
      </c>
      <c r="F11964" t="s">
        <v>7828</v>
      </c>
      <c r="G11964" t="s">
        <v>2192</v>
      </c>
      <c r="H11964">
        <v>3</v>
      </c>
      <c r="I11964">
        <v>100.44</v>
      </c>
      <c r="J11964" s="50">
        <v>301.32</v>
      </c>
      <c r="K11964" t="s">
        <v>1618</v>
      </c>
      <c r="M11964" t="s">
        <v>1621</v>
      </c>
      <c r="N11964">
        <v>53.01</v>
      </c>
      <c r="O11964" s="49">
        <v>44558</v>
      </c>
      <c r="P11964" s="50">
        <v>135.59399999999999</v>
      </c>
    </row>
    <row r="11965" spans="4:16" x14ac:dyDescent="0.2">
      <c r="D11965">
        <v>100007191</v>
      </c>
      <c r="E11965" s="49">
        <v>45458</v>
      </c>
      <c r="F11965" t="s">
        <v>7828</v>
      </c>
      <c r="G11965" t="s">
        <v>1743</v>
      </c>
      <c r="H11965">
        <v>10</v>
      </c>
      <c r="I11965">
        <v>16.760000000000002</v>
      </c>
      <c r="J11965" s="50">
        <v>167.6</v>
      </c>
      <c r="K11965" t="s">
        <v>1618</v>
      </c>
      <c r="M11965" t="s">
        <v>1619</v>
      </c>
      <c r="N11965">
        <v>8.85</v>
      </c>
      <c r="O11965" s="49">
        <v>45461</v>
      </c>
      <c r="P11965" s="50">
        <v>75.42</v>
      </c>
    </row>
    <row r="11966" spans="4:16" x14ac:dyDescent="0.2">
      <c r="D11966">
        <v>100007191</v>
      </c>
      <c r="E11966" s="49">
        <v>45172</v>
      </c>
      <c r="F11966" t="s">
        <v>7828</v>
      </c>
      <c r="G11966" t="s">
        <v>1677</v>
      </c>
      <c r="H11966">
        <v>1</v>
      </c>
      <c r="I11966">
        <v>12.13</v>
      </c>
      <c r="J11966" s="50">
        <v>12.13</v>
      </c>
      <c r="K11966" t="s">
        <v>1618</v>
      </c>
      <c r="M11966" t="s">
        <v>1619</v>
      </c>
      <c r="N11966">
        <v>6.4</v>
      </c>
      <c r="O11966" s="49">
        <v>45176</v>
      </c>
      <c r="P11966" s="50">
        <v>5.4585000000000008</v>
      </c>
    </row>
    <row r="11967" spans="4:16" x14ac:dyDescent="0.2">
      <c r="D11967">
        <v>100007191</v>
      </c>
      <c r="E11967" s="49">
        <v>44999</v>
      </c>
      <c r="F11967" t="s">
        <v>7828</v>
      </c>
      <c r="G11967" t="s">
        <v>1646</v>
      </c>
      <c r="H11967">
        <v>1</v>
      </c>
      <c r="I11967">
        <v>43.79</v>
      </c>
      <c r="J11967" s="50">
        <v>43.79</v>
      </c>
      <c r="K11967" t="s">
        <v>1618</v>
      </c>
      <c r="M11967" t="s">
        <v>1627</v>
      </c>
      <c r="N11967">
        <v>23.11</v>
      </c>
      <c r="O11967" s="49">
        <v>45000</v>
      </c>
      <c r="P11967" s="50">
        <v>19.705500000000001</v>
      </c>
    </row>
    <row r="11968" spans="4:16" x14ac:dyDescent="0.2">
      <c r="D11968">
        <v>100007191</v>
      </c>
      <c r="E11968" s="49">
        <v>44612</v>
      </c>
      <c r="F11968" t="s">
        <v>7828</v>
      </c>
      <c r="G11968" t="s">
        <v>2198</v>
      </c>
      <c r="H11968">
        <v>10</v>
      </c>
      <c r="I11968">
        <v>64.11</v>
      </c>
      <c r="J11968" s="50">
        <v>641.1</v>
      </c>
      <c r="K11968" t="s">
        <v>1618</v>
      </c>
      <c r="M11968" t="s">
        <v>1629</v>
      </c>
      <c r="N11968">
        <v>33.840000000000003</v>
      </c>
      <c r="O11968" s="49">
        <v>44616</v>
      </c>
      <c r="P11968" s="50">
        <v>288.495</v>
      </c>
    </row>
    <row r="11969" spans="4:16" x14ac:dyDescent="0.2">
      <c r="D11969">
        <v>100007193</v>
      </c>
      <c r="E11969" s="49">
        <v>45016</v>
      </c>
      <c r="F11969" t="s">
        <v>7829</v>
      </c>
      <c r="G11969" t="s">
        <v>1754</v>
      </c>
      <c r="H11969">
        <v>1</v>
      </c>
      <c r="I11969">
        <v>29.12</v>
      </c>
      <c r="J11969" s="50">
        <v>29.12</v>
      </c>
      <c r="K11969" t="s">
        <v>1618</v>
      </c>
      <c r="L11969" t="s">
        <v>7830</v>
      </c>
      <c r="M11969" t="s">
        <v>1629</v>
      </c>
      <c r="N11969">
        <v>15.37</v>
      </c>
      <c r="O11969" s="49">
        <v>45017</v>
      </c>
      <c r="P11969" s="50">
        <v>13.104000000000001</v>
      </c>
    </row>
    <row r="11970" spans="4:16" x14ac:dyDescent="0.2">
      <c r="D11970">
        <v>100007194</v>
      </c>
      <c r="E11970" s="49">
        <v>44502</v>
      </c>
      <c r="F11970" t="s">
        <v>7831</v>
      </c>
      <c r="G11970" t="s">
        <v>1720</v>
      </c>
      <c r="H11970">
        <v>7</v>
      </c>
      <c r="I11970">
        <v>28</v>
      </c>
      <c r="J11970" s="50">
        <v>196</v>
      </c>
      <c r="K11970" t="s">
        <v>1632</v>
      </c>
      <c r="M11970" t="s">
        <v>1627</v>
      </c>
      <c r="N11970">
        <v>14.78</v>
      </c>
      <c r="O11970" s="49">
        <v>44507</v>
      </c>
      <c r="P11970" s="50">
        <v>88.2</v>
      </c>
    </row>
    <row r="11971" spans="4:16" x14ac:dyDescent="0.2">
      <c r="D11971">
        <v>100007194</v>
      </c>
      <c r="E11971" s="49">
        <v>44712</v>
      </c>
      <c r="F11971" t="s">
        <v>7831</v>
      </c>
      <c r="G11971" t="s">
        <v>2485</v>
      </c>
      <c r="H11971">
        <v>10</v>
      </c>
      <c r="I11971">
        <v>58.72</v>
      </c>
      <c r="J11971" s="50">
        <v>587.20000000000005</v>
      </c>
      <c r="K11971" t="s">
        <v>1632</v>
      </c>
      <c r="M11971" t="s">
        <v>1627</v>
      </c>
      <c r="N11971">
        <v>30.99</v>
      </c>
      <c r="O11971" s="49">
        <v>44716</v>
      </c>
      <c r="P11971" s="50">
        <v>264.24</v>
      </c>
    </row>
    <row r="11972" spans="4:16" x14ac:dyDescent="0.2">
      <c r="D11972">
        <v>100007196</v>
      </c>
      <c r="E11972" s="49">
        <v>45252</v>
      </c>
      <c r="F11972" t="s">
        <v>7832</v>
      </c>
      <c r="G11972" t="s">
        <v>1718</v>
      </c>
      <c r="H11972">
        <v>2</v>
      </c>
      <c r="I11972">
        <v>47.28</v>
      </c>
      <c r="J11972" s="50">
        <v>94.56</v>
      </c>
      <c r="K11972" t="s">
        <v>1618</v>
      </c>
      <c r="L11972" t="s">
        <v>4136</v>
      </c>
      <c r="M11972" t="s">
        <v>1624</v>
      </c>
      <c r="N11972">
        <v>24.95</v>
      </c>
      <c r="O11972" s="49">
        <v>45256</v>
      </c>
      <c r="P11972" s="50">
        <v>42.552</v>
      </c>
    </row>
    <row r="11973" spans="4:16" x14ac:dyDescent="0.2">
      <c r="D11973">
        <v>100007196</v>
      </c>
      <c r="E11973" s="49">
        <v>44432</v>
      </c>
      <c r="F11973" t="s">
        <v>7832</v>
      </c>
      <c r="G11973" t="s">
        <v>2574</v>
      </c>
      <c r="H11973">
        <v>6</v>
      </c>
      <c r="I11973">
        <v>27.55</v>
      </c>
      <c r="J11973" s="50">
        <v>165.3</v>
      </c>
      <c r="K11973" t="s">
        <v>1618</v>
      </c>
      <c r="L11973" t="s">
        <v>4136</v>
      </c>
      <c r="M11973" t="s">
        <v>1627</v>
      </c>
      <c r="N11973">
        <v>14.54</v>
      </c>
      <c r="O11973" s="49">
        <v>44436</v>
      </c>
      <c r="P11973" s="50">
        <v>74.385000000000005</v>
      </c>
    </row>
    <row r="11974" spans="4:16" x14ac:dyDescent="0.2">
      <c r="D11974">
        <v>100007196</v>
      </c>
      <c r="E11974" s="49">
        <v>44267</v>
      </c>
      <c r="F11974" t="s">
        <v>7832</v>
      </c>
      <c r="G11974" t="s">
        <v>1710</v>
      </c>
      <c r="H11974">
        <v>2</v>
      </c>
      <c r="I11974">
        <v>52.04</v>
      </c>
      <c r="J11974" s="50">
        <v>104.08</v>
      </c>
      <c r="K11974" t="s">
        <v>1618</v>
      </c>
      <c r="L11974" t="s">
        <v>4136</v>
      </c>
      <c r="M11974" t="s">
        <v>1629</v>
      </c>
      <c r="N11974">
        <v>27.47</v>
      </c>
      <c r="O11974" s="49">
        <v>44270</v>
      </c>
      <c r="P11974" s="50">
        <v>46.835999999999999</v>
      </c>
    </row>
    <row r="11975" spans="4:16" x14ac:dyDescent="0.2">
      <c r="D11975">
        <v>100007196</v>
      </c>
      <c r="E11975" s="49">
        <v>44773</v>
      </c>
      <c r="F11975" t="s">
        <v>7832</v>
      </c>
      <c r="G11975" t="s">
        <v>2182</v>
      </c>
      <c r="H11975">
        <v>6</v>
      </c>
      <c r="I11975">
        <v>12.69</v>
      </c>
      <c r="J11975" s="50">
        <v>76.14</v>
      </c>
      <c r="K11975" t="s">
        <v>1618</v>
      </c>
      <c r="L11975" t="s">
        <v>4136</v>
      </c>
      <c r="M11975" t="s">
        <v>1619</v>
      </c>
      <c r="N11975">
        <v>6.7</v>
      </c>
      <c r="O11975" s="49">
        <v>44774</v>
      </c>
      <c r="P11975" s="50">
        <v>34.262999999999998</v>
      </c>
    </row>
    <row r="11976" spans="4:16" x14ac:dyDescent="0.2">
      <c r="D11976">
        <v>100007196</v>
      </c>
      <c r="E11976" s="49">
        <v>44275</v>
      </c>
      <c r="F11976" t="s">
        <v>7832</v>
      </c>
      <c r="G11976" t="s">
        <v>1636</v>
      </c>
      <c r="H11976">
        <v>3</v>
      </c>
      <c r="I11976">
        <v>47.91</v>
      </c>
      <c r="J11976" s="50">
        <v>143.72999999999999</v>
      </c>
      <c r="K11976" t="s">
        <v>1618</v>
      </c>
      <c r="L11976" t="s">
        <v>4136</v>
      </c>
      <c r="M11976" t="s">
        <v>1619</v>
      </c>
      <c r="N11976">
        <v>25.29</v>
      </c>
      <c r="O11976" s="49">
        <v>44279</v>
      </c>
      <c r="P11976" s="50">
        <v>64.6785</v>
      </c>
    </row>
    <row r="11977" spans="4:16" x14ac:dyDescent="0.2">
      <c r="D11977">
        <v>100007196</v>
      </c>
      <c r="E11977" s="49">
        <v>45237</v>
      </c>
      <c r="F11977" t="s">
        <v>7832</v>
      </c>
      <c r="G11977" t="s">
        <v>2706</v>
      </c>
      <c r="H11977">
        <v>6</v>
      </c>
      <c r="I11977">
        <v>76.09</v>
      </c>
      <c r="J11977" s="50">
        <v>456.54</v>
      </c>
      <c r="K11977" t="s">
        <v>1618</v>
      </c>
      <c r="L11977" t="s">
        <v>4136</v>
      </c>
      <c r="M11977" t="s">
        <v>1621</v>
      </c>
      <c r="N11977">
        <v>40.159999999999997</v>
      </c>
      <c r="O11977" s="49">
        <v>45239</v>
      </c>
      <c r="P11977" s="50">
        <v>205.44300000000001</v>
      </c>
    </row>
    <row r="11978" spans="4:16" x14ac:dyDescent="0.2">
      <c r="D11978">
        <v>100007196</v>
      </c>
      <c r="E11978" s="49">
        <v>44681</v>
      </c>
      <c r="F11978" t="s">
        <v>7832</v>
      </c>
      <c r="G11978" t="s">
        <v>1987</v>
      </c>
      <c r="H11978">
        <v>4</v>
      </c>
      <c r="I11978">
        <v>85.01</v>
      </c>
      <c r="J11978" s="50">
        <v>340.04</v>
      </c>
      <c r="K11978" t="s">
        <v>1618</v>
      </c>
      <c r="L11978" t="s">
        <v>4136</v>
      </c>
      <c r="M11978" t="s">
        <v>1621</v>
      </c>
      <c r="N11978">
        <v>44.87</v>
      </c>
      <c r="O11978" s="49">
        <v>44685</v>
      </c>
      <c r="P11978" s="50">
        <v>153.018</v>
      </c>
    </row>
    <row r="11979" spans="4:16" x14ac:dyDescent="0.2">
      <c r="D11979">
        <v>100007197</v>
      </c>
      <c r="E11979" s="49">
        <v>45135</v>
      </c>
      <c r="F11979" t="s">
        <v>7833</v>
      </c>
      <c r="G11979" t="s">
        <v>1655</v>
      </c>
      <c r="H11979">
        <v>3</v>
      </c>
      <c r="I11979">
        <v>79.8</v>
      </c>
      <c r="J11979" s="50">
        <v>239.4</v>
      </c>
      <c r="K11979" t="s">
        <v>1632</v>
      </c>
      <c r="M11979" t="s">
        <v>1629</v>
      </c>
      <c r="N11979">
        <v>42.12</v>
      </c>
      <c r="O11979" s="49">
        <v>45138</v>
      </c>
      <c r="P11979" s="50">
        <v>107.73</v>
      </c>
    </row>
    <row r="11980" spans="4:16" x14ac:dyDescent="0.2">
      <c r="D11980">
        <v>100007198</v>
      </c>
      <c r="E11980" s="49">
        <v>44753</v>
      </c>
      <c r="F11980" t="s">
        <v>7834</v>
      </c>
      <c r="G11980" t="s">
        <v>1924</v>
      </c>
      <c r="H11980">
        <v>4</v>
      </c>
      <c r="I11980">
        <v>79.3</v>
      </c>
      <c r="J11980" s="50">
        <v>317.2</v>
      </c>
      <c r="K11980" t="s">
        <v>1618</v>
      </c>
      <c r="M11980" t="s">
        <v>1621</v>
      </c>
      <c r="N11980">
        <v>41.85</v>
      </c>
      <c r="O11980" s="49">
        <v>44754</v>
      </c>
      <c r="P11980" s="50">
        <v>142.74</v>
      </c>
    </row>
    <row r="11981" spans="4:16" x14ac:dyDescent="0.2">
      <c r="D11981">
        <v>100007199</v>
      </c>
      <c r="E11981" s="49">
        <v>44576</v>
      </c>
      <c r="F11981" t="s">
        <v>7835</v>
      </c>
      <c r="G11981" t="s">
        <v>1830</v>
      </c>
      <c r="H11981">
        <v>9</v>
      </c>
      <c r="I11981">
        <v>118.46</v>
      </c>
      <c r="J11981" s="50">
        <v>1066.1400000000001</v>
      </c>
      <c r="K11981" t="s">
        <v>1618</v>
      </c>
      <c r="L11981" t="s">
        <v>7836</v>
      </c>
      <c r="M11981" t="s">
        <v>1619</v>
      </c>
      <c r="N11981">
        <v>62.52</v>
      </c>
      <c r="O11981" s="49">
        <v>44577</v>
      </c>
      <c r="P11981" s="50">
        <v>479.76300000000003</v>
      </c>
    </row>
    <row r="11982" spans="4:16" x14ac:dyDescent="0.2">
      <c r="D11982">
        <v>100007200</v>
      </c>
      <c r="E11982" s="49">
        <v>44695</v>
      </c>
      <c r="F11982" t="s">
        <v>7837</v>
      </c>
      <c r="G11982" t="s">
        <v>1709</v>
      </c>
      <c r="H11982">
        <v>5</v>
      </c>
      <c r="I11982">
        <v>45.06</v>
      </c>
      <c r="J11982" s="50">
        <v>225.3</v>
      </c>
      <c r="K11982" t="s">
        <v>1618</v>
      </c>
      <c r="L11982" t="s">
        <v>7838</v>
      </c>
      <c r="M11982" t="s">
        <v>1619</v>
      </c>
      <c r="N11982">
        <v>23.78</v>
      </c>
      <c r="O11982" s="49">
        <v>44697</v>
      </c>
      <c r="P11982" s="50">
        <v>101.38500000000001</v>
      </c>
    </row>
    <row r="11983" spans="4:16" x14ac:dyDescent="0.2">
      <c r="D11983">
        <v>100007200</v>
      </c>
      <c r="E11983" s="49">
        <v>44235</v>
      </c>
      <c r="F11983" t="s">
        <v>7837</v>
      </c>
      <c r="G11983" t="s">
        <v>1665</v>
      </c>
      <c r="H11983">
        <v>7</v>
      </c>
      <c r="I11983">
        <v>22.18</v>
      </c>
      <c r="J11983" s="50">
        <v>155.26</v>
      </c>
      <c r="K11983" t="s">
        <v>1618</v>
      </c>
      <c r="L11983" t="s">
        <v>7838</v>
      </c>
      <c r="M11983" t="s">
        <v>1627</v>
      </c>
      <c r="N11983">
        <v>11.71</v>
      </c>
      <c r="O11983" s="49">
        <v>44236</v>
      </c>
      <c r="P11983" s="50">
        <v>69.867000000000004</v>
      </c>
    </row>
    <row r="11984" spans="4:16" x14ac:dyDescent="0.2">
      <c r="D11984">
        <v>100007200</v>
      </c>
      <c r="E11984" s="49">
        <v>44784</v>
      </c>
      <c r="F11984" t="s">
        <v>7837</v>
      </c>
      <c r="G11984" t="s">
        <v>2151</v>
      </c>
      <c r="H11984">
        <v>3</v>
      </c>
      <c r="I11984">
        <v>26.48</v>
      </c>
      <c r="J11984" s="50">
        <v>79.44</v>
      </c>
      <c r="K11984" t="s">
        <v>1618</v>
      </c>
      <c r="L11984" t="s">
        <v>7838</v>
      </c>
      <c r="M11984" t="s">
        <v>1624</v>
      </c>
      <c r="N11984">
        <v>13.98</v>
      </c>
      <c r="O11984" s="49">
        <v>44788</v>
      </c>
      <c r="P11984" s="50">
        <v>35.747999999999998</v>
      </c>
    </row>
    <row r="11985" spans="4:16" x14ac:dyDescent="0.2">
      <c r="D11985">
        <v>100007201</v>
      </c>
      <c r="E11985" s="49">
        <v>44840</v>
      </c>
      <c r="F11985" t="s">
        <v>7839</v>
      </c>
      <c r="G11985" t="s">
        <v>1844</v>
      </c>
      <c r="H11985">
        <v>9</v>
      </c>
      <c r="I11985">
        <v>22.69</v>
      </c>
      <c r="J11985" s="50">
        <v>204.21</v>
      </c>
      <c r="K11985" t="s">
        <v>1632</v>
      </c>
      <c r="M11985" t="s">
        <v>1629</v>
      </c>
      <c r="N11985">
        <v>11.98</v>
      </c>
      <c r="O11985" s="49">
        <v>44843</v>
      </c>
      <c r="P11985" s="50">
        <v>91.894500000000008</v>
      </c>
    </row>
    <row r="11986" spans="4:16" x14ac:dyDescent="0.2">
      <c r="D11986">
        <v>100007201</v>
      </c>
      <c r="E11986" s="49">
        <v>44602</v>
      </c>
      <c r="F11986" t="s">
        <v>7839</v>
      </c>
      <c r="G11986" t="s">
        <v>1902</v>
      </c>
      <c r="H11986">
        <v>1</v>
      </c>
      <c r="I11986">
        <v>35.96</v>
      </c>
      <c r="J11986" s="50">
        <v>35.96</v>
      </c>
      <c r="K11986" t="s">
        <v>1632</v>
      </c>
      <c r="M11986" t="s">
        <v>1621</v>
      </c>
      <c r="N11986">
        <v>18.98</v>
      </c>
      <c r="O11986" s="49">
        <v>44606</v>
      </c>
      <c r="P11986" s="50">
        <v>16.182000000000002</v>
      </c>
    </row>
    <row r="11987" spans="4:16" x14ac:dyDescent="0.2">
      <c r="D11987">
        <v>100007202</v>
      </c>
      <c r="E11987" s="49">
        <v>44222</v>
      </c>
      <c r="F11987" t="s">
        <v>7066</v>
      </c>
      <c r="G11987" t="s">
        <v>1696</v>
      </c>
      <c r="H11987">
        <v>8</v>
      </c>
      <c r="I11987">
        <v>12.56</v>
      </c>
      <c r="J11987" s="50">
        <v>100.48</v>
      </c>
      <c r="K11987" t="s">
        <v>1632</v>
      </c>
      <c r="M11987" t="s">
        <v>1621</v>
      </c>
      <c r="N11987">
        <v>6.63</v>
      </c>
      <c r="O11987" s="49">
        <v>44227</v>
      </c>
      <c r="P11987" s="50">
        <v>45.216000000000001</v>
      </c>
    </row>
    <row r="11988" spans="4:16" x14ac:dyDescent="0.2">
      <c r="D11988">
        <v>100007202</v>
      </c>
      <c r="E11988" s="49">
        <v>44431</v>
      </c>
      <c r="F11988" t="s">
        <v>7066</v>
      </c>
      <c r="G11988" t="s">
        <v>1973</v>
      </c>
      <c r="H11988">
        <v>6</v>
      </c>
      <c r="I11988">
        <v>111.71</v>
      </c>
      <c r="J11988" s="50">
        <v>670.26</v>
      </c>
      <c r="K11988" t="s">
        <v>1632</v>
      </c>
      <c r="M11988" t="s">
        <v>1629</v>
      </c>
      <c r="N11988">
        <v>58.96</v>
      </c>
      <c r="O11988" s="49">
        <v>44436</v>
      </c>
      <c r="P11988" s="50">
        <v>301.61700000000002</v>
      </c>
    </row>
    <row r="11989" spans="4:16" x14ac:dyDescent="0.2">
      <c r="D11989">
        <v>100007203</v>
      </c>
      <c r="E11989" s="49">
        <v>44589</v>
      </c>
      <c r="F11989" t="s">
        <v>7840</v>
      </c>
      <c r="G11989" t="s">
        <v>1910</v>
      </c>
      <c r="H11989">
        <v>4</v>
      </c>
      <c r="I11989">
        <v>20.55</v>
      </c>
      <c r="J11989" s="50">
        <v>82.2</v>
      </c>
      <c r="K11989" t="s">
        <v>1618</v>
      </c>
      <c r="M11989" t="s">
        <v>1629</v>
      </c>
      <c r="N11989">
        <v>10.85</v>
      </c>
      <c r="O11989" s="49">
        <v>44594</v>
      </c>
      <c r="P11989" s="50">
        <v>36.99</v>
      </c>
    </row>
    <row r="11990" spans="4:16" x14ac:dyDescent="0.2">
      <c r="D11990">
        <v>100007203</v>
      </c>
      <c r="E11990" s="49">
        <v>44508</v>
      </c>
      <c r="F11990" t="s">
        <v>7840</v>
      </c>
      <c r="G11990" t="s">
        <v>1639</v>
      </c>
      <c r="H11990">
        <v>3</v>
      </c>
      <c r="I11990">
        <v>30.57</v>
      </c>
      <c r="J11990" s="50">
        <v>91.710000000000008</v>
      </c>
      <c r="K11990" t="s">
        <v>1618</v>
      </c>
      <c r="M11990" t="s">
        <v>1621</v>
      </c>
      <c r="N11990">
        <v>16.13</v>
      </c>
      <c r="O11990" s="49">
        <v>44513</v>
      </c>
      <c r="P11990" s="50">
        <v>41.269500000000008</v>
      </c>
    </row>
    <row r="11991" spans="4:16" x14ac:dyDescent="0.2">
      <c r="D11991">
        <v>100007203</v>
      </c>
      <c r="E11991" s="49">
        <v>44344</v>
      </c>
      <c r="F11991" t="s">
        <v>7840</v>
      </c>
      <c r="G11991" t="s">
        <v>2155</v>
      </c>
      <c r="H11991">
        <v>6</v>
      </c>
      <c r="I11991">
        <v>104.04</v>
      </c>
      <c r="J11991" s="50">
        <v>624.24</v>
      </c>
      <c r="K11991" t="s">
        <v>1618</v>
      </c>
      <c r="M11991" t="s">
        <v>1629</v>
      </c>
      <c r="N11991">
        <v>54.91</v>
      </c>
      <c r="O11991" s="49">
        <v>44346</v>
      </c>
      <c r="P11991" s="50">
        <v>280.90800000000002</v>
      </c>
    </row>
    <row r="11992" spans="4:16" x14ac:dyDescent="0.2">
      <c r="D11992">
        <v>100007203</v>
      </c>
      <c r="E11992" s="49">
        <v>45332</v>
      </c>
      <c r="F11992" t="s">
        <v>7840</v>
      </c>
      <c r="G11992" t="s">
        <v>2159</v>
      </c>
      <c r="H11992">
        <v>8</v>
      </c>
      <c r="I11992">
        <v>45.86</v>
      </c>
      <c r="J11992" s="50">
        <v>366.88</v>
      </c>
      <c r="K11992" t="s">
        <v>1618</v>
      </c>
      <c r="M11992" t="s">
        <v>1621</v>
      </c>
      <c r="N11992">
        <v>24.2</v>
      </c>
      <c r="O11992" s="49">
        <v>45337</v>
      </c>
      <c r="P11992" s="50">
        <v>165.096</v>
      </c>
    </row>
    <row r="11993" spans="4:16" x14ac:dyDescent="0.2">
      <c r="D11993">
        <v>100007203</v>
      </c>
      <c r="E11993" s="49">
        <v>45133</v>
      </c>
      <c r="F11993" t="s">
        <v>7840</v>
      </c>
      <c r="G11993" t="s">
        <v>1859</v>
      </c>
      <c r="H11993">
        <v>4</v>
      </c>
      <c r="I11993">
        <v>91.87</v>
      </c>
      <c r="J11993" s="50">
        <v>367.48</v>
      </c>
      <c r="K11993" t="s">
        <v>1618</v>
      </c>
      <c r="M11993" t="s">
        <v>1624</v>
      </c>
      <c r="N11993">
        <v>48.49</v>
      </c>
      <c r="O11993" s="49">
        <v>45138</v>
      </c>
      <c r="P11993" s="50">
        <v>165.36600000000001</v>
      </c>
    </row>
    <row r="11994" spans="4:16" x14ac:dyDescent="0.2">
      <c r="D11994">
        <v>100007204</v>
      </c>
      <c r="E11994" s="49">
        <v>44330</v>
      </c>
      <c r="F11994" t="s">
        <v>7841</v>
      </c>
      <c r="G11994" t="s">
        <v>1838</v>
      </c>
      <c r="H11994">
        <v>9</v>
      </c>
      <c r="I11994">
        <v>41.48</v>
      </c>
      <c r="J11994" s="50">
        <v>373.32</v>
      </c>
      <c r="K11994" t="s">
        <v>1618</v>
      </c>
      <c r="L11994" t="s">
        <v>7842</v>
      </c>
      <c r="M11994" t="s">
        <v>1624</v>
      </c>
      <c r="N11994">
        <v>21.89</v>
      </c>
      <c r="O11994" s="49">
        <v>44333</v>
      </c>
      <c r="P11994" s="50">
        <v>167.994</v>
      </c>
    </row>
    <row r="11995" spans="4:16" x14ac:dyDescent="0.2">
      <c r="D11995">
        <v>100007204</v>
      </c>
      <c r="E11995" s="49">
        <v>45541</v>
      </c>
      <c r="F11995" t="s">
        <v>7841</v>
      </c>
      <c r="G11995" t="s">
        <v>1853</v>
      </c>
      <c r="H11995">
        <v>9</v>
      </c>
      <c r="I11995">
        <v>14.8</v>
      </c>
      <c r="J11995" s="50">
        <v>133.19999999999999</v>
      </c>
      <c r="K11995" t="s">
        <v>1618</v>
      </c>
      <c r="L11995" t="s">
        <v>7842</v>
      </c>
      <c r="M11995" t="s">
        <v>1627</v>
      </c>
      <c r="N11995">
        <v>7.81</v>
      </c>
      <c r="O11995" s="49">
        <v>45546</v>
      </c>
      <c r="P11995" s="50">
        <v>59.94</v>
      </c>
    </row>
    <row r="11996" spans="4:16" x14ac:dyDescent="0.2">
      <c r="D11996">
        <v>100007204</v>
      </c>
      <c r="E11996" s="49">
        <v>44544</v>
      </c>
      <c r="F11996" t="s">
        <v>7841</v>
      </c>
      <c r="G11996" t="s">
        <v>2484</v>
      </c>
      <c r="H11996">
        <v>6</v>
      </c>
      <c r="I11996">
        <v>68.92</v>
      </c>
      <c r="J11996" s="50">
        <v>413.52</v>
      </c>
      <c r="K11996" t="s">
        <v>1618</v>
      </c>
      <c r="L11996" t="s">
        <v>7842</v>
      </c>
      <c r="M11996" t="s">
        <v>1619</v>
      </c>
      <c r="N11996">
        <v>36.369999999999997</v>
      </c>
      <c r="O11996" s="49">
        <v>44547</v>
      </c>
      <c r="P11996" s="50">
        <v>186.084</v>
      </c>
    </row>
    <row r="11997" spans="4:16" x14ac:dyDescent="0.2">
      <c r="D11997">
        <v>100007205</v>
      </c>
      <c r="E11997" s="49">
        <v>44428</v>
      </c>
      <c r="F11997" t="s">
        <v>7843</v>
      </c>
      <c r="G11997" t="s">
        <v>1617</v>
      </c>
      <c r="H11997">
        <v>3</v>
      </c>
      <c r="I11997">
        <v>31.79</v>
      </c>
      <c r="J11997" s="50">
        <v>95.37</v>
      </c>
      <c r="K11997" t="s">
        <v>1618</v>
      </c>
      <c r="M11997" t="s">
        <v>1621</v>
      </c>
      <c r="N11997">
        <v>16.78</v>
      </c>
      <c r="O11997" s="49">
        <v>44430</v>
      </c>
      <c r="P11997" s="50">
        <v>42.916500000000006</v>
      </c>
    </row>
    <row r="11998" spans="4:16" x14ac:dyDescent="0.2">
      <c r="D11998">
        <v>100007205</v>
      </c>
      <c r="E11998" s="49">
        <v>45101</v>
      </c>
      <c r="F11998" t="s">
        <v>7843</v>
      </c>
      <c r="G11998" t="s">
        <v>2025</v>
      </c>
      <c r="H11998">
        <v>2</v>
      </c>
      <c r="I11998">
        <v>57.47</v>
      </c>
      <c r="J11998" s="50">
        <v>114.94</v>
      </c>
      <c r="K11998" t="s">
        <v>1618</v>
      </c>
      <c r="M11998" t="s">
        <v>1629</v>
      </c>
      <c r="N11998">
        <v>30.33</v>
      </c>
      <c r="O11998" s="49">
        <v>45105</v>
      </c>
      <c r="P11998" s="50">
        <v>51.722999999999999</v>
      </c>
    </row>
    <row r="11999" spans="4:16" x14ac:dyDescent="0.2">
      <c r="D11999">
        <v>100007205</v>
      </c>
      <c r="E11999" s="49">
        <v>44483</v>
      </c>
      <c r="F11999" t="s">
        <v>7843</v>
      </c>
      <c r="G11999" t="s">
        <v>1653</v>
      </c>
      <c r="H11999">
        <v>7</v>
      </c>
      <c r="I11999">
        <v>28.82</v>
      </c>
      <c r="J11999" s="50">
        <v>201.74</v>
      </c>
      <c r="K11999" t="s">
        <v>1618</v>
      </c>
      <c r="M11999" t="s">
        <v>1621</v>
      </c>
      <c r="N11999">
        <v>15.21</v>
      </c>
      <c r="O11999" s="49">
        <v>44485</v>
      </c>
      <c r="P11999" s="50">
        <v>90.783000000000001</v>
      </c>
    </row>
    <row r="12000" spans="4:16" x14ac:dyDescent="0.2">
      <c r="D12000">
        <v>100007205</v>
      </c>
      <c r="E12000" s="49">
        <v>44924</v>
      </c>
      <c r="F12000" t="s">
        <v>7843</v>
      </c>
      <c r="G12000" t="s">
        <v>1844</v>
      </c>
      <c r="H12000">
        <v>8</v>
      </c>
      <c r="I12000">
        <v>71.41</v>
      </c>
      <c r="J12000" s="50">
        <v>571.28</v>
      </c>
      <c r="K12000" t="s">
        <v>1618</v>
      </c>
      <c r="M12000" t="s">
        <v>1629</v>
      </c>
      <c r="N12000">
        <v>37.69</v>
      </c>
      <c r="O12000" s="49">
        <v>44925</v>
      </c>
      <c r="P12000" s="50">
        <v>257.07600000000002</v>
      </c>
    </row>
    <row r="12001" spans="4:16" x14ac:dyDescent="0.2">
      <c r="D12001">
        <v>100007205</v>
      </c>
      <c r="E12001" s="49">
        <v>44627</v>
      </c>
      <c r="F12001" t="s">
        <v>7843</v>
      </c>
      <c r="G12001" t="s">
        <v>2375</v>
      </c>
      <c r="H12001">
        <v>4</v>
      </c>
      <c r="I12001">
        <v>26.32</v>
      </c>
      <c r="J12001" s="50">
        <v>105.28</v>
      </c>
      <c r="K12001" t="s">
        <v>1618</v>
      </c>
      <c r="M12001" t="s">
        <v>1629</v>
      </c>
      <c r="N12001">
        <v>13.89</v>
      </c>
      <c r="O12001" s="49">
        <v>44630</v>
      </c>
      <c r="P12001" s="50">
        <v>47.376000000000005</v>
      </c>
    </row>
    <row r="12002" spans="4:16" x14ac:dyDescent="0.2">
      <c r="D12002">
        <v>100007205</v>
      </c>
      <c r="E12002" s="49">
        <v>45233</v>
      </c>
      <c r="F12002" t="s">
        <v>7843</v>
      </c>
      <c r="G12002" t="s">
        <v>1737</v>
      </c>
      <c r="H12002">
        <v>6</v>
      </c>
      <c r="I12002">
        <v>59.32</v>
      </c>
      <c r="J12002" s="50">
        <v>355.92</v>
      </c>
      <c r="K12002" t="s">
        <v>1618</v>
      </c>
      <c r="M12002" t="s">
        <v>1621</v>
      </c>
      <c r="N12002">
        <v>31.31</v>
      </c>
      <c r="O12002" s="49">
        <v>45238</v>
      </c>
      <c r="P12002" s="50">
        <v>160.16400000000002</v>
      </c>
    </row>
    <row r="12003" spans="4:16" x14ac:dyDescent="0.2">
      <c r="D12003">
        <v>100007205</v>
      </c>
      <c r="E12003" s="49">
        <v>44728</v>
      </c>
      <c r="F12003" t="s">
        <v>7843</v>
      </c>
      <c r="G12003" t="s">
        <v>2155</v>
      </c>
      <c r="H12003">
        <v>3</v>
      </c>
      <c r="I12003">
        <v>82.32</v>
      </c>
      <c r="J12003" s="50">
        <v>246.96</v>
      </c>
      <c r="K12003" t="s">
        <v>1618</v>
      </c>
      <c r="M12003" t="s">
        <v>1621</v>
      </c>
      <c r="N12003">
        <v>43.45</v>
      </c>
      <c r="O12003" s="49">
        <v>44730</v>
      </c>
      <c r="P12003" s="50">
        <v>111.13200000000001</v>
      </c>
    </row>
    <row r="12004" spans="4:16" x14ac:dyDescent="0.2">
      <c r="D12004">
        <v>100007206</v>
      </c>
      <c r="E12004" s="49">
        <v>44352</v>
      </c>
      <c r="F12004" t="s">
        <v>3470</v>
      </c>
      <c r="G12004" t="s">
        <v>1687</v>
      </c>
      <c r="H12004">
        <v>9</v>
      </c>
      <c r="I12004">
        <v>56.78</v>
      </c>
      <c r="J12004" s="50">
        <v>511.02</v>
      </c>
      <c r="K12004" t="s">
        <v>1618</v>
      </c>
      <c r="M12004" t="s">
        <v>1621</v>
      </c>
      <c r="N12004">
        <v>29.97</v>
      </c>
      <c r="O12004" s="49">
        <v>44353</v>
      </c>
      <c r="P12004" s="50">
        <v>229.959</v>
      </c>
    </row>
    <row r="12005" spans="4:16" x14ac:dyDescent="0.2">
      <c r="D12005">
        <v>100007207</v>
      </c>
      <c r="E12005" s="49">
        <v>44690</v>
      </c>
      <c r="F12005" t="s">
        <v>7844</v>
      </c>
      <c r="G12005" t="s">
        <v>2278</v>
      </c>
      <c r="H12005">
        <v>3</v>
      </c>
      <c r="I12005">
        <v>97.15</v>
      </c>
      <c r="J12005" s="50">
        <v>291.45</v>
      </c>
      <c r="K12005" t="s">
        <v>1632</v>
      </c>
      <c r="M12005" t="s">
        <v>1621</v>
      </c>
      <c r="N12005">
        <v>51.27</v>
      </c>
      <c r="O12005" s="49">
        <v>44692</v>
      </c>
      <c r="P12005" s="50">
        <v>131.1525</v>
      </c>
    </row>
    <row r="12006" spans="4:16" x14ac:dyDescent="0.2">
      <c r="D12006">
        <v>100007207</v>
      </c>
      <c r="E12006" s="49">
        <v>45068</v>
      </c>
      <c r="F12006" t="s">
        <v>7844</v>
      </c>
      <c r="G12006" t="s">
        <v>1737</v>
      </c>
      <c r="H12006">
        <v>8</v>
      </c>
      <c r="I12006">
        <v>102.2</v>
      </c>
      <c r="J12006" s="50">
        <v>817.6</v>
      </c>
      <c r="K12006" t="s">
        <v>1632</v>
      </c>
      <c r="M12006" t="s">
        <v>1621</v>
      </c>
      <c r="N12006">
        <v>53.94</v>
      </c>
      <c r="O12006" s="49">
        <v>45072</v>
      </c>
      <c r="P12006" s="50">
        <v>367.92</v>
      </c>
    </row>
    <row r="12007" spans="4:16" x14ac:dyDescent="0.2">
      <c r="D12007">
        <v>100007207</v>
      </c>
      <c r="E12007" s="49">
        <v>45169</v>
      </c>
      <c r="F12007" t="s">
        <v>7844</v>
      </c>
      <c r="G12007" t="s">
        <v>2159</v>
      </c>
      <c r="H12007">
        <v>4</v>
      </c>
      <c r="I12007">
        <v>24.25</v>
      </c>
      <c r="J12007" s="50">
        <v>97</v>
      </c>
      <c r="K12007" t="s">
        <v>1632</v>
      </c>
      <c r="M12007" t="s">
        <v>1621</v>
      </c>
      <c r="N12007">
        <v>12.8</v>
      </c>
      <c r="O12007" s="49">
        <v>45172</v>
      </c>
      <c r="P12007" s="50">
        <v>43.65</v>
      </c>
    </row>
    <row r="12008" spans="4:16" x14ac:dyDescent="0.2">
      <c r="D12008">
        <v>100007207</v>
      </c>
      <c r="E12008" s="49">
        <v>44301</v>
      </c>
      <c r="F12008" t="s">
        <v>7844</v>
      </c>
      <c r="G12008" t="s">
        <v>1877</v>
      </c>
      <c r="H12008">
        <v>8</v>
      </c>
      <c r="I12008">
        <v>47.45</v>
      </c>
      <c r="J12008" s="50">
        <v>379.6</v>
      </c>
      <c r="K12008" t="s">
        <v>1632</v>
      </c>
      <c r="M12008" t="s">
        <v>1621</v>
      </c>
      <c r="N12008">
        <v>25.04</v>
      </c>
      <c r="O12008" s="49">
        <v>44305</v>
      </c>
      <c r="P12008" s="50">
        <v>170.82000000000002</v>
      </c>
    </row>
    <row r="12009" spans="4:16" x14ac:dyDescent="0.2">
      <c r="D12009">
        <v>100007207</v>
      </c>
      <c r="E12009" s="49">
        <v>44557</v>
      </c>
      <c r="F12009" t="s">
        <v>7844</v>
      </c>
      <c r="G12009" t="s">
        <v>1722</v>
      </c>
      <c r="H12009">
        <v>10</v>
      </c>
      <c r="I12009">
        <v>91.28</v>
      </c>
      <c r="J12009" s="50">
        <v>912.8</v>
      </c>
      <c r="K12009" t="s">
        <v>1632</v>
      </c>
      <c r="M12009" t="s">
        <v>1627</v>
      </c>
      <c r="N12009">
        <v>48.18</v>
      </c>
      <c r="O12009" s="49">
        <v>44560</v>
      </c>
      <c r="P12009" s="50">
        <v>410.76</v>
      </c>
    </row>
    <row r="12010" spans="4:16" x14ac:dyDescent="0.2">
      <c r="D12010">
        <v>100007208</v>
      </c>
      <c r="E12010" s="49">
        <v>45327</v>
      </c>
      <c r="F12010" t="s">
        <v>7845</v>
      </c>
      <c r="G12010" t="s">
        <v>2628</v>
      </c>
      <c r="H12010">
        <v>2</v>
      </c>
      <c r="I12010">
        <v>105.97</v>
      </c>
      <c r="J12010" s="50">
        <v>211.94</v>
      </c>
      <c r="K12010" t="s">
        <v>1632</v>
      </c>
      <c r="M12010" t="s">
        <v>1621</v>
      </c>
      <c r="N12010">
        <v>55.93</v>
      </c>
      <c r="O12010" s="49">
        <v>45331</v>
      </c>
      <c r="P12010" s="50">
        <v>95.373000000000005</v>
      </c>
    </row>
    <row r="12011" spans="4:16" x14ac:dyDescent="0.2">
      <c r="D12011">
        <v>100007209</v>
      </c>
      <c r="E12011" s="49">
        <v>44970</v>
      </c>
      <c r="F12011" t="s">
        <v>7846</v>
      </c>
      <c r="G12011" t="s">
        <v>1973</v>
      </c>
      <c r="H12011">
        <v>8</v>
      </c>
      <c r="I12011">
        <v>53.78</v>
      </c>
      <c r="J12011" s="50">
        <v>430.24</v>
      </c>
      <c r="K12011" t="s">
        <v>1618</v>
      </c>
      <c r="M12011" t="s">
        <v>1629</v>
      </c>
      <c r="N12011">
        <v>28.38</v>
      </c>
      <c r="O12011" s="49">
        <v>44974</v>
      </c>
      <c r="P12011" s="50">
        <v>193.608</v>
      </c>
    </row>
    <row r="12012" spans="4:16" x14ac:dyDescent="0.2">
      <c r="D12012">
        <v>100007210</v>
      </c>
      <c r="E12012" s="49">
        <v>44298</v>
      </c>
      <c r="F12012" t="s">
        <v>5858</v>
      </c>
      <c r="G12012" t="s">
        <v>1690</v>
      </c>
      <c r="H12012">
        <v>2</v>
      </c>
      <c r="I12012">
        <v>100.86</v>
      </c>
      <c r="J12012" s="50">
        <v>201.72</v>
      </c>
      <c r="K12012" t="s">
        <v>1618</v>
      </c>
      <c r="M12012" t="s">
        <v>1629</v>
      </c>
      <c r="N12012">
        <v>53.23</v>
      </c>
      <c r="O12012" s="49">
        <v>44301</v>
      </c>
      <c r="P12012" s="50">
        <v>90.774000000000001</v>
      </c>
    </row>
    <row r="12013" spans="4:16" x14ac:dyDescent="0.2">
      <c r="D12013">
        <v>100007211</v>
      </c>
      <c r="E12013" s="49">
        <v>44669</v>
      </c>
      <c r="F12013" t="s">
        <v>7847</v>
      </c>
      <c r="G12013" t="s">
        <v>1987</v>
      </c>
      <c r="H12013">
        <v>6</v>
      </c>
      <c r="I12013">
        <v>91.53</v>
      </c>
      <c r="J12013" s="50">
        <v>549.18000000000006</v>
      </c>
      <c r="K12013" t="s">
        <v>1618</v>
      </c>
      <c r="M12013" t="s">
        <v>1627</v>
      </c>
      <c r="N12013">
        <v>48.31</v>
      </c>
      <c r="O12013" s="49">
        <v>44672</v>
      </c>
      <c r="P12013" s="50">
        <v>247.13100000000003</v>
      </c>
    </row>
    <row r="12014" spans="4:16" x14ac:dyDescent="0.2">
      <c r="D12014">
        <v>100007211</v>
      </c>
      <c r="E12014" s="49">
        <v>44682</v>
      </c>
      <c r="F12014" t="s">
        <v>7847</v>
      </c>
      <c r="G12014" t="s">
        <v>1985</v>
      </c>
      <c r="H12014">
        <v>4</v>
      </c>
      <c r="I12014">
        <v>112.22</v>
      </c>
      <c r="J12014" s="50">
        <v>448.88</v>
      </c>
      <c r="K12014" t="s">
        <v>1618</v>
      </c>
      <c r="M12014" t="s">
        <v>1619</v>
      </c>
      <c r="N12014">
        <v>59.23</v>
      </c>
      <c r="O12014" s="49">
        <v>44683</v>
      </c>
      <c r="P12014" s="50">
        <v>201.99600000000001</v>
      </c>
    </row>
    <row r="12015" spans="4:16" x14ac:dyDescent="0.2">
      <c r="D12015">
        <v>100007211</v>
      </c>
      <c r="E12015" s="49">
        <v>44319</v>
      </c>
      <c r="F12015" t="s">
        <v>7847</v>
      </c>
      <c r="G12015" t="s">
        <v>1664</v>
      </c>
      <c r="H12015">
        <v>7</v>
      </c>
      <c r="I12015">
        <v>13.34</v>
      </c>
      <c r="J12015" s="50">
        <v>93.38</v>
      </c>
      <c r="K12015" t="s">
        <v>1618</v>
      </c>
      <c r="M12015" t="s">
        <v>1624</v>
      </c>
      <c r="N12015">
        <v>7.04</v>
      </c>
      <c r="O12015" s="49">
        <v>44324</v>
      </c>
      <c r="P12015" s="50">
        <v>42.021000000000001</v>
      </c>
    </row>
    <row r="12016" spans="4:16" x14ac:dyDescent="0.2">
      <c r="D12016">
        <v>100007212</v>
      </c>
      <c r="E12016" s="49">
        <v>44686</v>
      </c>
      <c r="F12016" t="s">
        <v>7848</v>
      </c>
      <c r="G12016" t="s">
        <v>1702</v>
      </c>
      <c r="H12016">
        <v>10</v>
      </c>
      <c r="I12016">
        <v>63.2</v>
      </c>
      <c r="J12016" s="50">
        <v>632</v>
      </c>
      <c r="K12016" t="s">
        <v>1618</v>
      </c>
      <c r="L12016" t="s">
        <v>7849</v>
      </c>
      <c r="M12016" t="s">
        <v>1624</v>
      </c>
      <c r="N12016">
        <v>33.36</v>
      </c>
      <c r="O12016" s="49">
        <v>44688</v>
      </c>
      <c r="P12016" s="50">
        <v>284.40000000000003</v>
      </c>
    </row>
    <row r="12017" spans="4:16" x14ac:dyDescent="0.2">
      <c r="D12017">
        <v>100007213</v>
      </c>
      <c r="E12017" s="49">
        <v>44597</v>
      </c>
      <c r="F12017" t="s">
        <v>7850</v>
      </c>
      <c r="G12017" t="s">
        <v>1910</v>
      </c>
      <c r="H12017">
        <v>8</v>
      </c>
      <c r="I12017">
        <v>75.22</v>
      </c>
      <c r="J12017" s="50">
        <v>601.76</v>
      </c>
      <c r="K12017" t="s">
        <v>1618</v>
      </c>
      <c r="M12017" t="s">
        <v>1624</v>
      </c>
      <c r="N12017">
        <v>39.700000000000003</v>
      </c>
      <c r="O12017" s="49">
        <v>44600</v>
      </c>
      <c r="P12017" s="50">
        <v>270.79200000000003</v>
      </c>
    </row>
    <row r="12018" spans="4:16" x14ac:dyDescent="0.2">
      <c r="D12018">
        <v>100007214</v>
      </c>
      <c r="E12018" s="49">
        <v>45540</v>
      </c>
      <c r="F12018" t="s">
        <v>7851</v>
      </c>
      <c r="G12018" t="s">
        <v>2116</v>
      </c>
      <c r="H12018">
        <v>4</v>
      </c>
      <c r="I12018">
        <v>22.8</v>
      </c>
      <c r="J12018" s="50">
        <v>91.2</v>
      </c>
      <c r="K12018" t="s">
        <v>1618</v>
      </c>
      <c r="M12018" t="s">
        <v>1621</v>
      </c>
      <c r="N12018">
        <v>12.03</v>
      </c>
      <c r="O12018" s="49">
        <v>45544</v>
      </c>
      <c r="P12018" s="50">
        <v>41.04</v>
      </c>
    </row>
    <row r="12019" spans="4:16" x14ac:dyDescent="0.2">
      <c r="D12019">
        <v>100007215</v>
      </c>
      <c r="E12019" s="49">
        <v>45453</v>
      </c>
      <c r="F12019" t="s">
        <v>7852</v>
      </c>
      <c r="G12019" t="s">
        <v>2025</v>
      </c>
      <c r="H12019">
        <v>6</v>
      </c>
      <c r="I12019">
        <v>26.77</v>
      </c>
      <c r="J12019" s="50">
        <v>160.62</v>
      </c>
      <c r="K12019" t="s">
        <v>1618</v>
      </c>
      <c r="M12019" t="s">
        <v>1629</v>
      </c>
      <c r="N12019">
        <v>14.13</v>
      </c>
      <c r="O12019" s="49">
        <v>45455</v>
      </c>
      <c r="P12019" s="50">
        <v>72.279000000000011</v>
      </c>
    </row>
    <row r="12020" spans="4:16" x14ac:dyDescent="0.2">
      <c r="D12020">
        <v>100007216</v>
      </c>
      <c r="E12020" s="49">
        <v>45041</v>
      </c>
      <c r="F12020" t="s">
        <v>7853</v>
      </c>
      <c r="G12020" t="s">
        <v>3075</v>
      </c>
      <c r="H12020">
        <v>7</v>
      </c>
      <c r="I12020">
        <v>34.01</v>
      </c>
      <c r="J12020" s="50">
        <v>238.07</v>
      </c>
      <c r="K12020" t="s">
        <v>1618</v>
      </c>
      <c r="M12020" t="s">
        <v>1627</v>
      </c>
      <c r="N12020">
        <v>17.95</v>
      </c>
      <c r="O12020" s="49">
        <v>45042</v>
      </c>
      <c r="P12020" s="50">
        <v>107.1315</v>
      </c>
    </row>
    <row r="12021" spans="4:16" x14ac:dyDescent="0.2">
      <c r="D12021">
        <v>100007216</v>
      </c>
      <c r="E12021" s="49">
        <v>44240</v>
      </c>
      <c r="F12021" t="s">
        <v>7853</v>
      </c>
      <c r="G12021" t="s">
        <v>1736</v>
      </c>
      <c r="H12021">
        <v>4</v>
      </c>
      <c r="I12021">
        <v>26.36</v>
      </c>
      <c r="J12021" s="50">
        <v>105.44</v>
      </c>
      <c r="K12021" t="s">
        <v>1618</v>
      </c>
      <c r="M12021" t="s">
        <v>1621</v>
      </c>
      <c r="N12021">
        <v>13.91</v>
      </c>
      <c r="O12021" s="49">
        <v>44242</v>
      </c>
      <c r="P12021" s="50">
        <v>47.448</v>
      </c>
    </row>
    <row r="12022" spans="4:16" x14ac:dyDescent="0.2">
      <c r="D12022">
        <v>100007216</v>
      </c>
      <c r="E12022" s="49">
        <v>45504</v>
      </c>
      <c r="F12022" t="s">
        <v>7853</v>
      </c>
      <c r="G12022" t="s">
        <v>1945</v>
      </c>
      <c r="H12022">
        <v>6</v>
      </c>
      <c r="I12022">
        <v>10.71</v>
      </c>
      <c r="J12022" s="50">
        <v>64.260000000000005</v>
      </c>
      <c r="K12022" t="s">
        <v>1618</v>
      </c>
      <c r="M12022" t="s">
        <v>1624</v>
      </c>
      <c r="N12022">
        <v>5.65</v>
      </c>
      <c r="O12022" s="49">
        <v>45505</v>
      </c>
      <c r="P12022" s="50">
        <v>28.917000000000002</v>
      </c>
    </row>
    <row r="12023" spans="4:16" x14ac:dyDescent="0.2">
      <c r="D12023">
        <v>100007217</v>
      </c>
      <c r="E12023" s="49">
        <v>44935</v>
      </c>
      <c r="F12023" t="s">
        <v>7854</v>
      </c>
      <c r="G12023" t="s">
        <v>1727</v>
      </c>
      <c r="H12023">
        <v>6</v>
      </c>
      <c r="I12023">
        <v>49.76</v>
      </c>
      <c r="J12023" s="50">
        <v>298.56</v>
      </c>
      <c r="K12023" t="s">
        <v>1618</v>
      </c>
      <c r="M12023" t="s">
        <v>1624</v>
      </c>
      <c r="N12023">
        <v>26.26</v>
      </c>
      <c r="O12023" s="49">
        <v>44936</v>
      </c>
      <c r="P12023" s="50">
        <v>134.352</v>
      </c>
    </row>
    <row r="12024" spans="4:16" x14ac:dyDescent="0.2">
      <c r="D12024">
        <v>100007218</v>
      </c>
      <c r="E12024" s="49">
        <v>45416</v>
      </c>
      <c r="F12024" t="s">
        <v>7855</v>
      </c>
      <c r="G12024" t="s">
        <v>1948</v>
      </c>
      <c r="H12024">
        <v>5</v>
      </c>
      <c r="I12024">
        <v>75.59</v>
      </c>
      <c r="J12024" s="50">
        <v>377.95</v>
      </c>
      <c r="K12024" t="s">
        <v>1632</v>
      </c>
      <c r="M12024" t="s">
        <v>1627</v>
      </c>
      <c r="N12024">
        <v>39.89</v>
      </c>
      <c r="O12024" s="49">
        <v>45419</v>
      </c>
      <c r="P12024" s="50">
        <v>170.07749999999999</v>
      </c>
    </row>
    <row r="12025" spans="4:16" x14ac:dyDescent="0.2">
      <c r="D12025">
        <v>100007218</v>
      </c>
      <c r="E12025" s="49">
        <v>44610</v>
      </c>
      <c r="F12025" t="s">
        <v>7855</v>
      </c>
      <c r="G12025" t="s">
        <v>1720</v>
      </c>
      <c r="H12025">
        <v>1</v>
      </c>
      <c r="I12025">
        <v>57.81</v>
      </c>
      <c r="J12025" s="50">
        <v>57.81</v>
      </c>
      <c r="K12025" t="s">
        <v>1632</v>
      </c>
      <c r="M12025" t="s">
        <v>1619</v>
      </c>
      <c r="N12025">
        <v>30.51</v>
      </c>
      <c r="O12025" s="49">
        <v>44612</v>
      </c>
      <c r="P12025" s="50">
        <v>26.014500000000002</v>
      </c>
    </row>
    <row r="12026" spans="4:16" x14ac:dyDescent="0.2">
      <c r="D12026">
        <v>100007219</v>
      </c>
      <c r="E12026" s="49">
        <v>44766</v>
      </c>
      <c r="F12026" t="s">
        <v>7856</v>
      </c>
      <c r="G12026" t="s">
        <v>2553</v>
      </c>
      <c r="H12026">
        <v>3</v>
      </c>
      <c r="I12026">
        <v>66.819999999999993</v>
      </c>
      <c r="J12026" s="50">
        <v>200.46</v>
      </c>
      <c r="K12026" t="s">
        <v>1632</v>
      </c>
      <c r="L12026" t="s">
        <v>7857</v>
      </c>
      <c r="M12026" t="s">
        <v>1621</v>
      </c>
      <c r="N12026">
        <v>35.270000000000003</v>
      </c>
      <c r="O12026" s="49">
        <v>44769</v>
      </c>
      <c r="P12026" s="50">
        <v>90.207000000000008</v>
      </c>
    </row>
    <row r="12027" spans="4:16" x14ac:dyDescent="0.2">
      <c r="D12027">
        <v>100007219</v>
      </c>
      <c r="E12027" s="49">
        <v>44232</v>
      </c>
      <c r="F12027" t="s">
        <v>7856</v>
      </c>
      <c r="G12027" t="s">
        <v>2485</v>
      </c>
      <c r="H12027">
        <v>2</v>
      </c>
      <c r="I12027">
        <v>18.47</v>
      </c>
      <c r="J12027" s="50">
        <v>36.94</v>
      </c>
      <c r="K12027" t="s">
        <v>1632</v>
      </c>
      <c r="L12027" t="s">
        <v>7857</v>
      </c>
      <c r="M12027" t="s">
        <v>1621</v>
      </c>
      <c r="N12027">
        <v>9.75</v>
      </c>
      <c r="O12027" s="49">
        <v>44236</v>
      </c>
      <c r="P12027" s="50">
        <v>16.623000000000001</v>
      </c>
    </row>
    <row r="12028" spans="4:16" x14ac:dyDescent="0.2">
      <c r="D12028">
        <v>100007222</v>
      </c>
      <c r="E12028" s="49">
        <v>44433</v>
      </c>
      <c r="F12028" t="s">
        <v>7858</v>
      </c>
      <c r="G12028" t="s">
        <v>1760</v>
      </c>
      <c r="H12028">
        <v>10</v>
      </c>
      <c r="I12028">
        <v>73.45</v>
      </c>
      <c r="J12028" s="50">
        <v>734.5</v>
      </c>
      <c r="K12028" t="s">
        <v>1618</v>
      </c>
      <c r="M12028" t="s">
        <v>1627</v>
      </c>
      <c r="N12028">
        <v>38.76</v>
      </c>
      <c r="O12028" s="49">
        <v>44437</v>
      </c>
      <c r="P12028" s="50">
        <v>330.52500000000003</v>
      </c>
    </row>
    <row r="12029" spans="4:16" x14ac:dyDescent="0.2">
      <c r="D12029">
        <v>100007222</v>
      </c>
      <c r="E12029" s="49">
        <v>45246</v>
      </c>
      <c r="F12029" t="s">
        <v>7858</v>
      </c>
      <c r="G12029" t="s">
        <v>2571</v>
      </c>
      <c r="H12029">
        <v>7</v>
      </c>
      <c r="I12029">
        <v>83.15</v>
      </c>
      <c r="J12029" s="50">
        <v>582.05000000000007</v>
      </c>
      <c r="K12029" t="s">
        <v>1618</v>
      </c>
      <c r="M12029" t="s">
        <v>1624</v>
      </c>
      <c r="N12029">
        <v>43.88</v>
      </c>
      <c r="O12029" s="49">
        <v>45250</v>
      </c>
      <c r="P12029" s="50">
        <v>261.92250000000001</v>
      </c>
    </row>
    <row r="12030" spans="4:16" x14ac:dyDescent="0.2">
      <c r="D12030">
        <v>100007223</v>
      </c>
      <c r="E12030" s="49">
        <v>45432</v>
      </c>
      <c r="F12030" t="s">
        <v>7859</v>
      </c>
      <c r="G12030" t="s">
        <v>2050</v>
      </c>
      <c r="H12030">
        <v>9</v>
      </c>
      <c r="I12030">
        <v>11.6</v>
      </c>
      <c r="J12030" s="50">
        <v>104.4</v>
      </c>
      <c r="K12030" t="s">
        <v>1618</v>
      </c>
      <c r="M12030" t="s">
        <v>1619</v>
      </c>
      <c r="N12030">
        <v>6.12</v>
      </c>
      <c r="O12030" s="49">
        <v>45437</v>
      </c>
      <c r="P12030" s="50">
        <v>46.980000000000004</v>
      </c>
    </row>
    <row r="12031" spans="4:16" x14ac:dyDescent="0.2">
      <c r="D12031">
        <v>100007223</v>
      </c>
      <c r="E12031" s="49">
        <v>44213</v>
      </c>
      <c r="F12031" t="s">
        <v>7859</v>
      </c>
      <c r="G12031" t="s">
        <v>1901</v>
      </c>
      <c r="H12031">
        <v>9</v>
      </c>
      <c r="I12031">
        <v>87.15</v>
      </c>
      <c r="J12031" s="50">
        <v>784.35</v>
      </c>
      <c r="K12031" t="s">
        <v>1618</v>
      </c>
      <c r="M12031" t="s">
        <v>1629</v>
      </c>
      <c r="N12031">
        <v>46</v>
      </c>
      <c r="O12031" s="49">
        <v>44215</v>
      </c>
      <c r="P12031" s="50">
        <v>352.95750000000004</v>
      </c>
    </row>
    <row r="12032" spans="4:16" x14ac:dyDescent="0.2">
      <c r="D12032">
        <v>100007223</v>
      </c>
      <c r="E12032" s="49">
        <v>44395</v>
      </c>
      <c r="F12032" t="s">
        <v>7859</v>
      </c>
      <c r="G12032" t="s">
        <v>2217</v>
      </c>
      <c r="H12032">
        <v>2</v>
      </c>
      <c r="I12032">
        <v>96.83</v>
      </c>
      <c r="J12032" s="50">
        <v>193.66</v>
      </c>
      <c r="K12032" t="s">
        <v>1618</v>
      </c>
      <c r="M12032" t="s">
        <v>1629</v>
      </c>
      <c r="N12032">
        <v>51.1</v>
      </c>
      <c r="O12032" s="49">
        <v>44400</v>
      </c>
      <c r="P12032" s="50">
        <v>87.147000000000006</v>
      </c>
    </row>
    <row r="12033" spans="4:16" x14ac:dyDescent="0.2">
      <c r="D12033">
        <v>100007225</v>
      </c>
      <c r="E12033" s="49">
        <v>44501</v>
      </c>
      <c r="F12033" t="s">
        <v>7860</v>
      </c>
      <c r="G12033" t="s">
        <v>1851</v>
      </c>
      <c r="H12033">
        <v>7</v>
      </c>
      <c r="I12033">
        <v>62.58</v>
      </c>
      <c r="J12033" s="50">
        <v>438.06</v>
      </c>
      <c r="K12033" t="s">
        <v>1618</v>
      </c>
      <c r="M12033" t="s">
        <v>1629</v>
      </c>
      <c r="N12033">
        <v>33.03</v>
      </c>
      <c r="O12033" s="49">
        <v>44504</v>
      </c>
      <c r="P12033" s="50">
        <v>197.12700000000001</v>
      </c>
    </row>
    <row r="12034" spans="4:16" x14ac:dyDescent="0.2">
      <c r="D12034">
        <v>100007225</v>
      </c>
      <c r="E12034" s="49">
        <v>44229</v>
      </c>
      <c r="F12034" t="s">
        <v>7860</v>
      </c>
      <c r="G12034" t="s">
        <v>2465</v>
      </c>
      <c r="H12034">
        <v>7</v>
      </c>
      <c r="I12034">
        <v>44.46</v>
      </c>
      <c r="J12034" s="50">
        <v>311.22000000000003</v>
      </c>
      <c r="K12034" t="s">
        <v>1618</v>
      </c>
      <c r="M12034" t="s">
        <v>1619</v>
      </c>
      <c r="N12034">
        <v>23.46</v>
      </c>
      <c r="O12034" s="49">
        <v>44233</v>
      </c>
      <c r="P12034" s="50">
        <v>140.04900000000001</v>
      </c>
    </row>
    <row r="12035" spans="4:16" x14ac:dyDescent="0.2">
      <c r="D12035">
        <v>100007225</v>
      </c>
      <c r="E12035" s="49">
        <v>45196</v>
      </c>
      <c r="F12035" t="s">
        <v>7860</v>
      </c>
      <c r="G12035" t="s">
        <v>1714</v>
      </c>
      <c r="H12035">
        <v>8</v>
      </c>
      <c r="I12035">
        <v>118.38</v>
      </c>
      <c r="J12035" s="50">
        <v>947.04</v>
      </c>
      <c r="K12035" t="s">
        <v>1618</v>
      </c>
      <c r="M12035" t="s">
        <v>1627</v>
      </c>
      <c r="N12035">
        <v>62.48</v>
      </c>
      <c r="O12035" s="49">
        <v>45199</v>
      </c>
      <c r="P12035" s="50">
        <v>426.16800000000001</v>
      </c>
    </row>
    <row r="12036" spans="4:16" x14ac:dyDescent="0.2">
      <c r="D12036">
        <v>100007225</v>
      </c>
      <c r="E12036" s="49">
        <v>44216</v>
      </c>
      <c r="F12036" t="s">
        <v>7860</v>
      </c>
      <c r="G12036" t="s">
        <v>2301</v>
      </c>
      <c r="H12036">
        <v>9</v>
      </c>
      <c r="I12036">
        <v>17.149999999999999</v>
      </c>
      <c r="J12036" s="50">
        <v>154.35</v>
      </c>
      <c r="K12036" t="s">
        <v>1618</v>
      </c>
      <c r="M12036" t="s">
        <v>1629</v>
      </c>
      <c r="N12036">
        <v>9.0500000000000007</v>
      </c>
      <c r="O12036" s="49">
        <v>44217</v>
      </c>
      <c r="P12036" s="50">
        <v>69.457499999999996</v>
      </c>
    </row>
    <row r="12037" spans="4:16" x14ac:dyDescent="0.2">
      <c r="D12037">
        <v>100007226</v>
      </c>
      <c r="E12037" s="49">
        <v>44495</v>
      </c>
      <c r="F12037" t="s">
        <v>7861</v>
      </c>
      <c r="G12037" t="s">
        <v>1913</v>
      </c>
      <c r="H12037">
        <v>9</v>
      </c>
      <c r="I12037">
        <v>77.72</v>
      </c>
      <c r="J12037" s="50">
        <v>699.48</v>
      </c>
      <c r="K12037" t="s">
        <v>1632</v>
      </c>
      <c r="M12037" t="s">
        <v>1621</v>
      </c>
      <c r="N12037">
        <v>41.02</v>
      </c>
      <c r="O12037" s="49">
        <v>44499</v>
      </c>
      <c r="P12037" s="50">
        <v>314.76600000000002</v>
      </c>
    </row>
    <row r="12038" spans="4:16" x14ac:dyDescent="0.2">
      <c r="D12038">
        <v>100007229</v>
      </c>
      <c r="E12038" s="49">
        <v>45218</v>
      </c>
      <c r="F12038" t="s">
        <v>7862</v>
      </c>
      <c r="G12038" t="s">
        <v>1767</v>
      </c>
      <c r="H12038">
        <v>2</v>
      </c>
      <c r="I12038">
        <v>95.35</v>
      </c>
      <c r="J12038" s="50">
        <v>190.7</v>
      </c>
      <c r="K12038" t="s">
        <v>1618</v>
      </c>
      <c r="M12038" t="s">
        <v>1619</v>
      </c>
      <c r="N12038">
        <v>50.32</v>
      </c>
      <c r="O12038" s="49">
        <v>45221</v>
      </c>
      <c r="P12038" s="50">
        <v>85.814999999999998</v>
      </c>
    </row>
    <row r="12039" spans="4:16" x14ac:dyDescent="0.2">
      <c r="D12039">
        <v>100007229</v>
      </c>
      <c r="E12039" s="49">
        <v>45034</v>
      </c>
      <c r="F12039" t="s">
        <v>7862</v>
      </c>
      <c r="G12039" t="s">
        <v>2692</v>
      </c>
      <c r="H12039">
        <v>1</v>
      </c>
      <c r="I12039">
        <v>62.5</v>
      </c>
      <c r="J12039" s="50">
        <v>62.5</v>
      </c>
      <c r="K12039" t="s">
        <v>1618</v>
      </c>
      <c r="M12039" t="s">
        <v>1627</v>
      </c>
      <c r="N12039">
        <v>32.99</v>
      </c>
      <c r="O12039" s="49">
        <v>45038</v>
      </c>
      <c r="P12039" s="50">
        <v>28.125</v>
      </c>
    </row>
    <row r="12040" spans="4:16" x14ac:dyDescent="0.2">
      <c r="D12040">
        <v>100007229</v>
      </c>
      <c r="E12040" s="49">
        <v>45387</v>
      </c>
      <c r="F12040" t="s">
        <v>7862</v>
      </c>
      <c r="G12040" t="s">
        <v>1838</v>
      </c>
      <c r="H12040">
        <v>5</v>
      </c>
      <c r="I12040">
        <v>74.8</v>
      </c>
      <c r="J12040" s="50">
        <v>374</v>
      </c>
      <c r="K12040" t="s">
        <v>1618</v>
      </c>
      <c r="M12040" t="s">
        <v>1621</v>
      </c>
      <c r="N12040">
        <v>39.479999999999997</v>
      </c>
      <c r="O12040" s="49">
        <v>45391</v>
      </c>
      <c r="P12040" s="50">
        <v>168.3</v>
      </c>
    </row>
    <row r="12041" spans="4:16" x14ac:dyDescent="0.2">
      <c r="D12041">
        <v>100007229</v>
      </c>
      <c r="E12041" s="49">
        <v>45144</v>
      </c>
      <c r="F12041" t="s">
        <v>7862</v>
      </c>
      <c r="G12041" t="s">
        <v>1897</v>
      </c>
      <c r="H12041">
        <v>7</v>
      </c>
      <c r="I12041">
        <v>27.12</v>
      </c>
      <c r="J12041" s="50">
        <v>189.84</v>
      </c>
      <c r="K12041" t="s">
        <v>1618</v>
      </c>
      <c r="M12041" t="s">
        <v>1621</v>
      </c>
      <c r="N12041">
        <v>14.31</v>
      </c>
      <c r="O12041" s="49">
        <v>45148</v>
      </c>
      <c r="P12041" s="50">
        <v>85.427999999999997</v>
      </c>
    </row>
    <row r="12042" spans="4:16" x14ac:dyDescent="0.2">
      <c r="D12042">
        <v>100007231</v>
      </c>
      <c r="E12042" s="49">
        <v>44935</v>
      </c>
      <c r="F12042" t="s">
        <v>7863</v>
      </c>
      <c r="G12042" t="s">
        <v>2060</v>
      </c>
      <c r="H12042">
        <v>3</v>
      </c>
      <c r="I12042">
        <v>101.78</v>
      </c>
      <c r="J12042" s="50">
        <v>305.33999999999997</v>
      </c>
      <c r="K12042" t="s">
        <v>1618</v>
      </c>
      <c r="L12042" t="s">
        <v>2974</v>
      </c>
      <c r="M12042" t="s">
        <v>1629</v>
      </c>
      <c r="N12042">
        <v>53.72</v>
      </c>
      <c r="O12042" s="49">
        <v>44939</v>
      </c>
      <c r="P12042" s="50">
        <v>137.40299999999999</v>
      </c>
    </row>
    <row r="12043" spans="4:16" x14ac:dyDescent="0.2">
      <c r="D12043">
        <v>100007233</v>
      </c>
      <c r="E12043" s="49">
        <v>45374</v>
      </c>
      <c r="F12043" t="s">
        <v>7864</v>
      </c>
      <c r="G12043" t="s">
        <v>1904</v>
      </c>
      <c r="H12043">
        <v>8</v>
      </c>
      <c r="I12043">
        <v>75.17</v>
      </c>
      <c r="J12043" s="50">
        <v>601.36</v>
      </c>
      <c r="K12043" t="s">
        <v>1618</v>
      </c>
      <c r="L12043" t="s">
        <v>3774</v>
      </c>
      <c r="M12043" t="s">
        <v>1629</v>
      </c>
      <c r="N12043">
        <v>39.67</v>
      </c>
      <c r="O12043" s="49">
        <v>45376</v>
      </c>
      <c r="P12043" s="50">
        <v>270.61200000000002</v>
      </c>
    </row>
    <row r="12044" spans="4:16" x14ac:dyDescent="0.2">
      <c r="D12044">
        <v>100007234</v>
      </c>
      <c r="E12044" s="49">
        <v>44267</v>
      </c>
      <c r="F12044" t="s">
        <v>7865</v>
      </c>
      <c r="G12044" t="s">
        <v>1902</v>
      </c>
      <c r="H12044">
        <v>6</v>
      </c>
      <c r="I12044">
        <v>20.9</v>
      </c>
      <c r="J12044" s="50">
        <v>125.4</v>
      </c>
      <c r="K12044" t="s">
        <v>1632</v>
      </c>
      <c r="M12044" t="s">
        <v>1619</v>
      </c>
      <c r="N12044">
        <v>11.03</v>
      </c>
      <c r="O12044" s="49">
        <v>44271</v>
      </c>
      <c r="P12044" s="50">
        <v>56.430000000000007</v>
      </c>
    </row>
    <row r="12045" spans="4:16" x14ac:dyDescent="0.2">
      <c r="D12045">
        <v>100007234</v>
      </c>
      <c r="E12045" s="49">
        <v>45329</v>
      </c>
      <c r="F12045" t="s">
        <v>7865</v>
      </c>
      <c r="G12045" t="s">
        <v>1697</v>
      </c>
      <c r="H12045">
        <v>3</v>
      </c>
      <c r="I12045">
        <v>104.11</v>
      </c>
      <c r="J12045" s="50">
        <v>312.33</v>
      </c>
      <c r="K12045" t="s">
        <v>1632</v>
      </c>
      <c r="M12045" t="s">
        <v>1621</v>
      </c>
      <c r="N12045">
        <v>54.95</v>
      </c>
      <c r="O12045" s="49">
        <v>45333</v>
      </c>
      <c r="P12045" s="50">
        <v>140.54849999999999</v>
      </c>
    </row>
    <row r="12046" spans="4:16" x14ac:dyDescent="0.2">
      <c r="D12046">
        <v>100007234</v>
      </c>
      <c r="E12046" s="49">
        <v>44968</v>
      </c>
      <c r="F12046" t="s">
        <v>7865</v>
      </c>
      <c r="G12046" t="s">
        <v>1830</v>
      </c>
      <c r="H12046">
        <v>3</v>
      </c>
      <c r="I12046">
        <v>61.39</v>
      </c>
      <c r="J12046" s="50">
        <v>184.17</v>
      </c>
      <c r="K12046" t="s">
        <v>1632</v>
      </c>
      <c r="M12046" t="s">
        <v>1621</v>
      </c>
      <c r="N12046">
        <v>32.4</v>
      </c>
      <c r="O12046" s="49">
        <v>44970</v>
      </c>
      <c r="P12046" s="50">
        <v>82.876499999999993</v>
      </c>
    </row>
    <row r="12047" spans="4:16" x14ac:dyDescent="0.2">
      <c r="D12047">
        <v>100007234</v>
      </c>
      <c r="E12047" s="49">
        <v>45621</v>
      </c>
      <c r="F12047" t="s">
        <v>7865</v>
      </c>
      <c r="G12047" t="s">
        <v>1670</v>
      </c>
      <c r="H12047">
        <v>5</v>
      </c>
      <c r="I12047">
        <v>86.21</v>
      </c>
      <c r="J12047" s="50">
        <v>431.05</v>
      </c>
      <c r="K12047" t="s">
        <v>1632</v>
      </c>
      <c r="M12047" t="s">
        <v>1627</v>
      </c>
      <c r="N12047">
        <v>45.5</v>
      </c>
      <c r="O12047" s="49">
        <v>45625</v>
      </c>
      <c r="P12047" s="50">
        <v>193.9725</v>
      </c>
    </row>
    <row r="12048" spans="4:16" x14ac:dyDescent="0.2">
      <c r="D12048">
        <v>100007234</v>
      </c>
      <c r="E12048" s="49">
        <v>45505</v>
      </c>
      <c r="F12048" t="s">
        <v>7865</v>
      </c>
      <c r="G12048" t="s">
        <v>2004</v>
      </c>
      <c r="H12048">
        <v>8</v>
      </c>
      <c r="I12048">
        <v>34.090000000000003</v>
      </c>
      <c r="J12048" s="50">
        <v>272.72000000000003</v>
      </c>
      <c r="K12048" t="s">
        <v>1632</v>
      </c>
      <c r="M12048" t="s">
        <v>1621</v>
      </c>
      <c r="N12048">
        <v>17.989999999999998</v>
      </c>
      <c r="O12048" s="49">
        <v>45507</v>
      </c>
      <c r="P12048" s="50">
        <v>122.72400000000002</v>
      </c>
    </row>
    <row r="12049" spans="4:16" x14ac:dyDescent="0.2">
      <c r="D12049">
        <v>100007235</v>
      </c>
      <c r="E12049" s="49">
        <v>45593</v>
      </c>
      <c r="F12049" t="s">
        <v>7866</v>
      </c>
      <c r="G12049" t="s">
        <v>1831</v>
      </c>
      <c r="H12049">
        <v>3</v>
      </c>
      <c r="I12049">
        <v>70.150000000000006</v>
      </c>
      <c r="J12049" s="50">
        <v>210.45</v>
      </c>
      <c r="K12049" t="s">
        <v>1632</v>
      </c>
      <c r="M12049" t="s">
        <v>1619</v>
      </c>
      <c r="N12049">
        <v>37.020000000000003</v>
      </c>
      <c r="O12049" s="49">
        <v>45595</v>
      </c>
      <c r="P12049" s="50">
        <v>94.702500000000001</v>
      </c>
    </row>
    <row r="12050" spans="4:16" x14ac:dyDescent="0.2">
      <c r="D12050">
        <v>100007235</v>
      </c>
      <c r="E12050" s="49">
        <v>45015</v>
      </c>
      <c r="F12050" t="s">
        <v>7866</v>
      </c>
      <c r="G12050" t="s">
        <v>2698</v>
      </c>
      <c r="H12050">
        <v>6</v>
      </c>
      <c r="I12050">
        <v>16.739999999999998</v>
      </c>
      <c r="J12050" s="50">
        <v>100.44</v>
      </c>
      <c r="K12050" t="s">
        <v>1632</v>
      </c>
      <c r="M12050" t="s">
        <v>1629</v>
      </c>
      <c r="N12050">
        <v>8.83</v>
      </c>
      <c r="O12050" s="49">
        <v>45020</v>
      </c>
      <c r="P12050" s="50">
        <v>45.198</v>
      </c>
    </row>
    <row r="12051" spans="4:16" x14ac:dyDescent="0.2">
      <c r="D12051">
        <v>100007237</v>
      </c>
      <c r="E12051" s="49">
        <v>45026</v>
      </c>
      <c r="F12051" t="s">
        <v>7867</v>
      </c>
      <c r="G12051" t="s">
        <v>1651</v>
      </c>
      <c r="H12051">
        <v>1</v>
      </c>
      <c r="I12051">
        <v>99.75</v>
      </c>
      <c r="J12051" s="50">
        <v>99.75</v>
      </c>
      <c r="K12051" t="s">
        <v>1618</v>
      </c>
      <c r="L12051" t="s">
        <v>2122</v>
      </c>
      <c r="M12051" t="s">
        <v>1619</v>
      </c>
      <c r="N12051">
        <v>52.65</v>
      </c>
      <c r="O12051" s="49">
        <v>45030</v>
      </c>
      <c r="P12051" s="50">
        <v>44.887500000000003</v>
      </c>
    </row>
    <row r="12052" spans="4:16" x14ac:dyDescent="0.2">
      <c r="D12052">
        <v>100007238</v>
      </c>
      <c r="E12052" s="49">
        <v>45419</v>
      </c>
      <c r="F12052" t="s">
        <v>7868</v>
      </c>
      <c r="G12052" t="s">
        <v>1714</v>
      </c>
      <c r="H12052">
        <v>2</v>
      </c>
      <c r="I12052">
        <v>62.05</v>
      </c>
      <c r="J12052" s="50">
        <v>124.1</v>
      </c>
      <c r="K12052" t="s">
        <v>1618</v>
      </c>
      <c r="M12052" t="s">
        <v>1629</v>
      </c>
      <c r="N12052">
        <v>32.75</v>
      </c>
      <c r="O12052" s="49">
        <v>45421</v>
      </c>
      <c r="P12052" s="50">
        <v>55.844999999999999</v>
      </c>
    </row>
    <row r="12053" spans="4:16" x14ac:dyDescent="0.2">
      <c r="D12053">
        <v>100007239</v>
      </c>
      <c r="E12053" s="49">
        <v>45437</v>
      </c>
      <c r="F12053" t="s">
        <v>7869</v>
      </c>
      <c r="G12053" t="s">
        <v>1987</v>
      </c>
      <c r="H12053">
        <v>1</v>
      </c>
      <c r="I12053">
        <v>92.86</v>
      </c>
      <c r="J12053" s="50">
        <v>92.86</v>
      </c>
      <c r="K12053" t="s">
        <v>1618</v>
      </c>
      <c r="M12053" t="s">
        <v>1627</v>
      </c>
      <c r="N12053">
        <v>49.01</v>
      </c>
      <c r="O12053" s="49">
        <v>45438</v>
      </c>
      <c r="P12053" s="50">
        <v>41.786999999999999</v>
      </c>
    </row>
    <row r="12054" spans="4:16" x14ac:dyDescent="0.2">
      <c r="D12054">
        <v>100007240</v>
      </c>
      <c r="E12054" s="49">
        <v>44578</v>
      </c>
      <c r="F12054" t="s">
        <v>7870</v>
      </c>
      <c r="G12054" t="s">
        <v>2242</v>
      </c>
      <c r="H12054">
        <v>3</v>
      </c>
      <c r="I12054">
        <v>62.8</v>
      </c>
      <c r="J12054" s="50">
        <v>188.4</v>
      </c>
      <c r="K12054" t="s">
        <v>1618</v>
      </c>
      <c r="L12054" t="s">
        <v>2815</v>
      </c>
      <c r="M12054" t="s">
        <v>1621</v>
      </c>
      <c r="N12054">
        <v>33.14</v>
      </c>
      <c r="O12054" s="49">
        <v>44580</v>
      </c>
      <c r="P12054" s="50">
        <v>84.78</v>
      </c>
    </row>
    <row r="12055" spans="4:16" x14ac:dyDescent="0.2">
      <c r="D12055">
        <v>100007241</v>
      </c>
      <c r="E12055" s="49">
        <v>44774</v>
      </c>
      <c r="F12055" t="s">
        <v>5072</v>
      </c>
      <c r="G12055" t="s">
        <v>1766</v>
      </c>
      <c r="H12055">
        <v>10</v>
      </c>
      <c r="I12055">
        <v>102.77</v>
      </c>
      <c r="J12055" s="50">
        <v>1027.7</v>
      </c>
      <c r="K12055" t="s">
        <v>1618</v>
      </c>
      <c r="M12055" t="s">
        <v>1629</v>
      </c>
      <c r="N12055">
        <v>54.24</v>
      </c>
      <c r="O12055" s="49">
        <v>44777</v>
      </c>
      <c r="P12055" s="50">
        <v>462.46500000000003</v>
      </c>
    </row>
    <row r="12056" spans="4:16" x14ac:dyDescent="0.2">
      <c r="D12056">
        <v>100007241</v>
      </c>
      <c r="E12056" s="49">
        <v>45628</v>
      </c>
      <c r="F12056" t="s">
        <v>5072</v>
      </c>
      <c r="G12056" t="s">
        <v>1705</v>
      </c>
      <c r="H12056">
        <v>7</v>
      </c>
      <c r="I12056">
        <v>85.88</v>
      </c>
      <c r="J12056" s="50">
        <v>601.16</v>
      </c>
      <c r="K12056" t="s">
        <v>1618</v>
      </c>
      <c r="M12056" t="s">
        <v>1627</v>
      </c>
      <c r="N12056">
        <v>45.33</v>
      </c>
      <c r="O12056" s="49">
        <v>45629</v>
      </c>
      <c r="P12056" s="50">
        <v>270.52199999999999</v>
      </c>
    </row>
    <row r="12057" spans="4:16" x14ac:dyDescent="0.2">
      <c r="D12057">
        <v>100007242</v>
      </c>
      <c r="E12057" s="49">
        <v>44868</v>
      </c>
      <c r="F12057" t="s">
        <v>7871</v>
      </c>
      <c r="G12057" t="s">
        <v>1641</v>
      </c>
      <c r="H12057">
        <v>7</v>
      </c>
      <c r="I12057">
        <v>67.94</v>
      </c>
      <c r="J12057" s="50">
        <v>475.58</v>
      </c>
      <c r="K12057" t="s">
        <v>1618</v>
      </c>
      <c r="M12057" t="s">
        <v>1621</v>
      </c>
      <c r="N12057">
        <v>35.86</v>
      </c>
      <c r="O12057" s="49">
        <v>44869</v>
      </c>
      <c r="P12057" s="50">
        <v>214.011</v>
      </c>
    </row>
    <row r="12058" spans="4:16" x14ac:dyDescent="0.2">
      <c r="D12058">
        <v>100007242</v>
      </c>
      <c r="E12058" s="49">
        <v>44594</v>
      </c>
      <c r="F12058" t="s">
        <v>7871</v>
      </c>
      <c r="G12058" t="s">
        <v>2138</v>
      </c>
      <c r="H12058">
        <v>9</v>
      </c>
      <c r="I12058">
        <v>109.11</v>
      </c>
      <c r="J12058" s="50">
        <v>981.99</v>
      </c>
      <c r="K12058" t="s">
        <v>1618</v>
      </c>
      <c r="M12058" t="s">
        <v>1619</v>
      </c>
      <c r="N12058">
        <v>57.59</v>
      </c>
      <c r="O12058" s="49">
        <v>44597</v>
      </c>
      <c r="P12058" s="50">
        <v>441.89550000000003</v>
      </c>
    </row>
    <row r="12059" spans="4:16" x14ac:dyDescent="0.2">
      <c r="D12059">
        <v>100007243</v>
      </c>
      <c r="E12059" s="49">
        <v>45645</v>
      </c>
      <c r="F12059" t="s">
        <v>6160</v>
      </c>
      <c r="G12059" t="s">
        <v>2436</v>
      </c>
      <c r="H12059">
        <v>1</v>
      </c>
      <c r="I12059">
        <v>75.83</v>
      </c>
      <c r="J12059" s="50">
        <v>75.83</v>
      </c>
      <c r="K12059" t="s">
        <v>1618</v>
      </c>
      <c r="M12059" t="s">
        <v>1621</v>
      </c>
      <c r="N12059">
        <v>40.020000000000003</v>
      </c>
      <c r="O12059" s="49">
        <v>45649</v>
      </c>
      <c r="P12059" s="50">
        <v>34.1235</v>
      </c>
    </row>
    <row r="12060" spans="4:16" x14ac:dyDescent="0.2">
      <c r="D12060">
        <v>100007243</v>
      </c>
      <c r="E12060" s="49">
        <v>45017</v>
      </c>
      <c r="F12060" t="s">
        <v>6160</v>
      </c>
      <c r="G12060" t="s">
        <v>2163</v>
      </c>
      <c r="H12060">
        <v>3</v>
      </c>
      <c r="I12060">
        <v>10.65</v>
      </c>
      <c r="J12060" s="50">
        <v>31.95</v>
      </c>
      <c r="K12060" t="s">
        <v>1618</v>
      </c>
      <c r="M12060" t="s">
        <v>1621</v>
      </c>
      <c r="N12060">
        <v>5.62</v>
      </c>
      <c r="O12060" s="49">
        <v>45021</v>
      </c>
      <c r="P12060" s="50">
        <v>14.3775</v>
      </c>
    </row>
    <row r="12061" spans="4:16" x14ac:dyDescent="0.2">
      <c r="D12061">
        <v>100007243</v>
      </c>
      <c r="E12061" s="49">
        <v>44392</v>
      </c>
      <c r="F12061" t="s">
        <v>6160</v>
      </c>
      <c r="G12061" t="s">
        <v>1827</v>
      </c>
      <c r="H12061">
        <v>10</v>
      </c>
      <c r="I12061">
        <v>75.34</v>
      </c>
      <c r="J12061" s="50">
        <v>753.40000000000009</v>
      </c>
      <c r="K12061" t="s">
        <v>1618</v>
      </c>
      <c r="M12061" t="s">
        <v>1629</v>
      </c>
      <c r="N12061">
        <v>39.76</v>
      </c>
      <c r="O12061" s="49">
        <v>44393</v>
      </c>
      <c r="P12061" s="50">
        <v>339.03000000000003</v>
      </c>
    </row>
    <row r="12062" spans="4:16" x14ac:dyDescent="0.2">
      <c r="D12062">
        <v>100007243</v>
      </c>
      <c r="E12062" s="49">
        <v>44239</v>
      </c>
      <c r="F12062" t="s">
        <v>6160</v>
      </c>
      <c r="G12062" t="s">
        <v>2698</v>
      </c>
      <c r="H12062">
        <v>2</v>
      </c>
      <c r="I12062">
        <v>115.11</v>
      </c>
      <c r="J12062" s="50">
        <v>230.22</v>
      </c>
      <c r="K12062" t="s">
        <v>1618</v>
      </c>
      <c r="M12062" t="s">
        <v>1627</v>
      </c>
      <c r="N12062">
        <v>60.75</v>
      </c>
      <c r="O12062" s="49">
        <v>44244</v>
      </c>
      <c r="P12062" s="50">
        <v>103.599</v>
      </c>
    </row>
    <row r="12063" spans="4:16" x14ac:dyDescent="0.2">
      <c r="D12063">
        <v>100007243</v>
      </c>
      <c r="E12063" s="49">
        <v>44598</v>
      </c>
      <c r="F12063" t="s">
        <v>6160</v>
      </c>
      <c r="G12063" t="s">
        <v>2745</v>
      </c>
      <c r="H12063">
        <v>7</v>
      </c>
      <c r="I12063">
        <v>104.26</v>
      </c>
      <c r="J12063" s="50">
        <v>729.82</v>
      </c>
      <c r="K12063" t="s">
        <v>1618</v>
      </c>
      <c r="M12063" t="s">
        <v>1624</v>
      </c>
      <c r="N12063">
        <v>55.03</v>
      </c>
      <c r="O12063" s="49">
        <v>44602</v>
      </c>
      <c r="P12063" s="50">
        <v>328.41900000000004</v>
      </c>
    </row>
    <row r="12064" spans="4:16" x14ac:dyDescent="0.2">
      <c r="D12064">
        <v>100007243</v>
      </c>
      <c r="E12064" s="49">
        <v>45076</v>
      </c>
      <c r="F12064" t="s">
        <v>6160</v>
      </c>
      <c r="G12064" t="s">
        <v>2112</v>
      </c>
      <c r="H12064">
        <v>1</v>
      </c>
      <c r="I12064">
        <v>22.85</v>
      </c>
      <c r="J12064" s="50">
        <v>22.85</v>
      </c>
      <c r="K12064" t="s">
        <v>1618</v>
      </c>
      <c r="M12064" t="s">
        <v>1629</v>
      </c>
      <c r="N12064">
        <v>12.06</v>
      </c>
      <c r="O12064" s="49">
        <v>45081</v>
      </c>
      <c r="P12064" s="50">
        <v>10.282500000000001</v>
      </c>
    </row>
    <row r="12065" spans="4:16" x14ac:dyDescent="0.2">
      <c r="D12065">
        <v>100007243</v>
      </c>
      <c r="E12065" s="49">
        <v>44253</v>
      </c>
      <c r="F12065" t="s">
        <v>6160</v>
      </c>
      <c r="G12065" t="s">
        <v>1628</v>
      </c>
      <c r="H12065">
        <v>1</v>
      </c>
      <c r="I12065">
        <v>27.84</v>
      </c>
      <c r="J12065" s="50">
        <v>27.84</v>
      </c>
      <c r="K12065" t="s">
        <v>1618</v>
      </c>
      <c r="M12065" t="s">
        <v>1621</v>
      </c>
      <c r="N12065">
        <v>14.69</v>
      </c>
      <c r="O12065" s="49">
        <v>44256</v>
      </c>
      <c r="P12065" s="50">
        <v>12.528</v>
      </c>
    </row>
    <row r="12066" spans="4:16" x14ac:dyDescent="0.2">
      <c r="D12066">
        <v>100007244</v>
      </c>
      <c r="E12066" s="49">
        <v>44709</v>
      </c>
      <c r="F12066" t="s">
        <v>7872</v>
      </c>
      <c r="G12066" t="s">
        <v>1687</v>
      </c>
      <c r="H12066">
        <v>10</v>
      </c>
      <c r="I12066">
        <v>31.23</v>
      </c>
      <c r="J12066" s="50">
        <v>312.3</v>
      </c>
      <c r="K12066" t="s">
        <v>1618</v>
      </c>
      <c r="M12066" t="s">
        <v>1621</v>
      </c>
      <c r="N12066">
        <v>16.48</v>
      </c>
      <c r="O12066" s="49">
        <v>44714</v>
      </c>
      <c r="P12066" s="50">
        <v>140.535</v>
      </c>
    </row>
    <row r="12067" spans="4:16" x14ac:dyDescent="0.2">
      <c r="D12067">
        <v>100007245</v>
      </c>
      <c r="E12067" s="49">
        <v>44648</v>
      </c>
      <c r="F12067" t="s">
        <v>7873</v>
      </c>
      <c r="G12067" t="s">
        <v>1666</v>
      </c>
      <c r="H12067">
        <v>4</v>
      </c>
      <c r="I12067">
        <v>13.36</v>
      </c>
      <c r="J12067" s="50">
        <v>53.44</v>
      </c>
      <c r="K12067" t="s">
        <v>1618</v>
      </c>
      <c r="M12067" t="s">
        <v>1621</v>
      </c>
      <c r="N12067">
        <v>7.05</v>
      </c>
      <c r="O12067" s="49">
        <v>44651</v>
      </c>
      <c r="P12067" s="50">
        <v>24.047999999999998</v>
      </c>
    </row>
    <row r="12068" spans="4:16" x14ac:dyDescent="0.2">
      <c r="D12068">
        <v>100007247</v>
      </c>
      <c r="E12068" s="49">
        <v>45218</v>
      </c>
      <c r="F12068" t="s">
        <v>7874</v>
      </c>
      <c r="G12068" t="s">
        <v>1945</v>
      </c>
      <c r="H12068">
        <v>10</v>
      </c>
      <c r="I12068">
        <v>102.18</v>
      </c>
      <c r="J12068" s="50">
        <v>1021.8</v>
      </c>
      <c r="K12068" t="s">
        <v>1618</v>
      </c>
      <c r="L12068" t="s">
        <v>6743</v>
      </c>
      <c r="M12068" t="s">
        <v>1624</v>
      </c>
      <c r="N12068">
        <v>53.93</v>
      </c>
      <c r="O12068" s="49">
        <v>45222</v>
      </c>
      <c r="P12068" s="50">
        <v>459.81</v>
      </c>
    </row>
    <row r="12069" spans="4:16" x14ac:dyDescent="0.2">
      <c r="D12069">
        <v>100007247</v>
      </c>
      <c r="E12069" s="49">
        <v>44734</v>
      </c>
      <c r="F12069" t="s">
        <v>7874</v>
      </c>
      <c r="G12069" t="s">
        <v>1819</v>
      </c>
      <c r="H12069">
        <v>3</v>
      </c>
      <c r="I12069">
        <v>74.58</v>
      </c>
      <c r="J12069" s="50">
        <v>223.74</v>
      </c>
      <c r="K12069" t="s">
        <v>1618</v>
      </c>
      <c r="L12069" t="s">
        <v>6743</v>
      </c>
      <c r="M12069" t="s">
        <v>1624</v>
      </c>
      <c r="N12069">
        <v>39.36</v>
      </c>
      <c r="O12069" s="49">
        <v>44737</v>
      </c>
      <c r="P12069" s="50">
        <v>100.68300000000001</v>
      </c>
    </row>
    <row r="12070" spans="4:16" x14ac:dyDescent="0.2">
      <c r="D12070">
        <v>100007248</v>
      </c>
      <c r="E12070" s="49">
        <v>44751</v>
      </c>
      <c r="F12070" t="s">
        <v>7875</v>
      </c>
      <c r="G12070" t="s">
        <v>1827</v>
      </c>
      <c r="H12070">
        <v>8</v>
      </c>
      <c r="I12070">
        <v>50.22</v>
      </c>
      <c r="J12070" s="50">
        <v>401.76</v>
      </c>
      <c r="K12070" t="s">
        <v>1618</v>
      </c>
      <c r="M12070" t="s">
        <v>1619</v>
      </c>
      <c r="N12070">
        <v>26.5</v>
      </c>
      <c r="O12070" s="49">
        <v>44754</v>
      </c>
      <c r="P12070" s="50">
        <v>180.792</v>
      </c>
    </row>
    <row r="12071" spans="4:16" x14ac:dyDescent="0.2">
      <c r="D12071">
        <v>100007249</v>
      </c>
      <c r="E12071" s="49">
        <v>45536</v>
      </c>
      <c r="F12071" t="s">
        <v>5943</v>
      </c>
      <c r="G12071" t="s">
        <v>1648</v>
      </c>
      <c r="H12071">
        <v>8</v>
      </c>
      <c r="I12071">
        <v>17.53</v>
      </c>
      <c r="J12071" s="50">
        <v>140.24</v>
      </c>
      <c r="K12071" t="s">
        <v>1618</v>
      </c>
      <c r="M12071" t="s">
        <v>1629</v>
      </c>
      <c r="N12071">
        <v>9.25</v>
      </c>
      <c r="O12071" s="49">
        <v>45539</v>
      </c>
      <c r="P12071" s="50">
        <v>63.108000000000004</v>
      </c>
    </row>
    <row r="12072" spans="4:16" x14ac:dyDescent="0.2">
      <c r="D12072">
        <v>100007249</v>
      </c>
      <c r="E12072" s="49">
        <v>44493</v>
      </c>
      <c r="F12072" t="s">
        <v>5943</v>
      </c>
      <c r="G12072" t="s">
        <v>2328</v>
      </c>
      <c r="H12072">
        <v>4</v>
      </c>
      <c r="I12072">
        <v>82.94</v>
      </c>
      <c r="J12072" s="50">
        <v>331.76</v>
      </c>
      <c r="K12072" t="s">
        <v>1618</v>
      </c>
      <c r="M12072" t="s">
        <v>1627</v>
      </c>
      <c r="N12072">
        <v>43.77</v>
      </c>
      <c r="O12072" s="49">
        <v>44495</v>
      </c>
      <c r="P12072" s="50">
        <v>149.292</v>
      </c>
    </row>
    <row r="12073" spans="4:16" x14ac:dyDescent="0.2">
      <c r="D12073">
        <v>100007250</v>
      </c>
      <c r="E12073" s="49">
        <v>44346</v>
      </c>
      <c r="F12073" t="s">
        <v>3133</v>
      </c>
      <c r="G12073" t="s">
        <v>2078</v>
      </c>
      <c r="H12073">
        <v>9</v>
      </c>
      <c r="I12073">
        <v>79.12</v>
      </c>
      <c r="J12073" s="50">
        <v>712.08</v>
      </c>
      <c r="K12073" t="s">
        <v>1632</v>
      </c>
      <c r="M12073" t="s">
        <v>1619</v>
      </c>
      <c r="N12073">
        <v>41.76</v>
      </c>
      <c r="O12073" s="49">
        <v>44351</v>
      </c>
      <c r="P12073" s="50">
        <v>320.43600000000004</v>
      </c>
    </row>
    <row r="12074" spans="4:16" x14ac:dyDescent="0.2">
      <c r="D12074">
        <v>100007250</v>
      </c>
      <c r="E12074" s="49">
        <v>45084</v>
      </c>
      <c r="F12074" t="s">
        <v>3133</v>
      </c>
      <c r="G12074" t="s">
        <v>1820</v>
      </c>
      <c r="H12074">
        <v>9</v>
      </c>
      <c r="I12074">
        <v>28.77</v>
      </c>
      <c r="J12074" s="50">
        <v>258.93</v>
      </c>
      <c r="K12074" t="s">
        <v>1632</v>
      </c>
      <c r="M12074" t="s">
        <v>1621</v>
      </c>
      <c r="N12074">
        <v>15.18</v>
      </c>
      <c r="O12074" s="49">
        <v>45088</v>
      </c>
      <c r="P12074" s="50">
        <v>116.5185</v>
      </c>
    </row>
    <row r="12075" spans="4:16" x14ac:dyDescent="0.2">
      <c r="D12075">
        <v>100007250</v>
      </c>
      <c r="E12075" s="49">
        <v>45261</v>
      </c>
      <c r="F12075" t="s">
        <v>3133</v>
      </c>
      <c r="G12075" t="s">
        <v>2390</v>
      </c>
      <c r="H12075">
        <v>2</v>
      </c>
      <c r="I12075">
        <v>37.020000000000003</v>
      </c>
      <c r="J12075" s="50">
        <v>74.040000000000006</v>
      </c>
      <c r="K12075" t="s">
        <v>1632</v>
      </c>
      <c r="M12075" t="s">
        <v>1621</v>
      </c>
      <c r="N12075">
        <v>19.54</v>
      </c>
      <c r="O12075" s="49">
        <v>45262</v>
      </c>
      <c r="P12075" s="50">
        <v>33.318000000000005</v>
      </c>
    </row>
    <row r="12076" spans="4:16" x14ac:dyDescent="0.2">
      <c r="D12076">
        <v>100007250</v>
      </c>
      <c r="E12076" s="49">
        <v>44937</v>
      </c>
      <c r="F12076" t="s">
        <v>3133</v>
      </c>
      <c r="G12076" t="s">
        <v>2291</v>
      </c>
      <c r="H12076">
        <v>9</v>
      </c>
      <c r="I12076">
        <v>81.510000000000005</v>
      </c>
      <c r="J12076" s="50">
        <v>733.59</v>
      </c>
      <c r="K12076" t="s">
        <v>1632</v>
      </c>
      <c r="M12076" t="s">
        <v>1629</v>
      </c>
      <c r="N12076">
        <v>43.02</v>
      </c>
      <c r="O12076" s="49">
        <v>44940</v>
      </c>
      <c r="P12076" s="50">
        <v>330.1155</v>
      </c>
    </row>
    <row r="12077" spans="4:16" x14ac:dyDescent="0.2">
      <c r="D12077">
        <v>100007250</v>
      </c>
      <c r="E12077" s="49">
        <v>45484</v>
      </c>
      <c r="F12077" t="s">
        <v>3133</v>
      </c>
      <c r="G12077" t="s">
        <v>1775</v>
      </c>
      <c r="H12077">
        <v>8</v>
      </c>
      <c r="I12077">
        <v>44.06</v>
      </c>
      <c r="J12077" s="50">
        <v>352.48</v>
      </c>
      <c r="K12077" t="s">
        <v>1632</v>
      </c>
      <c r="M12077" t="s">
        <v>1621</v>
      </c>
      <c r="N12077">
        <v>23.25</v>
      </c>
      <c r="O12077" s="49">
        <v>45486</v>
      </c>
      <c r="P12077" s="50">
        <v>158.61600000000001</v>
      </c>
    </row>
    <row r="12078" spans="4:16" x14ac:dyDescent="0.2">
      <c r="D12078">
        <v>100007250</v>
      </c>
      <c r="E12078" s="49">
        <v>44258</v>
      </c>
      <c r="F12078" t="s">
        <v>3133</v>
      </c>
      <c r="G12078" t="s">
        <v>1900</v>
      </c>
      <c r="H12078">
        <v>6</v>
      </c>
      <c r="I12078">
        <v>76.95</v>
      </c>
      <c r="J12078" s="50">
        <v>461.7</v>
      </c>
      <c r="K12078" t="s">
        <v>1632</v>
      </c>
      <c r="M12078" t="s">
        <v>1619</v>
      </c>
      <c r="N12078">
        <v>40.61</v>
      </c>
      <c r="O12078" s="49">
        <v>44261</v>
      </c>
      <c r="P12078" s="50">
        <v>207.76499999999999</v>
      </c>
    </row>
    <row r="12079" spans="4:16" x14ac:dyDescent="0.2">
      <c r="D12079">
        <v>100007250</v>
      </c>
      <c r="E12079" s="49">
        <v>45652</v>
      </c>
      <c r="F12079" t="s">
        <v>3133</v>
      </c>
      <c r="G12079" t="s">
        <v>1855</v>
      </c>
      <c r="H12079">
        <v>9</v>
      </c>
      <c r="I12079">
        <v>12.18</v>
      </c>
      <c r="J12079" s="50">
        <v>109.62</v>
      </c>
      <c r="K12079" t="s">
        <v>1632</v>
      </c>
      <c r="M12079" t="s">
        <v>1627</v>
      </c>
      <c r="N12079">
        <v>6.43</v>
      </c>
      <c r="O12079" s="49">
        <v>45656</v>
      </c>
      <c r="P12079" s="50">
        <v>49.329000000000001</v>
      </c>
    </row>
    <row r="12080" spans="4:16" x14ac:dyDescent="0.2">
      <c r="D12080">
        <v>100007250</v>
      </c>
      <c r="E12080" s="49">
        <v>45186</v>
      </c>
      <c r="F12080" t="s">
        <v>3133</v>
      </c>
      <c r="G12080" t="s">
        <v>1634</v>
      </c>
      <c r="H12080">
        <v>4</v>
      </c>
      <c r="I12080">
        <v>106.97</v>
      </c>
      <c r="J12080" s="50">
        <v>427.88</v>
      </c>
      <c r="K12080" t="s">
        <v>1632</v>
      </c>
      <c r="M12080" t="s">
        <v>1627</v>
      </c>
      <c r="N12080">
        <v>56.46</v>
      </c>
      <c r="O12080" s="49">
        <v>45191</v>
      </c>
      <c r="P12080" s="50">
        <v>192.54599999999999</v>
      </c>
    </row>
    <row r="12081" spans="4:16" x14ac:dyDescent="0.2">
      <c r="D12081">
        <v>100007251</v>
      </c>
      <c r="E12081" s="49">
        <v>45094</v>
      </c>
      <c r="F12081" t="s">
        <v>7876</v>
      </c>
      <c r="G12081" t="s">
        <v>2301</v>
      </c>
      <c r="H12081">
        <v>1</v>
      </c>
      <c r="I12081">
        <v>96.94</v>
      </c>
      <c r="J12081" s="50">
        <v>96.94</v>
      </c>
      <c r="K12081" t="s">
        <v>1618</v>
      </c>
      <c r="M12081" t="s">
        <v>1619</v>
      </c>
      <c r="N12081">
        <v>51.16</v>
      </c>
      <c r="O12081" s="49">
        <v>45097</v>
      </c>
      <c r="P12081" s="50">
        <v>43.622999999999998</v>
      </c>
    </row>
    <row r="12082" spans="4:16" x14ac:dyDescent="0.2">
      <c r="D12082">
        <v>100007252</v>
      </c>
      <c r="E12082" s="49">
        <v>44882</v>
      </c>
      <c r="F12082" t="s">
        <v>7877</v>
      </c>
      <c r="G12082" t="s">
        <v>1642</v>
      </c>
      <c r="H12082">
        <v>2</v>
      </c>
      <c r="I12082">
        <v>20.350000000000001</v>
      </c>
      <c r="J12082" s="50">
        <v>40.700000000000003</v>
      </c>
      <c r="K12082" t="s">
        <v>1618</v>
      </c>
      <c r="M12082" t="s">
        <v>1629</v>
      </c>
      <c r="N12082">
        <v>10.74</v>
      </c>
      <c r="O12082" s="49">
        <v>44886</v>
      </c>
      <c r="P12082" s="50">
        <v>18.315000000000001</v>
      </c>
    </row>
    <row r="12083" spans="4:16" x14ac:dyDescent="0.2">
      <c r="D12083">
        <v>100007252</v>
      </c>
      <c r="E12083" s="49">
        <v>44295</v>
      </c>
      <c r="F12083" t="s">
        <v>7877</v>
      </c>
      <c r="G12083" t="s">
        <v>1714</v>
      </c>
      <c r="H12083">
        <v>2</v>
      </c>
      <c r="I12083">
        <v>108.66</v>
      </c>
      <c r="J12083" s="50">
        <v>217.32</v>
      </c>
      <c r="K12083" t="s">
        <v>1618</v>
      </c>
      <c r="M12083" t="s">
        <v>1627</v>
      </c>
      <c r="N12083">
        <v>57.35</v>
      </c>
      <c r="O12083" s="49">
        <v>44300</v>
      </c>
      <c r="P12083" s="50">
        <v>97.793999999999997</v>
      </c>
    </row>
    <row r="12084" spans="4:16" x14ac:dyDescent="0.2">
      <c r="D12084">
        <v>100007255</v>
      </c>
      <c r="E12084" s="49">
        <v>44593</v>
      </c>
      <c r="F12084" t="s">
        <v>7878</v>
      </c>
      <c r="G12084" t="s">
        <v>1841</v>
      </c>
      <c r="H12084">
        <v>5</v>
      </c>
      <c r="I12084">
        <v>34.22</v>
      </c>
      <c r="J12084" s="50">
        <v>171.1</v>
      </c>
      <c r="K12084" t="s">
        <v>1618</v>
      </c>
      <c r="L12084" t="s">
        <v>6903</v>
      </c>
      <c r="M12084" t="s">
        <v>1627</v>
      </c>
      <c r="N12084">
        <v>18.059999999999999</v>
      </c>
      <c r="O12084" s="49">
        <v>44597</v>
      </c>
      <c r="P12084" s="50">
        <v>76.995000000000005</v>
      </c>
    </row>
    <row r="12085" spans="4:16" x14ac:dyDescent="0.2">
      <c r="D12085">
        <v>100007255</v>
      </c>
      <c r="E12085" s="49">
        <v>44965</v>
      </c>
      <c r="F12085" t="s">
        <v>7878</v>
      </c>
      <c r="G12085" t="s">
        <v>1670</v>
      </c>
      <c r="H12085">
        <v>6</v>
      </c>
      <c r="I12085">
        <v>62.47</v>
      </c>
      <c r="J12085" s="50">
        <v>374.82</v>
      </c>
      <c r="K12085" t="s">
        <v>1618</v>
      </c>
      <c r="L12085" t="s">
        <v>6903</v>
      </c>
      <c r="M12085" t="s">
        <v>1627</v>
      </c>
      <c r="N12085">
        <v>32.97</v>
      </c>
      <c r="O12085" s="49">
        <v>44967</v>
      </c>
      <c r="P12085" s="50">
        <v>168.66900000000001</v>
      </c>
    </row>
    <row r="12086" spans="4:16" x14ac:dyDescent="0.2">
      <c r="D12086">
        <v>100007255</v>
      </c>
      <c r="E12086" s="49">
        <v>45576</v>
      </c>
      <c r="F12086" t="s">
        <v>7878</v>
      </c>
      <c r="G12086" t="s">
        <v>2460</v>
      </c>
      <c r="H12086">
        <v>1</v>
      </c>
      <c r="I12086">
        <v>27.49</v>
      </c>
      <c r="J12086" s="50">
        <v>27.49</v>
      </c>
      <c r="K12086" t="s">
        <v>1618</v>
      </c>
      <c r="L12086" t="s">
        <v>6903</v>
      </c>
      <c r="M12086" t="s">
        <v>1627</v>
      </c>
      <c r="N12086">
        <v>14.51</v>
      </c>
      <c r="O12086" s="49">
        <v>45578</v>
      </c>
      <c r="P12086" s="50">
        <v>12.3705</v>
      </c>
    </row>
    <row r="12087" spans="4:16" x14ac:dyDescent="0.2">
      <c r="D12087">
        <v>100007256</v>
      </c>
      <c r="E12087" s="49">
        <v>44934</v>
      </c>
      <c r="F12087" t="s">
        <v>7879</v>
      </c>
      <c r="G12087" t="s">
        <v>2484</v>
      </c>
      <c r="H12087">
        <v>1</v>
      </c>
      <c r="I12087">
        <v>98.81</v>
      </c>
      <c r="J12087" s="50">
        <v>98.81</v>
      </c>
      <c r="K12087" t="s">
        <v>1618</v>
      </c>
      <c r="M12087" t="s">
        <v>1621</v>
      </c>
      <c r="N12087">
        <v>52.15</v>
      </c>
      <c r="O12087" s="49">
        <v>44935</v>
      </c>
      <c r="P12087" s="50">
        <v>44.464500000000001</v>
      </c>
    </row>
    <row r="12088" spans="4:16" x14ac:dyDescent="0.2">
      <c r="D12088">
        <v>100007256</v>
      </c>
      <c r="E12088" s="49">
        <v>44271</v>
      </c>
      <c r="F12088" t="s">
        <v>7879</v>
      </c>
      <c r="G12088" t="s">
        <v>2301</v>
      </c>
      <c r="H12088">
        <v>8</v>
      </c>
      <c r="I12088">
        <v>10.62</v>
      </c>
      <c r="J12088" s="50">
        <v>84.96</v>
      </c>
      <c r="K12088" t="s">
        <v>1618</v>
      </c>
      <c r="M12088" t="s">
        <v>1621</v>
      </c>
      <c r="N12088">
        <v>5.6</v>
      </c>
      <c r="O12088" s="49">
        <v>44276</v>
      </c>
      <c r="P12088" s="50">
        <v>38.231999999999999</v>
      </c>
    </row>
    <row r="12089" spans="4:16" x14ac:dyDescent="0.2">
      <c r="D12089">
        <v>100007256</v>
      </c>
      <c r="E12089" s="49">
        <v>45644</v>
      </c>
      <c r="F12089" t="s">
        <v>7879</v>
      </c>
      <c r="G12089" t="s">
        <v>2305</v>
      </c>
      <c r="H12089">
        <v>3</v>
      </c>
      <c r="I12089">
        <v>94.27</v>
      </c>
      <c r="J12089" s="50">
        <v>282.81</v>
      </c>
      <c r="K12089" t="s">
        <v>1618</v>
      </c>
      <c r="M12089" t="s">
        <v>1621</v>
      </c>
      <c r="N12089">
        <v>49.75</v>
      </c>
      <c r="O12089" s="49">
        <v>45645</v>
      </c>
      <c r="P12089" s="50">
        <v>127.2645</v>
      </c>
    </row>
    <row r="12090" spans="4:16" x14ac:dyDescent="0.2">
      <c r="D12090">
        <v>100007256</v>
      </c>
      <c r="E12090" s="49">
        <v>44962</v>
      </c>
      <c r="F12090" t="s">
        <v>7879</v>
      </c>
      <c r="G12090" t="s">
        <v>1855</v>
      </c>
      <c r="H12090">
        <v>5</v>
      </c>
      <c r="I12090">
        <v>96.14</v>
      </c>
      <c r="J12090" s="50">
        <v>480.7</v>
      </c>
      <c r="K12090" t="s">
        <v>1618</v>
      </c>
      <c r="M12090" t="s">
        <v>1619</v>
      </c>
      <c r="N12090">
        <v>50.74</v>
      </c>
      <c r="O12090" s="49">
        <v>44963</v>
      </c>
      <c r="P12090" s="50">
        <v>216.315</v>
      </c>
    </row>
    <row r="12091" spans="4:16" x14ac:dyDescent="0.2">
      <c r="D12091">
        <v>100007257</v>
      </c>
      <c r="E12091" s="49">
        <v>45207</v>
      </c>
      <c r="F12091" t="s">
        <v>7880</v>
      </c>
      <c r="G12091" t="s">
        <v>2574</v>
      </c>
      <c r="H12091">
        <v>5</v>
      </c>
      <c r="I12091">
        <v>88.98</v>
      </c>
      <c r="J12091" s="50">
        <v>444.9</v>
      </c>
      <c r="K12091" t="s">
        <v>1632</v>
      </c>
      <c r="M12091" t="s">
        <v>1621</v>
      </c>
      <c r="N12091">
        <v>46.96</v>
      </c>
      <c r="O12091" s="49">
        <v>45211</v>
      </c>
      <c r="P12091" s="50">
        <v>200.20499999999998</v>
      </c>
    </row>
    <row r="12092" spans="4:16" x14ac:dyDescent="0.2">
      <c r="D12092">
        <v>100007257</v>
      </c>
      <c r="E12092" s="49">
        <v>45113</v>
      </c>
      <c r="F12092" t="s">
        <v>7880</v>
      </c>
      <c r="G12092" t="s">
        <v>1856</v>
      </c>
      <c r="H12092">
        <v>1</v>
      </c>
      <c r="I12092">
        <v>52.97</v>
      </c>
      <c r="J12092" s="50">
        <v>52.97</v>
      </c>
      <c r="K12092" t="s">
        <v>1632</v>
      </c>
      <c r="M12092" t="s">
        <v>1619</v>
      </c>
      <c r="N12092">
        <v>27.96</v>
      </c>
      <c r="O12092" s="49">
        <v>45115</v>
      </c>
      <c r="P12092" s="50">
        <v>23.836500000000001</v>
      </c>
    </row>
    <row r="12093" spans="4:16" x14ac:dyDescent="0.2">
      <c r="D12093">
        <v>100007258</v>
      </c>
      <c r="E12093" s="49">
        <v>45166</v>
      </c>
      <c r="F12093" t="s">
        <v>7881</v>
      </c>
      <c r="G12093" t="s">
        <v>1913</v>
      </c>
      <c r="H12093">
        <v>1</v>
      </c>
      <c r="I12093">
        <v>43.45</v>
      </c>
      <c r="J12093" s="50">
        <v>43.45</v>
      </c>
      <c r="K12093" t="s">
        <v>1632</v>
      </c>
      <c r="M12093" t="s">
        <v>1619</v>
      </c>
      <c r="N12093">
        <v>22.93</v>
      </c>
      <c r="O12093" s="49">
        <v>45167</v>
      </c>
      <c r="P12093" s="50">
        <v>19.552500000000002</v>
      </c>
    </row>
    <row r="12094" spans="4:16" x14ac:dyDescent="0.2">
      <c r="D12094">
        <v>100007258</v>
      </c>
      <c r="E12094" s="49">
        <v>45288</v>
      </c>
      <c r="F12094" t="s">
        <v>7881</v>
      </c>
      <c r="G12094" t="s">
        <v>1760</v>
      </c>
      <c r="H12094">
        <v>5</v>
      </c>
      <c r="I12094">
        <v>28.39</v>
      </c>
      <c r="J12094" s="50">
        <v>141.94999999999999</v>
      </c>
      <c r="K12094" t="s">
        <v>1632</v>
      </c>
      <c r="M12094" t="s">
        <v>1629</v>
      </c>
      <c r="N12094">
        <v>14.98</v>
      </c>
      <c r="O12094" s="49">
        <v>45289</v>
      </c>
      <c r="P12094" s="50">
        <v>63.877499999999998</v>
      </c>
    </row>
    <row r="12095" spans="4:16" x14ac:dyDescent="0.2">
      <c r="D12095">
        <v>100007258</v>
      </c>
      <c r="E12095" s="49">
        <v>44544</v>
      </c>
      <c r="F12095" t="s">
        <v>7881</v>
      </c>
      <c r="G12095" t="s">
        <v>1893</v>
      </c>
      <c r="H12095">
        <v>2</v>
      </c>
      <c r="I12095">
        <v>111.05</v>
      </c>
      <c r="J12095" s="50">
        <v>222.1</v>
      </c>
      <c r="K12095" t="s">
        <v>1632</v>
      </c>
      <c r="M12095" t="s">
        <v>1621</v>
      </c>
      <c r="N12095">
        <v>58.61</v>
      </c>
      <c r="O12095" s="49">
        <v>44547</v>
      </c>
      <c r="P12095" s="50">
        <v>99.944999999999993</v>
      </c>
    </row>
    <row r="12096" spans="4:16" x14ac:dyDescent="0.2">
      <c r="D12096">
        <v>100007258</v>
      </c>
      <c r="E12096" s="49">
        <v>45227</v>
      </c>
      <c r="F12096" t="s">
        <v>7881</v>
      </c>
      <c r="G12096" t="s">
        <v>2130</v>
      </c>
      <c r="H12096">
        <v>10</v>
      </c>
      <c r="I12096">
        <v>72.19</v>
      </c>
      <c r="J12096" s="50">
        <v>721.9</v>
      </c>
      <c r="K12096" t="s">
        <v>1632</v>
      </c>
      <c r="M12096" t="s">
        <v>1629</v>
      </c>
      <c r="N12096">
        <v>38.1</v>
      </c>
      <c r="O12096" s="49">
        <v>45230</v>
      </c>
      <c r="P12096" s="50">
        <v>324.85500000000002</v>
      </c>
    </row>
    <row r="12097" spans="4:16" x14ac:dyDescent="0.2">
      <c r="D12097">
        <v>100007259</v>
      </c>
      <c r="E12097" s="49">
        <v>45431</v>
      </c>
      <c r="F12097" t="s">
        <v>7882</v>
      </c>
      <c r="G12097" t="s">
        <v>1765</v>
      </c>
      <c r="H12097">
        <v>1</v>
      </c>
      <c r="I12097">
        <v>70.87</v>
      </c>
      <c r="J12097" s="50">
        <v>70.87</v>
      </c>
      <c r="K12097" t="s">
        <v>1632</v>
      </c>
      <c r="L12097" t="s">
        <v>7883</v>
      </c>
      <c r="M12097" t="s">
        <v>1619</v>
      </c>
      <c r="N12097">
        <v>37.4</v>
      </c>
      <c r="O12097" s="49">
        <v>45434</v>
      </c>
      <c r="P12097" s="50">
        <v>31.891500000000004</v>
      </c>
    </row>
    <row r="12098" spans="4:16" x14ac:dyDescent="0.2">
      <c r="D12098">
        <v>100007260</v>
      </c>
      <c r="E12098" s="49">
        <v>44755</v>
      </c>
      <c r="F12098" t="s">
        <v>2215</v>
      </c>
      <c r="G12098" t="s">
        <v>1676</v>
      </c>
      <c r="H12098">
        <v>8</v>
      </c>
      <c r="I12098">
        <v>74.84</v>
      </c>
      <c r="J12098" s="50">
        <v>598.72</v>
      </c>
      <c r="K12098" t="s">
        <v>1618</v>
      </c>
      <c r="M12098" t="s">
        <v>1624</v>
      </c>
      <c r="N12098">
        <v>39.5</v>
      </c>
      <c r="O12098" s="49">
        <v>44760</v>
      </c>
      <c r="P12098" s="50">
        <v>269.42400000000004</v>
      </c>
    </row>
    <row r="12099" spans="4:16" x14ac:dyDescent="0.2">
      <c r="D12099">
        <v>100007263</v>
      </c>
      <c r="E12099" s="49">
        <v>45527</v>
      </c>
      <c r="F12099" t="s">
        <v>7884</v>
      </c>
      <c r="G12099" t="s">
        <v>1922</v>
      </c>
      <c r="H12099">
        <v>5</v>
      </c>
      <c r="I12099">
        <v>74.42</v>
      </c>
      <c r="J12099" s="50">
        <v>372.1</v>
      </c>
      <c r="K12099" t="s">
        <v>1618</v>
      </c>
      <c r="M12099" t="s">
        <v>1624</v>
      </c>
      <c r="N12099">
        <v>39.28</v>
      </c>
      <c r="O12099" s="49">
        <v>45530</v>
      </c>
      <c r="P12099" s="50">
        <v>167.44500000000002</v>
      </c>
    </row>
    <row r="12100" spans="4:16" x14ac:dyDescent="0.2">
      <c r="D12100">
        <v>100007263</v>
      </c>
      <c r="E12100" s="49">
        <v>45051</v>
      </c>
      <c r="F12100" t="s">
        <v>7884</v>
      </c>
      <c r="G12100" t="s">
        <v>2331</v>
      </c>
      <c r="H12100">
        <v>3</v>
      </c>
      <c r="I12100">
        <v>90.52</v>
      </c>
      <c r="J12100" s="50">
        <v>271.56</v>
      </c>
      <c r="K12100" t="s">
        <v>1618</v>
      </c>
      <c r="M12100" t="s">
        <v>1621</v>
      </c>
      <c r="N12100">
        <v>47.77</v>
      </c>
      <c r="O12100" s="49">
        <v>45053</v>
      </c>
      <c r="P12100" s="50">
        <v>122.202</v>
      </c>
    </row>
    <row r="12101" spans="4:16" x14ac:dyDescent="0.2">
      <c r="D12101">
        <v>100007263</v>
      </c>
      <c r="E12101" s="49">
        <v>45228</v>
      </c>
      <c r="F12101" t="s">
        <v>7884</v>
      </c>
      <c r="G12101" t="s">
        <v>1880</v>
      </c>
      <c r="H12101">
        <v>7</v>
      </c>
      <c r="I12101">
        <v>23.25</v>
      </c>
      <c r="J12101" s="50">
        <v>162.75</v>
      </c>
      <c r="K12101" t="s">
        <v>1618</v>
      </c>
      <c r="M12101" t="s">
        <v>1627</v>
      </c>
      <c r="N12101">
        <v>12.27</v>
      </c>
      <c r="O12101" s="49">
        <v>45230</v>
      </c>
      <c r="P12101" s="50">
        <v>73.237499999999997</v>
      </c>
    </row>
    <row r="12102" spans="4:16" x14ac:dyDescent="0.2">
      <c r="D12102">
        <v>100007264</v>
      </c>
      <c r="E12102" s="49">
        <v>44324</v>
      </c>
      <c r="F12102" t="s">
        <v>7885</v>
      </c>
      <c r="G12102" t="s">
        <v>1663</v>
      </c>
      <c r="H12102">
        <v>9</v>
      </c>
      <c r="I12102">
        <v>82.41</v>
      </c>
      <c r="J12102" s="50">
        <v>741.68999999999994</v>
      </c>
      <c r="K12102" t="s">
        <v>1632</v>
      </c>
      <c r="M12102" t="s">
        <v>1619</v>
      </c>
      <c r="N12102">
        <v>43.49</v>
      </c>
      <c r="O12102" s="49">
        <v>44327</v>
      </c>
      <c r="P12102" s="50">
        <v>333.76049999999998</v>
      </c>
    </row>
    <row r="12103" spans="4:16" x14ac:dyDescent="0.2">
      <c r="D12103">
        <v>100007264</v>
      </c>
      <c r="E12103" s="49">
        <v>45163</v>
      </c>
      <c r="F12103" t="s">
        <v>7885</v>
      </c>
      <c r="G12103" t="s">
        <v>2202</v>
      </c>
      <c r="H12103">
        <v>4</v>
      </c>
      <c r="I12103">
        <v>23.82</v>
      </c>
      <c r="J12103" s="50">
        <v>95.28</v>
      </c>
      <c r="K12103" t="s">
        <v>1632</v>
      </c>
      <c r="M12103" t="s">
        <v>1627</v>
      </c>
      <c r="N12103">
        <v>12.57</v>
      </c>
      <c r="O12103" s="49">
        <v>45167</v>
      </c>
      <c r="P12103" s="50">
        <v>42.876000000000005</v>
      </c>
    </row>
    <row r="12104" spans="4:16" x14ac:dyDescent="0.2">
      <c r="D12104">
        <v>100007266</v>
      </c>
      <c r="E12104" s="49">
        <v>45550</v>
      </c>
      <c r="F12104" t="s">
        <v>7886</v>
      </c>
      <c r="G12104" t="s">
        <v>1987</v>
      </c>
      <c r="H12104">
        <v>9</v>
      </c>
      <c r="I12104">
        <v>22.22</v>
      </c>
      <c r="J12104" s="50">
        <v>199.98</v>
      </c>
      <c r="K12104" t="s">
        <v>1618</v>
      </c>
      <c r="M12104" t="s">
        <v>1629</v>
      </c>
      <c r="N12104">
        <v>11.73</v>
      </c>
      <c r="O12104" s="49">
        <v>45551</v>
      </c>
      <c r="P12104" s="50">
        <v>89.991</v>
      </c>
    </row>
    <row r="12105" spans="4:16" x14ac:dyDescent="0.2">
      <c r="D12105">
        <v>100007266</v>
      </c>
      <c r="E12105" s="49">
        <v>44666</v>
      </c>
      <c r="F12105" t="s">
        <v>7886</v>
      </c>
      <c r="G12105" t="s">
        <v>2125</v>
      </c>
      <c r="H12105">
        <v>6</v>
      </c>
      <c r="I12105">
        <v>61.8</v>
      </c>
      <c r="J12105" s="50">
        <v>370.8</v>
      </c>
      <c r="K12105" t="s">
        <v>1618</v>
      </c>
      <c r="M12105" t="s">
        <v>1621</v>
      </c>
      <c r="N12105">
        <v>32.619999999999997</v>
      </c>
      <c r="O12105" s="49">
        <v>44667</v>
      </c>
      <c r="P12105" s="50">
        <v>166.86</v>
      </c>
    </row>
    <row r="12106" spans="4:16" x14ac:dyDescent="0.2">
      <c r="D12106">
        <v>100007266</v>
      </c>
      <c r="E12106" s="49">
        <v>45384</v>
      </c>
      <c r="F12106" t="s">
        <v>7886</v>
      </c>
      <c r="G12106" t="s">
        <v>2003</v>
      </c>
      <c r="H12106">
        <v>7</v>
      </c>
      <c r="I12106">
        <v>75.180000000000007</v>
      </c>
      <c r="J12106" s="50">
        <v>526.26</v>
      </c>
      <c r="K12106" t="s">
        <v>1618</v>
      </c>
      <c r="M12106" t="s">
        <v>1621</v>
      </c>
      <c r="N12106">
        <v>39.68</v>
      </c>
      <c r="O12106" s="49">
        <v>45387</v>
      </c>
      <c r="P12106" s="50">
        <v>236.81700000000001</v>
      </c>
    </row>
    <row r="12107" spans="4:16" x14ac:dyDescent="0.2">
      <c r="D12107">
        <v>100007266</v>
      </c>
      <c r="E12107" s="49">
        <v>44211</v>
      </c>
      <c r="F12107" t="s">
        <v>7886</v>
      </c>
      <c r="G12107" t="s">
        <v>2116</v>
      </c>
      <c r="H12107">
        <v>1</v>
      </c>
      <c r="I12107">
        <v>118.1</v>
      </c>
      <c r="J12107" s="50">
        <v>118.1</v>
      </c>
      <c r="K12107" t="s">
        <v>1618</v>
      </c>
      <c r="M12107" t="s">
        <v>1627</v>
      </c>
      <c r="N12107">
        <v>62.33</v>
      </c>
      <c r="O12107" s="49">
        <v>44216</v>
      </c>
      <c r="P12107" s="50">
        <v>53.144999999999996</v>
      </c>
    </row>
    <row r="12108" spans="4:16" x14ac:dyDescent="0.2">
      <c r="D12108">
        <v>100007268</v>
      </c>
      <c r="E12108" s="49">
        <v>44537</v>
      </c>
      <c r="F12108" t="s">
        <v>7887</v>
      </c>
      <c r="G12108" t="s">
        <v>2343</v>
      </c>
      <c r="H12108">
        <v>4</v>
      </c>
      <c r="I12108">
        <v>54.93</v>
      </c>
      <c r="J12108" s="50">
        <v>219.72</v>
      </c>
      <c r="K12108" t="s">
        <v>1632</v>
      </c>
      <c r="M12108" t="s">
        <v>1621</v>
      </c>
      <c r="N12108">
        <v>28.99</v>
      </c>
      <c r="O12108" s="49">
        <v>44541</v>
      </c>
      <c r="P12108" s="50">
        <v>98.873999999999995</v>
      </c>
    </row>
    <row r="12109" spans="4:16" x14ac:dyDescent="0.2">
      <c r="D12109">
        <v>100007268</v>
      </c>
      <c r="E12109" s="49">
        <v>45195</v>
      </c>
      <c r="F12109" t="s">
        <v>7887</v>
      </c>
      <c r="G12109" t="s">
        <v>1666</v>
      </c>
      <c r="H12109">
        <v>5</v>
      </c>
      <c r="I12109">
        <v>33.299999999999997</v>
      </c>
      <c r="J12109" s="50">
        <v>166.5</v>
      </c>
      <c r="K12109" t="s">
        <v>1632</v>
      </c>
      <c r="M12109" t="s">
        <v>1619</v>
      </c>
      <c r="N12109">
        <v>17.57</v>
      </c>
      <c r="O12109" s="49">
        <v>45198</v>
      </c>
      <c r="P12109" s="50">
        <v>74.924999999999997</v>
      </c>
    </row>
    <row r="12110" spans="4:16" x14ac:dyDescent="0.2">
      <c r="D12110">
        <v>100007269</v>
      </c>
      <c r="E12110" s="49">
        <v>44716</v>
      </c>
      <c r="F12110" t="s">
        <v>7888</v>
      </c>
      <c r="G12110" t="s">
        <v>2060</v>
      </c>
      <c r="H12110">
        <v>7</v>
      </c>
      <c r="I12110">
        <v>77.27</v>
      </c>
      <c r="J12110" s="50">
        <v>540.89</v>
      </c>
      <c r="K12110" t="s">
        <v>1618</v>
      </c>
      <c r="M12110" t="s">
        <v>1629</v>
      </c>
      <c r="N12110">
        <v>40.78</v>
      </c>
      <c r="O12110" s="49">
        <v>44717</v>
      </c>
      <c r="P12110" s="50">
        <v>243.40049999999999</v>
      </c>
    </row>
    <row r="12111" spans="4:16" x14ac:dyDescent="0.2">
      <c r="D12111">
        <v>100007269</v>
      </c>
      <c r="E12111" s="49">
        <v>44220</v>
      </c>
      <c r="F12111" t="s">
        <v>7888</v>
      </c>
      <c r="G12111" t="s">
        <v>1787</v>
      </c>
      <c r="H12111">
        <v>7</v>
      </c>
      <c r="I12111">
        <v>57.13</v>
      </c>
      <c r="J12111" s="50">
        <v>399.91</v>
      </c>
      <c r="K12111" t="s">
        <v>1618</v>
      </c>
      <c r="M12111" t="s">
        <v>1624</v>
      </c>
      <c r="N12111">
        <v>30.15</v>
      </c>
      <c r="O12111" s="49">
        <v>44221</v>
      </c>
      <c r="P12111" s="50">
        <v>179.95950000000002</v>
      </c>
    </row>
    <row r="12112" spans="4:16" x14ac:dyDescent="0.2">
      <c r="D12112">
        <v>100007270</v>
      </c>
      <c r="E12112" s="49">
        <v>45524</v>
      </c>
      <c r="F12112" t="s">
        <v>7889</v>
      </c>
      <c r="G12112" t="s">
        <v>2553</v>
      </c>
      <c r="H12112">
        <v>9</v>
      </c>
      <c r="I12112">
        <v>99.5</v>
      </c>
      <c r="J12112" s="50">
        <v>895.5</v>
      </c>
      <c r="K12112" t="s">
        <v>1618</v>
      </c>
      <c r="M12112" t="s">
        <v>1629</v>
      </c>
      <c r="N12112">
        <v>52.51</v>
      </c>
      <c r="O12112" s="49">
        <v>45527</v>
      </c>
      <c r="P12112" s="50">
        <v>402.97500000000002</v>
      </c>
    </row>
    <row r="12113" spans="4:16" x14ac:dyDescent="0.2">
      <c r="D12113">
        <v>100007270</v>
      </c>
      <c r="E12113" s="49">
        <v>44615</v>
      </c>
      <c r="F12113" t="s">
        <v>7889</v>
      </c>
      <c r="G12113" t="s">
        <v>2098</v>
      </c>
      <c r="H12113">
        <v>9</v>
      </c>
      <c r="I12113">
        <v>38.06</v>
      </c>
      <c r="J12113" s="50">
        <v>342.54</v>
      </c>
      <c r="K12113" t="s">
        <v>1618</v>
      </c>
      <c r="M12113" t="s">
        <v>1624</v>
      </c>
      <c r="N12113">
        <v>20.09</v>
      </c>
      <c r="O12113" s="49">
        <v>44620</v>
      </c>
      <c r="P12113" s="50">
        <v>154.143</v>
      </c>
    </row>
    <row r="12114" spans="4:16" x14ac:dyDescent="0.2">
      <c r="D12114">
        <v>100007271</v>
      </c>
      <c r="E12114" s="49">
        <v>44804</v>
      </c>
      <c r="F12114" t="s">
        <v>7890</v>
      </c>
      <c r="G12114" t="s">
        <v>1762</v>
      </c>
      <c r="H12114">
        <v>3</v>
      </c>
      <c r="I12114">
        <v>110.36</v>
      </c>
      <c r="J12114" s="50">
        <v>331.08</v>
      </c>
      <c r="K12114" t="s">
        <v>1632</v>
      </c>
      <c r="M12114" t="s">
        <v>1619</v>
      </c>
      <c r="N12114">
        <v>58.25</v>
      </c>
      <c r="O12114" s="49">
        <v>44807</v>
      </c>
      <c r="P12114" s="50">
        <v>148.98599999999999</v>
      </c>
    </row>
    <row r="12115" spans="4:16" x14ac:dyDescent="0.2">
      <c r="D12115">
        <v>100007271</v>
      </c>
      <c r="E12115" s="49">
        <v>45431</v>
      </c>
      <c r="F12115" t="s">
        <v>7890</v>
      </c>
      <c r="G12115" t="s">
        <v>2346</v>
      </c>
      <c r="H12115">
        <v>3</v>
      </c>
      <c r="I12115">
        <v>104.8</v>
      </c>
      <c r="J12115" s="50">
        <v>314.39999999999998</v>
      </c>
      <c r="K12115" t="s">
        <v>1632</v>
      </c>
      <c r="M12115" t="s">
        <v>1629</v>
      </c>
      <c r="N12115">
        <v>55.31</v>
      </c>
      <c r="O12115" s="49">
        <v>45434</v>
      </c>
      <c r="P12115" s="50">
        <v>141.47999999999999</v>
      </c>
    </row>
    <row r="12116" spans="4:16" x14ac:dyDescent="0.2">
      <c r="D12116">
        <v>100007273</v>
      </c>
      <c r="E12116" s="49">
        <v>45297</v>
      </c>
      <c r="F12116" t="s">
        <v>7891</v>
      </c>
      <c r="G12116" t="s">
        <v>1749</v>
      </c>
      <c r="H12116">
        <v>1</v>
      </c>
      <c r="I12116">
        <v>55.07</v>
      </c>
      <c r="J12116" s="50">
        <v>55.07</v>
      </c>
      <c r="K12116" t="s">
        <v>1618</v>
      </c>
      <c r="M12116" t="s">
        <v>1629</v>
      </c>
      <c r="N12116">
        <v>29.06</v>
      </c>
      <c r="O12116" s="49">
        <v>45298</v>
      </c>
      <c r="P12116" s="50">
        <v>24.781500000000001</v>
      </c>
    </row>
    <row r="12117" spans="4:16" x14ac:dyDescent="0.2">
      <c r="D12117">
        <v>100007274</v>
      </c>
      <c r="E12117" s="49">
        <v>45653</v>
      </c>
      <c r="F12117" t="s">
        <v>7892</v>
      </c>
      <c r="G12117" t="s">
        <v>1794</v>
      </c>
      <c r="H12117">
        <v>9</v>
      </c>
      <c r="I12117">
        <v>55.63</v>
      </c>
      <c r="J12117" s="50">
        <v>500.67</v>
      </c>
      <c r="K12117" t="s">
        <v>1632</v>
      </c>
      <c r="M12117" t="s">
        <v>1627</v>
      </c>
      <c r="N12117">
        <v>29.36</v>
      </c>
      <c r="O12117" s="49">
        <v>45655</v>
      </c>
      <c r="P12117" s="50">
        <v>225.3015</v>
      </c>
    </row>
    <row r="12118" spans="4:16" x14ac:dyDescent="0.2">
      <c r="D12118">
        <v>100007275</v>
      </c>
      <c r="E12118" s="49">
        <v>44547</v>
      </c>
      <c r="F12118" t="s">
        <v>7763</v>
      </c>
      <c r="G12118" t="s">
        <v>1623</v>
      </c>
      <c r="H12118">
        <v>1</v>
      </c>
      <c r="I12118">
        <v>42.1</v>
      </c>
      <c r="J12118" s="50">
        <v>42.1</v>
      </c>
      <c r="K12118" t="s">
        <v>1632</v>
      </c>
      <c r="M12118" t="s">
        <v>1624</v>
      </c>
      <c r="N12118">
        <v>22.22</v>
      </c>
      <c r="O12118" s="49">
        <v>44550</v>
      </c>
      <c r="P12118" s="50">
        <v>18.945</v>
      </c>
    </row>
    <row r="12119" spans="4:16" x14ac:dyDescent="0.2">
      <c r="D12119">
        <v>100007276</v>
      </c>
      <c r="E12119" s="49">
        <v>45309</v>
      </c>
      <c r="F12119" t="s">
        <v>7893</v>
      </c>
      <c r="G12119" t="s">
        <v>1902</v>
      </c>
      <c r="H12119">
        <v>4</v>
      </c>
      <c r="I12119">
        <v>69.19</v>
      </c>
      <c r="J12119" s="50">
        <v>276.76</v>
      </c>
      <c r="K12119" t="s">
        <v>1618</v>
      </c>
      <c r="M12119" t="s">
        <v>1629</v>
      </c>
      <c r="N12119">
        <v>36.520000000000003</v>
      </c>
      <c r="O12119" s="49">
        <v>45310</v>
      </c>
      <c r="P12119" s="50">
        <v>124.542</v>
      </c>
    </row>
    <row r="12120" spans="4:16" x14ac:dyDescent="0.2">
      <c r="D12120">
        <v>100007276</v>
      </c>
      <c r="E12120" s="49">
        <v>44462</v>
      </c>
      <c r="F12120" t="s">
        <v>7893</v>
      </c>
      <c r="G12120" t="s">
        <v>2191</v>
      </c>
      <c r="H12120">
        <v>4</v>
      </c>
      <c r="I12120">
        <v>94.16</v>
      </c>
      <c r="J12120" s="50">
        <v>376.64</v>
      </c>
      <c r="K12120" t="s">
        <v>1618</v>
      </c>
      <c r="M12120" t="s">
        <v>1621</v>
      </c>
      <c r="N12120">
        <v>49.7</v>
      </c>
      <c r="O12120" s="49">
        <v>44465</v>
      </c>
      <c r="P12120" s="50">
        <v>169.488</v>
      </c>
    </row>
    <row r="12121" spans="4:16" x14ac:dyDescent="0.2">
      <c r="D12121">
        <v>100007276</v>
      </c>
      <c r="E12121" s="49">
        <v>44418</v>
      </c>
      <c r="F12121" t="s">
        <v>7893</v>
      </c>
      <c r="G12121" t="s">
        <v>2076</v>
      </c>
      <c r="H12121">
        <v>9</v>
      </c>
      <c r="I12121">
        <v>99.16</v>
      </c>
      <c r="J12121" s="50">
        <v>892.43999999999994</v>
      </c>
      <c r="K12121" t="s">
        <v>1618</v>
      </c>
      <c r="M12121" t="s">
        <v>1627</v>
      </c>
      <c r="N12121">
        <v>52.33</v>
      </c>
      <c r="O12121" s="49">
        <v>44422</v>
      </c>
      <c r="P12121" s="50">
        <v>401.59799999999996</v>
      </c>
    </row>
    <row r="12122" spans="4:16" x14ac:dyDescent="0.2">
      <c r="D12122">
        <v>100007276</v>
      </c>
      <c r="E12122" s="49">
        <v>44324</v>
      </c>
      <c r="F12122" t="s">
        <v>7893</v>
      </c>
      <c r="G12122" t="s">
        <v>2028</v>
      </c>
      <c r="H12122">
        <v>8</v>
      </c>
      <c r="I12122">
        <v>29.98</v>
      </c>
      <c r="J12122" s="50">
        <v>239.84</v>
      </c>
      <c r="K12122" t="s">
        <v>1618</v>
      </c>
      <c r="M12122" t="s">
        <v>1624</v>
      </c>
      <c r="N12122">
        <v>15.82</v>
      </c>
      <c r="O12122" s="49">
        <v>44329</v>
      </c>
      <c r="P12122" s="50">
        <v>107.928</v>
      </c>
    </row>
    <row r="12123" spans="4:16" x14ac:dyDescent="0.2">
      <c r="D12123">
        <v>100007277</v>
      </c>
      <c r="E12123" s="49">
        <v>45405</v>
      </c>
      <c r="F12123" t="s">
        <v>7894</v>
      </c>
      <c r="G12123" t="s">
        <v>3075</v>
      </c>
      <c r="H12123">
        <v>2</v>
      </c>
      <c r="I12123">
        <v>74.67</v>
      </c>
      <c r="J12123" s="50">
        <v>149.34</v>
      </c>
      <c r="K12123" t="s">
        <v>1632</v>
      </c>
      <c r="L12123" t="s">
        <v>2075</v>
      </c>
      <c r="M12123" t="s">
        <v>1619</v>
      </c>
      <c r="N12123">
        <v>39.409999999999997</v>
      </c>
      <c r="O12123" s="49">
        <v>45407</v>
      </c>
      <c r="P12123" s="50">
        <v>67.203000000000003</v>
      </c>
    </row>
    <row r="12124" spans="4:16" x14ac:dyDescent="0.2">
      <c r="D12124">
        <v>100007277</v>
      </c>
      <c r="E12124" s="49">
        <v>45319</v>
      </c>
      <c r="F12124" t="s">
        <v>7894</v>
      </c>
      <c r="G12124" t="s">
        <v>1636</v>
      </c>
      <c r="H12124">
        <v>9</v>
      </c>
      <c r="I12124">
        <v>97.73</v>
      </c>
      <c r="J12124" s="50">
        <v>879.57</v>
      </c>
      <c r="K12124" t="s">
        <v>1632</v>
      </c>
      <c r="L12124" t="s">
        <v>2075</v>
      </c>
      <c r="M12124" t="s">
        <v>1624</v>
      </c>
      <c r="N12124">
        <v>51.58</v>
      </c>
      <c r="O12124" s="49">
        <v>45324</v>
      </c>
      <c r="P12124" s="50">
        <v>395.80650000000003</v>
      </c>
    </row>
    <row r="12125" spans="4:16" x14ac:dyDescent="0.2">
      <c r="D12125">
        <v>100007277</v>
      </c>
      <c r="E12125" s="49">
        <v>45065</v>
      </c>
      <c r="F12125" t="s">
        <v>7894</v>
      </c>
      <c r="G12125" t="s">
        <v>2150</v>
      </c>
      <c r="H12125">
        <v>8</v>
      </c>
      <c r="I12125">
        <v>72.5</v>
      </c>
      <c r="J12125" s="50">
        <v>580</v>
      </c>
      <c r="K12125" t="s">
        <v>1632</v>
      </c>
      <c r="L12125" t="s">
        <v>2075</v>
      </c>
      <c r="M12125" t="s">
        <v>1619</v>
      </c>
      <c r="N12125">
        <v>38.26</v>
      </c>
      <c r="O12125" s="49">
        <v>45067</v>
      </c>
      <c r="P12125" s="50">
        <v>261</v>
      </c>
    </row>
    <row r="12126" spans="4:16" x14ac:dyDescent="0.2">
      <c r="D12126">
        <v>100007278</v>
      </c>
      <c r="E12126" s="49">
        <v>44506</v>
      </c>
      <c r="F12126" t="s">
        <v>7895</v>
      </c>
      <c r="G12126" t="s">
        <v>2069</v>
      </c>
      <c r="H12126">
        <v>7</v>
      </c>
      <c r="I12126">
        <v>51.01</v>
      </c>
      <c r="J12126" s="50">
        <v>357.07</v>
      </c>
      <c r="K12126" t="s">
        <v>1618</v>
      </c>
      <c r="L12126" t="s">
        <v>2020</v>
      </c>
      <c r="M12126" t="s">
        <v>1629</v>
      </c>
      <c r="N12126">
        <v>26.92</v>
      </c>
      <c r="O12126" s="49">
        <v>44511</v>
      </c>
      <c r="P12126" s="50">
        <v>160.6815</v>
      </c>
    </row>
    <row r="12127" spans="4:16" x14ac:dyDescent="0.2">
      <c r="D12127">
        <v>100007278</v>
      </c>
      <c r="E12127" s="49">
        <v>45452</v>
      </c>
      <c r="F12127" t="s">
        <v>7895</v>
      </c>
      <c r="G12127" t="s">
        <v>2069</v>
      </c>
      <c r="H12127">
        <v>8</v>
      </c>
      <c r="I12127">
        <v>101.23</v>
      </c>
      <c r="J12127" s="50">
        <v>809.84</v>
      </c>
      <c r="K12127" t="s">
        <v>1618</v>
      </c>
      <c r="L12127" t="s">
        <v>2020</v>
      </c>
      <c r="M12127" t="s">
        <v>1619</v>
      </c>
      <c r="N12127">
        <v>53.43</v>
      </c>
      <c r="O12127" s="49">
        <v>45456</v>
      </c>
      <c r="P12127" s="50">
        <v>364.428</v>
      </c>
    </row>
    <row r="12128" spans="4:16" x14ac:dyDescent="0.2">
      <c r="D12128">
        <v>100007278</v>
      </c>
      <c r="E12128" s="49">
        <v>44323</v>
      </c>
      <c r="F12128" t="s">
        <v>7895</v>
      </c>
      <c r="G12128" t="s">
        <v>1922</v>
      </c>
      <c r="H12128">
        <v>6</v>
      </c>
      <c r="I12128">
        <v>76.34</v>
      </c>
      <c r="J12128" s="50">
        <v>458.04</v>
      </c>
      <c r="K12128" t="s">
        <v>1618</v>
      </c>
      <c r="L12128" t="s">
        <v>2020</v>
      </c>
      <c r="M12128" t="s">
        <v>1621</v>
      </c>
      <c r="N12128">
        <v>40.29</v>
      </c>
      <c r="O12128" s="49">
        <v>44327</v>
      </c>
      <c r="P12128" s="50">
        <v>206.11800000000002</v>
      </c>
    </row>
    <row r="12129" spans="4:16" x14ac:dyDescent="0.2">
      <c r="D12129">
        <v>100007278</v>
      </c>
      <c r="E12129" s="49">
        <v>44847</v>
      </c>
      <c r="F12129" t="s">
        <v>7895</v>
      </c>
      <c r="G12129" t="s">
        <v>1846</v>
      </c>
      <c r="H12129">
        <v>4</v>
      </c>
      <c r="I12129">
        <v>47.59</v>
      </c>
      <c r="J12129" s="50">
        <v>190.36</v>
      </c>
      <c r="K12129" t="s">
        <v>1618</v>
      </c>
      <c r="L12129" t="s">
        <v>2020</v>
      </c>
      <c r="M12129" t="s">
        <v>1629</v>
      </c>
      <c r="N12129">
        <v>25.12</v>
      </c>
      <c r="O12129" s="49">
        <v>44852</v>
      </c>
      <c r="P12129" s="50">
        <v>85.662000000000006</v>
      </c>
    </row>
    <row r="12130" spans="4:16" x14ac:dyDescent="0.2">
      <c r="D12130">
        <v>100007282</v>
      </c>
      <c r="E12130" s="49">
        <v>44566</v>
      </c>
      <c r="F12130" t="s">
        <v>7896</v>
      </c>
      <c r="G12130" t="s">
        <v>1704</v>
      </c>
      <c r="H12130">
        <v>10</v>
      </c>
      <c r="I12130">
        <v>87.43</v>
      </c>
      <c r="J12130" s="50">
        <v>874.30000000000007</v>
      </c>
      <c r="K12130" t="s">
        <v>1632</v>
      </c>
      <c r="M12130" t="s">
        <v>1621</v>
      </c>
      <c r="N12130">
        <v>46.14</v>
      </c>
      <c r="O12130" s="49">
        <v>44569</v>
      </c>
      <c r="P12130" s="50">
        <v>393.43500000000006</v>
      </c>
    </row>
    <row r="12131" spans="4:16" x14ac:dyDescent="0.2">
      <c r="D12131">
        <v>100007283</v>
      </c>
      <c r="E12131" s="49">
        <v>44216</v>
      </c>
      <c r="F12131" t="s">
        <v>7897</v>
      </c>
      <c r="G12131" t="s">
        <v>2390</v>
      </c>
      <c r="H12131">
        <v>6</v>
      </c>
      <c r="I12131">
        <v>19.5</v>
      </c>
      <c r="J12131" s="50">
        <v>117</v>
      </c>
      <c r="K12131" t="s">
        <v>1618</v>
      </c>
      <c r="M12131" t="s">
        <v>1624</v>
      </c>
      <c r="N12131">
        <v>10.29</v>
      </c>
      <c r="O12131" s="49">
        <v>44217</v>
      </c>
      <c r="P12131" s="50">
        <v>52.65</v>
      </c>
    </row>
    <row r="12132" spans="4:16" x14ac:dyDescent="0.2">
      <c r="D12132">
        <v>100007283</v>
      </c>
      <c r="E12132" s="49">
        <v>45447</v>
      </c>
      <c r="F12132" t="s">
        <v>7897</v>
      </c>
      <c r="G12132" t="s">
        <v>1882</v>
      </c>
      <c r="H12132">
        <v>8</v>
      </c>
      <c r="I12132">
        <v>44.24</v>
      </c>
      <c r="J12132" s="50">
        <v>353.92</v>
      </c>
      <c r="K12132" t="s">
        <v>1618</v>
      </c>
      <c r="M12132" t="s">
        <v>1621</v>
      </c>
      <c r="N12132">
        <v>23.35</v>
      </c>
      <c r="O12132" s="49">
        <v>45451</v>
      </c>
      <c r="P12132" s="50">
        <v>159.26400000000001</v>
      </c>
    </row>
    <row r="12133" spans="4:16" x14ac:dyDescent="0.2">
      <c r="D12133">
        <v>100007283</v>
      </c>
      <c r="E12133" s="49">
        <v>44570</v>
      </c>
      <c r="F12133" t="s">
        <v>7897</v>
      </c>
      <c r="G12133" t="s">
        <v>2039</v>
      </c>
      <c r="H12133">
        <v>4</v>
      </c>
      <c r="I12133">
        <v>11.59</v>
      </c>
      <c r="J12133" s="50">
        <v>46.36</v>
      </c>
      <c r="K12133" t="s">
        <v>1618</v>
      </c>
      <c r="M12133" t="s">
        <v>1624</v>
      </c>
      <c r="N12133">
        <v>6.12</v>
      </c>
      <c r="O12133" s="49">
        <v>44575</v>
      </c>
      <c r="P12133" s="50">
        <v>20.862000000000002</v>
      </c>
    </row>
    <row r="12134" spans="4:16" x14ac:dyDescent="0.2">
      <c r="D12134">
        <v>100007283</v>
      </c>
      <c r="E12134" s="49">
        <v>44956</v>
      </c>
      <c r="F12134" t="s">
        <v>7897</v>
      </c>
      <c r="G12134" t="s">
        <v>2063</v>
      </c>
      <c r="H12134">
        <v>8</v>
      </c>
      <c r="I12134">
        <v>15.08</v>
      </c>
      <c r="J12134" s="50">
        <v>120.64</v>
      </c>
      <c r="K12134" t="s">
        <v>1618</v>
      </c>
      <c r="M12134" t="s">
        <v>1621</v>
      </c>
      <c r="N12134">
        <v>7.96</v>
      </c>
      <c r="O12134" s="49">
        <v>44958</v>
      </c>
      <c r="P12134" s="50">
        <v>54.288000000000004</v>
      </c>
    </row>
    <row r="12135" spans="4:16" x14ac:dyDescent="0.2">
      <c r="D12135">
        <v>100007283</v>
      </c>
      <c r="E12135" s="49">
        <v>44951</v>
      </c>
      <c r="F12135" t="s">
        <v>7897</v>
      </c>
      <c r="G12135" t="s">
        <v>1825</v>
      </c>
      <c r="H12135">
        <v>6</v>
      </c>
      <c r="I12135">
        <v>115.31</v>
      </c>
      <c r="J12135" s="50">
        <v>691.86</v>
      </c>
      <c r="K12135" t="s">
        <v>1618</v>
      </c>
      <c r="M12135" t="s">
        <v>1627</v>
      </c>
      <c r="N12135">
        <v>60.86</v>
      </c>
      <c r="O12135" s="49">
        <v>44956</v>
      </c>
      <c r="P12135" s="50">
        <v>311.33699999999999</v>
      </c>
    </row>
    <row r="12136" spans="4:16" x14ac:dyDescent="0.2">
      <c r="D12136">
        <v>100007284</v>
      </c>
      <c r="E12136" s="49">
        <v>44878</v>
      </c>
      <c r="F12136" t="s">
        <v>3494</v>
      </c>
      <c r="G12136" t="s">
        <v>2130</v>
      </c>
      <c r="H12136">
        <v>8</v>
      </c>
      <c r="I12136">
        <v>33.950000000000003</v>
      </c>
      <c r="J12136" s="50">
        <v>271.60000000000002</v>
      </c>
      <c r="K12136" t="s">
        <v>1618</v>
      </c>
      <c r="M12136" t="s">
        <v>1627</v>
      </c>
      <c r="N12136">
        <v>17.920000000000002</v>
      </c>
      <c r="O12136" s="49">
        <v>44883</v>
      </c>
      <c r="P12136" s="50">
        <v>122.22000000000001</v>
      </c>
    </row>
    <row r="12137" spans="4:16" x14ac:dyDescent="0.2">
      <c r="D12137">
        <v>100007284</v>
      </c>
      <c r="E12137" s="49">
        <v>44763</v>
      </c>
      <c r="F12137" t="s">
        <v>3494</v>
      </c>
      <c r="G12137" t="s">
        <v>1710</v>
      </c>
      <c r="H12137">
        <v>7</v>
      </c>
      <c r="I12137">
        <v>76.099999999999994</v>
      </c>
      <c r="J12137" s="50">
        <v>532.69999999999993</v>
      </c>
      <c r="K12137" t="s">
        <v>1618</v>
      </c>
      <c r="M12137" t="s">
        <v>1624</v>
      </c>
      <c r="N12137">
        <v>40.159999999999997</v>
      </c>
      <c r="O12137" s="49">
        <v>44768</v>
      </c>
      <c r="P12137" s="50">
        <v>239.71499999999997</v>
      </c>
    </row>
    <row r="12138" spans="4:16" x14ac:dyDescent="0.2">
      <c r="D12138">
        <v>100007284</v>
      </c>
      <c r="E12138" s="49">
        <v>45533</v>
      </c>
      <c r="F12138" t="s">
        <v>3494</v>
      </c>
      <c r="G12138" t="s">
        <v>2232</v>
      </c>
      <c r="H12138">
        <v>1</v>
      </c>
      <c r="I12138">
        <v>65.989999999999995</v>
      </c>
      <c r="J12138" s="50">
        <v>65.989999999999995</v>
      </c>
      <c r="K12138" t="s">
        <v>1618</v>
      </c>
      <c r="M12138" t="s">
        <v>1619</v>
      </c>
      <c r="N12138">
        <v>34.83</v>
      </c>
      <c r="O12138" s="49">
        <v>45534</v>
      </c>
      <c r="P12138" s="50">
        <v>29.695499999999999</v>
      </c>
    </row>
    <row r="12139" spans="4:16" x14ac:dyDescent="0.2">
      <c r="D12139">
        <v>100007285</v>
      </c>
      <c r="E12139" s="49">
        <v>44785</v>
      </c>
      <c r="F12139" t="s">
        <v>7898</v>
      </c>
      <c r="G12139" t="s">
        <v>1620</v>
      </c>
      <c r="H12139">
        <v>4</v>
      </c>
      <c r="I12139">
        <v>106.51</v>
      </c>
      <c r="J12139" s="50">
        <v>426.04</v>
      </c>
      <c r="K12139" t="s">
        <v>1618</v>
      </c>
      <c r="M12139" t="s">
        <v>1619</v>
      </c>
      <c r="N12139">
        <v>56.21</v>
      </c>
      <c r="O12139" s="49">
        <v>44790</v>
      </c>
      <c r="P12139" s="50">
        <v>191.71800000000002</v>
      </c>
    </row>
    <row r="12140" spans="4:16" x14ac:dyDescent="0.2">
      <c r="D12140">
        <v>100007286</v>
      </c>
      <c r="E12140" s="49">
        <v>44207</v>
      </c>
      <c r="F12140" t="s">
        <v>7899</v>
      </c>
      <c r="G12140" t="s">
        <v>2550</v>
      </c>
      <c r="H12140">
        <v>6</v>
      </c>
      <c r="I12140">
        <v>112.81</v>
      </c>
      <c r="J12140" s="50">
        <v>676.86</v>
      </c>
      <c r="K12140" t="s">
        <v>1618</v>
      </c>
      <c r="M12140" t="s">
        <v>1627</v>
      </c>
      <c r="N12140">
        <v>59.54</v>
      </c>
      <c r="O12140" s="49">
        <v>44211</v>
      </c>
      <c r="P12140" s="50">
        <v>304.58699999999999</v>
      </c>
    </row>
    <row r="12141" spans="4:16" x14ac:dyDescent="0.2">
      <c r="D12141">
        <v>100007286</v>
      </c>
      <c r="E12141" s="49">
        <v>45067</v>
      </c>
      <c r="F12141" t="s">
        <v>7899</v>
      </c>
      <c r="G12141" t="s">
        <v>1675</v>
      </c>
      <c r="H12141">
        <v>8</v>
      </c>
      <c r="I12141">
        <v>110.14</v>
      </c>
      <c r="J12141" s="50">
        <v>881.12</v>
      </c>
      <c r="K12141" t="s">
        <v>1618</v>
      </c>
      <c r="M12141" t="s">
        <v>1621</v>
      </c>
      <c r="N12141">
        <v>58.13</v>
      </c>
      <c r="O12141" s="49">
        <v>45071</v>
      </c>
      <c r="P12141" s="50">
        <v>396.50400000000002</v>
      </c>
    </row>
    <row r="12142" spans="4:16" x14ac:dyDescent="0.2">
      <c r="D12142">
        <v>100007287</v>
      </c>
      <c r="E12142" s="49">
        <v>44820</v>
      </c>
      <c r="F12142" t="s">
        <v>7900</v>
      </c>
      <c r="G12142" t="s">
        <v>1882</v>
      </c>
      <c r="H12142">
        <v>1</v>
      </c>
      <c r="I12142">
        <v>60.16</v>
      </c>
      <c r="J12142" s="50">
        <v>60.16</v>
      </c>
      <c r="K12142" t="s">
        <v>1632</v>
      </c>
      <c r="M12142" t="s">
        <v>1621</v>
      </c>
      <c r="N12142">
        <v>31.75</v>
      </c>
      <c r="O12142" s="49">
        <v>44821</v>
      </c>
      <c r="P12142" s="50">
        <v>27.071999999999999</v>
      </c>
    </row>
    <row r="12143" spans="4:16" x14ac:dyDescent="0.2">
      <c r="D12143">
        <v>100007288</v>
      </c>
      <c r="E12143" s="49">
        <v>45316</v>
      </c>
      <c r="F12143" t="s">
        <v>7901</v>
      </c>
      <c r="G12143" t="s">
        <v>1631</v>
      </c>
      <c r="H12143">
        <v>3</v>
      </c>
      <c r="I12143">
        <v>92.63</v>
      </c>
      <c r="J12143" s="50">
        <v>277.89</v>
      </c>
      <c r="K12143" t="s">
        <v>1618</v>
      </c>
      <c r="M12143" t="s">
        <v>1624</v>
      </c>
      <c r="N12143">
        <v>48.89</v>
      </c>
      <c r="O12143" s="49">
        <v>45320</v>
      </c>
      <c r="P12143" s="50">
        <v>125.0505</v>
      </c>
    </row>
    <row r="12144" spans="4:16" x14ac:dyDescent="0.2">
      <c r="D12144">
        <v>100007288</v>
      </c>
      <c r="E12144" s="49">
        <v>44348</v>
      </c>
      <c r="F12144" t="s">
        <v>7901</v>
      </c>
      <c r="G12144" t="s">
        <v>1707</v>
      </c>
      <c r="H12144">
        <v>7</v>
      </c>
      <c r="I12144">
        <v>80.069999999999993</v>
      </c>
      <c r="J12144" s="50">
        <v>560.49</v>
      </c>
      <c r="K12144" t="s">
        <v>1618</v>
      </c>
      <c r="M12144" t="s">
        <v>1627</v>
      </c>
      <c r="N12144">
        <v>42.26</v>
      </c>
      <c r="O12144" s="49">
        <v>44351</v>
      </c>
      <c r="P12144" s="50">
        <v>252.22050000000002</v>
      </c>
    </row>
    <row r="12145" spans="4:16" x14ac:dyDescent="0.2">
      <c r="D12145">
        <v>100007289</v>
      </c>
      <c r="E12145" s="49">
        <v>44413</v>
      </c>
      <c r="F12145" t="s">
        <v>7902</v>
      </c>
      <c r="G12145" t="s">
        <v>2088</v>
      </c>
      <c r="H12145">
        <v>8</v>
      </c>
      <c r="I12145">
        <v>52.04</v>
      </c>
      <c r="J12145" s="50">
        <v>416.32</v>
      </c>
      <c r="K12145" t="s">
        <v>1618</v>
      </c>
      <c r="L12145" t="s">
        <v>4015</v>
      </c>
      <c r="M12145" t="s">
        <v>1621</v>
      </c>
      <c r="N12145">
        <v>27.47</v>
      </c>
      <c r="O12145" s="49">
        <v>44414</v>
      </c>
      <c r="P12145" s="50">
        <v>187.34399999999999</v>
      </c>
    </row>
    <row r="12146" spans="4:16" x14ac:dyDescent="0.2">
      <c r="D12146">
        <v>100007289</v>
      </c>
      <c r="E12146" s="49">
        <v>44976</v>
      </c>
      <c r="F12146" t="s">
        <v>7902</v>
      </c>
      <c r="G12146" t="s">
        <v>1733</v>
      </c>
      <c r="H12146">
        <v>3</v>
      </c>
      <c r="I12146">
        <v>118.26</v>
      </c>
      <c r="J12146" s="50">
        <v>354.78</v>
      </c>
      <c r="K12146" t="s">
        <v>1618</v>
      </c>
      <c r="L12146" t="s">
        <v>4015</v>
      </c>
      <c r="M12146" t="s">
        <v>1629</v>
      </c>
      <c r="N12146">
        <v>62.41</v>
      </c>
      <c r="O12146" s="49">
        <v>44980</v>
      </c>
      <c r="P12146" s="50">
        <v>159.65099999999998</v>
      </c>
    </row>
    <row r="12147" spans="4:16" x14ac:dyDescent="0.2">
      <c r="D12147">
        <v>100007289</v>
      </c>
      <c r="E12147" s="49">
        <v>45309</v>
      </c>
      <c r="F12147" t="s">
        <v>7902</v>
      </c>
      <c r="G12147" t="s">
        <v>1752</v>
      </c>
      <c r="H12147">
        <v>8</v>
      </c>
      <c r="I12147">
        <v>106.95</v>
      </c>
      <c r="J12147" s="50">
        <v>855.6</v>
      </c>
      <c r="K12147" t="s">
        <v>1618</v>
      </c>
      <c r="L12147" t="s">
        <v>4015</v>
      </c>
      <c r="M12147" t="s">
        <v>1621</v>
      </c>
      <c r="N12147">
        <v>56.45</v>
      </c>
      <c r="O12147" s="49">
        <v>45311</v>
      </c>
      <c r="P12147" s="50">
        <v>385.02000000000004</v>
      </c>
    </row>
    <row r="12148" spans="4:16" x14ac:dyDescent="0.2">
      <c r="D12148">
        <v>100007289</v>
      </c>
      <c r="E12148" s="49">
        <v>45599</v>
      </c>
      <c r="F12148" t="s">
        <v>7902</v>
      </c>
      <c r="G12148" t="s">
        <v>2136</v>
      </c>
      <c r="H12148">
        <v>6</v>
      </c>
      <c r="I12148">
        <v>79.099999999999994</v>
      </c>
      <c r="J12148" s="50">
        <v>474.6</v>
      </c>
      <c r="K12148" t="s">
        <v>1618</v>
      </c>
      <c r="L12148" t="s">
        <v>4015</v>
      </c>
      <c r="M12148" t="s">
        <v>1629</v>
      </c>
      <c r="N12148">
        <v>41.75</v>
      </c>
      <c r="O12148" s="49">
        <v>45601</v>
      </c>
      <c r="P12148" s="50">
        <v>213.57000000000002</v>
      </c>
    </row>
    <row r="12149" spans="4:16" x14ac:dyDescent="0.2">
      <c r="D12149">
        <v>100007289</v>
      </c>
      <c r="E12149" s="49">
        <v>45642</v>
      </c>
      <c r="F12149" t="s">
        <v>7902</v>
      </c>
      <c r="G12149" t="s">
        <v>2301</v>
      </c>
      <c r="H12149">
        <v>5</v>
      </c>
      <c r="I12149">
        <v>86.09</v>
      </c>
      <c r="J12149" s="50">
        <v>430.45</v>
      </c>
      <c r="K12149" t="s">
        <v>1618</v>
      </c>
      <c r="L12149" t="s">
        <v>4015</v>
      </c>
      <c r="M12149" t="s">
        <v>1619</v>
      </c>
      <c r="N12149">
        <v>45.44</v>
      </c>
      <c r="O12149" s="49">
        <v>45646</v>
      </c>
      <c r="P12149" s="50">
        <v>193.70249999999999</v>
      </c>
    </row>
    <row r="12150" spans="4:16" x14ac:dyDescent="0.2">
      <c r="D12150">
        <v>100007290</v>
      </c>
      <c r="E12150" s="49">
        <v>45119</v>
      </c>
      <c r="F12150" t="s">
        <v>7903</v>
      </c>
      <c r="G12150" t="s">
        <v>1922</v>
      </c>
      <c r="H12150">
        <v>8</v>
      </c>
      <c r="I12150">
        <v>94.52</v>
      </c>
      <c r="J12150" s="50">
        <v>756.16</v>
      </c>
      <c r="K12150" t="s">
        <v>1618</v>
      </c>
      <c r="L12150" t="s">
        <v>6473</v>
      </c>
      <c r="M12150" t="s">
        <v>1624</v>
      </c>
      <c r="N12150">
        <v>49.89</v>
      </c>
      <c r="O12150" s="49">
        <v>45120</v>
      </c>
      <c r="P12150" s="50">
        <v>340.27199999999999</v>
      </c>
    </row>
    <row r="12151" spans="4:16" x14ac:dyDescent="0.2">
      <c r="D12151">
        <v>100007290</v>
      </c>
      <c r="E12151" s="49">
        <v>45452</v>
      </c>
      <c r="F12151" t="s">
        <v>7903</v>
      </c>
      <c r="G12151" t="s">
        <v>1948</v>
      </c>
      <c r="H12151">
        <v>1</v>
      </c>
      <c r="I12151">
        <v>100.76</v>
      </c>
      <c r="J12151" s="50">
        <v>100.76</v>
      </c>
      <c r="K12151" t="s">
        <v>1618</v>
      </c>
      <c r="L12151" t="s">
        <v>6473</v>
      </c>
      <c r="M12151" t="s">
        <v>1627</v>
      </c>
      <c r="N12151">
        <v>53.18</v>
      </c>
      <c r="O12151" s="49">
        <v>45454</v>
      </c>
      <c r="P12151" s="50">
        <v>45.342000000000006</v>
      </c>
    </row>
    <row r="12152" spans="4:16" x14ac:dyDescent="0.2">
      <c r="D12152">
        <v>100007290</v>
      </c>
      <c r="E12152" s="49">
        <v>45160</v>
      </c>
      <c r="F12152" t="s">
        <v>7903</v>
      </c>
      <c r="G12152" t="s">
        <v>2103</v>
      </c>
      <c r="H12152">
        <v>7</v>
      </c>
      <c r="I12152">
        <v>105.78</v>
      </c>
      <c r="J12152" s="50">
        <v>740.46</v>
      </c>
      <c r="K12152" t="s">
        <v>1618</v>
      </c>
      <c r="L12152" t="s">
        <v>6473</v>
      </c>
      <c r="M12152" t="s">
        <v>1621</v>
      </c>
      <c r="N12152">
        <v>55.83</v>
      </c>
      <c r="O12152" s="49">
        <v>45165</v>
      </c>
      <c r="P12152" s="50">
        <v>333.20700000000005</v>
      </c>
    </row>
    <row r="12153" spans="4:16" x14ac:dyDescent="0.2">
      <c r="D12153">
        <v>100007290</v>
      </c>
      <c r="E12153" s="49">
        <v>44902</v>
      </c>
      <c r="F12153" t="s">
        <v>7903</v>
      </c>
      <c r="G12153" t="s">
        <v>1742</v>
      </c>
      <c r="H12153">
        <v>10</v>
      </c>
      <c r="I12153">
        <v>14.33</v>
      </c>
      <c r="J12153" s="50">
        <v>143.30000000000001</v>
      </c>
      <c r="K12153" t="s">
        <v>1618</v>
      </c>
      <c r="L12153" t="s">
        <v>6473</v>
      </c>
      <c r="M12153" t="s">
        <v>1624</v>
      </c>
      <c r="N12153">
        <v>7.56</v>
      </c>
      <c r="O12153" s="49">
        <v>44904</v>
      </c>
      <c r="P12153" s="50">
        <v>64.485000000000014</v>
      </c>
    </row>
    <row r="12154" spans="4:16" x14ac:dyDescent="0.2">
      <c r="D12154">
        <v>100007291</v>
      </c>
      <c r="E12154" s="49">
        <v>45411</v>
      </c>
      <c r="F12154" t="s">
        <v>7904</v>
      </c>
      <c r="G12154" t="s">
        <v>1749</v>
      </c>
      <c r="H12154">
        <v>1</v>
      </c>
      <c r="I12154">
        <v>101.99</v>
      </c>
      <c r="J12154" s="50">
        <v>101.99</v>
      </c>
      <c r="K12154" t="s">
        <v>1632</v>
      </c>
      <c r="M12154" t="s">
        <v>1629</v>
      </c>
      <c r="N12154">
        <v>53.83</v>
      </c>
      <c r="O12154" s="49">
        <v>45416</v>
      </c>
      <c r="P12154" s="50">
        <v>45.895499999999998</v>
      </c>
    </row>
    <row r="12155" spans="4:16" x14ac:dyDescent="0.2">
      <c r="D12155">
        <v>100007292</v>
      </c>
      <c r="E12155" s="49">
        <v>44746</v>
      </c>
      <c r="F12155" t="s">
        <v>7905</v>
      </c>
      <c r="G12155" t="s">
        <v>1650</v>
      </c>
      <c r="H12155">
        <v>10</v>
      </c>
      <c r="I12155">
        <v>109.27</v>
      </c>
      <c r="J12155" s="50">
        <v>1092.7</v>
      </c>
      <c r="K12155" t="s">
        <v>1618</v>
      </c>
      <c r="M12155" t="s">
        <v>1621</v>
      </c>
      <c r="N12155">
        <v>57.67</v>
      </c>
      <c r="O12155" s="49">
        <v>44750</v>
      </c>
      <c r="P12155" s="50">
        <v>491.71500000000003</v>
      </c>
    </row>
    <row r="12156" spans="4:16" x14ac:dyDescent="0.2">
      <c r="D12156">
        <v>100007292</v>
      </c>
      <c r="E12156" s="49">
        <v>44816</v>
      </c>
      <c r="F12156" t="s">
        <v>7905</v>
      </c>
      <c r="G12156" t="s">
        <v>1890</v>
      </c>
      <c r="H12156">
        <v>2</v>
      </c>
      <c r="I12156">
        <v>80.569999999999993</v>
      </c>
      <c r="J12156" s="50">
        <v>161.13999999999999</v>
      </c>
      <c r="K12156" t="s">
        <v>1618</v>
      </c>
      <c r="M12156" t="s">
        <v>1627</v>
      </c>
      <c r="N12156">
        <v>42.52</v>
      </c>
      <c r="O12156" s="49">
        <v>44817</v>
      </c>
      <c r="P12156" s="50">
        <v>72.512999999999991</v>
      </c>
    </row>
    <row r="12157" spans="4:16" x14ac:dyDescent="0.2">
      <c r="D12157">
        <v>100007292</v>
      </c>
      <c r="E12157" s="49">
        <v>45136</v>
      </c>
      <c r="F12157" t="s">
        <v>7905</v>
      </c>
      <c r="G12157" t="s">
        <v>2047</v>
      </c>
      <c r="H12157">
        <v>1</v>
      </c>
      <c r="I12157">
        <v>74.16</v>
      </c>
      <c r="J12157" s="50">
        <v>74.16</v>
      </c>
      <c r="K12157" t="s">
        <v>1618</v>
      </c>
      <c r="M12157" t="s">
        <v>1624</v>
      </c>
      <c r="N12157">
        <v>39.14</v>
      </c>
      <c r="O12157" s="49">
        <v>45141</v>
      </c>
      <c r="P12157" s="50">
        <v>33.372</v>
      </c>
    </row>
    <row r="12158" spans="4:16" x14ac:dyDescent="0.2">
      <c r="D12158">
        <v>100007292</v>
      </c>
      <c r="E12158" s="49">
        <v>44441</v>
      </c>
      <c r="F12158" t="s">
        <v>7905</v>
      </c>
      <c r="G12158" t="s">
        <v>1785</v>
      </c>
      <c r="H12158">
        <v>5</v>
      </c>
      <c r="I12158">
        <v>47.23</v>
      </c>
      <c r="J12158" s="50">
        <v>236.15</v>
      </c>
      <c r="K12158" t="s">
        <v>1618</v>
      </c>
      <c r="M12158" t="s">
        <v>1627</v>
      </c>
      <c r="N12158">
        <v>24.93</v>
      </c>
      <c r="O12158" s="49">
        <v>44445</v>
      </c>
      <c r="P12158" s="50">
        <v>106.2675</v>
      </c>
    </row>
    <row r="12159" spans="4:16" x14ac:dyDescent="0.2">
      <c r="D12159">
        <v>100007293</v>
      </c>
      <c r="E12159" s="49">
        <v>45148</v>
      </c>
      <c r="F12159" t="s">
        <v>7906</v>
      </c>
      <c r="G12159" t="s">
        <v>2121</v>
      </c>
      <c r="H12159">
        <v>3</v>
      </c>
      <c r="I12159">
        <v>39.54</v>
      </c>
      <c r="J12159" s="50">
        <v>118.62</v>
      </c>
      <c r="K12159" t="s">
        <v>1618</v>
      </c>
      <c r="M12159" t="s">
        <v>1627</v>
      </c>
      <c r="N12159">
        <v>20.87</v>
      </c>
      <c r="O12159" s="49">
        <v>45151</v>
      </c>
      <c r="P12159" s="50">
        <v>53.379000000000005</v>
      </c>
    </row>
    <row r="12160" spans="4:16" x14ac:dyDescent="0.2">
      <c r="D12160">
        <v>100007294</v>
      </c>
      <c r="E12160" s="49">
        <v>44205</v>
      </c>
      <c r="F12160" t="s">
        <v>7907</v>
      </c>
      <c r="G12160" t="s">
        <v>1644</v>
      </c>
      <c r="H12160">
        <v>1</v>
      </c>
      <c r="I12160">
        <v>58.97</v>
      </c>
      <c r="J12160" s="50">
        <v>58.97</v>
      </c>
      <c r="K12160" t="s">
        <v>1618</v>
      </c>
      <c r="M12160" t="s">
        <v>1619</v>
      </c>
      <c r="N12160">
        <v>31.12</v>
      </c>
      <c r="O12160" s="49">
        <v>44210</v>
      </c>
      <c r="P12160" s="50">
        <v>26.5365</v>
      </c>
    </row>
    <row r="12161" spans="4:16" x14ac:dyDescent="0.2">
      <c r="D12161">
        <v>100007295</v>
      </c>
      <c r="E12161" s="49">
        <v>44585</v>
      </c>
      <c r="F12161" t="s">
        <v>7908</v>
      </c>
      <c r="G12161" t="s">
        <v>1939</v>
      </c>
      <c r="H12161">
        <v>1</v>
      </c>
      <c r="I12161">
        <v>92.33</v>
      </c>
      <c r="J12161" s="50">
        <v>92.33</v>
      </c>
      <c r="K12161" t="s">
        <v>1618</v>
      </c>
      <c r="M12161" t="s">
        <v>1621</v>
      </c>
      <c r="N12161">
        <v>48.73</v>
      </c>
      <c r="O12161" s="49">
        <v>44588</v>
      </c>
      <c r="P12161" s="50">
        <v>41.548499999999997</v>
      </c>
    </row>
    <row r="12162" spans="4:16" x14ac:dyDescent="0.2">
      <c r="D12162">
        <v>100007295</v>
      </c>
      <c r="E12162" s="49">
        <v>44683</v>
      </c>
      <c r="F12162" t="s">
        <v>7908</v>
      </c>
      <c r="G12162" t="s">
        <v>1846</v>
      </c>
      <c r="H12162">
        <v>6</v>
      </c>
      <c r="I12162">
        <v>60</v>
      </c>
      <c r="J12162" s="50">
        <v>360</v>
      </c>
      <c r="K12162" t="s">
        <v>1618</v>
      </c>
      <c r="M12162" t="s">
        <v>1629</v>
      </c>
      <c r="N12162">
        <v>31.67</v>
      </c>
      <c r="O12162" s="49">
        <v>44688</v>
      </c>
      <c r="P12162" s="50">
        <v>162</v>
      </c>
    </row>
    <row r="12163" spans="4:16" x14ac:dyDescent="0.2">
      <c r="D12163">
        <v>100007295</v>
      </c>
      <c r="E12163" s="49">
        <v>44831</v>
      </c>
      <c r="F12163" t="s">
        <v>7908</v>
      </c>
      <c r="G12163" t="s">
        <v>2150</v>
      </c>
      <c r="H12163">
        <v>5</v>
      </c>
      <c r="I12163">
        <v>37.44</v>
      </c>
      <c r="J12163" s="50">
        <v>187.2</v>
      </c>
      <c r="K12163" t="s">
        <v>1618</v>
      </c>
      <c r="M12163" t="s">
        <v>1627</v>
      </c>
      <c r="N12163">
        <v>19.760000000000002</v>
      </c>
      <c r="O12163" s="49">
        <v>44835</v>
      </c>
      <c r="P12163" s="50">
        <v>84.24</v>
      </c>
    </row>
    <row r="12164" spans="4:16" x14ac:dyDescent="0.2">
      <c r="D12164">
        <v>100007296</v>
      </c>
      <c r="E12164" s="49">
        <v>45072</v>
      </c>
      <c r="F12164" t="s">
        <v>7909</v>
      </c>
      <c r="G12164" t="s">
        <v>2132</v>
      </c>
      <c r="H12164">
        <v>1</v>
      </c>
      <c r="I12164">
        <v>40.369999999999997</v>
      </c>
      <c r="J12164" s="50">
        <v>40.369999999999997</v>
      </c>
      <c r="K12164" t="s">
        <v>1618</v>
      </c>
      <c r="M12164" t="s">
        <v>1621</v>
      </c>
      <c r="N12164">
        <v>21.31</v>
      </c>
      <c r="O12164" s="49">
        <v>45075</v>
      </c>
      <c r="P12164" s="50">
        <v>18.166499999999999</v>
      </c>
    </row>
    <row r="12165" spans="4:16" x14ac:dyDescent="0.2">
      <c r="D12165">
        <v>100007297</v>
      </c>
      <c r="E12165" s="49">
        <v>44805</v>
      </c>
      <c r="F12165" t="s">
        <v>7910</v>
      </c>
      <c r="G12165" t="s">
        <v>1945</v>
      </c>
      <c r="H12165">
        <v>4</v>
      </c>
      <c r="I12165">
        <v>102.96</v>
      </c>
      <c r="J12165" s="50">
        <v>411.84</v>
      </c>
      <c r="K12165" t="s">
        <v>1618</v>
      </c>
      <c r="M12165" t="s">
        <v>1621</v>
      </c>
      <c r="N12165">
        <v>54.34</v>
      </c>
      <c r="O12165" s="49">
        <v>44808</v>
      </c>
      <c r="P12165" s="50">
        <v>185.328</v>
      </c>
    </row>
    <row r="12166" spans="4:16" x14ac:dyDescent="0.2">
      <c r="D12166">
        <v>100007297</v>
      </c>
      <c r="E12166" s="49">
        <v>44319</v>
      </c>
      <c r="F12166" t="s">
        <v>7910</v>
      </c>
      <c r="G12166" t="s">
        <v>1696</v>
      </c>
      <c r="H12166">
        <v>5</v>
      </c>
      <c r="I12166">
        <v>50.34</v>
      </c>
      <c r="J12166" s="50">
        <v>251.7</v>
      </c>
      <c r="K12166" t="s">
        <v>1618</v>
      </c>
      <c r="M12166" t="s">
        <v>1624</v>
      </c>
      <c r="N12166">
        <v>26.57</v>
      </c>
      <c r="O12166" s="49">
        <v>44321</v>
      </c>
      <c r="P12166" s="50">
        <v>113.265</v>
      </c>
    </row>
    <row r="12167" spans="4:16" x14ac:dyDescent="0.2">
      <c r="D12167">
        <v>100007297</v>
      </c>
      <c r="E12167" s="49">
        <v>44514</v>
      </c>
      <c r="F12167" t="s">
        <v>7910</v>
      </c>
      <c r="G12167" t="s">
        <v>1866</v>
      </c>
      <c r="H12167">
        <v>9</v>
      </c>
      <c r="I12167">
        <v>75.38</v>
      </c>
      <c r="J12167" s="50">
        <v>678.42</v>
      </c>
      <c r="K12167" t="s">
        <v>1618</v>
      </c>
      <c r="M12167" t="s">
        <v>1619</v>
      </c>
      <c r="N12167">
        <v>39.78</v>
      </c>
      <c r="O12167" s="49">
        <v>44518</v>
      </c>
      <c r="P12167" s="50">
        <v>305.28899999999999</v>
      </c>
    </row>
    <row r="12168" spans="4:16" x14ac:dyDescent="0.2">
      <c r="D12168">
        <v>100007298</v>
      </c>
      <c r="E12168" s="49">
        <v>44296</v>
      </c>
      <c r="F12168" t="s">
        <v>7911</v>
      </c>
      <c r="G12168" t="s">
        <v>2125</v>
      </c>
      <c r="H12168">
        <v>9</v>
      </c>
      <c r="I12168">
        <v>56.31</v>
      </c>
      <c r="J12168" s="50">
        <v>506.79</v>
      </c>
      <c r="K12168" t="s">
        <v>1632</v>
      </c>
      <c r="M12168" t="s">
        <v>1624</v>
      </c>
      <c r="N12168">
        <v>29.72</v>
      </c>
      <c r="O12168" s="49">
        <v>44298</v>
      </c>
      <c r="P12168" s="50">
        <v>228.05550000000002</v>
      </c>
    </row>
    <row r="12169" spans="4:16" x14ac:dyDescent="0.2">
      <c r="D12169">
        <v>100007298</v>
      </c>
      <c r="E12169" s="49">
        <v>45345</v>
      </c>
      <c r="F12169" t="s">
        <v>7911</v>
      </c>
      <c r="G12169" t="s">
        <v>2484</v>
      </c>
      <c r="H12169">
        <v>5</v>
      </c>
      <c r="I12169">
        <v>35.92</v>
      </c>
      <c r="J12169" s="50">
        <v>179.6</v>
      </c>
      <c r="K12169" t="s">
        <v>1632</v>
      </c>
      <c r="M12169" t="s">
        <v>1621</v>
      </c>
      <c r="N12169">
        <v>18.96</v>
      </c>
      <c r="O12169" s="49">
        <v>45346</v>
      </c>
      <c r="P12169" s="50">
        <v>80.819999999999993</v>
      </c>
    </row>
    <row r="12170" spans="4:16" x14ac:dyDescent="0.2">
      <c r="D12170">
        <v>100007298</v>
      </c>
      <c r="E12170" s="49">
        <v>44828</v>
      </c>
      <c r="F12170" t="s">
        <v>7911</v>
      </c>
      <c r="G12170" t="s">
        <v>2485</v>
      </c>
      <c r="H12170">
        <v>6</v>
      </c>
      <c r="I12170">
        <v>108.95</v>
      </c>
      <c r="J12170" s="50">
        <v>653.70000000000005</v>
      </c>
      <c r="K12170" t="s">
        <v>1632</v>
      </c>
      <c r="M12170" t="s">
        <v>1627</v>
      </c>
      <c r="N12170">
        <v>57.5</v>
      </c>
      <c r="O12170" s="49">
        <v>44833</v>
      </c>
      <c r="P12170" s="50">
        <v>294.16500000000002</v>
      </c>
    </row>
    <row r="12171" spans="4:16" x14ac:dyDescent="0.2">
      <c r="D12171">
        <v>100007298</v>
      </c>
      <c r="E12171" s="49">
        <v>44376</v>
      </c>
      <c r="F12171" t="s">
        <v>7911</v>
      </c>
      <c r="G12171" t="s">
        <v>1723</v>
      </c>
      <c r="H12171">
        <v>2</v>
      </c>
      <c r="I12171">
        <v>54.96</v>
      </c>
      <c r="J12171" s="50">
        <v>109.92</v>
      </c>
      <c r="K12171" t="s">
        <v>1632</v>
      </c>
      <c r="M12171" t="s">
        <v>1629</v>
      </c>
      <c r="N12171">
        <v>29.01</v>
      </c>
      <c r="O12171" s="49">
        <v>44377</v>
      </c>
      <c r="P12171" s="50">
        <v>49.463999999999999</v>
      </c>
    </row>
    <row r="12172" spans="4:16" x14ac:dyDescent="0.2">
      <c r="D12172">
        <v>100007299</v>
      </c>
      <c r="E12172" s="49">
        <v>44445</v>
      </c>
      <c r="F12172" t="s">
        <v>7912</v>
      </c>
      <c r="G12172" t="s">
        <v>1817</v>
      </c>
      <c r="H12172">
        <v>9</v>
      </c>
      <c r="I12172">
        <v>111.21</v>
      </c>
      <c r="J12172" s="50">
        <v>1000.89</v>
      </c>
      <c r="K12172" t="s">
        <v>1618</v>
      </c>
      <c r="M12172" t="s">
        <v>1619</v>
      </c>
      <c r="N12172">
        <v>58.69</v>
      </c>
      <c r="O12172" s="49">
        <v>44446</v>
      </c>
      <c r="P12172" s="50">
        <v>450.40050000000002</v>
      </c>
    </row>
    <row r="12173" spans="4:16" x14ac:dyDescent="0.2">
      <c r="D12173">
        <v>100007299</v>
      </c>
      <c r="E12173" s="49">
        <v>44217</v>
      </c>
      <c r="F12173" t="s">
        <v>7912</v>
      </c>
      <c r="G12173" t="s">
        <v>1752</v>
      </c>
      <c r="H12173">
        <v>10</v>
      </c>
      <c r="I12173">
        <v>27.6</v>
      </c>
      <c r="J12173" s="50">
        <v>276</v>
      </c>
      <c r="K12173" t="s">
        <v>1618</v>
      </c>
      <c r="M12173" t="s">
        <v>1629</v>
      </c>
      <c r="N12173">
        <v>14.57</v>
      </c>
      <c r="O12173" s="49">
        <v>44221</v>
      </c>
      <c r="P12173" s="50">
        <v>124.2</v>
      </c>
    </row>
    <row r="12174" spans="4:16" x14ac:dyDescent="0.2">
      <c r="D12174">
        <v>100007299</v>
      </c>
      <c r="E12174" s="49">
        <v>44369</v>
      </c>
      <c r="F12174" t="s">
        <v>7912</v>
      </c>
      <c r="G12174" t="s">
        <v>2039</v>
      </c>
      <c r="H12174">
        <v>9</v>
      </c>
      <c r="I12174">
        <v>34.71</v>
      </c>
      <c r="J12174" s="50">
        <v>312.39</v>
      </c>
      <c r="K12174" t="s">
        <v>1618</v>
      </c>
      <c r="M12174" t="s">
        <v>1629</v>
      </c>
      <c r="N12174">
        <v>18.32</v>
      </c>
      <c r="O12174" s="49">
        <v>44371</v>
      </c>
      <c r="P12174" s="50">
        <v>140.57550000000001</v>
      </c>
    </row>
    <row r="12175" spans="4:16" x14ac:dyDescent="0.2">
      <c r="D12175">
        <v>100007302</v>
      </c>
      <c r="E12175" s="49">
        <v>45063</v>
      </c>
      <c r="F12175" t="s">
        <v>7913</v>
      </c>
      <c r="G12175" t="s">
        <v>2571</v>
      </c>
      <c r="H12175">
        <v>7</v>
      </c>
      <c r="I12175">
        <v>34.119999999999997</v>
      </c>
      <c r="J12175" s="50">
        <v>238.84</v>
      </c>
      <c r="K12175" t="s">
        <v>1632</v>
      </c>
      <c r="M12175" t="s">
        <v>1627</v>
      </c>
      <c r="N12175">
        <v>18.010000000000002</v>
      </c>
      <c r="O12175" s="49">
        <v>45067</v>
      </c>
      <c r="P12175" s="50">
        <v>107.47800000000001</v>
      </c>
    </row>
    <row r="12176" spans="4:16" x14ac:dyDescent="0.2">
      <c r="D12176">
        <v>100007302</v>
      </c>
      <c r="E12176" s="49">
        <v>44631</v>
      </c>
      <c r="F12176" t="s">
        <v>7913</v>
      </c>
      <c r="G12176" t="s">
        <v>1696</v>
      </c>
      <c r="H12176">
        <v>7</v>
      </c>
      <c r="I12176">
        <v>84.76</v>
      </c>
      <c r="J12176" s="50">
        <v>593.32000000000005</v>
      </c>
      <c r="K12176" t="s">
        <v>1632</v>
      </c>
      <c r="M12176" t="s">
        <v>1627</v>
      </c>
      <c r="N12176">
        <v>44.73</v>
      </c>
      <c r="O12176" s="49">
        <v>44635</v>
      </c>
      <c r="P12176" s="50">
        <v>266.99400000000003</v>
      </c>
    </row>
    <row r="12177" spans="4:16" x14ac:dyDescent="0.2">
      <c r="D12177">
        <v>100007302</v>
      </c>
      <c r="E12177" s="49">
        <v>44921</v>
      </c>
      <c r="F12177" t="s">
        <v>7913</v>
      </c>
      <c r="G12177" t="s">
        <v>2194</v>
      </c>
      <c r="H12177">
        <v>9</v>
      </c>
      <c r="I12177">
        <v>66.849999999999994</v>
      </c>
      <c r="J12177" s="50">
        <v>601.65</v>
      </c>
      <c r="K12177" t="s">
        <v>1632</v>
      </c>
      <c r="M12177" t="s">
        <v>1624</v>
      </c>
      <c r="N12177">
        <v>35.28</v>
      </c>
      <c r="O12177" s="49">
        <v>44925</v>
      </c>
      <c r="P12177" s="50">
        <v>270.74250000000001</v>
      </c>
    </row>
    <row r="12178" spans="4:16" x14ac:dyDescent="0.2">
      <c r="D12178">
        <v>100007303</v>
      </c>
      <c r="E12178" s="49">
        <v>44394</v>
      </c>
      <c r="F12178" t="s">
        <v>7914</v>
      </c>
      <c r="G12178" t="s">
        <v>2337</v>
      </c>
      <c r="H12178">
        <v>3</v>
      </c>
      <c r="I12178">
        <v>98.07</v>
      </c>
      <c r="J12178" s="50">
        <v>294.20999999999998</v>
      </c>
      <c r="K12178" t="s">
        <v>1618</v>
      </c>
      <c r="M12178" t="s">
        <v>1624</v>
      </c>
      <c r="N12178">
        <v>51.76</v>
      </c>
      <c r="O12178" s="49">
        <v>44399</v>
      </c>
      <c r="P12178" s="50">
        <v>132.39449999999999</v>
      </c>
    </row>
    <row r="12179" spans="4:16" x14ac:dyDescent="0.2">
      <c r="D12179">
        <v>100007304</v>
      </c>
      <c r="E12179" s="49">
        <v>45464</v>
      </c>
      <c r="F12179" t="s">
        <v>5326</v>
      </c>
      <c r="G12179" t="s">
        <v>1975</v>
      </c>
      <c r="H12179">
        <v>1</v>
      </c>
      <c r="I12179">
        <v>76.930000000000007</v>
      </c>
      <c r="J12179" s="50">
        <v>76.930000000000007</v>
      </c>
      <c r="K12179" t="s">
        <v>1618</v>
      </c>
      <c r="M12179" t="s">
        <v>1629</v>
      </c>
      <c r="N12179">
        <v>40.6</v>
      </c>
      <c r="O12179" s="49">
        <v>45468</v>
      </c>
      <c r="P12179" s="50">
        <v>34.618500000000004</v>
      </c>
    </row>
    <row r="12180" spans="4:16" x14ac:dyDescent="0.2">
      <c r="D12180">
        <v>100007305</v>
      </c>
      <c r="E12180" s="49">
        <v>45515</v>
      </c>
      <c r="F12180" t="s">
        <v>7915</v>
      </c>
      <c r="G12180" t="s">
        <v>1833</v>
      </c>
      <c r="H12180">
        <v>4</v>
      </c>
      <c r="I12180">
        <v>13.83</v>
      </c>
      <c r="J12180" s="50">
        <v>55.32</v>
      </c>
      <c r="K12180" t="s">
        <v>1618</v>
      </c>
      <c r="L12180" t="s">
        <v>2711</v>
      </c>
      <c r="M12180" t="s">
        <v>1624</v>
      </c>
      <c r="N12180">
        <v>7.3</v>
      </c>
      <c r="O12180" s="49">
        <v>45520</v>
      </c>
      <c r="P12180" s="50">
        <v>24.894000000000002</v>
      </c>
    </row>
    <row r="12181" spans="4:16" x14ac:dyDescent="0.2">
      <c r="D12181">
        <v>100007308</v>
      </c>
      <c r="E12181" s="49">
        <v>45042</v>
      </c>
      <c r="F12181" t="s">
        <v>7916</v>
      </c>
      <c r="G12181" t="s">
        <v>1770</v>
      </c>
      <c r="H12181">
        <v>4</v>
      </c>
      <c r="I12181">
        <v>114.03</v>
      </c>
      <c r="J12181" s="50">
        <v>456.12</v>
      </c>
      <c r="K12181" t="s">
        <v>1618</v>
      </c>
      <c r="M12181" t="s">
        <v>1627</v>
      </c>
      <c r="N12181">
        <v>60.18</v>
      </c>
      <c r="O12181" s="49">
        <v>45044</v>
      </c>
      <c r="P12181" s="50">
        <v>205.25400000000002</v>
      </c>
    </row>
    <row r="12182" spans="4:16" x14ac:dyDescent="0.2">
      <c r="D12182">
        <v>100007313</v>
      </c>
      <c r="E12182" s="49">
        <v>44310</v>
      </c>
      <c r="F12182" t="s">
        <v>7917</v>
      </c>
      <c r="G12182" t="s">
        <v>1937</v>
      </c>
      <c r="H12182">
        <v>2</v>
      </c>
      <c r="I12182">
        <v>87.76</v>
      </c>
      <c r="J12182" s="50">
        <v>175.52</v>
      </c>
      <c r="K12182" t="s">
        <v>1632</v>
      </c>
      <c r="M12182" t="s">
        <v>1627</v>
      </c>
      <c r="N12182">
        <v>46.32</v>
      </c>
      <c r="O12182" s="49">
        <v>44314</v>
      </c>
      <c r="P12182" s="50">
        <v>78.984000000000009</v>
      </c>
    </row>
    <row r="12183" spans="4:16" x14ac:dyDescent="0.2">
      <c r="D12183">
        <v>100007314</v>
      </c>
      <c r="E12183" s="49">
        <v>45635</v>
      </c>
      <c r="F12183" t="s">
        <v>7918</v>
      </c>
      <c r="G12183" t="s">
        <v>2514</v>
      </c>
      <c r="H12183">
        <v>9</v>
      </c>
      <c r="I12183">
        <v>64.98</v>
      </c>
      <c r="J12183" s="50">
        <v>584.82000000000005</v>
      </c>
      <c r="K12183" t="s">
        <v>1618</v>
      </c>
      <c r="M12183" t="s">
        <v>1621</v>
      </c>
      <c r="N12183">
        <v>34.29</v>
      </c>
      <c r="O12183" s="49">
        <v>45639</v>
      </c>
      <c r="P12183" s="50">
        <v>263.16900000000004</v>
      </c>
    </row>
    <row r="12184" spans="4:16" x14ac:dyDescent="0.2">
      <c r="D12184">
        <v>100007314</v>
      </c>
      <c r="E12184" s="49">
        <v>45108</v>
      </c>
      <c r="F12184" t="s">
        <v>7918</v>
      </c>
      <c r="G12184" t="s">
        <v>2090</v>
      </c>
      <c r="H12184">
        <v>8</v>
      </c>
      <c r="I12184">
        <v>78.430000000000007</v>
      </c>
      <c r="J12184" s="50">
        <v>627.44000000000005</v>
      </c>
      <c r="K12184" t="s">
        <v>1618</v>
      </c>
      <c r="M12184" t="s">
        <v>1627</v>
      </c>
      <c r="N12184">
        <v>41.39</v>
      </c>
      <c r="O12184" s="49">
        <v>45110</v>
      </c>
      <c r="P12184" s="50">
        <v>282.34800000000001</v>
      </c>
    </row>
    <row r="12185" spans="4:16" x14ac:dyDescent="0.2">
      <c r="D12185">
        <v>100007315</v>
      </c>
      <c r="E12185" s="49">
        <v>44377</v>
      </c>
      <c r="F12185" t="s">
        <v>7919</v>
      </c>
      <c r="G12185" t="s">
        <v>1705</v>
      </c>
      <c r="H12185">
        <v>10</v>
      </c>
      <c r="I12185">
        <v>17.59</v>
      </c>
      <c r="J12185" s="50">
        <v>175.9</v>
      </c>
      <c r="K12185" t="s">
        <v>1632</v>
      </c>
      <c r="M12185" t="s">
        <v>1621</v>
      </c>
      <c r="N12185">
        <v>9.2799999999999994</v>
      </c>
      <c r="O12185" s="49">
        <v>44380</v>
      </c>
      <c r="P12185" s="50">
        <v>79.155000000000001</v>
      </c>
    </row>
    <row r="12186" spans="4:16" x14ac:dyDescent="0.2">
      <c r="D12186">
        <v>100007315</v>
      </c>
      <c r="E12186" s="49">
        <v>44230</v>
      </c>
      <c r="F12186" t="s">
        <v>7919</v>
      </c>
      <c r="G12186" t="s">
        <v>2063</v>
      </c>
      <c r="H12186">
        <v>3</v>
      </c>
      <c r="I12186">
        <v>78.2</v>
      </c>
      <c r="J12186" s="50">
        <v>234.6</v>
      </c>
      <c r="K12186" t="s">
        <v>1632</v>
      </c>
      <c r="M12186" t="s">
        <v>1629</v>
      </c>
      <c r="N12186">
        <v>41.27</v>
      </c>
      <c r="O12186" s="49">
        <v>44233</v>
      </c>
      <c r="P12186" s="50">
        <v>105.57</v>
      </c>
    </row>
    <row r="12187" spans="4:16" x14ac:dyDescent="0.2">
      <c r="D12187">
        <v>100007315</v>
      </c>
      <c r="E12187" s="49">
        <v>45558</v>
      </c>
      <c r="F12187" t="s">
        <v>7919</v>
      </c>
      <c r="G12187" t="s">
        <v>1777</v>
      </c>
      <c r="H12187">
        <v>8</v>
      </c>
      <c r="I12187">
        <v>107.57</v>
      </c>
      <c r="J12187" s="50">
        <v>860.56</v>
      </c>
      <c r="K12187" t="s">
        <v>1632</v>
      </c>
      <c r="M12187" t="s">
        <v>1629</v>
      </c>
      <c r="N12187">
        <v>56.77</v>
      </c>
      <c r="O12187" s="49">
        <v>45561</v>
      </c>
      <c r="P12187" s="50">
        <v>387.25200000000001</v>
      </c>
    </row>
    <row r="12188" spans="4:16" x14ac:dyDescent="0.2">
      <c r="D12188">
        <v>100007315</v>
      </c>
      <c r="E12188" s="49">
        <v>45410</v>
      </c>
      <c r="F12188" t="s">
        <v>7919</v>
      </c>
      <c r="G12188" t="s">
        <v>1666</v>
      </c>
      <c r="H12188">
        <v>4</v>
      </c>
      <c r="I12188">
        <v>103.88</v>
      </c>
      <c r="J12188" s="50">
        <v>415.52</v>
      </c>
      <c r="K12188" t="s">
        <v>1632</v>
      </c>
      <c r="M12188" t="s">
        <v>1621</v>
      </c>
      <c r="N12188">
        <v>54.83</v>
      </c>
      <c r="O12188" s="49">
        <v>45414</v>
      </c>
      <c r="P12188" s="50">
        <v>186.98400000000001</v>
      </c>
    </row>
    <row r="12189" spans="4:16" x14ac:dyDescent="0.2">
      <c r="D12189">
        <v>100007315</v>
      </c>
      <c r="E12189" s="49">
        <v>44830</v>
      </c>
      <c r="F12189" t="s">
        <v>7919</v>
      </c>
      <c r="G12189" t="s">
        <v>1723</v>
      </c>
      <c r="H12189">
        <v>6</v>
      </c>
      <c r="I12189">
        <v>32.29</v>
      </c>
      <c r="J12189" s="50">
        <v>193.74</v>
      </c>
      <c r="K12189" t="s">
        <v>1632</v>
      </c>
      <c r="M12189" t="s">
        <v>1624</v>
      </c>
      <c r="N12189">
        <v>17.04</v>
      </c>
      <c r="O12189" s="49">
        <v>44834</v>
      </c>
      <c r="P12189" s="50">
        <v>87.183000000000007</v>
      </c>
    </row>
    <row r="12190" spans="4:16" x14ac:dyDescent="0.2">
      <c r="D12190">
        <v>100007316</v>
      </c>
      <c r="E12190" s="49">
        <v>44259</v>
      </c>
      <c r="F12190" t="s">
        <v>7920</v>
      </c>
      <c r="G12190" t="s">
        <v>2331</v>
      </c>
      <c r="H12190">
        <v>3</v>
      </c>
      <c r="I12190">
        <v>84.14</v>
      </c>
      <c r="J12190" s="50">
        <v>252.42</v>
      </c>
      <c r="K12190" t="s">
        <v>1632</v>
      </c>
      <c r="M12190" t="s">
        <v>1629</v>
      </c>
      <c r="N12190">
        <v>44.41</v>
      </c>
      <c r="O12190" s="49">
        <v>44263</v>
      </c>
      <c r="P12190" s="50">
        <v>113.589</v>
      </c>
    </row>
    <row r="12191" spans="4:16" x14ac:dyDescent="0.2">
      <c r="D12191">
        <v>100007317</v>
      </c>
      <c r="E12191" s="49">
        <v>45054</v>
      </c>
      <c r="F12191" t="s">
        <v>7921</v>
      </c>
      <c r="G12191" t="s">
        <v>2003</v>
      </c>
      <c r="H12191">
        <v>2</v>
      </c>
      <c r="I12191">
        <v>58.19</v>
      </c>
      <c r="J12191" s="50">
        <v>116.38</v>
      </c>
      <c r="K12191" t="s">
        <v>1618</v>
      </c>
      <c r="M12191" t="s">
        <v>1619</v>
      </c>
      <c r="N12191">
        <v>30.71</v>
      </c>
      <c r="O12191" s="49">
        <v>45055</v>
      </c>
      <c r="P12191" s="50">
        <v>52.371000000000002</v>
      </c>
    </row>
    <row r="12192" spans="4:16" x14ac:dyDescent="0.2">
      <c r="D12192">
        <v>100007319</v>
      </c>
      <c r="E12192" s="49">
        <v>45073</v>
      </c>
      <c r="F12192" t="s">
        <v>6420</v>
      </c>
      <c r="G12192" t="s">
        <v>2418</v>
      </c>
      <c r="H12192">
        <v>7</v>
      </c>
      <c r="I12192">
        <v>11.28</v>
      </c>
      <c r="J12192" s="50">
        <v>78.959999999999994</v>
      </c>
      <c r="K12192" t="s">
        <v>1618</v>
      </c>
      <c r="M12192" t="s">
        <v>1629</v>
      </c>
      <c r="N12192">
        <v>5.95</v>
      </c>
      <c r="O12192" s="49">
        <v>45077</v>
      </c>
      <c r="P12192" s="50">
        <v>35.531999999999996</v>
      </c>
    </row>
    <row r="12193" spans="4:16" x14ac:dyDescent="0.2">
      <c r="D12193">
        <v>100007319</v>
      </c>
      <c r="E12193" s="49">
        <v>44680</v>
      </c>
      <c r="F12193" t="s">
        <v>6420</v>
      </c>
      <c r="G12193" t="s">
        <v>2581</v>
      </c>
      <c r="H12193">
        <v>8</v>
      </c>
      <c r="I12193">
        <v>55.27</v>
      </c>
      <c r="J12193" s="50">
        <v>442.16</v>
      </c>
      <c r="K12193" t="s">
        <v>1618</v>
      </c>
      <c r="M12193" t="s">
        <v>1619</v>
      </c>
      <c r="N12193">
        <v>29.17</v>
      </c>
      <c r="O12193" s="49">
        <v>44683</v>
      </c>
      <c r="P12193" s="50">
        <v>198.97200000000001</v>
      </c>
    </row>
    <row r="12194" spans="4:16" x14ac:dyDescent="0.2">
      <c r="D12194">
        <v>100007320</v>
      </c>
      <c r="E12194" s="49">
        <v>45516</v>
      </c>
      <c r="F12194" t="s">
        <v>7922</v>
      </c>
      <c r="G12194" t="s">
        <v>2331</v>
      </c>
      <c r="H12194">
        <v>1</v>
      </c>
      <c r="I12194">
        <v>36.68</v>
      </c>
      <c r="J12194" s="50">
        <v>36.68</v>
      </c>
      <c r="K12194" t="s">
        <v>1618</v>
      </c>
      <c r="L12194" t="s">
        <v>3151</v>
      </c>
      <c r="M12194" t="s">
        <v>1621</v>
      </c>
      <c r="N12194">
        <v>19.36</v>
      </c>
      <c r="O12194" s="49">
        <v>45520</v>
      </c>
      <c r="P12194" s="50">
        <v>16.506</v>
      </c>
    </row>
    <row r="12195" spans="4:16" x14ac:dyDescent="0.2">
      <c r="D12195">
        <v>100007320</v>
      </c>
      <c r="E12195" s="49">
        <v>44208</v>
      </c>
      <c r="F12195" t="s">
        <v>7922</v>
      </c>
      <c r="G12195" t="s">
        <v>1831</v>
      </c>
      <c r="H12195">
        <v>6</v>
      </c>
      <c r="I12195">
        <v>82.68</v>
      </c>
      <c r="J12195" s="50">
        <v>496.08</v>
      </c>
      <c r="K12195" t="s">
        <v>1618</v>
      </c>
      <c r="L12195" t="s">
        <v>3151</v>
      </c>
      <c r="M12195" t="s">
        <v>1621</v>
      </c>
      <c r="N12195">
        <v>43.64</v>
      </c>
      <c r="O12195" s="49">
        <v>44209</v>
      </c>
      <c r="P12195" s="50">
        <v>223.23599999999999</v>
      </c>
    </row>
    <row r="12196" spans="4:16" x14ac:dyDescent="0.2">
      <c r="D12196">
        <v>100007321</v>
      </c>
      <c r="E12196" s="49">
        <v>45556</v>
      </c>
      <c r="F12196" t="s">
        <v>7923</v>
      </c>
      <c r="G12196" t="s">
        <v>1918</v>
      </c>
      <c r="H12196">
        <v>4</v>
      </c>
      <c r="I12196">
        <v>79.34</v>
      </c>
      <c r="J12196" s="50">
        <v>317.36</v>
      </c>
      <c r="K12196" t="s">
        <v>1618</v>
      </c>
      <c r="M12196" t="s">
        <v>1621</v>
      </c>
      <c r="N12196">
        <v>41.87</v>
      </c>
      <c r="O12196" s="49">
        <v>45561</v>
      </c>
      <c r="P12196" s="50">
        <v>142.81200000000001</v>
      </c>
    </row>
    <row r="12197" spans="4:16" x14ac:dyDescent="0.2">
      <c r="D12197">
        <v>100007322</v>
      </c>
      <c r="E12197" s="49">
        <v>45360</v>
      </c>
      <c r="F12197" t="s">
        <v>7924</v>
      </c>
      <c r="G12197" t="s">
        <v>1729</v>
      </c>
      <c r="H12197">
        <v>1</v>
      </c>
      <c r="I12197">
        <v>39.78</v>
      </c>
      <c r="J12197" s="50">
        <v>39.78</v>
      </c>
      <c r="K12197" t="s">
        <v>1632</v>
      </c>
      <c r="M12197" t="s">
        <v>1627</v>
      </c>
      <c r="N12197">
        <v>20.99</v>
      </c>
      <c r="O12197" s="49">
        <v>45363</v>
      </c>
      <c r="P12197" s="50">
        <v>17.901</v>
      </c>
    </row>
    <row r="12198" spans="4:16" x14ac:dyDescent="0.2">
      <c r="D12198">
        <v>100007323</v>
      </c>
      <c r="E12198" s="49">
        <v>44500</v>
      </c>
      <c r="F12198" t="s">
        <v>7925</v>
      </c>
      <c r="G12198" t="s">
        <v>1695</v>
      </c>
      <c r="H12198">
        <v>1</v>
      </c>
      <c r="I12198">
        <v>102.27</v>
      </c>
      <c r="J12198" s="50">
        <v>102.27</v>
      </c>
      <c r="K12198" t="s">
        <v>1632</v>
      </c>
      <c r="M12198" t="s">
        <v>1619</v>
      </c>
      <c r="N12198">
        <v>53.98</v>
      </c>
      <c r="O12198" s="49">
        <v>44502</v>
      </c>
      <c r="P12198" s="50">
        <v>46.021499999999996</v>
      </c>
    </row>
    <row r="12199" spans="4:16" x14ac:dyDescent="0.2">
      <c r="D12199">
        <v>100007323</v>
      </c>
      <c r="E12199" s="49">
        <v>44364</v>
      </c>
      <c r="F12199" t="s">
        <v>7925</v>
      </c>
      <c r="G12199" t="s">
        <v>2762</v>
      </c>
      <c r="H12199">
        <v>1</v>
      </c>
      <c r="I12199">
        <v>65.05</v>
      </c>
      <c r="J12199" s="50">
        <v>65.05</v>
      </c>
      <c r="K12199" t="s">
        <v>1632</v>
      </c>
      <c r="M12199" t="s">
        <v>1619</v>
      </c>
      <c r="N12199">
        <v>34.33</v>
      </c>
      <c r="O12199" s="49">
        <v>44366</v>
      </c>
      <c r="P12199" s="50">
        <v>29.272500000000001</v>
      </c>
    </row>
    <row r="12200" spans="4:16" x14ac:dyDescent="0.2">
      <c r="D12200">
        <v>100007323</v>
      </c>
      <c r="E12200" s="49">
        <v>44288</v>
      </c>
      <c r="F12200" t="s">
        <v>7925</v>
      </c>
      <c r="G12200" t="s">
        <v>1699</v>
      </c>
      <c r="H12200">
        <v>1</v>
      </c>
      <c r="I12200">
        <v>44.21</v>
      </c>
      <c r="J12200" s="50">
        <v>44.21</v>
      </c>
      <c r="K12200" t="s">
        <v>1632</v>
      </c>
      <c r="M12200" t="s">
        <v>1619</v>
      </c>
      <c r="N12200">
        <v>23.33</v>
      </c>
      <c r="O12200" s="49">
        <v>44292</v>
      </c>
      <c r="P12200" s="50">
        <v>19.894500000000001</v>
      </c>
    </row>
    <row r="12201" spans="4:16" x14ac:dyDescent="0.2">
      <c r="D12201">
        <v>100007323</v>
      </c>
      <c r="E12201" s="49">
        <v>45104</v>
      </c>
      <c r="F12201" t="s">
        <v>7925</v>
      </c>
      <c r="G12201" t="s">
        <v>2132</v>
      </c>
      <c r="H12201">
        <v>4</v>
      </c>
      <c r="I12201">
        <v>105.03</v>
      </c>
      <c r="J12201" s="50">
        <v>420.12</v>
      </c>
      <c r="K12201" t="s">
        <v>1632</v>
      </c>
      <c r="M12201" t="s">
        <v>1627</v>
      </c>
      <c r="N12201">
        <v>55.43</v>
      </c>
      <c r="O12201" s="49">
        <v>45108</v>
      </c>
      <c r="P12201" s="50">
        <v>189.054</v>
      </c>
    </row>
    <row r="12202" spans="4:16" x14ac:dyDescent="0.2">
      <c r="D12202">
        <v>100007324</v>
      </c>
      <c r="E12202" s="49">
        <v>45305</v>
      </c>
      <c r="F12202" t="s">
        <v>7550</v>
      </c>
      <c r="G12202" t="s">
        <v>1990</v>
      </c>
      <c r="H12202">
        <v>6</v>
      </c>
      <c r="I12202">
        <v>101.64</v>
      </c>
      <c r="J12202" s="50">
        <v>609.84</v>
      </c>
      <c r="K12202" t="s">
        <v>1632</v>
      </c>
      <c r="M12202" t="s">
        <v>1624</v>
      </c>
      <c r="N12202">
        <v>53.64</v>
      </c>
      <c r="O12202" s="49">
        <v>45307</v>
      </c>
      <c r="P12202" s="50">
        <v>274.428</v>
      </c>
    </row>
    <row r="12203" spans="4:16" x14ac:dyDescent="0.2">
      <c r="D12203">
        <v>100007327</v>
      </c>
      <c r="E12203" s="49">
        <v>45501</v>
      </c>
      <c r="F12203" t="s">
        <v>7926</v>
      </c>
      <c r="G12203" t="s">
        <v>1740</v>
      </c>
      <c r="H12203">
        <v>5</v>
      </c>
      <c r="I12203">
        <v>111.19</v>
      </c>
      <c r="J12203" s="50">
        <v>555.95000000000005</v>
      </c>
      <c r="K12203" t="s">
        <v>1632</v>
      </c>
      <c r="M12203" t="s">
        <v>1627</v>
      </c>
      <c r="N12203">
        <v>58.68</v>
      </c>
      <c r="O12203" s="49">
        <v>45502</v>
      </c>
      <c r="P12203" s="50">
        <v>250.17750000000004</v>
      </c>
    </row>
    <row r="12204" spans="4:16" x14ac:dyDescent="0.2">
      <c r="D12204">
        <v>100007329</v>
      </c>
      <c r="E12204" s="49">
        <v>45169</v>
      </c>
      <c r="F12204" t="s">
        <v>7927</v>
      </c>
      <c r="G12204" t="s">
        <v>2041</v>
      </c>
      <c r="H12204">
        <v>9</v>
      </c>
      <c r="I12204">
        <v>66.88</v>
      </c>
      <c r="J12204" s="50">
        <v>601.91999999999996</v>
      </c>
      <c r="K12204" t="s">
        <v>1618</v>
      </c>
      <c r="M12204" t="s">
        <v>1621</v>
      </c>
      <c r="N12204">
        <v>35.299999999999997</v>
      </c>
      <c r="O12204" s="49">
        <v>45172</v>
      </c>
      <c r="P12204" s="50">
        <v>270.86399999999998</v>
      </c>
    </row>
    <row r="12205" spans="4:16" x14ac:dyDescent="0.2">
      <c r="D12205">
        <v>100007329</v>
      </c>
      <c r="E12205" s="49">
        <v>44459</v>
      </c>
      <c r="F12205" t="s">
        <v>7927</v>
      </c>
      <c r="G12205" t="s">
        <v>1641</v>
      </c>
      <c r="H12205">
        <v>9</v>
      </c>
      <c r="I12205">
        <v>38.159999999999997</v>
      </c>
      <c r="J12205" s="50">
        <v>343.43999999999988</v>
      </c>
      <c r="K12205" t="s">
        <v>1618</v>
      </c>
      <c r="M12205" t="s">
        <v>1624</v>
      </c>
      <c r="N12205">
        <v>20.14</v>
      </c>
      <c r="O12205" s="49">
        <v>44463</v>
      </c>
      <c r="P12205" s="50">
        <v>154.54799999999994</v>
      </c>
    </row>
    <row r="12206" spans="4:16" x14ac:dyDescent="0.2">
      <c r="D12206">
        <v>100007329</v>
      </c>
      <c r="E12206" s="49">
        <v>44921</v>
      </c>
      <c r="F12206" t="s">
        <v>7927</v>
      </c>
      <c r="G12206" t="s">
        <v>2375</v>
      </c>
      <c r="H12206">
        <v>1</v>
      </c>
      <c r="I12206">
        <v>92.44</v>
      </c>
      <c r="J12206" s="50">
        <v>92.44</v>
      </c>
      <c r="K12206" t="s">
        <v>1618</v>
      </c>
      <c r="M12206" t="s">
        <v>1619</v>
      </c>
      <c r="N12206">
        <v>48.79</v>
      </c>
      <c r="O12206" s="49">
        <v>44924</v>
      </c>
      <c r="P12206" s="50">
        <v>41.597999999999999</v>
      </c>
    </row>
    <row r="12207" spans="4:16" x14ac:dyDescent="0.2">
      <c r="D12207">
        <v>100007330</v>
      </c>
      <c r="E12207" s="49">
        <v>44948</v>
      </c>
      <c r="F12207" t="s">
        <v>7928</v>
      </c>
      <c r="G12207" t="s">
        <v>1775</v>
      </c>
      <c r="H12207">
        <v>2</v>
      </c>
      <c r="I12207">
        <v>72.98</v>
      </c>
      <c r="J12207" s="50">
        <v>145.96</v>
      </c>
      <c r="K12207" t="s">
        <v>1618</v>
      </c>
      <c r="M12207" t="s">
        <v>1619</v>
      </c>
      <c r="N12207">
        <v>38.520000000000003</v>
      </c>
      <c r="O12207" s="49">
        <v>44950</v>
      </c>
      <c r="P12207" s="50">
        <v>65.682000000000002</v>
      </c>
    </row>
    <row r="12208" spans="4:16" x14ac:dyDescent="0.2">
      <c r="D12208">
        <v>100007330</v>
      </c>
      <c r="E12208" s="49">
        <v>44614</v>
      </c>
      <c r="F12208" t="s">
        <v>7928</v>
      </c>
      <c r="G12208" t="s">
        <v>1748</v>
      </c>
      <c r="H12208">
        <v>9</v>
      </c>
      <c r="I12208">
        <v>50.89</v>
      </c>
      <c r="J12208" s="50">
        <v>458.01</v>
      </c>
      <c r="K12208" t="s">
        <v>1618</v>
      </c>
      <c r="M12208" t="s">
        <v>1619</v>
      </c>
      <c r="N12208">
        <v>26.86</v>
      </c>
      <c r="O12208" s="49">
        <v>44619</v>
      </c>
      <c r="P12208" s="50">
        <v>206.1045</v>
      </c>
    </row>
    <row r="12209" spans="4:16" x14ac:dyDescent="0.2">
      <c r="D12209">
        <v>100007330</v>
      </c>
      <c r="E12209" s="49">
        <v>44380</v>
      </c>
      <c r="F12209" t="s">
        <v>7928</v>
      </c>
      <c r="G12209" t="s">
        <v>1702</v>
      </c>
      <c r="H12209">
        <v>3</v>
      </c>
      <c r="I12209">
        <v>102.73</v>
      </c>
      <c r="J12209" s="50">
        <v>308.19</v>
      </c>
      <c r="K12209" t="s">
        <v>1618</v>
      </c>
      <c r="M12209" t="s">
        <v>1619</v>
      </c>
      <c r="N12209">
        <v>54.22</v>
      </c>
      <c r="O12209" s="49">
        <v>44382</v>
      </c>
      <c r="P12209" s="50">
        <v>138.68549999999999</v>
      </c>
    </row>
    <row r="12210" spans="4:16" x14ac:dyDescent="0.2">
      <c r="D12210">
        <v>100007332</v>
      </c>
      <c r="E12210" s="49">
        <v>44954</v>
      </c>
      <c r="F12210" t="s">
        <v>7929</v>
      </c>
      <c r="G12210" t="s">
        <v>2103</v>
      </c>
      <c r="H12210">
        <v>8</v>
      </c>
      <c r="I12210">
        <v>113.62</v>
      </c>
      <c r="J12210" s="50">
        <v>908.96</v>
      </c>
      <c r="K12210" t="s">
        <v>1618</v>
      </c>
      <c r="L12210" t="s">
        <v>2711</v>
      </c>
      <c r="M12210" t="s">
        <v>1627</v>
      </c>
      <c r="N12210">
        <v>59.97</v>
      </c>
      <c r="O12210" s="49">
        <v>44959</v>
      </c>
      <c r="P12210" s="50">
        <v>409.03200000000004</v>
      </c>
    </row>
    <row r="12211" spans="4:16" x14ac:dyDescent="0.2">
      <c r="D12211">
        <v>100007333</v>
      </c>
      <c r="E12211" s="49">
        <v>45166</v>
      </c>
      <c r="F12211" t="s">
        <v>7930</v>
      </c>
      <c r="G12211" t="s">
        <v>1969</v>
      </c>
      <c r="H12211">
        <v>4</v>
      </c>
      <c r="I12211">
        <v>14.95</v>
      </c>
      <c r="J12211" s="50">
        <v>59.8</v>
      </c>
      <c r="K12211" t="s">
        <v>1618</v>
      </c>
      <c r="L12211" t="s">
        <v>7931</v>
      </c>
      <c r="M12211" t="s">
        <v>1624</v>
      </c>
      <c r="N12211">
        <v>7.89</v>
      </c>
      <c r="O12211" s="49">
        <v>45171</v>
      </c>
      <c r="P12211" s="50">
        <v>26.91</v>
      </c>
    </row>
    <row r="12212" spans="4:16" x14ac:dyDescent="0.2">
      <c r="D12212">
        <v>100007333</v>
      </c>
      <c r="E12212" s="49">
        <v>44858</v>
      </c>
      <c r="F12212" t="s">
        <v>7930</v>
      </c>
      <c r="G12212" t="s">
        <v>1643</v>
      </c>
      <c r="H12212">
        <v>1</v>
      </c>
      <c r="I12212">
        <v>70.08</v>
      </c>
      <c r="J12212" s="50">
        <v>70.08</v>
      </c>
      <c r="K12212" t="s">
        <v>1618</v>
      </c>
      <c r="L12212" t="s">
        <v>7931</v>
      </c>
      <c r="M12212" t="s">
        <v>1621</v>
      </c>
      <c r="N12212">
        <v>36.99</v>
      </c>
      <c r="O12212" s="49">
        <v>44860</v>
      </c>
      <c r="P12212" s="50">
        <v>31.536000000000001</v>
      </c>
    </row>
    <row r="12213" spans="4:16" x14ac:dyDescent="0.2">
      <c r="D12213">
        <v>100007334</v>
      </c>
      <c r="E12213" s="49">
        <v>45480</v>
      </c>
      <c r="F12213" t="s">
        <v>7932</v>
      </c>
      <c r="G12213" t="s">
        <v>1882</v>
      </c>
      <c r="H12213">
        <v>2</v>
      </c>
      <c r="I12213">
        <v>105.71</v>
      </c>
      <c r="J12213" s="50">
        <v>211.42</v>
      </c>
      <c r="K12213" t="s">
        <v>1618</v>
      </c>
      <c r="M12213" t="s">
        <v>1624</v>
      </c>
      <c r="N12213">
        <v>55.79</v>
      </c>
      <c r="O12213" s="49">
        <v>45483</v>
      </c>
      <c r="P12213" s="50">
        <v>95.138999999999996</v>
      </c>
    </row>
    <row r="12214" spans="4:16" x14ac:dyDescent="0.2">
      <c r="D12214">
        <v>100007334</v>
      </c>
      <c r="E12214" s="49">
        <v>45369</v>
      </c>
      <c r="F12214" t="s">
        <v>7932</v>
      </c>
      <c r="G12214" t="s">
        <v>1653</v>
      </c>
      <c r="H12214">
        <v>8</v>
      </c>
      <c r="I12214">
        <v>43.94</v>
      </c>
      <c r="J12214" s="50">
        <v>351.52</v>
      </c>
      <c r="K12214" t="s">
        <v>1618</v>
      </c>
      <c r="M12214" t="s">
        <v>1629</v>
      </c>
      <c r="N12214">
        <v>23.19</v>
      </c>
      <c r="O12214" s="49">
        <v>45372</v>
      </c>
      <c r="P12214" s="50">
        <v>158.184</v>
      </c>
    </row>
    <row r="12215" spans="4:16" x14ac:dyDescent="0.2">
      <c r="D12215">
        <v>100007335</v>
      </c>
      <c r="E12215" s="49">
        <v>45163</v>
      </c>
      <c r="F12215" t="s">
        <v>7933</v>
      </c>
      <c r="G12215" t="s">
        <v>1637</v>
      </c>
      <c r="H12215">
        <v>1</v>
      </c>
      <c r="I12215">
        <v>10.17</v>
      </c>
      <c r="J12215" s="50">
        <v>10.17</v>
      </c>
      <c r="K12215" t="s">
        <v>1632</v>
      </c>
      <c r="L12215" t="s">
        <v>7281</v>
      </c>
      <c r="M12215" t="s">
        <v>1629</v>
      </c>
      <c r="N12215">
        <v>5.37</v>
      </c>
      <c r="O12215" s="49">
        <v>45167</v>
      </c>
      <c r="P12215" s="50">
        <v>4.5765000000000002</v>
      </c>
    </row>
    <row r="12216" spans="4:16" x14ac:dyDescent="0.2">
      <c r="D12216">
        <v>100007335</v>
      </c>
      <c r="E12216" s="49">
        <v>45527</v>
      </c>
      <c r="F12216" t="s">
        <v>7933</v>
      </c>
      <c r="G12216" t="s">
        <v>1770</v>
      </c>
      <c r="H12216">
        <v>4</v>
      </c>
      <c r="I12216">
        <v>60.31</v>
      </c>
      <c r="J12216" s="50">
        <v>241.24</v>
      </c>
      <c r="K12216" t="s">
        <v>1632</v>
      </c>
      <c r="L12216" t="s">
        <v>7281</v>
      </c>
      <c r="M12216" t="s">
        <v>1619</v>
      </c>
      <c r="N12216">
        <v>31.83</v>
      </c>
      <c r="O12216" s="49">
        <v>45532</v>
      </c>
      <c r="P12216" s="50">
        <v>108.55800000000001</v>
      </c>
    </row>
    <row r="12217" spans="4:16" x14ac:dyDescent="0.2">
      <c r="D12217">
        <v>100007335</v>
      </c>
      <c r="E12217" s="49">
        <v>44524</v>
      </c>
      <c r="F12217" t="s">
        <v>7933</v>
      </c>
      <c r="G12217" t="s">
        <v>1777</v>
      </c>
      <c r="H12217">
        <v>5</v>
      </c>
      <c r="I12217">
        <v>14.29</v>
      </c>
      <c r="J12217" s="50">
        <v>71.449999999999989</v>
      </c>
      <c r="K12217" t="s">
        <v>1632</v>
      </c>
      <c r="L12217" t="s">
        <v>7281</v>
      </c>
      <c r="M12217" t="s">
        <v>1621</v>
      </c>
      <c r="N12217">
        <v>7.54</v>
      </c>
      <c r="O12217" s="49">
        <v>44526</v>
      </c>
      <c r="P12217" s="50">
        <v>32.152499999999996</v>
      </c>
    </row>
    <row r="12218" spans="4:16" x14ac:dyDescent="0.2">
      <c r="D12218">
        <v>100007335</v>
      </c>
      <c r="E12218" s="49">
        <v>45414</v>
      </c>
      <c r="F12218" t="s">
        <v>7933</v>
      </c>
      <c r="G12218" t="s">
        <v>1859</v>
      </c>
      <c r="H12218">
        <v>10</v>
      </c>
      <c r="I12218">
        <v>46.76</v>
      </c>
      <c r="J12218" s="50">
        <v>467.6</v>
      </c>
      <c r="K12218" t="s">
        <v>1632</v>
      </c>
      <c r="L12218" t="s">
        <v>7281</v>
      </c>
      <c r="M12218" t="s">
        <v>1624</v>
      </c>
      <c r="N12218">
        <v>24.68</v>
      </c>
      <c r="O12218" s="49">
        <v>45417</v>
      </c>
      <c r="P12218" s="50">
        <v>210.42000000000002</v>
      </c>
    </row>
    <row r="12219" spans="4:16" x14ac:dyDescent="0.2">
      <c r="D12219">
        <v>100007335</v>
      </c>
      <c r="E12219" s="49">
        <v>44284</v>
      </c>
      <c r="F12219" t="s">
        <v>7933</v>
      </c>
      <c r="G12219" t="s">
        <v>1948</v>
      </c>
      <c r="H12219">
        <v>6</v>
      </c>
      <c r="I12219">
        <v>115.31</v>
      </c>
      <c r="J12219" s="50">
        <v>691.86</v>
      </c>
      <c r="K12219" t="s">
        <v>1632</v>
      </c>
      <c r="L12219" t="s">
        <v>7281</v>
      </c>
      <c r="M12219" t="s">
        <v>1621</v>
      </c>
      <c r="N12219">
        <v>60.86</v>
      </c>
      <c r="O12219" s="49">
        <v>44289</v>
      </c>
      <c r="P12219" s="50">
        <v>311.33699999999999</v>
      </c>
    </row>
    <row r="12220" spans="4:16" x14ac:dyDescent="0.2">
      <c r="D12220">
        <v>100007336</v>
      </c>
      <c r="E12220" s="49">
        <v>45137</v>
      </c>
      <c r="F12220" t="s">
        <v>7934</v>
      </c>
      <c r="G12220" t="s">
        <v>2323</v>
      </c>
      <c r="H12220">
        <v>5</v>
      </c>
      <c r="I12220">
        <v>39.130000000000003</v>
      </c>
      <c r="J12220" s="50">
        <v>195.65</v>
      </c>
      <c r="K12220" t="s">
        <v>1632</v>
      </c>
      <c r="L12220" t="s">
        <v>3618</v>
      </c>
      <c r="M12220" t="s">
        <v>1619</v>
      </c>
      <c r="N12220">
        <v>20.65</v>
      </c>
      <c r="O12220" s="49">
        <v>45141</v>
      </c>
      <c r="P12220" s="50">
        <v>88.042500000000004</v>
      </c>
    </row>
    <row r="12221" spans="4:16" x14ac:dyDescent="0.2">
      <c r="D12221">
        <v>100007337</v>
      </c>
      <c r="E12221" s="49">
        <v>45314</v>
      </c>
      <c r="F12221" t="s">
        <v>7935</v>
      </c>
      <c r="G12221" t="s">
        <v>1956</v>
      </c>
      <c r="H12221">
        <v>3</v>
      </c>
      <c r="I12221">
        <v>66.7</v>
      </c>
      <c r="J12221" s="50">
        <v>200.1</v>
      </c>
      <c r="K12221" t="s">
        <v>1618</v>
      </c>
      <c r="M12221" t="s">
        <v>1627</v>
      </c>
      <c r="N12221">
        <v>35.200000000000003</v>
      </c>
      <c r="O12221" s="49">
        <v>45315</v>
      </c>
      <c r="P12221" s="50">
        <v>90.045000000000002</v>
      </c>
    </row>
    <row r="12222" spans="4:16" x14ac:dyDescent="0.2">
      <c r="D12222">
        <v>100007338</v>
      </c>
      <c r="E12222" s="49">
        <v>44326</v>
      </c>
      <c r="F12222" t="s">
        <v>7936</v>
      </c>
      <c r="G12222" t="s">
        <v>1687</v>
      </c>
      <c r="H12222">
        <v>6</v>
      </c>
      <c r="I12222">
        <v>38.909999999999997</v>
      </c>
      <c r="J12222" s="50">
        <v>233.46</v>
      </c>
      <c r="K12222" t="s">
        <v>1632</v>
      </c>
      <c r="M12222" t="s">
        <v>1619</v>
      </c>
      <c r="N12222">
        <v>20.54</v>
      </c>
      <c r="O12222" s="49">
        <v>44329</v>
      </c>
      <c r="P12222" s="50">
        <v>105.057</v>
      </c>
    </row>
    <row r="12223" spans="4:16" x14ac:dyDescent="0.2">
      <c r="D12223">
        <v>100007340</v>
      </c>
      <c r="E12223" s="49">
        <v>44293</v>
      </c>
      <c r="F12223" t="s">
        <v>7937</v>
      </c>
      <c r="G12223" t="s">
        <v>1766</v>
      </c>
      <c r="H12223">
        <v>4</v>
      </c>
      <c r="I12223">
        <v>55.1</v>
      </c>
      <c r="J12223" s="50">
        <v>220.4</v>
      </c>
      <c r="K12223" t="s">
        <v>1618</v>
      </c>
      <c r="M12223" t="s">
        <v>1629</v>
      </c>
      <c r="N12223">
        <v>29.08</v>
      </c>
      <c r="O12223" s="49">
        <v>44296</v>
      </c>
      <c r="P12223" s="50">
        <v>99.18</v>
      </c>
    </row>
    <row r="12224" spans="4:16" x14ac:dyDescent="0.2">
      <c r="D12224">
        <v>100007341</v>
      </c>
      <c r="E12224" s="49">
        <v>45005</v>
      </c>
      <c r="F12224" t="s">
        <v>7938</v>
      </c>
      <c r="G12224" t="s">
        <v>2240</v>
      </c>
      <c r="H12224">
        <v>6</v>
      </c>
      <c r="I12224">
        <v>83.36</v>
      </c>
      <c r="J12224" s="50">
        <v>500.16</v>
      </c>
      <c r="K12224" t="s">
        <v>1618</v>
      </c>
      <c r="M12224" t="s">
        <v>1627</v>
      </c>
      <c r="N12224">
        <v>44</v>
      </c>
      <c r="O12224" s="49">
        <v>45008</v>
      </c>
      <c r="P12224" s="50">
        <v>225.072</v>
      </c>
    </row>
    <row r="12225" spans="4:16" x14ac:dyDescent="0.2">
      <c r="D12225">
        <v>100007341</v>
      </c>
      <c r="E12225" s="49">
        <v>45525</v>
      </c>
      <c r="F12225" t="s">
        <v>7938</v>
      </c>
      <c r="G12225" t="s">
        <v>1890</v>
      </c>
      <c r="H12225">
        <v>2</v>
      </c>
      <c r="I12225">
        <v>81.36</v>
      </c>
      <c r="J12225" s="50">
        <v>162.72</v>
      </c>
      <c r="K12225" t="s">
        <v>1618</v>
      </c>
      <c r="M12225" t="s">
        <v>1629</v>
      </c>
      <c r="N12225">
        <v>42.94</v>
      </c>
      <c r="O12225" s="49">
        <v>45530</v>
      </c>
      <c r="P12225" s="50">
        <v>73.224000000000004</v>
      </c>
    </row>
    <row r="12226" spans="4:16" x14ac:dyDescent="0.2">
      <c r="D12226">
        <v>100007341</v>
      </c>
      <c r="E12226" s="49">
        <v>44593</v>
      </c>
      <c r="F12226" t="s">
        <v>7938</v>
      </c>
      <c r="G12226" t="s">
        <v>2086</v>
      </c>
      <c r="H12226">
        <v>6</v>
      </c>
      <c r="I12226">
        <v>90.44</v>
      </c>
      <c r="J12226" s="50">
        <v>542.64</v>
      </c>
      <c r="K12226" t="s">
        <v>1618</v>
      </c>
      <c r="M12226" t="s">
        <v>1627</v>
      </c>
      <c r="N12226">
        <v>47.73</v>
      </c>
      <c r="O12226" s="49">
        <v>44596</v>
      </c>
      <c r="P12226" s="50">
        <v>244.18799999999999</v>
      </c>
    </row>
    <row r="12227" spans="4:16" x14ac:dyDescent="0.2">
      <c r="D12227">
        <v>100007341</v>
      </c>
      <c r="E12227" s="49">
        <v>44740</v>
      </c>
      <c r="F12227" t="s">
        <v>7938</v>
      </c>
      <c r="G12227" t="s">
        <v>1647</v>
      </c>
      <c r="H12227">
        <v>5</v>
      </c>
      <c r="I12227">
        <v>108.81</v>
      </c>
      <c r="J12227" s="50">
        <v>544.04999999999995</v>
      </c>
      <c r="K12227" t="s">
        <v>1618</v>
      </c>
      <c r="M12227" t="s">
        <v>1619</v>
      </c>
      <c r="N12227">
        <v>57.43</v>
      </c>
      <c r="O12227" s="49">
        <v>44741</v>
      </c>
      <c r="P12227" s="50">
        <v>244.82249999999999</v>
      </c>
    </row>
    <row r="12228" spans="4:16" x14ac:dyDescent="0.2">
      <c r="D12228">
        <v>100007341</v>
      </c>
      <c r="E12228" s="49">
        <v>45616</v>
      </c>
      <c r="F12228" t="s">
        <v>7938</v>
      </c>
      <c r="G12228" t="s">
        <v>1738</v>
      </c>
      <c r="H12228">
        <v>5</v>
      </c>
      <c r="I12228">
        <v>104.23</v>
      </c>
      <c r="J12228" s="50">
        <v>521.15</v>
      </c>
      <c r="K12228" t="s">
        <v>1618</v>
      </c>
      <c r="M12228" t="s">
        <v>1619</v>
      </c>
      <c r="N12228">
        <v>55.01</v>
      </c>
      <c r="O12228" s="49">
        <v>45620</v>
      </c>
      <c r="P12228" s="50">
        <v>234.51749999999998</v>
      </c>
    </row>
    <row r="12229" spans="4:16" x14ac:dyDescent="0.2">
      <c r="D12229">
        <v>100007341</v>
      </c>
      <c r="E12229" s="49">
        <v>45121</v>
      </c>
      <c r="F12229" t="s">
        <v>7938</v>
      </c>
      <c r="G12229" t="s">
        <v>2016</v>
      </c>
      <c r="H12229">
        <v>2</v>
      </c>
      <c r="I12229">
        <v>67.72</v>
      </c>
      <c r="J12229" s="50">
        <v>135.44</v>
      </c>
      <c r="K12229" t="s">
        <v>1618</v>
      </c>
      <c r="M12229" t="s">
        <v>1627</v>
      </c>
      <c r="N12229">
        <v>35.74</v>
      </c>
      <c r="O12229" s="49">
        <v>45125</v>
      </c>
      <c r="P12229" s="50">
        <v>60.948</v>
      </c>
    </row>
    <row r="12230" spans="4:16" x14ac:dyDescent="0.2">
      <c r="D12230">
        <v>100007342</v>
      </c>
      <c r="E12230" s="49">
        <v>44243</v>
      </c>
      <c r="F12230" t="s">
        <v>7939</v>
      </c>
      <c r="G12230" t="s">
        <v>2706</v>
      </c>
      <c r="H12230">
        <v>4</v>
      </c>
      <c r="I12230">
        <v>24.19</v>
      </c>
      <c r="J12230" s="50">
        <v>96.76</v>
      </c>
      <c r="K12230" t="s">
        <v>1632</v>
      </c>
      <c r="M12230" t="s">
        <v>1627</v>
      </c>
      <c r="N12230">
        <v>12.77</v>
      </c>
      <c r="O12230" s="49">
        <v>44248</v>
      </c>
      <c r="P12230" s="50">
        <v>43.542000000000002</v>
      </c>
    </row>
    <row r="12231" spans="4:16" x14ac:dyDescent="0.2">
      <c r="D12231">
        <v>100007344</v>
      </c>
      <c r="E12231" s="49">
        <v>44578</v>
      </c>
      <c r="F12231" t="s">
        <v>7940</v>
      </c>
      <c r="G12231" t="s">
        <v>1900</v>
      </c>
      <c r="H12231">
        <v>6</v>
      </c>
      <c r="I12231">
        <v>68.3</v>
      </c>
      <c r="J12231" s="50">
        <v>409.8</v>
      </c>
      <c r="K12231" t="s">
        <v>1632</v>
      </c>
      <c r="M12231" t="s">
        <v>1619</v>
      </c>
      <c r="N12231">
        <v>36.049999999999997</v>
      </c>
      <c r="O12231" s="49">
        <v>44579</v>
      </c>
      <c r="P12231" s="50">
        <v>184.41</v>
      </c>
    </row>
    <row r="12232" spans="4:16" x14ac:dyDescent="0.2">
      <c r="D12232">
        <v>100007344</v>
      </c>
      <c r="E12232" s="49">
        <v>45272</v>
      </c>
      <c r="F12232" t="s">
        <v>7940</v>
      </c>
      <c r="G12232" t="s">
        <v>1665</v>
      </c>
      <c r="H12232">
        <v>2</v>
      </c>
      <c r="I12232">
        <v>28.3</v>
      </c>
      <c r="J12232" s="50">
        <v>56.6</v>
      </c>
      <c r="K12232" t="s">
        <v>1632</v>
      </c>
      <c r="M12232" t="s">
        <v>1624</v>
      </c>
      <c r="N12232">
        <v>14.94</v>
      </c>
      <c r="O12232" s="49">
        <v>45276</v>
      </c>
      <c r="P12232" s="50">
        <v>25.470000000000002</v>
      </c>
    </row>
    <row r="12233" spans="4:16" x14ac:dyDescent="0.2">
      <c r="D12233">
        <v>100007346</v>
      </c>
      <c r="E12233" s="49">
        <v>44654</v>
      </c>
      <c r="F12233" t="s">
        <v>7941</v>
      </c>
      <c r="G12233" t="s">
        <v>1819</v>
      </c>
      <c r="H12233">
        <v>2</v>
      </c>
      <c r="I12233">
        <v>20</v>
      </c>
      <c r="J12233" s="50">
        <v>40</v>
      </c>
      <c r="K12233" t="s">
        <v>1618</v>
      </c>
      <c r="M12233" t="s">
        <v>1627</v>
      </c>
      <c r="N12233">
        <v>10.56</v>
      </c>
      <c r="O12233" s="49">
        <v>44656</v>
      </c>
      <c r="P12233" s="50">
        <v>18</v>
      </c>
    </row>
    <row r="12234" spans="4:16" x14ac:dyDescent="0.2">
      <c r="D12234">
        <v>100007346</v>
      </c>
      <c r="E12234" s="49">
        <v>44933</v>
      </c>
      <c r="F12234" t="s">
        <v>7941</v>
      </c>
      <c r="G12234" t="s">
        <v>1838</v>
      </c>
      <c r="H12234">
        <v>4</v>
      </c>
      <c r="I12234">
        <v>94.79</v>
      </c>
      <c r="J12234" s="50">
        <v>379.16</v>
      </c>
      <c r="K12234" t="s">
        <v>1618</v>
      </c>
      <c r="M12234" t="s">
        <v>1627</v>
      </c>
      <c r="N12234">
        <v>50.03</v>
      </c>
      <c r="O12234" s="49">
        <v>44934</v>
      </c>
      <c r="P12234" s="50">
        <v>170.62200000000001</v>
      </c>
    </row>
    <row r="12235" spans="4:16" x14ac:dyDescent="0.2">
      <c r="D12235">
        <v>100007347</v>
      </c>
      <c r="E12235" s="49">
        <v>45576</v>
      </c>
      <c r="F12235" t="s">
        <v>7942</v>
      </c>
      <c r="G12235" t="s">
        <v>1980</v>
      </c>
      <c r="H12235">
        <v>10</v>
      </c>
      <c r="I12235">
        <v>38.83</v>
      </c>
      <c r="J12235" s="50">
        <v>388.3</v>
      </c>
      <c r="K12235" t="s">
        <v>1632</v>
      </c>
      <c r="M12235" t="s">
        <v>1621</v>
      </c>
      <c r="N12235">
        <v>20.49</v>
      </c>
      <c r="O12235" s="49">
        <v>45580</v>
      </c>
      <c r="P12235" s="50">
        <v>174.73500000000001</v>
      </c>
    </row>
    <row r="12236" spans="4:16" x14ac:dyDescent="0.2">
      <c r="D12236">
        <v>100007347</v>
      </c>
      <c r="E12236" s="49">
        <v>44564</v>
      </c>
      <c r="F12236" t="s">
        <v>7942</v>
      </c>
      <c r="G12236" t="s">
        <v>1815</v>
      </c>
      <c r="H12236">
        <v>8</v>
      </c>
      <c r="I12236">
        <v>55.71</v>
      </c>
      <c r="J12236" s="50">
        <v>445.68</v>
      </c>
      <c r="K12236" t="s">
        <v>1632</v>
      </c>
      <c r="M12236" t="s">
        <v>1624</v>
      </c>
      <c r="N12236">
        <v>29.4</v>
      </c>
      <c r="O12236" s="49">
        <v>44567</v>
      </c>
      <c r="P12236" s="50">
        <v>200.55600000000001</v>
      </c>
    </row>
    <row r="12237" spans="4:16" x14ac:dyDescent="0.2">
      <c r="D12237">
        <v>100007347</v>
      </c>
      <c r="E12237" s="49">
        <v>44268</v>
      </c>
      <c r="F12237" t="s">
        <v>7942</v>
      </c>
      <c r="G12237" t="s">
        <v>2090</v>
      </c>
      <c r="H12237">
        <v>6</v>
      </c>
      <c r="I12237">
        <v>81.290000000000006</v>
      </c>
      <c r="J12237" s="50">
        <v>487.74</v>
      </c>
      <c r="K12237" t="s">
        <v>1632</v>
      </c>
      <c r="M12237" t="s">
        <v>1621</v>
      </c>
      <c r="N12237">
        <v>42.9</v>
      </c>
      <c r="O12237" s="49">
        <v>44271</v>
      </c>
      <c r="P12237" s="50">
        <v>219.483</v>
      </c>
    </row>
    <row r="12238" spans="4:16" x14ac:dyDescent="0.2">
      <c r="D12238">
        <v>100007347</v>
      </c>
      <c r="E12238" s="49">
        <v>45131</v>
      </c>
      <c r="F12238" t="s">
        <v>7942</v>
      </c>
      <c r="G12238" t="s">
        <v>2068</v>
      </c>
      <c r="H12238">
        <v>6</v>
      </c>
      <c r="I12238">
        <v>22.26</v>
      </c>
      <c r="J12238" s="50">
        <v>133.56</v>
      </c>
      <c r="K12238" t="s">
        <v>1632</v>
      </c>
      <c r="M12238" t="s">
        <v>1619</v>
      </c>
      <c r="N12238">
        <v>11.75</v>
      </c>
      <c r="O12238" s="49">
        <v>45135</v>
      </c>
      <c r="P12238" s="50">
        <v>60.102000000000004</v>
      </c>
    </row>
    <row r="12239" spans="4:16" x14ac:dyDescent="0.2">
      <c r="D12239">
        <v>100007348</v>
      </c>
      <c r="E12239" s="49">
        <v>45223</v>
      </c>
      <c r="F12239" t="s">
        <v>7943</v>
      </c>
      <c r="G12239" t="s">
        <v>1677</v>
      </c>
      <c r="H12239">
        <v>2</v>
      </c>
      <c r="I12239">
        <v>117.13</v>
      </c>
      <c r="J12239" s="50">
        <v>234.26</v>
      </c>
      <c r="K12239" t="s">
        <v>1618</v>
      </c>
      <c r="M12239" t="s">
        <v>1627</v>
      </c>
      <c r="N12239">
        <v>61.82</v>
      </c>
      <c r="O12239" s="49">
        <v>45227</v>
      </c>
      <c r="P12239" s="50">
        <v>105.417</v>
      </c>
    </row>
    <row r="12240" spans="4:16" x14ac:dyDescent="0.2">
      <c r="D12240">
        <v>100007348</v>
      </c>
      <c r="E12240" s="49">
        <v>45073</v>
      </c>
      <c r="F12240" t="s">
        <v>7943</v>
      </c>
      <c r="G12240" t="s">
        <v>1649</v>
      </c>
      <c r="H12240">
        <v>8</v>
      </c>
      <c r="I12240">
        <v>99.03</v>
      </c>
      <c r="J12240" s="50">
        <v>792.24</v>
      </c>
      <c r="K12240" t="s">
        <v>1618</v>
      </c>
      <c r="M12240" t="s">
        <v>1621</v>
      </c>
      <c r="N12240">
        <v>52.27</v>
      </c>
      <c r="O12240" s="49">
        <v>45074</v>
      </c>
      <c r="P12240" s="50">
        <v>356.50800000000004</v>
      </c>
    </row>
    <row r="12241" spans="4:16" x14ac:dyDescent="0.2">
      <c r="D12241">
        <v>100007349</v>
      </c>
      <c r="E12241" s="49">
        <v>45212</v>
      </c>
      <c r="F12241" t="s">
        <v>7944</v>
      </c>
      <c r="G12241" t="s">
        <v>2192</v>
      </c>
      <c r="H12241">
        <v>9</v>
      </c>
      <c r="I12241">
        <v>69.290000000000006</v>
      </c>
      <c r="J12241" s="50">
        <v>623.61</v>
      </c>
      <c r="K12241" t="s">
        <v>1632</v>
      </c>
      <c r="M12241" t="s">
        <v>1619</v>
      </c>
      <c r="N12241">
        <v>36.57</v>
      </c>
      <c r="O12241" s="49">
        <v>45216</v>
      </c>
      <c r="P12241" s="50">
        <v>280.62450000000001</v>
      </c>
    </row>
    <row r="12242" spans="4:16" x14ac:dyDescent="0.2">
      <c r="D12242">
        <v>100007351</v>
      </c>
      <c r="E12242" s="49">
        <v>45517</v>
      </c>
      <c r="F12242" t="s">
        <v>7945</v>
      </c>
      <c r="G12242" t="s">
        <v>2180</v>
      </c>
      <c r="H12242">
        <v>4</v>
      </c>
      <c r="I12242">
        <v>62.98</v>
      </c>
      <c r="J12242" s="50">
        <v>251.92</v>
      </c>
      <c r="K12242" t="s">
        <v>1618</v>
      </c>
      <c r="L12242" t="s">
        <v>2593</v>
      </c>
      <c r="M12242" t="s">
        <v>1627</v>
      </c>
      <c r="N12242">
        <v>33.24</v>
      </c>
      <c r="O12242" s="49">
        <v>45522</v>
      </c>
      <c r="P12242" s="50">
        <v>113.36399999999999</v>
      </c>
    </row>
    <row r="12243" spans="4:16" x14ac:dyDescent="0.2">
      <c r="D12243">
        <v>100007351</v>
      </c>
      <c r="E12243" s="49">
        <v>44957</v>
      </c>
      <c r="F12243" t="s">
        <v>7945</v>
      </c>
      <c r="G12243" t="s">
        <v>1726</v>
      </c>
      <c r="H12243">
        <v>3</v>
      </c>
      <c r="I12243">
        <v>31.39</v>
      </c>
      <c r="J12243" s="50">
        <v>94.17</v>
      </c>
      <c r="K12243" t="s">
        <v>1618</v>
      </c>
      <c r="L12243" t="s">
        <v>2593</v>
      </c>
      <c r="M12243" t="s">
        <v>1627</v>
      </c>
      <c r="N12243">
        <v>16.57</v>
      </c>
      <c r="O12243" s="49">
        <v>44961</v>
      </c>
      <c r="P12243" s="50">
        <v>42.3765</v>
      </c>
    </row>
    <row r="12244" spans="4:16" x14ac:dyDescent="0.2">
      <c r="D12244">
        <v>100007351</v>
      </c>
      <c r="E12244" s="49">
        <v>45190</v>
      </c>
      <c r="F12244" t="s">
        <v>7945</v>
      </c>
      <c r="G12244" t="s">
        <v>2706</v>
      </c>
      <c r="H12244">
        <v>5</v>
      </c>
      <c r="I12244">
        <v>48.45</v>
      </c>
      <c r="J12244" s="50">
        <v>242.25</v>
      </c>
      <c r="K12244" t="s">
        <v>1618</v>
      </c>
      <c r="L12244" t="s">
        <v>2593</v>
      </c>
      <c r="M12244" t="s">
        <v>1619</v>
      </c>
      <c r="N12244">
        <v>25.57</v>
      </c>
      <c r="O12244" s="49">
        <v>45192</v>
      </c>
      <c r="P12244" s="50">
        <v>109.0125</v>
      </c>
    </row>
    <row r="12245" spans="4:16" x14ac:dyDescent="0.2">
      <c r="D12245">
        <v>100007352</v>
      </c>
      <c r="E12245" s="49">
        <v>45443</v>
      </c>
      <c r="F12245" t="s">
        <v>7946</v>
      </c>
      <c r="G12245" t="s">
        <v>2047</v>
      </c>
      <c r="H12245">
        <v>8</v>
      </c>
      <c r="I12245">
        <v>88.54</v>
      </c>
      <c r="J12245" s="50">
        <v>708.32</v>
      </c>
      <c r="K12245" t="s">
        <v>1618</v>
      </c>
      <c r="M12245" t="s">
        <v>1627</v>
      </c>
      <c r="N12245">
        <v>46.73</v>
      </c>
      <c r="O12245" s="49">
        <v>45447</v>
      </c>
      <c r="P12245" s="50">
        <v>318.74400000000003</v>
      </c>
    </row>
    <row r="12246" spans="4:16" x14ac:dyDescent="0.2">
      <c r="D12246">
        <v>100007353</v>
      </c>
      <c r="E12246" s="49">
        <v>45362</v>
      </c>
      <c r="F12246" t="s">
        <v>7327</v>
      </c>
      <c r="G12246" t="s">
        <v>2063</v>
      </c>
      <c r="H12246">
        <v>1</v>
      </c>
      <c r="I12246">
        <v>57.82</v>
      </c>
      <c r="J12246" s="50">
        <v>57.82</v>
      </c>
      <c r="K12246" t="s">
        <v>1632</v>
      </c>
      <c r="M12246" t="s">
        <v>1619</v>
      </c>
      <c r="N12246">
        <v>30.52</v>
      </c>
      <c r="O12246" s="49">
        <v>45365</v>
      </c>
      <c r="P12246" s="50">
        <v>26.019000000000002</v>
      </c>
    </row>
    <row r="12247" spans="4:16" x14ac:dyDescent="0.2">
      <c r="D12247">
        <v>100007353</v>
      </c>
      <c r="E12247" s="49">
        <v>44823</v>
      </c>
      <c r="F12247" t="s">
        <v>7327</v>
      </c>
      <c r="G12247" t="s">
        <v>1864</v>
      </c>
      <c r="H12247">
        <v>9</v>
      </c>
      <c r="I12247">
        <v>30.08</v>
      </c>
      <c r="J12247" s="50">
        <v>270.72000000000003</v>
      </c>
      <c r="K12247" t="s">
        <v>1632</v>
      </c>
      <c r="M12247" t="s">
        <v>1627</v>
      </c>
      <c r="N12247">
        <v>15.88</v>
      </c>
      <c r="O12247" s="49">
        <v>44825</v>
      </c>
      <c r="P12247" s="50">
        <v>121.82400000000001</v>
      </c>
    </row>
    <row r="12248" spans="4:16" x14ac:dyDescent="0.2">
      <c r="D12248">
        <v>100007353</v>
      </c>
      <c r="E12248" s="49">
        <v>45249</v>
      </c>
      <c r="F12248" t="s">
        <v>7327</v>
      </c>
      <c r="G12248" t="s">
        <v>1691</v>
      </c>
      <c r="H12248">
        <v>5</v>
      </c>
      <c r="I12248">
        <v>108.2</v>
      </c>
      <c r="J12248" s="50">
        <v>541</v>
      </c>
      <c r="K12248" t="s">
        <v>1632</v>
      </c>
      <c r="M12248" t="s">
        <v>1627</v>
      </c>
      <c r="N12248">
        <v>57.11</v>
      </c>
      <c r="O12248" s="49">
        <v>45251</v>
      </c>
      <c r="P12248" s="50">
        <v>243.45000000000002</v>
      </c>
    </row>
    <row r="12249" spans="4:16" x14ac:dyDescent="0.2">
      <c r="D12249">
        <v>100007353</v>
      </c>
      <c r="E12249" s="49">
        <v>44777</v>
      </c>
      <c r="F12249" t="s">
        <v>7327</v>
      </c>
      <c r="G12249" t="s">
        <v>1990</v>
      </c>
      <c r="H12249">
        <v>9</v>
      </c>
      <c r="I12249">
        <v>73.02</v>
      </c>
      <c r="J12249" s="50">
        <v>657.18</v>
      </c>
      <c r="K12249" t="s">
        <v>1632</v>
      </c>
      <c r="M12249" t="s">
        <v>1629</v>
      </c>
      <c r="N12249">
        <v>38.54</v>
      </c>
      <c r="O12249" s="49">
        <v>44782</v>
      </c>
      <c r="P12249" s="50">
        <v>295.73099999999999</v>
      </c>
    </row>
    <row r="12250" spans="4:16" x14ac:dyDescent="0.2">
      <c r="D12250">
        <v>100007353</v>
      </c>
      <c r="E12250" s="49">
        <v>44418</v>
      </c>
      <c r="F12250" t="s">
        <v>7327</v>
      </c>
      <c r="G12250" t="s">
        <v>1693</v>
      </c>
      <c r="H12250">
        <v>3</v>
      </c>
      <c r="I12250">
        <v>49.54</v>
      </c>
      <c r="J12250" s="50">
        <v>148.62</v>
      </c>
      <c r="K12250" t="s">
        <v>1632</v>
      </c>
      <c r="M12250" t="s">
        <v>1627</v>
      </c>
      <c r="N12250">
        <v>26.15</v>
      </c>
      <c r="O12250" s="49">
        <v>44422</v>
      </c>
      <c r="P12250" s="50">
        <v>66.879000000000005</v>
      </c>
    </row>
    <row r="12251" spans="4:16" x14ac:dyDescent="0.2">
      <c r="D12251">
        <v>100007353</v>
      </c>
      <c r="E12251" s="49">
        <v>44497</v>
      </c>
      <c r="F12251" t="s">
        <v>7327</v>
      </c>
      <c r="G12251" t="s">
        <v>2447</v>
      </c>
      <c r="H12251">
        <v>10</v>
      </c>
      <c r="I12251">
        <v>65.41</v>
      </c>
      <c r="J12251" s="50">
        <v>654.09999999999991</v>
      </c>
      <c r="K12251" t="s">
        <v>1632</v>
      </c>
      <c r="M12251" t="s">
        <v>1619</v>
      </c>
      <c r="N12251">
        <v>34.520000000000003</v>
      </c>
      <c r="O12251" s="49">
        <v>44498</v>
      </c>
      <c r="P12251" s="50">
        <v>294.34499999999997</v>
      </c>
    </row>
    <row r="12252" spans="4:16" x14ac:dyDescent="0.2">
      <c r="D12252">
        <v>100007354</v>
      </c>
      <c r="E12252" s="49">
        <v>44399</v>
      </c>
      <c r="F12252" t="s">
        <v>7947</v>
      </c>
      <c r="G12252" t="s">
        <v>1817</v>
      </c>
      <c r="H12252">
        <v>8</v>
      </c>
      <c r="I12252">
        <v>116.27</v>
      </c>
      <c r="J12252" s="50">
        <v>930.16</v>
      </c>
      <c r="K12252" t="s">
        <v>1618</v>
      </c>
      <c r="M12252" t="s">
        <v>1627</v>
      </c>
      <c r="N12252">
        <v>61.36</v>
      </c>
      <c r="O12252" s="49">
        <v>44403</v>
      </c>
      <c r="P12252" s="50">
        <v>418.572</v>
      </c>
    </row>
    <row r="12253" spans="4:16" x14ac:dyDescent="0.2">
      <c r="D12253">
        <v>100007354</v>
      </c>
      <c r="E12253" s="49">
        <v>45177</v>
      </c>
      <c r="F12253" t="s">
        <v>7947</v>
      </c>
      <c r="G12253" t="s">
        <v>1808</v>
      </c>
      <c r="H12253">
        <v>8</v>
      </c>
      <c r="I12253">
        <v>93.2</v>
      </c>
      <c r="J12253" s="50">
        <v>745.6</v>
      </c>
      <c r="K12253" t="s">
        <v>1618</v>
      </c>
      <c r="M12253" t="s">
        <v>1624</v>
      </c>
      <c r="N12253">
        <v>49.19</v>
      </c>
      <c r="O12253" s="49">
        <v>45180</v>
      </c>
      <c r="P12253" s="50">
        <v>335.52000000000004</v>
      </c>
    </row>
    <row r="12254" spans="4:16" x14ac:dyDescent="0.2">
      <c r="D12254">
        <v>100007354</v>
      </c>
      <c r="E12254" s="49">
        <v>45464</v>
      </c>
      <c r="F12254" t="s">
        <v>7947</v>
      </c>
      <c r="G12254" t="s">
        <v>1744</v>
      </c>
      <c r="H12254">
        <v>9</v>
      </c>
      <c r="I12254">
        <v>105.58</v>
      </c>
      <c r="J12254" s="50">
        <v>950.22</v>
      </c>
      <c r="K12254" t="s">
        <v>1618</v>
      </c>
      <c r="M12254" t="s">
        <v>1624</v>
      </c>
      <c r="N12254">
        <v>55.72</v>
      </c>
      <c r="O12254" s="49">
        <v>45468</v>
      </c>
      <c r="P12254" s="50">
        <v>427.59900000000005</v>
      </c>
    </row>
    <row r="12255" spans="4:16" x14ac:dyDescent="0.2">
      <c r="D12255">
        <v>100007354</v>
      </c>
      <c r="E12255" s="49">
        <v>44216</v>
      </c>
      <c r="F12255" t="s">
        <v>7947</v>
      </c>
      <c r="G12255" t="s">
        <v>1777</v>
      </c>
      <c r="H12255">
        <v>8</v>
      </c>
      <c r="I12255">
        <v>11.15</v>
      </c>
      <c r="J12255" s="50">
        <v>89.2</v>
      </c>
      <c r="K12255" t="s">
        <v>1618</v>
      </c>
      <c r="M12255" t="s">
        <v>1619</v>
      </c>
      <c r="N12255">
        <v>5.88</v>
      </c>
      <c r="O12255" s="49">
        <v>44220</v>
      </c>
      <c r="P12255" s="50">
        <v>40.14</v>
      </c>
    </row>
    <row r="12256" spans="4:16" x14ac:dyDescent="0.2">
      <c r="D12256">
        <v>100007354</v>
      </c>
      <c r="E12256" s="49">
        <v>44322</v>
      </c>
      <c r="F12256" t="s">
        <v>7947</v>
      </c>
      <c r="G12256" t="s">
        <v>1921</v>
      </c>
      <c r="H12256">
        <v>3</v>
      </c>
      <c r="I12256">
        <v>116.68</v>
      </c>
      <c r="J12256" s="50">
        <v>350.04</v>
      </c>
      <c r="K12256" t="s">
        <v>1618</v>
      </c>
      <c r="M12256" t="s">
        <v>1619</v>
      </c>
      <c r="N12256">
        <v>61.58</v>
      </c>
      <c r="O12256" s="49">
        <v>44325</v>
      </c>
      <c r="P12256" s="50">
        <v>157.518</v>
      </c>
    </row>
    <row r="12257" spans="4:16" x14ac:dyDescent="0.2">
      <c r="D12257">
        <v>100007354</v>
      </c>
      <c r="E12257" s="49">
        <v>45012</v>
      </c>
      <c r="F12257" t="s">
        <v>7947</v>
      </c>
      <c r="G12257" t="s">
        <v>1658</v>
      </c>
      <c r="H12257">
        <v>4</v>
      </c>
      <c r="I12257">
        <v>31.46</v>
      </c>
      <c r="J12257" s="50">
        <v>125.84</v>
      </c>
      <c r="K12257" t="s">
        <v>1618</v>
      </c>
      <c r="M12257" t="s">
        <v>1627</v>
      </c>
      <c r="N12257">
        <v>16.600000000000001</v>
      </c>
      <c r="O12257" s="49">
        <v>45014</v>
      </c>
      <c r="P12257" s="50">
        <v>56.628</v>
      </c>
    </row>
    <row r="12258" spans="4:16" x14ac:dyDescent="0.2">
      <c r="D12258">
        <v>100007354</v>
      </c>
      <c r="E12258" s="49">
        <v>45602</v>
      </c>
      <c r="F12258" t="s">
        <v>7947</v>
      </c>
      <c r="G12258" t="s">
        <v>2090</v>
      </c>
      <c r="H12258">
        <v>2</v>
      </c>
      <c r="I12258">
        <v>86.61</v>
      </c>
      <c r="J12258" s="50">
        <v>173.22</v>
      </c>
      <c r="K12258" t="s">
        <v>1618</v>
      </c>
      <c r="M12258" t="s">
        <v>1629</v>
      </c>
      <c r="N12258">
        <v>45.71</v>
      </c>
      <c r="O12258" s="49">
        <v>45606</v>
      </c>
      <c r="P12258" s="50">
        <v>77.948999999999998</v>
      </c>
    </row>
    <row r="12259" spans="4:16" x14ac:dyDescent="0.2">
      <c r="D12259">
        <v>100007355</v>
      </c>
      <c r="E12259" s="49">
        <v>45028</v>
      </c>
      <c r="F12259" t="s">
        <v>7948</v>
      </c>
      <c r="G12259" t="s">
        <v>1687</v>
      </c>
      <c r="H12259">
        <v>2</v>
      </c>
      <c r="I12259">
        <v>83.27</v>
      </c>
      <c r="J12259" s="50">
        <v>166.54</v>
      </c>
      <c r="K12259" t="s">
        <v>1632</v>
      </c>
      <c r="M12259" t="s">
        <v>1629</v>
      </c>
      <c r="N12259">
        <v>43.95</v>
      </c>
      <c r="O12259" s="49">
        <v>45030</v>
      </c>
      <c r="P12259" s="50">
        <v>74.942999999999998</v>
      </c>
    </row>
    <row r="12260" spans="4:16" x14ac:dyDescent="0.2">
      <c r="D12260">
        <v>100007355</v>
      </c>
      <c r="E12260" s="49">
        <v>45365</v>
      </c>
      <c r="F12260" t="s">
        <v>7948</v>
      </c>
      <c r="G12260" t="s">
        <v>2060</v>
      </c>
      <c r="H12260">
        <v>9</v>
      </c>
      <c r="I12260">
        <v>58.06</v>
      </c>
      <c r="J12260" s="50">
        <v>522.54</v>
      </c>
      <c r="K12260" t="s">
        <v>1632</v>
      </c>
      <c r="M12260" t="s">
        <v>1627</v>
      </c>
      <c r="N12260">
        <v>30.64</v>
      </c>
      <c r="O12260" s="49">
        <v>45370</v>
      </c>
      <c r="P12260" s="50">
        <v>235.143</v>
      </c>
    </row>
    <row r="12261" spans="4:16" x14ac:dyDescent="0.2">
      <c r="D12261">
        <v>100007356</v>
      </c>
      <c r="E12261" s="49">
        <v>44500</v>
      </c>
      <c r="F12261" t="s">
        <v>7949</v>
      </c>
      <c r="G12261" t="s">
        <v>1941</v>
      </c>
      <c r="H12261">
        <v>8</v>
      </c>
      <c r="I12261">
        <v>29.6</v>
      </c>
      <c r="J12261" s="50">
        <v>236.8</v>
      </c>
      <c r="K12261" t="s">
        <v>1632</v>
      </c>
      <c r="L12261" t="s">
        <v>2962</v>
      </c>
      <c r="M12261" t="s">
        <v>1624</v>
      </c>
      <c r="N12261">
        <v>15.62</v>
      </c>
      <c r="O12261" s="49">
        <v>44502</v>
      </c>
      <c r="P12261" s="50">
        <v>106.56</v>
      </c>
    </row>
    <row r="12262" spans="4:16" x14ac:dyDescent="0.2">
      <c r="D12262">
        <v>100007356</v>
      </c>
      <c r="E12262" s="49">
        <v>44969</v>
      </c>
      <c r="F12262" t="s">
        <v>7949</v>
      </c>
      <c r="G12262" t="s">
        <v>2480</v>
      </c>
      <c r="H12262">
        <v>10</v>
      </c>
      <c r="I12262">
        <v>48.49</v>
      </c>
      <c r="J12262" s="50">
        <v>484.9</v>
      </c>
      <c r="K12262" t="s">
        <v>1632</v>
      </c>
      <c r="L12262" t="s">
        <v>2962</v>
      </c>
      <c r="M12262" t="s">
        <v>1619</v>
      </c>
      <c r="N12262">
        <v>25.59</v>
      </c>
      <c r="O12262" s="49">
        <v>44974</v>
      </c>
      <c r="P12262" s="50">
        <v>218.20499999999998</v>
      </c>
    </row>
    <row r="12263" spans="4:16" x14ac:dyDescent="0.2">
      <c r="D12263">
        <v>100007356</v>
      </c>
      <c r="E12263" s="49">
        <v>45253</v>
      </c>
      <c r="F12263" t="s">
        <v>7949</v>
      </c>
      <c r="G12263" t="s">
        <v>1872</v>
      </c>
      <c r="H12263">
        <v>10</v>
      </c>
      <c r="I12263">
        <v>44.95</v>
      </c>
      <c r="J12263" s="50">
        <v>449.5</v>
      </c>
      <c r="K12263" t="s">
        <v>1632</v>
      </c>
      <c r="L12263" t="s">
        <v>2962</v>
      </c>
      <c r="M12263" t="s">
        <v>1619</v>
      </c>
      <c r="N12263">
        <v>23.72</v>
      </c>
      <c r="O12263" s="49">
        <v>45256</v>
      </c>
      <c r="P12263" s="50">
        <v>202.27500000000001</v>
      </c>
    </row>
    <row r="12264" spans="4:16" x14ac:dyDescent="0.2">
      <c r="D12264">
        <v>100007356</v>
      </c>
      <c r="E12264" s="49">
        <v>44566</v>
      </c>
      <c r="F12264" t="s">
        <v>7949</v>
      </c>
      <c r="G12264" t="s">
        <v>1978</v>
      </c>
      <c r="H12264">
        <v>3</v>
      </c>
      <c r="I12264">
        <v>60.38</v>
      </c>
      <c r="J12264" s="50">
        <v>181.14</v>
      </c>
      <c r="K12264" t="s">
        <v>1632</v>
      </c>
      <c r="L12264" t="s">
        <v>2962</v>
      </c>
      <c r="M12264" t="s">
        <v>1629</v>
      </c>
      <c r="N12264">
        <v>31.87</v>
      </c>
      <c r="O12264" s="49">
        <v>44571</v>
      </c>
      <c r="P12264" s="50">
        <v>81.512999999999991</v>
      </c>
    </row>
    <row r="12265" spans="4:16" x14ac:dyDescent="0.2">
      <c r="D12265">
        <v>100007357</v>
      </c>
      <c r="E12265" s="49">
        <v>44963</v>
      </c>
      <c r="F12265" t="s">
        <v>7950</v>
      </c>
      <c r="G12265" t="s">
        <v>1982</v>
      </c>
      <c r="H12265">
        <v>4</v>
      </c>
      <c r="I12265">
        <v>90.67</v>
      </c>
      <c r="J12265" s="50">
        <v>362.68</v>
      </c>
      <c r="K12265" t="s">
        <v>1632</v>
      </c>
      <c r="L12265" t="s">
        <v>2518</v>
      </c>
      <c r="M12265" t="s">
        <v>1621</v>
      </c>
      <c r="N12265">
        <v>47.85</v>
      </c>
      <c r="O12265" s="49">
        <v>44965</v>
      </c>
      <c r="P12265" s="50">
        <v>163.20600000000002</v>
      </c>
    </row>
    <row r="12266" spans="4:16" x14ac:dyDescent="0.2">
      <c r="D12266">
        <v>100007358</v>
      </c>
      <c r="E12266" s="49">
        <v>45006</v>
      </c>
      <c r="F12266" t="s">
        <v>7951</v>
      </c>
      <c r="G12266" t="s">
        <v>2372</v>
      </c>
      <c r="H12266">
        <v>9</v>
      </c>
      <c r="I12266">
        <v>57.88</v>
      </c>
      <c r="J12266" s="50">
        <v>520.92000000000007</v>
      </c>
      <c r="K12266" t="s">
        <v>1632</v>
      </c>
      <c r="M12266" t="s">
        <v>1619</v>
      </c>
      <c r="N12266">
        <v>30.55</v>
      </c>
      <c r="O12266" s="49">
        <v>45010</v>
      </c>
      <c r="P12266" s="50">
        <v>234.41400000000004</v>
      </c>
    </row>
    <row r="12267" spans="4:16" x14ac:dyDescent="0.2">
      <c r="D12267">
        <v>100007358</v>
      </c>
      <c r="E12267" s="49">
        <v>44967</v>
      </c>
      <c r="F12267" t="s">
        <v>7951</v>
      </c>
      <c r="G12267" t="s">
        <v>2305</v>
      </c>
      <c r="H12267">
        <v>3</v>
      </c>
      <c r="I12267">
        <v>47.69</v>
      </c>
      <c r="J12267" s="50">
        <v>143.07</v>
      </c>
      <c r="K12267" t="s">
        <v>1632</v>
      </c>
      <c r="M12267" t="s">
        <v>1629</v>
      </c>
      <c r="N12267">
        <v>25.17</v>
      </c>
      <c r="O12267" s="49">
        <v>44969</v>
      </c>
      <c r="P12267" s="50">
        <v>64.381500000000003</v>
      </c>
    </row>
    <row r="12268" spans="4:16" x14ac:dyDescent="0.2">
      <c r="D12268">
        <v>100007358</v>
      </c>
      <c r="E12268" s="49">
        <v>45088</v>
      </c>
      <c r="F12268" t="s">
        <v>7951</v>
      </c>
      <c r="G12268" t="s">
        <v>2071</v>
      </c>
      <c r="H12268">
        <v>5</v>
      </c>
      <c r="I12268">
        <v>61.12</v>
      </c>
      <c r="J12268" s="50">
        <v>305.60000000000002</v>
      </c>
      <c r="K12268" t="s">
        <v>1632</v>
      </c>
      <c r="M12268" t="s">
        <v>1629</v>
      </c>
      <c r="N12268">
        <v>32.26</v>
      </c>
      <c r="O12268" s="49">
        <v>45091</v>
      </c>
      <c r="P12268" s="50">
        <v>137.52000000000001</v>
      </c>
    </row>
    <row r="12269" spans="4:16" x14ac:dyDescent="0.2">
      <c r="D12269">
        <v>100007359</v>
      </c>
      <c r="E12269" s="49">
        <v>44525</v>
      </c>
      <c r="F12269" t="s">
        <v>7952</v>
      </c>
      <c r="G12269" t="s">
        <v>2142</v>
      </c>
      <c r="H12269">
        <v>1</v>
      </c>
      <c r="I12269">
        <v>55.42</v>
      </c>
      <c r="J12269" s="50">
        <v>55.42</v>
      </c>
      <c r="K12269" t="s">
        <v>1618</v>
      </c>
      <c r="M12269" t="s">
        <v>1627</v>
      </c>
      <c r="N12269">
        <v>29.25</v>
      </c>
      <c r="O12269" s="49">
        <v>44528</v>
      </c>
      <c r="P12269" s="50">
        <v>24.939</v>
      </c>
    </row>
    <row r="12270" spans="4:16" x14ac:dyDescent="0.2">
      <c r="D12270">
        <v>100007359</v>
      </c>
      <c r="E12270" s="49">
        <v>45579</v>
      </c>
      <c r="F12270" t="s">
        <v>7952</v>
      </c>
      <c r="G12270" t="s">
        <v>1978</v>
      </c>
      <c r="H12270">
        <v>2</v>
      </c>
      <c r="I12270">
        <v>110.7</v>
      </c>
      <c r="J12270" s="50">
        <v>221.4</v>
      </c>
      <c r="K12270" t="s">
        <v>1618</v>
      </c>
      <c r="M12270" t="s">
        <v>1621</v>
      </c>
      <c r="N12270">
        <v>58.42</v>
      </c>
      <c r="O12270" s="49">
        <v>45580</v>
      </c>
      <c r="P12270" s="50">
        <v>99.63000000000001</v>
      </c>
    </row>
    <row r="12271" spans="4:16" x14ac:dyDescent="0.2">
      <c r="D12271">
        <v>100007359</v>
      </c>
      <c r="E12271" s="49">
        <v>45652</v>
      </c>
      <c r="F12271" t="s">
        <v>7952</v>
      </c>
      <c r="G12271" t="s">
        <v>1815</v>
      </c>
      <c r="H12271">
        <v>10</v>
      </c>
      <c r="I12271">
        <v>43.37</v>
      </c>
      <c r="J12271" s="50">
        <v>433.7</v>
      </c>
      <c r="K12271" t="s">
        <v>1618</v>
      </c>
      <c r="M12271" t="s">
        <v>1627</v>
      </c>
      <c r="N12271">
        <v>22.89</v>
      </c>
      <c r="O12271" s="49">
        <v>45657</v>
      </c>
      <c r="P12271" s="50">
        <v>195.16499999999999</v>
      </c>
    </row>
    <row r="12272" spans="4:16" x14ac:dyDescent="0.2">
      <c r="D12272">
        <v>100007361</v>
      </c>
      <c r="E12272" s="49">
        <v>45457</v>
      </c>
      <c r="F12272" t="s">
        <v>7953</v>
      </c>
      <c r="G12272" t="s">
        <v>1792</v>
      </c>
      <c r="H12272">
        <v>9</v>
      </c>
      <c r="I12272">
        <v>61.17</v>
      </c>
      <c r="J12272" s="50">
        <v>550.53</v>
      </c>
      <c r="K12272" t="s">
        <v>1618</v>
      </c>
      <c r="M12272" t="s">
        <v>1629</v>
      </c>
      <c r="N12272">
        <v>32.28</v>
      </c>
      <c r="O12272" s="49">
        <v>45461</v>
      </c>
      <c r="P12272" s="50">
        <v>247.73849999999999</v>
      </c>
    </row>
    <row r="12273" spans="4:16" x14ac:dyDescent="0.2">
      <c r="D12273">
        <v>100007361</v>
      </c>
      <c r="E12273" s="49">
        <v>45062</v>
      </c>
      <c r="F12273" t="s">
        <v>7953</v>
      </c>
      <c r="G12273" t="s">
        <v>1697</v>
      </c>
      <c r="H12273">
        <v>3</v>
      </c>
      <c r="I12273">
        <v>79.099999999999994</v>
      </c>
      <c r="J12273" s="50">
        <v>237.3</v>
      </c>
      <c r="K12273" t="s">
        <v>1618</v>
      </c>
      <c r="M12273" t="s">
        <v>1621</v>
      </c>
      <c r="N12273">
        <v>41.75</v>
      </c>
      <c r="O12273" s="49">
        <v>45064</v>
      </c>
      <c r="P12273" s="50">
        <v>106.78500000000001</v>
      </c>
    </row>
    <row r="12274" spans="4:16" x14ac:dyDescent="0.2">
      <c r="D12274">
        <v>100007361</v>
      </c>
      <c r="E12274" s="49">
        <v>44710</v>
      </c>
      <c r="F12274" t="s">
        <v>7953</v>
      </c>
      <c r="G12274" t="s">
        <v>1815</v>
      </c>
      <c r="H12274">
        <v>5</v>
      </c>
      <c r="I12274">
        <v>118.57</v>
      </c>
      <c r="J12274" s="50">
        <v>592.84999999999991</v>
      </c>
      <c r="K12274" t="s">
        <v>1618</v>
      </c>
      <c r="M12274" t="s">
        <v>1621</v>
      </c>
      <c r="N12274">
        <v>62.58</v>
      </c>
      <c r="O12274" s="49">
        <v>44713</v>
      </c>
      <c r="P12274" s="50">
        <v>266.78249999999997</v>
      </c>
    </row>
    <row r="12275" spans="4:16" x14ac:dyDescent="0.2">
      <c r="D12275">
        <v>100007363</v>
      </c>
      <c r="E12275" s="49">
        <v>45344</v>
      </c>
      <c r="F12275" t="s">
        <v>7954</v>
      </c>
      <c r="G12275" t="s">
        <v>2182</v>
      </c>
      <c r="H12275">
        <v>8</v>
      </c>
      <c r="I12275">
        <v>39.75</v>
      </c>
      <c r="J12275" s="50">
        <v>318</v>
      </c>
      <c r="K12275" t="s">
        <v>1632</v>
      </c>
      <c r="L12275" t="s">
        <v>6432</v>
      </c>
      <c r="M12275" t="s">
        <v>1619</v>
      </c>
      <c r="N12275">
        <v>20.98</v>
      </c>
      <c r="O12275" s="49">
        <v>45347</v>
      </c>
      <c r="P12275" s="50">
        <v>143.1</v>
      </c>
    </row>
    <row r="12276" spans="4:16" x14ac:dyDescent="0.2">
      <c r="D12276">
        <v>100007364</v>
      </c>
      <c r="E12276" s="49">
        <v>45216</v>
      </c>
      <c r="F12276" t="s">
        <v>7955</v>
      </c>
      <c r="G12276" t="s">
        <v>1866</v>
      </c>
      <c r="H12276">
        <v>2</v>
      </c>
      <c r="I12276">
        <v>43</v>
      </c>
      <c r="J12276" s="50">
        <v>86</v>
      </c>
      <c r="K12276" t="s">
        <v>1632</v>
      </c>
      <c r="M12276" t="s">
        <v>1621</v>
      </c>
      <c r="N12276">
        <v>22.69</v>
      </c>
      <c r="O12276" s="49">
        <v>45218</v>
      </c>
      <c r="P12276" s="50">
        <v>38.700000000000003</v>
      </c>
    </row>
    <row r="12277" spans="4:16" x14ac:dyDescent="0.2">
      <c r="D12277">
        <v>100007364</v>
      </c>
      <c r="E12277" s="49">
        <v>45395</v>
      </c>
      <c r="F12277" t="s">
        <v>7955</v>
      </c>
      <c r="G12277" t="s">
        <v>2323</v>
      </c>
      <c r="H12277">
        <v>8</v>
      </c>
      <c r="I12277">
        <v>41.79</v>
      </c>
      <c r="J12277" s="50">
        <v>334.32</v>
      </c>
      <c r="K12277" t="s">
        <v>1632</v>
      </c>
      <c r="M12277" t="s">
        <v>1621</v>
      </c>
      <c r="N12277">
        <v>22.06</v>
      </c>
      <c r="O12277" s="49">
        <v>45398</v>
      </c>
      <c r="P12277" s="50">
        <v>150.44399999999999</v>
      </c>
    </row>
    <row r="12278" spans="4:16" x14ac:dyDescent="0.2">
      <c r="D12278">
        <v>100007365</v>
      </c>
      <c r="E12278" s="49">
        <v>44354</v>
      </c>
      <c r="F12278" t="s">
        <v>2247</v>
      </c>
      <c r="G12278" t="s">
        <v>1671</v>
      </c>
      <c r="H12278">
        <v>3</v>
      </c>
      <c r="I12278">
        <v>110.26</v>
      </c>
      <c r="J12278" s="50">
        <v>330.78</v>
      </c>
      <c r="K12278" t="s">
        <v>1618</v>
      </c>
      <c r="M12278" t="s">
        <v>1624</v>
      </c>
      <c r="N12278">
        <v>58.19</v>
      </c>
      <c r="O12278" s="49">
        <v>44355</v>
      </c>
      <c r="P12278" s="50">
        <v>148.851</v>
      </c>
    </row>
    <row r="12279" spans="4:16" x14ac:dyDescent="0.2">
      <c r="D12279">
        <v>100007366</v>
      </c>
      <c r="E12279" s="49">
        <v>45259</v>
      </c>
      <c r="F12279" t="s">
        <v>7029</v>
      </c>
      <c r="G12279" t="s">
        <v>1948</v>
      </c>
      <c r="H12279">
        <v>8</v>
      </c>
      <c r="I12279">
        <v>95.13</v>
      </c>
      <c r="J12279" s="50">
        <v>761.04</v>
      </c>
      <c r="K12279" t="s">
        <v>1618</v>
      </c>
      <c r="L12279" t="s">
        <v>7340</v>
      </c>
      <c r="M12279" t="s">
        <v>1629</v>
      </c>
      <c r="N12279">
        <v>50.21</v>
      </c>
      <c r="O12279" s="49">
        <v>45264</v>
      </c>
      <c r="P12279" s="50">
        <v>342.46800000000002</v>
      </c>
    </row>
    <row r="12280" spans="4:16" x14ac:dyDescent="0.2">
      <c r="D12280">
        <v>100007366</v>
      </c>
      <c r="E12280" s="49">
        <v>45631</v>
      </c>
      <c r="F12280" t="s">
        <v>7029</v>
      </c>
      <c r="G12280" t="s">
        <v>1901</v>
      </c>
      <c r="H12280">
        <v>3</v>
      </c>
      <c r="I12280">
        <v>27.86</v>
      </c>
      <c r="J12280" s="50">
        <v>83.58</v>
      </c>
      <c r="K12280" t="s">
        <v>1618</v>
      </c>
      <c r="L12280" t="s">
        <v>7340</v>
      </c>
      <c r="M12280" t="s">
        <v>1619</v>
      </c>
      <c r="N12280">
        <v>14.7</v>
      </c>
      <c r="O12280" s="49">
        <v>45634</v>
      </c>
      <c r="P12280" s="50">
        <v>37.610999999999997</v>
      </c>
    </row>
    <row r="12281" spans="4:16" x14ac:dyDescent="0.2">
      <c r="D12281">
        <v>100007367</v>
      </c>
      <c r="E12281" s="49">
        <v>44478</v>
      </c>
      <c r="F12281" t="s">
        <v>7956</v>
      </c>
      <c r="G12281" t="s">
        <v>1742</v>
      </c>
      <c r="H12281">
        <v>3</v>
      </c>
      <c r="I12281">
        <v>66.5</v>
      </c>
      <c r="J12281" s="50">
        <v>199.5</v>
      </c>
      <c r="K12281" t="s">
        <v>1618</v>
      </c>
      <c r="M12281" t="s">
        <v>1619</v>
      </c>
      <c r="N12281">
        <v>35.1</v>
      </c>
      <c r="O12281" s="49">
        <v>44479</v>
      </c>
      <c r="P12281" s="50">
        <v>89.775000000000006</v>
      </c>
    </row>
    <row r="12282" spans="4:16" x14ac:dyDescent="0.2">
      <c r="D12282">
        <v>100007367</v>
      </c>
      <c r="E12282" s="49">
        <v>45206</v>
      </c>
      <c r="F12282" t="s">
        <v>7956</v>
      </c>
      <c r="G12282" t="s">
        <v>1882</v>
      </c>
      <c r="H12282">
        <v>9</v>
      </c>
      <c r="I12282">
        <v>11.89</v>
      </c>
      <c r="J12282" s="50">
        <v>107.01</v>
      </c>
      <c r="K12282" t="s">
        <v>1618</v>
      </c>
      <c r="M12282" t="s">
        <v>1627</v>
      </c>
      <c r="N12282">
        <v>6.28</v>
      </c>
      <c r="O12282" s="49">
        <v>45209</v>
      </c>
      <c r="P12282" s="50">
        <v>48.154500000000006</v>
      </c>
    </row>
    <row r="12283" spans="4:16" x14ac:dyDescent="0.2">
      <c r="D12283">
        <v>100007368</v>
      </c>
      <c r="E12283" s="49">
        <v>45527</v>
      </c>
      <c r="F12283" t="s">
        <v>1951</v>
      </c>
      <c r="G12283" t="s">
        <v>1827</v>
      </c>
      <c r="H12283">
        <v>3</v>
      </c>
      <c r="I12283">
        <v>33.82</v>
      </c>
      <c r="J12283" s="50">
        <v>101.46</v>
      </c>
      <c r="K12283" t="s">
        <v>1632</v>
      </c>
      <c r="M12283" t="s">
        <v>1624</v>
      </c>
      <c r="N12283">
        <v>17.850000000000001</v>
      </c>
      <c r="O12283" s="49">
        <v>45532</v>
      </c>
      <c r="P12283" s="50">
        <v>45.656999999999996</v>
      </c>
    </row>
    <row r="12284" spans="4:16" x14ac:dyDescent="0.2">
      <c r="D12284">
        <v>100007369</v>
      </c>
      <c r="E12284" s="49">
        <v>45109</v>
      </c>
      <c r="F12284" t="s">
        <v>7957</v>
      </c>
      <c r="G12284" t="s">
        <v>1679</v>
      </c>
      <c r="H12284">
        <v>4</v>
      </c>
      <c r="I12284">
        <v>67.14</v>
      </c>
      <c r="J12284" s="50">
        <v>268.56</v>
      </c>
      <c r="K12284" t="s">
        <v>1618</v>
      </c>
      <c r="L12284" t="s">
        <v>2189</v>
      </c>
      <c r="M12284" t="s">
        <v>1621</v>
      </c>
      <c r="N12284">
        <v>35.43</v>
      </c>
      <c r="O12284" s="49">
        <v>45111</v>
      </c>
      <c r="P12284" s="50">
        <v>120.852</v>
      </c>
    </row>
    <row r="12285" spans="4:16" x14ac:dyDescent="0.2">
      <c r="D12285">
        <v>100007370</v>
      </c>
      <c r="E12285" s="49">
        <v>44272</v>
      </c>
      <c r="F12285" t="s">
        <v>7958</v>
      </c>
      <c r="G12285" t="s">
        <v>2099</v>
      </c>
      <c r="H12285">
        <v>8</v>
      </c>
      <c r="I12285">
        <v>30.38</v>
      </c>
      <c r="J12285" s="50">
        <v>243.04</v>
      </c>
      <c r="K12285" t="s">
        <v>1618</v>
      </c>
      <c r="M12285" t="s">
        <v>1629</v>
      </c>
      <c r="N12285">
        <v>16.03</v>
      </c>
      <c r="O12285" s="49">
        <v>44277</v>
      </c>
      <c r="P12285" s="50">
        <v>109.36799999999999</v>
      </c>
    </row>
    <row r="12286" spans="4:16" x14ac:dyDescent="0.2">
      <c r="D12286">
        <v>100007371</v>
      </c>
      <c r="E12286" s="49">
        <v>45324</v>
      </c>
      <c r="F12286" t="s">
        <v>7959</v>
      </c>
      <c r="G12286" t="s">
        <v>1859</v>
      </c>
      <c r="H12286">
        <v>10</v>
      </c>
      <c r="I12286">
        <v>12.59</v>
      </c>
      <c r="J12286" s="50">
        <v>125.9</v>
      </c>
      <c r="K12286" t="s">
        <v>1618</v>
      </c>
      <c r="M12286" t="s">
        <v>1619</v>
      </c>
      <c r="N12286">
        <v>6.64</v>
      </c>
      <c r="O12286" s="49">
        <v>45326</v>
      </c>
      <c r="P12286" s="50">
        <v>56.655000000000001</v>
      </c>
    </row>
    <row r="12287" spans="4:16" x14ac:dyDescent="0.2">
      <c r="D12287">
        <v>100007372</v>
      </c>
      <c r="E12287" s="49">
        <v>45505</v>
      </c>
      <c r="F12287" t="s">
        <v>7960</v>
      </c>
      <c r="G12287" t="s">
        <v>2182</v>
      </c>
      <c r="H12287">
        <v>3</v>
      </c>
      <c r="I12287">
        <v>70.31</v>
      </c>
      <c r="J12287" s="50">
        <v>210.93</v>
      </c>
      <c r="K12287" t="s">
        <v>1632</v>
      </c>
      <c r="L12287" t="s">
        <v>7961</v>
      </c>
      <c r="M12287" t="s">
        <v>1627</v>
      </c>
      <c r="N12287">
        <v>37.11</v>
      </c>
      <c r="O12287" s="49">
        <v>45510</v>
      </c>
      <c r="P12287" s="50">
        <v>94.918500000000009</v>
      </c>
    </row>
    <row r="12288" spans="4:16" x14ac:dyDescent="0.2">
      <c r="D12288">
        <v>100007372</v>
      </c>
      <c r="E12288" s="49">
        <v>45097</v>
      </c>
      <c r="F12288" t="s">
        <v>7960</v>
      </c>
      <c r="G12288" t="s">
        <v>2706</v>
      </c>
      <c r="H12288">
        <v>2</v>
      </c>
      <c r="I12288">
        <v>12.24</v>
      </c>
      <c r="J12288" s="50">
        <v>24.48</v>
      </c>
      <c r="K12288" t="s">
        <v>1632</v>
      </c>
      <c r="L12288" t="s">
        <v>7961</v>
      </c>
      <c r="M12288" t="s">
        <v>1619</v>
      </c>
      <c r="N12288">
        <v>6.46</v>
      </c>
      <c r="O12288" s="49">
        <v>45098</v>
      </c>
      <c r="P12288" s="50">
        <v>11.016</v>
      </c>
    </row>
    <row r="12289" spans="4:16" x14ac:dyDescent="0.2">
      <c r="D12289">
        <v>100007374</v>
      </c>
      <c r="E12289" s="49">
        <v>44334</v>
      </c>
      <c r="F12289" t="s">
        <v>7962</v>
      </c>
      <c r="G12289" t="s">
        <v>1690</v>
      </c>
      <c r="H12289">
        <v>2</v>
      </c>
      <c r="I12289">
        <v>75.680000000000007</v>
      </c>
      <c r="J12289" s="50">
        <v>151.36000000000001</v>
      </c>
      <c r="K12289" t="s">
        <v>1618</v>
      </c>
      <c r="M12289" t="s">
        <v>1624</v>
      </c>
      <c r="N12289">
        <v>39.94</v>
      </c>
      <c r="O12289" s="49">
        <v>44336</v>
      </c>
      <c r="P12289" s="50">
        <v>68.112000000000009</v>
      </c>
    </row>
    <row r="12290" spans="4:16" x14ac:dyDescent="0.2">
      <c r="D12290">
        <v>100007376</v>
      </c>
      <c r="E12290" s="49">
        <v>44525</v>
      </c>
      <c r="F12290" t="s">
        <v>7963</v>
      </c>
      <c r="G12290" t="s">
        <v>1688</v>
      </c>
      <c r="H12290">
        <v>3</v>
      </c>
      <c r="I12290">
        <v>100.63</v>
      </c>
      <c r="J12290" s="50">
        <v>301.89</v>
      </c>
      <c r="K12290" t="s">
        <v>1618</v>
      </c>
      <c r="M12290" t="s">
        <v>1621</v>
      </c>
      <c r="N12290">
        <v>53.11</v>
      </c>
      <c r="O12290" s="49">
        <v>44527</v>
      </c>
      <c r="P12290" s="50">
        <v>135.85050000000001</v>
      </c>
    </row>
    <row r="12291" spans="4:16" x14ac:dyDescent="0.2">
      <c r="D12291">
        <v>100007376</v>
      </c>
      <c r="E12291" s="49">
        <v>45011</v>
      </c>
      <c r="F12291" t="s">
        <v>7963</v>
      </c>
      <c r="G12291" t="s">
        <v>1831</v>
      </c>
      <c r="H12291">
        <v>7</v>
      </c>
      <c r="I12291">
        <v>85.56</v>
      </c>
      <c r="J12291" s="50">
        <v>598.92000000000007</v>
      </c>
      <c r="K12291" t="s">
        <v>1618</v>
      </c>
      <c r="M12291" t="s">
        <v>1627</v>
      </c>
      <c r="N12291">
        <v>45.16</v>
      </c>
      <c r="O12291" s="49">
        <v>45014</v>
      </c>
      <c r="P12291" s="50">
        <v>269.51400000000007</v>
      </c>
    </row>
    <row r="12292" spans="4:16" x14ac:dyDescent="0.2">
      <c r="D12292">
        <v>100007376</v>
      </c>
      <c r="E12292" s="49">
        <v>44364</v>
      </c>
      <c r="F12292" t="s">
        <v>7963</v>
      </c>
      <c r="G12292" t="s">
        <v>2553</v>
      </c>
      <c r="H12292">
        <v>5</v>
      </c>
      <c r="I12292">
        <v>84.21</v>
      </c>
      <c r="J12292" s="50">
        <v>421.05</v>
      </c>
      <c r="K12292" t="s">
        <v>1618</v>
      </c>
      <c r="M12292" t="s">
        <v>1629</v>
      </c>
      <c r="N12292">
        <v>44.44</v>
      </c>
      <c r="O12292" s="49">
        <v>44366</v>
      </c>
      <c r="P12292" s="50">
        <v>189.4725</v>
      </c>
    </row>
    <row r="12293" spans="4:16" x14ac:dyDescent="0.2">
      <c r="D12293">
        <v>100007376</v>
      </c>
      <c r="E12293" s="49">
        <v>45548</v>
      </c>
      <c r="F12293" t="s">
        <v>7963</v>
      </c>
      <c r="G12293" t="s">
        <v>1859</v>
      </c>
      <c r="H12293">
        <v>10</v>
      </c>
      <c r="I12293">
        <v>55.11</v>
      </c>
      <c r="J12293" s="50">
        <v>551.1</v>
      </c>
      <c r="K12293" t="s">
        <v>1618</v>
      </c>
      <c r="M12293" t="s">
        <v>1624</v>
      </c>
      <c r="N12293">
        <v>29.09</v>
      </c>
      <c r="O12293" s="49">
        <v>45552</v>
      </c>
      <c r="P12293" s="50">
        <v>247.995</v>
      </c>
    </row>
    <row r="12294" spans="4:16" x14ac:dyDescent="0.2">
      <c r="D12294">
        <v>100007376</v>
      </c>
      <c r="E12294" s="49">
        <v>44514</v>
      </c>
      <c r="F12294" t="s">
        <v>7963</v>
      </c>
      <c r="G12294" t="s">
        <v>2057</v>
      </c>
      <c r="H12294">
        <v>9</v>
      </c>
      <c r="I12294">
        <v>104.5</v>
      </c>
      <c r="J12294" s="50">
        <v>940.5</v>
      </c>
      <c r="K12294" t="s">
        <v>1618</v>
      </c>
      <c r="M12294" t="s">
        <v>1629</v>
      </c>
      <c r="N12294">
        <v>55.15</v>
      </c>
      <c r="O12294" s="49">
        <v>44518</v>
      </c>
      <c r="P12294" s="50">
        <v>423.22500000000002</v>
      </c>
    </row>
    <row r="12295" spans="4:16" x14ac:dyDescent="0.2">
      <c r="D12295">
        <v>100007377</v>
      </c>
      <c r="E12295" s="49">
        <v>44728</v>
      </c>
      <c r="F12295" t="s">
        <v>7964</v>
      </c>
      <c r="G12295" t="s">
        <v>1846</v>
      </c>
      <c r="H12295">
        <v>7</v>
      </c>
      <c r="I12295">
        <v>118.55</v>
      </c>
      <c r="J12295" s="50">
        <v>829.85</v>
      </c>
      <c r="K12295" t="s">
        <v>1618</v>
      </c>
      <c r="M12295" t="s">
        <v>1624</v>
      </c>
      <c r="N12295">
        <v>62.57</v>
      </c>
      <c r="O12295" s="49">
        <v>44731</v>
      </c>
      <c r="P12295" s="50">
        <v>373.4325</v>
      </c>
    </row>
    <row r="12296" spans="4:16" x14ac:dyDescent="0.2">
      <c r="D12296">
        <v>100007377</v>
      </c>
      <c r="E12296" s="49">
        <v>45453</v>
      </c>
      <c r="F12296" t="s">
        <v>7964</v>
      </c>
      <c r="G12296" t="s">
        <v>2613</v>
      </c>
      <c r="H12296">
        <v>8</v>
      </c>
      <c r="I12296">
        <v>15.07</v>
      </c>
      <c r="J12296" s="50">
        <v>120.56</v>
      </c>
      <c r="K12296" t="s">
        <v>1618</v>
      </c>
      <c r="M12296" t="s">
        <v>1629</v>
      </c>
      <c r="N12296">
        <v>7.95</v>
      </c>
      <c r="O12296" s="49">
        <v>45455</v>
      </c>
      <c r="P12296" s="50">
        <v>54.252000000000002</v>
      </c>
    </row>
    <row r="12297" spans="4:16" x14ac:dyDescent="0.2">
      <c r="D12297">
        <v>100007377</v>
      </c>
      <c r="E12297" s="49">
        <v>45247</v>
      </c>
      <c r="F12297" t="s">
        <v>7964</v>
      </c>
      <c r="G12297" t="s">
        <v>1794</v>
      </c>
      <c r="H12297">
        <v>4</v>
      </c>
      <c r="I12297">
        <v>70.27</v>
      </c>
      <c r="J12297" s="50">
        <v>281.08</v>
      </c>
      <c r="K12297" t="s">
        <v>1618</v>
      </c>
      <c r="M12297" t="s">
        <v>1629</v>
      </c>
      <c r="N12297">
        <v>37.090000000000003</v>
      </c>
      <c r="O12297" s="49">
        <v>45250</v>
      </c>
      <c r="P12297" s="50">
        <v>126.48599999999999</v>
      </c>
    </row>
    <row r="12298" spans="4:16" x14ac:dyDescent="0.2">
      <c r="D12298">
        <v>100007378</v>
      </c>
      <c r="E12298" s="49">
        <v>45474</v>
      </c>
      <c r="F12298" t="s">
        <v>7965</v>
      </c>
      <c r="G12298" t="s">
        <v>1834</v>
      </c>
      <c r="H12298">
        <v>7</v>
      </c>
      <c r="I12298">
        <v>33.61</v>
      </c>
      <c r="J12298" s="50">
        <v>235.27</v>
      </c>
      <c r="K12298" t="s">
        <v>1618</v>
      </c>
      <c r="M12298" t="s">
        <v>1629</v>
      </c>
      <c r="N12298">
        <v>17.739999999999998</v>
      </c>
      <c r="O12298" s="49">
        <v>45477</v>
      </c>
      <c r="P12298" s="50">
        <v>105.87150000000001</v>
      </c>
    </row>
    <row r="12299" spans="4:16" x14ac:dyDescent="0.2">
      <c r="D12299">
        <v>100007379</v>
      </c>
      <c r="E12299" s="49">
        <v>44664</v>
      </c>
      <c r="F12299" t="s">
        <v>3590</v>
      </c>
      <c r="G12299" t="s">
        <v>2465</v>
      </c>
      <c r="H12299">
        <v>2</v>
      </c>
      <c r="I12299">
        <v>51.17</v>
      </c>
      <c r="J12299" s="50">
        <v>102.34</v>
      </c>
      <c r="K12299" t="s">
        <v>1618</v>
      </c>
      <c r="L12299" t="s">
        <v>7757</v>
      </c>
      <c r="M12299" t="s">
        <v>1624</v>
      </c>
      <c r="N12299">
        <v>27.01</v>
      </c>
      <c r="O12299" s="49">
        <v>44669</v>
      </c>
      <c r="P12299" s="50">
        <v>46.053000000000004</v>
      </c>
    </row>
    <row r="12300" spans="4:16" x14ac:dyDescent="0.2">
      <c r="D12300">
        <v>100007379</v>
      </c>
      <c r="E12300" s="49">
        <v>45424</v>
      </c>
      <c r="F12300" t="s">
        <v>3590</v>
      </c>
      <c r="G12300" t="s">
        <v>1729</v>
      </c>
      <c r="H12300">
        <v>4</v>
      </c>
      <c r="I12300">
        <v>102.08</v>
      </c>
      <c r="J12300" s="50">
        <v>408.32</v>
      </c>
      <c r="K12300" t="s">
        <v>1618</v>
      </c>
      <c r="L12300" t="s">
        <v>7757</v>
      </c>
      <c r="M12300" t="s">
        <v>1624</v>
      </c>
      <c r="N12300">
        <v>53.88</v>
      </c>
      <c r="O12300" s="49">
        <v>45426</v>
      </c>
      <c r="P12300" s="50">
        <v>183.744</v>
      </c>
    </row>
    <row r="12301" spans="4:16" x14ac:dyDescent="0.2">
      <c r="D12301">
        <v>100007380</v>
      </c>
      <c r="E12301" s="49">
        <v>45262</v>
      </c>
      <c r="F12301" t="s">
        <v>5566</v>
      </c>
      <c r="G12301" t="s">
        <v>1669</v>
      </c>
      <c r="H12301">
        <v>4</v>
      </c>
      <c r="I12301">
        <v>107.08</v>
      </c>
      <c r="J12301" s="50">
        <v>428.32</v>
      </c>
      <c r="K12301" t="s">
        <v>1618</v>
      </c>
      <c r="M12301" t="s">
        <v>1627</v>
      </c>
      <c r="N12301">
        <v>56.51</v>
      </c>
      <c r="O12301" s="49">
        <v>45264</v>
      </c>
      <c r="P12301" s="50">
        <v>192.744</v>
      </c>
    </row>
    <row r="12302" spans="4:16" x14ac:dyDescent="0.2">
      <c r="D12302">
        <v>100007381</v>
      </c>
      <c r="E12302" s="49">
        <v>45265</v>
      </c>
      <c r="F12302" t="s">
        <v>7966</v>
      </c>
      <c r="G12302" t="s">
        <v>2698</v>
      </c>
      <c r="H12302">
        <v>9</v>
      </c>
      <c r="I12302">
        <v>27.97</v>
      </c>
      <c r="J12302" s="50">
        <v>251.73</v>
      </c>
      <c r="K12302" t="s">
        <v>1632</v>
      </c>
      <c r="L12302" t="s">
        <v>7673</v>
      </c>
      <c r="M12302" t="s">
        <v>1621</v>
      </c>
      <c r="N12302">
        <v>14.76</v>
      </c>
      <c r="O12302" s="49">
        <v>45267</v>
      </c>
      <c r="P12302" s="50">
        <v>113.27849999999999</v>
      </c>
    </row>
    <row r="12303" spans="4:16" x14ac:dyDescent="0.2">
      <c r="D12303">
        <v>100007381</v>
      </c>
      <c r="E12303" s="49">
        <v>44710</v>
      </c>
      <c r="F12303" t="s">
        <v>7966</v>
      </c>
      <c r="G12303" t="s">
        <v>1880</v>
      </c>
      <c r="H12303">
        <v>3</v>
      </c>
      <c r="I12303">
        <v>74.209999999999994</v>
      </c>
      <c r="J12303" s="50">
        <v>222.63</v>
      </c>
      <c r="K12303" t="s">
        <v>1632</v>
      </c>
      <c r="L12303" t="s">
        <v>7673</v>
      </c>
      <c r="M12303" t="s">
        <v>1624</v>
      </c>
      <c r="N12303">
        <v>39.17</v>
      </c>
      <c r="O12303" s="49">
        <v>44715</v>
      </c>
      <c r="P12303" s="50">
        <v>100.1835</v>
      </c>
    </row>
    <row r="12304" spans="4:16" x14ac:dyDescent="0.2">
      <c r="D12304">
        <v>100007381</v>
      </c>
      <c r="E12304" s="49">
        <v>45250</v>
      </c>
      <c r="F12304" t="s">
        <v>7966</v>
      </c>
      <c r="G12304" t="s">
        <v>1739</v>
      </c>
      <c r="H12304">
        <v>2</v>
      </c>
      <c r="I12304">
        <v>57.98</v>
      </c>
      <c r="J12304" s="50">
        <v>115.96</v>
      </c>
      <c r="K12304" t="s">
        <v>1632</v>
      </c>
      <c r="L12304" t="s">
        <v>7673</v>
      </c>
      <c r="M12304" t="s">
        <v>1619</v>
      </c>
      <c r="N12304">
        <v>30.6</v>
      </c>
      <c r="O12304" s="49">
        <v>45252</v>
      </c>
      <c r="P12304" s="50">
        <v>52.181999999999995</v>
      </c>
    </row>
    <row r="12305" spans="4:16" x14ac:dyDescent="0.2">
      <c r="D12305">
        <v>100007382</v>
      </c>
      <c r="E12305" s="49">
        <v>44868</v>
      </c>
      <c r="F12305" t="s">
        <v>7967</v>
      </c>
      <c r="G12305" t="s">
        <v>1744</v>
      </c>
      <c r="H12305">
        <v>9</v>
      </c>
      <c r="I12305">
        <v>107.76</v>
      </c>
      <c r="J12305" s="50">
        <v>969.84</v>
      </c>
      <c r="K12305" t="s">
        <v>1618</v>
      </c>
      <c r="M12305" t="s">
        <v>1619</v>
      </c>
      <c r="N12305">
        <v>56.87</v>
      </c>
      <c r="O12305" s="49">
        <v>44871</v>
      </c>
      <c r="P12305" s="50">
        <v>436.428</v>
      </c>
    </row>
    <row r="12306" spans="4:16" x14ac:dyDescent="0.2">
      <c r="D12306">
        <v>100007382</v>
      </c>
      <c r="E12306" s="49">
        <v>45355</v>
      </c>
      <c r="F12306" t="s">
        <v>7967</v>
      </c>
      <c r="G12306" t="s">
        <v>1833</v>
      </c>
      <c r="H12306">
        <v>8</v>
      </c>
      <c r="I12306">
        <v>32.299999999999997</v>
      </c>
      <c r="J12306" s="50">
        <v>258.39999999999998</v>
      </c>
      <c r="K12306" t="s">
        <v>1618</v>
      </c>
      <c r="M12306" t="s">
        <v>1619</v>
      </c>
      <c r="N12306">
        <v>17.05</v>
      </c>
      <c r="O12306" s="49">
        <v>45359</v>
      </c>
      <c r="P12306" s="50">
        <v>116.27999999999999</v>
      </c>
    </row>
    <row r="12307" spans="4:16" x14ac:dyDescent="0.2">
      <c r="D12307">
        <v>100007383</v>
      </c>
      <c r="E12307" s="49">
        <v>44591</v>
      </c>
      <c r="F12307" t="s">
        <v>7968</v>
      </c>
      <c r="G12307" t="s">
        <v>1666</v>
      </c>
      <c r="H12307">
        <v>8</v>
      </c>
      <c r="I12307">
        <v>23.84</v>
      </c>
      <c r="J12307" s="50">
        <v>190.72</v>
      </c>
      <c r="K12307" t="s">
        <v>1618</v>
      </c>
      <c r="M12307" t="s">
        <v>1624</v>
      </c>
      <c r="N12307">
        <v>12.58</v>
      </c>
      <c r="O12307" s="49">
        <v>44595</v>
      </c>
      <c r="P12307" s="50">
        <v>85.823999999999998</v>
      </c>
    </row>
    <row r="12308" spans="4:16" x14ac:dyDescent="0.2">
      <c r="D12308">
        <v>100007384</v>
      </c>
      <c r="E12308" s="49">
        <v>45618</v>
      </c>
      <c r="F12308" t="s">
        <v>7969</v>
      </c>
      <c r="G12308" t="s">
        <v>2348</v>
      </c>
      <c r="H12308">
        <v>3</v>
      </c>
      <c r="I12308">
        <v>36.19</v>
      </c>
      <c r="J12308" s="50">
        <v>108.57</v>
      </c>
      <c r="K12308" t="s">
        <v>1618</v>
      </c>
      <c r="L12308" t="s">
        <v>7970</v>
      </c>
      <c r="M12308" t="s">
        <v>1621</v>
      </c>
      <c r="N12308">
        <v>19.100000000000001</v>
      </c>
      <c r="O12308" s="49">
        <v>45620</v>
      </c>
      <c r="P12308" s="50">
        <v>48.856499999999997</v>
      </c>
    </row>
    <row r="12309" spans="4:16" x14ac:dyDescent="0.2">
      <c r="D12309">
        <v>100007385</v>
      </c>
      <c r="E12309" s="49">
        <v>45184</v>
      </c>
      <c r="F12309" t="s">
        <v>7971</v>
      </c>
      <c r="G12309" t="s">
        <v>1739</v>
      </c>
      <c r="H12309">
        <v>8</v>
      </c>
      <c r="I12309">
        <v>35.51</v>
      </c>
      <c r="J12309" s="50">
        <v>284.08</v>
      </c>
      <c r="K12309" t="s">
        <v>1632</v>
      </c>
      <c r="M12309" t="s">
        <v>1629</v>
      </c>
      <c r="N12309">
        <v>18.739999999999998</v>
      </c>
      <c r="O12309" s="49">
        <v>45185</v>
      </c>
      <c r="P12309" s="50">
        <v>127.836</v>
      </c>
    </row>
    <row r="12310" spans="4:16" x14ac:dyDescent="0.2">
      <c r="D12310">
        <v>100007386</v>
      </c>
      <c r="E12310" s="49">
        <v>44995</v>
      </c>
      <c r="F12310" t="s">
        <v>7972</v>
      </c>
      <c r="G12310" t="s">
        <v>2372</v>
      </c>
      <c r="H12310">
        <v>8</v>
      </c>
      <c r="I12310">
        <v>85.63</v>
      </c>
      <c r="J12310" s="50">
        <v>685.04</v>
      </c>
      <c r="K12310" t="s">
        <v>1632</v>
      </c>
      <c r="M12310" t="s">
        <v>1619</v>
      </c>
      <c r="N12310">
        <v>45.19</v>
      </c>
      <c r="O12310" s="49">
        <v>44997</v>
      </c>
      <c r="P12310" s="50">
        <v>308.26799999999997</v>
      </c>
    </row>
    <row r="12311" spans="4:16" x14ac:dyDescent="0.2">
      <c r="D12311">
        <v>100007386</v>
      </c>
      <c r="E12311" s="49">
        <v>44524</v>
      </c>
      <c r="F12311" t="s">
        <v>7972</v>
      </c>
      <c r="G12311" t="s">
        <v>2039</v>
      </c>
      <c r="H12311">
        <v>2</v>
      </c>
      <c r="I12311">
        <v>29.36</v>
      </c>
      <c r="J12311" s="50">
        <v>58.72</v>
      </c>
      <c r="K12311" t="s">
        <v>1632</v>
      </c>
      <c r="M12311" t="s">
        <v>1619</v>
      </c>
      <c r="N12311">
        <v>15.5</v>
      </c>
      <c r="O12311" s="49">
        <v>44526</v>
      </c>
      <c r="P12311" s="50">
        <v>26.423999999999999</v>
      </c>
    </row>
    <row r="12312" spans="4:16" x14ac:dyDescent="0.2">
      <c r="D12312">
        <v>100007387</v>
      </c>
      <c r="E12312" s="49">
        <v>44728</v>
      </c>
      <c r="F12312" t="s">
        <v>7973</v>
      </c>
      <c r="G12312" t="s">
        <v>1728</v>
      </c>
      <c r="H12312">
        <v>3</v>
      </c>
      <c r="I12312">
        <v>71.28</v>
      </c>
      <c r="J12312" s="50">
        <v>213.84</v>
      </c>
      <c r="K12312" t="s">
        <v>1618</v>
      </c>
      <c r="L12312" t="s">
        <v>2661</v>
      </c>
      <c r="M12312" t="s">
        <v>1627</v>
      </c>
      <c r="N12312">
        <v>37.619999999999997</v>
      </c>
      <c r="O12312" s="49">
        <v>44730</v>
      </c>
      <c r="P12312" s="50">
        <v>96.228000000000009</v>
      </c>
    </row>
    <row r="12313" spans="4:16" x14ac:dyDescent="0.2">
      <c r="D12313">
        <v>100007387</v>
      </c>
      <c r="E12313" s="49">
        <v>44353</v>
      </c>
      <c r="F12313" t="s">
        <v>7973</v>
      </c>
      <c r="G12313" t="s">
        <v>2232</v>
      </c>
      <c r="H12313">
        <v>1</v>
      </c>
      <c r="I12313">
        <v>14.12</v>
      </c>
      <c r="J12313" s="50">
        <v>14.12</v>
      </c>
      <c r="K12313" t="s">
        <v>1618</v>
      </c>
      <c r="L12313" t="s">
        <v>2661</v>
      </c>
      <c r="M12313" t="s">
        <v>1627</v>
      </c>
      <c r="N12313">
        <v>7.45</v>
      </c>
      <c r="O12313" s="49">
        <v>44356</v>
      </c>
      <c r="P12313" s="50">
        <v>6.3540000000000001</v>
      </c>
    </row>
    <row r="12314" spans="4:16" x14ac:dyDescent="0.2">
      <c r="D12314">
        <v>100007387</v>
      </c>
      <c r="E12314" s="49">
        <v>44856</v>
      </c>
      <c r="F12314" t="s">
        <v>7973</v>
      </c>
      <c r="G12314" t="s">
        <v>1749</v>
      </c>
      <c r="H12314">
        <v>3</v>
      </c>
      <c r="I12314">
        <v>53.3</v>
      </c>
      <c r="J12314" s="50">
        <v>159.9</v>
      </c>
      <c r="K12314" t="s">
        <v>1618</v>
      </c>
      <c r="L12314" t="s">
        <v>2661</v>
      </c>
      <c r="M12314" t="s">
        <v>1619</v>
      </c>
      <c r="N12314">
        <v>28.13</v>
      </c>
      <c r="O12314" s="49">
        <v>44859</v>
      </c>
      <c r="P12314" s="50">
        <v>71.954999999999998</v>
      </c>
    </row>
    <row r="12315" spans="4:16" x14ac:dyDescent="0.2">
      <c r="D12315">
        <v>100007387</v>
      </c>
      <c r="E12315" s="49">
        <v>44607</v>
      </c>
      <c r="F12315" t="s">
        <v>7973</v>
      </c>
      <c r="G12315" t="s">
        <v>2198</v>
      </c>
      <c r="H12315">
        <v>10</v>
      </c>
      <c r="I12315">
        <v>30.71</v>
      </c>
      <c r="J12315" s="50">
        <v>307.10000000000002</v>
      </c>
      <c r="K12315" t="s">
        <v>1618</v>
      </c>
      <c r="L12315" t="s">
        <v>2661</v>
      </c>
      <c r="M12315" t="s">
        <v>1629</v>
      </c>
      <c r="N12315">
        <v>16.21</v>
      </c>
      <c r="O12315" s="49">
        <v>44608</v>
      </c>
      <c r="P12315" s="50">
        <v>138.19500000000002</v>
      </c>
    </row>
    <row r="12316" spans="4:16" x14ac:dyDescent="0.2">
      <c r="D12316">
        <v>100007387</v>
      </c>
      <c r="E12316" s="49">
        <v>44580</v>
      </c>
      <c r="F12316" t="s">
        <v>7973</v>
      </c>
      <c r="G12316" t="s">
        <v>1655</v>
      </c>
      <c r="H12316">
        <v>9</v>
      </c>
      <c r="I12316">
        <v>69.08</v>
      </c>
      <c r="J12316" s="50">
        <v>621.72</v>
      </c>
      <c r="K12316" t="s">
        <v>1618</v>
      </c>
      <c r="L12316" t="s">
        <v>2661</v>
      </c>
      <c r="M12316" t="s">
        <v>1621</v>
      </c>
      <c r="N12316">
        <v>36.46</v>
      </c>
      <c r="O12316" s="49">
        <v>44583</v>
      </c>
      <c r="P12316" s="50">
        <v>279.774</v>
      </c>
    </row>
    <row r="12317" spans="4:16" x14ac:dyDescent="0.2">
      <c r="D12317">
        <v>100007387</v>
      </c>
      <c r="E12317" s="49">
        <v>44506</v>
      </c>
      <c r="F12317" t="s">
        <v>7973</v>
      </c>
      <c r="G12317" t="s">
        <v>1939</v>
      </c>
      <c r="H12317">
        <v>5</v>
      </c>
      <c r="I12317">
        <v>56.16</v>
      </c>
      <c r="J12317" s="50">
        <v>280.8</v>
      </c>
      <c r="K12317" t="s">
        <v>1618</v>
      </c>
      <c r="L12317" t="s">
        <v>2661</v>
      </c>
      <c r="M12317" t="s">
        <v>1619</v>
      </c>
      <c r="N12317">
        <v>29.64</v>
      </c>
      <c r="O12317" s="49">
        <v>44508</v>
      </c>
      <c r="P12317" s="50">
        <v>126.36000000000001</v>
      </c>
    </row>
    <row r="12318" spans="4:16" x14ac:dyDescent="0.2">
      <c r="D12318">
        <v>100007387</v>
      </c>
      <c r="E12318" s="49">
        <v>44976</v>
      </c>
      <c r="F12318" t="s">
        <v>7973</v>
      </c>
      <c r="G12318" t="s">
        <v>2192</v>
      </c>
      <c r="H12318">
        <v>9</v>
      </c>
      <c r="I12318">
        <v>45.74</v>
      </c>
      <c r="J12318" s="50">
        <v>411.66</v>
      </c>
      <c r="K12318" t="s">
        <v>1618</v>
      </c>
      <c r="L12318" t="s">
        <v>2661</v>
      </c>
      <c r="M12318" t="s">
        <v>1629</v>
      </c>
      <c r="N12318">
        <v>24.14</v>
      </c>
      <c r="O12318" s="49">
        <v>44979</v>
      </c>
      <c r="P12318" s="50">
        <v>185.24700000000001</v>
      </c>
    </row>
    <row r="12319" spans="4:16" x14ac:dyDescent="0.2">
      <c r="D12319">
        <v>100007388</v>
      </c>
      <c r="E12319" s="49">
        <v>44507</v>
      </c>
      <c r="F12319" t="s">
        <v>7974</v>
      </c>
      <c r="G12319" t="s">
        <v>1865</v>
      </c>
      <c r="H12319">
        <v>1</v>
      </c>
      <c r="I12319">
        <v>20.51</v>
      </c>
      <c r="J12319" s="50">
        <v>20.51</v>
      </c>
      <c r="K12319" t="s">
        <v>1632</v>
      </c>
      <c r="M12319" t="s">
        <v>1624</v>
      </c>
      <c r="N12319">
        <v>10.82</v>
      </c>
      <c r="O12319" s="49">
        <v>44512</v>
      </c>
      <c r="P12319" s="50">
        <v>9.2295000000000016</v>
      </c>
    </row>
    <row r="12320" spans="4:16" x14ac:dyDescent="0.2">
      <c r="D12320">
        <v>100007388</v>
      </c>
      <c r="E12320" s="49">
        <v>45556</v>
      </c>
      <c r="F12320" t="s">
        <v>7974</v>
      </c>
      <c r="G12320" t="s">
        <v>2628</v>
      </c>
      <c r="H12320">
        <v>6</v>
      </c>
      <c r="I12320">
        <v>51.5</v>
      </c>
      <c r="J12320" s="50">
        <v>309</v>
      </c>
      <c r="K12320" t="s">
        <v>1632</v>
      </c>
      <c r="M12320" t="s">
        <v>1621</v>
      </c>
      <c r="N12320">
        <v>27.18</v>
      </c>
      <c r="O12320" s="49">
        <v>45558</v>
      </c>
      <c r="P12320" s="50">
        <v>139.05000000000001</v>
      </c>
    </row>
    <row r="12321" spans="4:16" x14ac:dyDescent="0.2">
      <c r="D12321">
        <v>100007389</v>
      </c>
      <c r="E12321" s="49">
        <v>44955</v>
      </c>
      <c r="F12321" t="s">
        <v>7975</v>
      </c>
      <c r="G12321" t="s">
        <v>1943</v>
      </c>
      <c r="H12321">
        <v>9</v>
      </c>
      <c r="I12321">
        <v>54.45</v>
      </c>
      <c r="J12321" s="50">
        <v>490.05</v>
      </c>
      <c r="K12321" t="s">
        <v>1618</v>
      </c>
      <c r="M12321" t="s">
        <v>1629</v>
      </c>
      <c r="N12321">
        <v>28.74</v>
      </c>
      <c r="O12321" s="49">
        <v>44956</v>
      </c>
      <c r="P12321" s="50">
        <v>220.52250000000001</v>
      </c>
    </row>
    <row r="12322" spans="4:16" x14ac:dyDescent="0.2">
      <c r="D12322">
        <v>100007391</v>
      </c>
      <c r="E12322" s="49">
        <v>45100</v>
      </c>
      <c r="F12322" t="s">
        <v>7976</v>
      </c>
      <c r="G12322" t="s">
        <v>1623</v>
      </c>
      <c r="H12322">
        <v>8</v>
      </c>
      <c r="I12322">
        <v>44</v>
      </c>
      <c r="J12322" s="50">
        <v>352</v>
      </c>
      <c r="K12322" t="s">
        <v>1618</v>
      </c>
      <c r="M12322" t="s">
        <v>1624</v>
      </c>
      <c r="N12322">
        <v>23.22</v>
      </c>
      <c r="O12322" s="49">
        <v>45103</v>
      </c>
      <c r="P12322" s="50">
        <v>158.4</v>
      </c>
    </row>
    <row r="12323" spans="4:16" x14ac:dyDescent="0.2">
      <c r="D12323">
        <v>100007392</v>
      </c>
      <c r="E12323" s="49">
        <v>45038</v>
      </c>
      <c r="F12323" t="s">
        <v>7977</v>
      </c>
      <c r="G12323" t="s">
        <v>2261</v>
      </c>
      <c r="H12323">
        <v>1</v>
      </c>
      <c r="I12323">
        <v>53.56</v>
      </c>
      <c r="J12323" s="50">
        <v>53.56</v>
      </c>
      <c r="K12323" t="s">
        <v>1618</v>
      </c>
      <c r="M12323" t="s">
        <v>1624</v>
      </c>
      <c r="N12323">
        <v>28.27</v>
      </c>
      <c r="O12323" s="49">
        <v>45043</v>
      </c>
      <c r="P12323" s="50">
        <v>24.102</v>
      </c>
    </row>
    <row r="12324" spans="4:16" x14ac:dyDescent="0.2">
      <c r="D12324">
        <v>100007392</v>
      </c>
      <c r="E12324" s="49">
        <v>45477</v>
      </c>
      <c r="F12324" t="s">
        <v>7977</v>
      </c>
      <c r="G12324" t="s">
        <v>2550</v>
      </c>
      <c r="H12324">
        <v>3</v>
      </c>
      <c r="I12324">
        <v>40.69</v>
      </c>
      <c r="J12324" s="50">
        <v>122.07</v>
      </c>
      <c r="K12324" t="s">
        <v>1618</v>
      </c>
      <c r="M12324" t="s">
        <v>1624</v>
      </c>
      <c r="N12324">
        <v>21.48</v>
      </c>
      <c r="O12324" s="49">
        <v>45479</v>
      </c>
      <c r="P12324" s="50">
        <v>54.9315</v>
      </c>
    </row>
    <row r="12325" spans="4:16" x14ac:dyDescent="0.2">
      <c r="D12325">
        <v>100007393</v>
      </c>
      <c r="E12325" s="49">
        <v>45100</v>
      </c>
      <c r="F12325" t="s">
        <v>7978</v>
      </c>
      <c r="G12325" t="s">
        <v>2232</v>
      </c>
      <c r="H12325">
        <v>10</v>
      </c>
      <c r="I12325">
        <v>106.96</v>
      </c>
      <c r="J12325" s="50">
        <v>1069.5999999999999</v>
      </c>
      <c r="K12325" t="s">
        <v>1632</v>
      </c>
      <c r="M12325" t="s">
        <v>1624</v>
      </c>
      <c r="N12325">
        <v>56.45</v>
      </c>
      <c r="O12325" s="49">
        <v>45102</v>
      </c>
      <c r="P12325" s="50">
        <v>481.32</v>
      </c>
    </row>
    <row r="12326" spans="4:16" x14ac:dyDescent="0.2">
      <c r="D12326">
        <v>100007394</v>
      </c>
      <c r="E12326" s="49">
        <v>45519</v>
      </c>
      <c r="F12326" t="s">
        <v>7979</v>
      </c>
      <c r="G12326" t="s">
        <v>1851</v>
      </c>
      <c r="H12326">
        <v>9</v>
      </c>
      <c r="I12326">
        <v>24.22</v>
      </c>
      <c r="J12326" s="50">
        <v>217.98</v>
      </c>
      <c r="K12326" t="s">
        <v>1618</v>
      </c>
      <c r="L12326" t="s">
        <v>7406</v>
      </c>
      <c r="M12326" t="s">
        <v>1619</v>
      </c>
      <c r="N12326">
        <v>12.78</v>
      </c>
      <c r="O12326" s="49">
        <v>45523</v>
      </c>
      <c r="P12326" s="50">
        <v>98.090999999999994</v>
      </c>
    </row>
    <row r="12327" spans="4:16" x14ac:dyDescent="0.2">
      <c r="D12327">
        <v>100007394</v>
      </c>
      <c r="E12327" s="49">
        <v>44799</v>
      </c>
      <c r="F12327" t="s">
        <v>7979</v>
      </c>
      <c r="G12327" t="s">
        <v>2210</v>
      </c>
      <c r="H12327">
        <v>5</v>
      </c>
      <c r="I12327">
        <v>67.66</v>
      </c>
      <c r="J12327" s="50">
        <v>338.3</v>
      </c>
      <c r="K12327" t="s">
        <v>1618</v>
      </c>
      <c r="L12327" t="s">
        <v>7406</v>
      </c>
      <c r="M12327" t="s">
        <v>1621</v>
      </c>
      <c r="N12327">
        <v>35.71</v>
      </c>
      <c r="O12327" s="49">
        <v>44802</v>
      </c>
      <c r="P12327" s="50">
        <v>152.23500000000001</v>
      </c>
    </row>
    <row r="12328" spans="4:16" x14ac:dyDescent="0.2">
      <c r="D12328">
        <v>100007394</v>
      </c>
      <c r="E12328" s="49">
        <v>44522</v>
      </c>
      <c r="F12328" t="s">
        <v>7979</v>
      </c>
      <c r="G12328" t="s">
        <v>2047</v>
      </c>
      <c r="H12328">
        <v>8</v>
      </c>
      <c r="I12328">
        <v>86.33</v>
      </c>
      <c r="J12328" s="50">
        <v>690.64</v>
      </c>
      <c r="K12328" t="s">
        <v>1618</v>
      </c>
      <c r="L12328" t="s">
        <v>7406</v>
      </c>
      <c r="M12328" t="s">
        <v>1624</v>
      </c>
      <c r="N12328">
        <v>45.56</v>
      </c>
      <c r="O12328" s="49">
        <v>44523</v>
      </c>
      <c r="P12328" s="50">
        <v>310.78800000000001</v>
      </c>
    </row>
    <row r="12329" spans="4:16" x14ac:dyDescent="0.2">
      <c r="D12329">
        <v>100007395</v>
      </c>
      <c r="E12329" s="49">
        <v>44878</v>
      </c>
      <c r="F12329" t="s">
        <v>7980</v>
      </c>
      <c r="G12329" t="s">
        <v>1895</v>
      </c>
      <c r="H12329">
        <v>2</v>
      </c>
      <c r="I12329">
        <v>78.680000000000007</v>
      </c>
      <c r="J12329" s="50">
        <v>157.36000000000001</v>
      </c>
      <c r="K12329" t="s">
        <v>1632</v>
      </c>
      <c r="L12329" t="s">
        <v>2671</v>
      </c>
      <c r="M12329" t="s">
        <v>1627</v>
      </c>
      <c r="N12329">
        <v>41.53</v>
      </c>
      <c r="O12329" s="49">
        <v>44881</v>
      </c>
      <c r="P12329" s="50">
        <v>70.812000000000012</v>
      </c>
    </row>
    <row r="12330" spans="4:16" x14ac:dyDescent="0.2">
      <c r="D12330">
        <v>100007396</v>
      </c>
      <c r="E12330" s="49">
        <v>44222</v>
      </c>
      <c r="F12330" t="s">
        <v>5831</v>
      </c>
      <c r="G12330" t="s">
        <v>2465</v>
      </c>
      <c r="H12330">
        <v>6</v>
      </c>
      <c r="I12330">
        <v>65.400000000000006</v>
      </c>
      <c r="J12330" s="50">
        <v>392.4</v>
      </c>
      <c r="K12330" t="s">
        <v>1618</v>
      </c>
      <c r="M12330" t="s">
        <v>1624</v>
      </c>
      <c r="N12330">
        <v>34.520000000000003</v>
      </c>
      <c r="O12330" s="49">
        <v>44223</v>
      </c>
      <c r="P12330" s="50">
        <v>176.57999999999998</v>
      </c>
    </row>
    <row r="12331" spans="4:16" x14ac:dyDescent="0.2">
      <c r="D12331">
        <v>100007397</v>
      </c>
      <c r="E12331" s="49">
        <v>44650</v>
      </c>
      <c r="F12331" t="s">
        <v>7981</v>
      </c>
      <c r="G12331" t="s">
        <v>1895</v>
      </c>
      <c r="H12331">
        <v>6</v>
      </c>
      <c r="I12331">
        <v>66.25</v>
      </c>
      <c r="J12331" s="50">
        <v>397.5</v>
      </c>
      <c r="K12331" t="s">
        <v>1632</v>
      </c>
      <c r="L12331" t="s">
        <v>4127</v>
      </c>
      <c r="M12331" t="s">
        <v>1621</v>
      </c>
      <c r="N12331">
        <v>34.97</v>
      </c>
      <c r="O12331" s="49">
        <v>44653</v>
      </c>
      <c r="P12331" s="50">
        <v>178.875</v>
      </c>
    </row>
    <row r="12332" spans="4:16" x14ac:dyDescent="0.2">
      <c r="D12332">
        <v>100007397</v>
      </c>
      <c r="E12332" s="49">
        <v>44469</v>
      </c>
      <c r="F12332" t="s">
        <v>7981</v>
      </c>
      <c r="G12332" t="s">
        <v>1626</v>
      </c>
      <c r="H12332">
        <v>7</v>
      </c>
      <c r="I12332">
        <v>63.57</v>
      </c>
      <c r="J12332" s="50">
        <v>444.99</v>
      </c>
      <c r="K12332" t="s">
        <v>1632</v>
      </c>
      <c r="L12332" t="s">
        <v>4127</v>
      </c>
      <c r="M12332" t="s">
        <v>1629</v>
      </c>
      <c r="N12332">
        <v>33.549999999999997</v>
      </c>
      <c r="O12332" s="49">
        <v>44473</v>
      </c>
      <c r="P12332" s="50">
        <v>200.24550000000002</v>
      </c>
    </row>
    <row r="12333" spans="4:16" x14ac:dyDescent="0.2">
      <c r="D12333">
        <v>100007397</v>
      </c>
      <c r="E12333" s="49">
        <v>45371</v>
      </c>
      <c r="F12333" t="s">
        <v>7981</v>
      </c>
      <c r="G12333" t="s">
        <v>1733</v>
      </c>
      <c r="H12333">
        <v>1</v>
      </c>
      <c r="I12333">
        <v>91.8</v>
      </c>
      <c r="J12333" s="50">
        <v>91.8</v>
      </c>
      <c r="K12333" t="s">
        <v>1632</v>
      </c>
      <c r="L12333" t="s">
        <v>4127</v>
      </c>
      <c r="M12333" t="s">
        <v>1624</v>
      </c>
      <c r="N12333">
        <v>48.45</v>
      </c>
      <c r="O12333" s="49">
        <v>45374</v>
      </c>
      <c r="P12333" s="50">
        <v>41.31</v>
      </c>
    </row>
    <row r="12334" spans="4:16" x14ac:dyDescent="0.2">
      <c r="D12334">
        <v>100007397</v>
      </c>
      <c r="E12334" s="49">
        <v>45590</v>
      </c>
      <c r="F12334" t="s">
        <v>7981</v>
      </c>
      <c r="G12334" t="s">
        <v>1918</v>
      </c>
      <c r="H12334">
        <v>6</v>
      </c>
      <c r="I12334">
        <v>103.11</v>
      </c>
      <c r="J12334" s="50">
        <v>618.66</v>
      </c>
      <c r="K12334" t="s">
        <v>1632</v>
      </c>
      <c r="L12334" t="s">
        <v>4127</v>
      </c>
      <c r="M12334" t="s">
        <v>1619</v>
      </c>
      <c r="N12334">
        <v>54.42</v>
      </c>
      <c r="O12334" s="49">
        <v>45595</v>
      </c>
      <c r="P12334" s="50">
        <v>278.39699999999999</v>
      </c>
    </row>
    <row r="12335" spans="4:16" x14ac:dyDescent="0.2">
      <c r="D12335">
        <v>100007397</v>
      </c>
      <c r="E12335" s="49">
        <v>44652</v>
      </c>
      <c r="F12335" t="s">
        <v>7981</v>
      </c>
      <c r="G12335" t="s">
        <v>1827</v>
      </c>
      <c r="H12335">
        <v>4</v>
      </c>
      <c r="I12335">
        <v>80.790000000000006</v>
      </c>
      <c r="J12335" s="50">
        <v>323.16000000000003</v>
      </c>
      <c r="K12335" t="s">
        <v>1632</v>
      </c>
      <c r="L12335" t="s">
        <v>4127</v>
      </c>
      <c r="M12335" t="s">
        <v>1624</v>
      </c>
      <c r="N12335">
        <v>42.64</v>
      </c>
      <c r="O12335" s="49">
        <v>44655</v>
      </c>
      <c r="P12335" s="50">
        <v>145.42200000000003</v>
      </c>
    </row>
    <row r="12336" spans="4:16" x14ac:dyDescent="0.2">
      <c r="D12336">
        <v>100007398</v>
      </c>
      <c r="E12336" s="49">
        <v>44367</v>
      </c>
      <c r="F12336" t="s">
        <v>7982</v>
      </c>
      <c r="G12336" t="s">
        <v>2766</v>
      </c>
      <c r="H12336">
        <v>5</v>
      </c>
      <c r="I12336">
        <v>15.25</v>
      </c>
      <c r="J12336" s="50">
        <v>76.25</v>
      </c>
      <c r="K12336" t="s">
        <v>1618</v>
      </c>
      <c r="L12336" t="s">
        <v>4478</v>
      </c>
      <c r="M12336" t="s">
        <v>1619</v>
      </c>
      <c r="N12336">
        <v>8.0500000000000007</v>
      </c>
      <c r="O12336" s="49">
        <v>44370</v>
      </c>
      <c r="P12336" s="50">
        <v>34.3125</v>
      </c>
    </row>
    <row r="12337" spans="4:16" x14ac:dyDescent="0.2">
      <c r="D12337">
        <v>100007401</v>
      </c>
      <c r="E12337" s="49">
        <v>45451</v>
      </c>
      <c r="F12337" t="s">
        <v>7983</v>
      </c>
      <c r="G12337" t="s">
        <v>1661</v>
      </c>
      <c r="H12337">
        <v>6</v>
      </c>
      <c r="I12337">
        <v>18.079999999999998</v>
      </c>
      <c r="J12337" s="50">
        <v>108.48</v>
      </c>
      <c r="K12337" t="s">
        <v>1618</v>
      </c>
      <c r="M12337" t="s">
        <v>1624</v>
      </c>
      <c r="N12337">
        <v>9.5399999999999991</v>
      </c>
      <c r="O12337" s="49">
        <v>45452</v>
      </c>
      <c r="P12337" s="50">
        <v>48.816000000000003</v>
      </c>
    </row>
    <row r="12338" spans="4:16" x14ac:dyDescent="0.2">
      <c r="D12338">
        <v>100007402</v>
      </c>
      <c r="E12338" s="49">
        <v>44734</v>
      </c>
      <c r="F12338" t="s">
        <v>7984</v>
      </c>
      <c r="G12338" t="s">
        <v>2378</v>
      </c>
      <c r="H12338">
        <v>3</v>
      </c>
      <c r="I12338">
        <v>84.62</v>
      </c>
      <c r="J12338" s="50">
        <v>253.86</v>
      </c>
      <c r="K12338" t="s">
        <v>1632</v>
      </c>
      <c r="M12338" t="s">
        <v>1619</v>
      </c>
      <c r="N12338">
        <v>44.66</v>
      </c>
      <c r="O12338" s="49">
        <v>44738</v>
      </c>
      <c r="P12338" s="50">
        <v>114.23700000000001</v>
      </c>
    </row>
    <row r="12339" spans="4:16" x14ac:dyDescent="0.2">
      <c r="D12339">
        <v>100007403</v>
      </c>
      <c r="E12339" s="49">
        <v>45018</v>
      </c>
      <c r="F12339" t="s">
        <v>5422</v>
      </c>
      <c r="G12339" t="s">
        <v>2039</v>
      </c>
      <c r="H12339">
        <v>7</v>
      </c>
      <c r="I12339">
        <v>112.3</v>
      </c>
      <c r="J12339" s="50">
        <v>786.1</v>
      </c>
      <c r="K12339" t="s">
        <v>1618</v>
      </c>
      <c r="M12339" t="s">
        <v>1621</v>
      </c>
      <c r="N12339">
        <v>59.27</v>
      </c>
      <c r="O12339" s="49">
        <v>45021</v>
      </c>
      <c r="P12339" s="50">
        <v>353.745</v>
      </c>
    </row>
    <row r="12340" spans="4:16" x14ac:dyDescent="0.2">
      <c r="D12340">
        <v>100007406</v>
      </c>
      <c r="E12340" s="49">
        <v>45520</v>
      </c>
      <c r="F12340" t="s">
        <v>7985</v>
      </c>
      <c r="G12340" t="s">
        <v>1726</v>
      </c>
      <c r="H12340">
        <v>5</v>
      </c>
      <c r="I12340">
        <v>58.24</v>
      </c>
      <c r="J12340" s="50">
        <v>291.2</v>
      </c>
      <c r="K12340" t="s">
        <v>1618</v>
      </c>
      <c r="M12340" t="s">
        <v>1629</v>
      </c>
      <c r="N12340">
        <v>30.74</v>
      </c>
      <c r="O12340" s="49">
        <v>45521</v>
      </c>
      <c r="P12340" s="50">
        <v>131.04</v>
      </c>
    </row>
    <row r="12341" spans="4:16" x14ac:dyDescent="0.2">
      <c r="D12341">
        <v>100007406</v>
      </c>
      <c r="E12341" s="49">
        <v>45022</v>
      </c>
      <c r="F12341" t="s">
        <v>7985</v>
      </c>
      <c r="G12341" t="s">
        <v>1929</v>
      </c>
      <c r="H12341">
        <v>4</v>
      </c>
      <c r="I12341">
        <v>97.47</v>
      </c>
      <c r="J12341" s="50">
        <v>389.88</v>
      </c>
      <c r="K12341" t="s">
        <v>1618</v>
      </c>
      <c r="M12341" t="s">
        <v>1629</v>
      </c>
      <c r="N12341">
        <v>51.44</v>
      </c>
      <c r="O12341" s="49">
        <v>45027</v>
      </c>
      <c r="P12341" s="50">
        <v>175.446</v>
      </c>
    </row>
    <row r="12342" spans="4:16" x14ac:dyDescent="0.2">
      <c r="D12342">
        <v>100007407</v>
      </c>
      <c r="E12342" s="49">
        <v>44604</v>
      </c>
      <c r="F12342" t="s">
        <v>7986</v>
      </c>
      <c r="G12342" t="s">
        <v>2706</v>
      </c>
      <c r="H12342">
        <v>4</v>
      </c>
      <c r="I12342">
        <v>71.89</v>
      </c>
      <c r="J12342" s="50">
        <v>287.56</v>
      </c>
      <c r="K12342" t="s">
        <v>1632</v>
      </c>
      <c r="M12342" t="s">
        <v>1627</v>
      </c>
      <c r="N12342">
        <v>37.94</v>
      </c>
      <c r="O12342" s="49">
        <v>44608</v>
      </c>
      <c r="P12342" s="50">
        <v>129.40200000000002</v>
      </c>
    </row>
    <row r="12343" spans="4:16" x14ac:dyDescent="0.2">
      <c r="D12343">
        <v>100007407</v>
      </c>
      <c r="E12343" s="49">
        <v>45102</v>
      </c>
      <c r="F12343" t="s">
        <v>7986</v>
      </c>
      <c r="G12343" t="s">
        <v>1794</v>
      </c>
      <c r="H12343">
        <v>2</v>
      </c>
      <c r="I12343">
        <v>42.6</v>
      </c>
      <c r="J12343" s="50">
        <v>85.2</v>
      </c>
      <c r="K12343" t="s">
        <v>1632</v>
      </c>
      <c r="M12343" t="s">
        <v>1624</v>
      </c>
      <c r="N12343">
        <v>22.48</v>
      </c>
      <c r="O12343" s="49">
        <v>45107</v>
      </c>
      <c r="P12343" s="50">
        <v>38.340000000000003</v>
      </c>
    </row>
    <row r="12344" spans="4:16" x14ac:dyDescent="0.2">
      <c r="D12344">
        <v>100007409</v>
      </c>
      <c r="E12344" s="49">
        <v>44314</v>
      </c>
      <c r="F12344" t="s">
        <v>7987</v>
      </c>
      <c r="G12344" t="s">
        <v>2302</v>
      </c>
      <c r="H12344">
        <v>3</v>
      </c>
      <c r="I12344">
        <v>16.850000000000001</v>
      </c>
      <c r="J12344" s="50">
        <v>50.55</v>
      </c>
      <c r="K12344" t="s">
        <v>1632</v>
      </c>
      <c r="M12344" t="s">
        <v>1619</v>
      </c>
      <c r="N12344">
        <v>8.89</v>
      </c>
      <c r="O12344" s="49">
        <v>44319</v>
      </c>
      <c r="P12344" s="50">
        <v>22.747499999999999</v>
      </c>
    </row>
    <row r="12345" spans="4:16" x14ac:dyDescent="0.2">
      <c r="D12345">
        <v>100007410</v>
      </c>
      <c r="E12345" s="49">
        <v>44607</v>
      </c>
      <c r="F12345" t="s">
        <v>7988</v>
      </c>
      <c r="G12345" t="s">
        <v>2571</v>
      </c>
      <c r="H12345">
        <v>2</v>
      </c>
      <c r="I12345">
        <v>80.22</v>
      </c>
      <c r="J12345" s="50">
        <v>160.44</v>
      </c>
      <c r="K12345" t="s">
        <v>1632</v>
      </c>
      <c r="M12345" t="s">
        <v>1619</v>
      </c>
      <c r="N12345">
        <v>42.34</v>
      </c>
      <c r="O12345" s="49">
        <v>44611</v>
      </c>
      <c r="P12345" s="50">
        <v>72.198000000000008</v>
      </c>
    </row>
    <row r="12346" spans="4:16" x14ac:dyDescent="0.2">
      <c r="D12346">
        <v>100007411</v>
      </c>
      <c r="E12346" s="49">
        <v>45343</v>
      </c>
      <c r="F12346" t="s">
        <v>7989</v>
      </c>
      <c r="G12346" t="s">
        <v>2042</v>
      </c>
      <c r="H12346">
        <v>5</v>
      </c>
      <c r="I12346">
        <v>47.71</v>
      </c>
      <c r="J12346" s="50">
        <v>238.55</v>
      </c>
      <c r="K12346" t="s">
        <v>1618</v>
      </c>
      <c r="L12346" t="s">
        <v>3093</v>
      </c>
      <c r="M12346" t="s">
        <v>1621</v>
      </c>
      <c r="N12346">
        <v>25.18</v>
      </c>
      <c r="O12346" s="49">
        <v>45347</v>
      </c>
      <c r="P12346" s="50">
        <v>107.34750000000001</v>
      </c>
    </row>
    <row r="12347" spans="4:16" x14ac:dyDescent="0.2">
      <c r="D12347">
        <v>100007412</v>
      </c>
      <c r="E12347" s="49">
        <v>45040</v>
      </c>
      <c r="F12347" t="s">
        <v>7990</v>
      </c>
      <c r="G12347" t="s">
        <v>2232</v>
      </c>
      <c r="H12347">
        <v>9</v>
      </c>
      <c r="I12347">
        <v>37.9</v>
      </c>
      <c r="J12347" s="50">
        <v>341.1</v>
      </c>
      <c r="K12347" t="s">
        <v>1632</v>
      </c>
      <c r="M12347" t="s">
        <v>1629</v>
      </c>
      <c r="N12347">
        <v>20</v>
      </c>
      <c r="O12347" s="49">
        <v>45041</v>
      </c>
      <c r="P12347" s="50">
        <v>153.495</v>
      </c>
    </row>
    <row r="12348" spans="4:16" x14ac:dyDescent="0.2">
      <c r="D12348">
        <v>100007412</v>
      </c>
      <c r="E12348" s="49">
        <v>45023</v>
      </c>
      <c r="F12348" t="s">
        <v>7990</v>
      </c>
      <c r="G12348" t="s">
        <v>1808</v>
      </c>
      <c r="H12348">
        <v>3</v>
      </c>
      <c r="I12348">
        <v>78.709999999999994</v>
      </c>
      <c r="J12348" s="50">
        <v>236.13</v>
      </c>
      <c r="K12348" t="s">
        <v>1632</v>
      </c>
      <c r="M12348" t="s">
        <v>1627</v>
      </c>
      <c r="N12348">
        <v>41.54</v>
      </c>
      <c r="O12348" s="49">
        <v>45026</v>
      </c>
      <c r="P12348" s="50">
        <v>106.2585</v>
      </c>
    </row>
    <row r="12349" spans="4:16" x14ac:dyDescent="0.2">
      <c r="D12349">
        <v>100007412</v>
      </c>
      <c r="E12349" s="49">
        <v>45123</v>
      </c>
      <c r="F12349" t="s">
        <v>7990</v>
      </c>
      <c r="G12349" t="s">
        <v>2116</v>
      </c>
      <c r="H12349">
        <v>5</v>
      </c>
      <c r="I12349">
        <v>46.53</v>
      </c>
      <c r="J12349" s="50">
        <v>232.65</v>
      </c>
      <c r="K12349" t="s">
        <v>1632</v>
      </c>
      <c r="M12349" t="s">
        <v>1629</v>
      </c>
      <c r="N12349">
        <v>24.56</v>
      </c>
      <c r="O12349" s="49">
        <v>45126</v>
      </c>
      <c r="P12349" s="50">
        <v>104.69250000000001</v>
      </c>
    </row>
    <row r="12350" spans="4:16" x14ac:dyDescent="0.2">
      <c r="D12350">
        <v>100007412</v>
      </c>
      <c r="E12350" s="49">
        <v>44652</v>
      </c>
      <c r="F12350" t="s">
        <v>7990</v>
      </c>
      <c r="G12350" t="s">
        <v>2198</v>
      </c>
      <c r="H12350">
        <v>1</v>
      </c>
      <c r="I12350">
        <v>49.82</v>
      </c>
      <c r="J12350" s="50">
        <v>49.82</v>
      </c>
      <c r="K12350" t="s">
        <v>1632</v>
      </c>
      <c r="M12350" t="s">
        <v>1619</v>
      </c>
      <c r="N12350">
        <v>26.29</v>
      </c>
      <c r="O12350" s="49">
        <v>44653</v>
      </c>
      <c r="P12350" s="50">
        <v>22.419</v>
      </c>
    </row>
    <row r="12351" spans="4:16" x14ac:dyDescent="0.2">
      <c r="D12351">
        <v>100007412</v>
      </c>
      <c r="E12351" s="49">
        <v>45005</v>
      </c>
      <c r="F12351" t="s">
        <v>7990</v>
      </c>
      <c r="G12351" t="s">
        <v>2427</v>
      </c>
      <c r="H12351">
        <v>9</v>
      </c>
      <c r="I12351">
        <v>16.55</v>
      </c>
      <c r="J12351" s="50">
        <v>148.94999999999999</v>
      </c>
      <c r="K12351" t="s">
        <v>1632</v>
      </c>
      <c r="M12351" t="s">
        <v>1621</v>
      </c>
      <c r="N12351">
        <v>8.73</v>
      </c>
      <c r="O12351" s="49">
        <v>45008</v>
      </c>
      <c r="P12351" s="50">
        <v>67.027500000000003</v>
      </c>
    </row>
    <row r="12352" spans="4:16" x14ac:dyDescent="0.2">
      <c r="D12352">
        <v>100007412</v>
      </c>
      <c r="E12352" s="49">
        <v>44947</v>
      </c>
      <c r="F12352" t="s">
        <v>7990</v>
      </c>
      <c r="G12352" t="s">
        <v>2213</v>
      </c>
      <c r="H12352">
        <v>3</v>
      </c>
      <c r="I12352">
        <v>89.26</v>
      </c>
      <c r="J12352" s="50">
        <v>267.77999999999997</v>
      </c>
      <c r="K12352" t="s">
        <v>1632</v>
      </c>
      <c r="M12352" t="s">
        <v>1619</v>
      </c>
      <c r="N12352">
        <v>47.11</v>
      </c>
      <c r="O12352" s="49">
        <v>44951</v>
      </c>
      <c r="P12352" s="50">
        <v>120.50099999999999</v>
      </c>
    </row>
    <row r="12353" spans="4:16" x14ac:dyDescent="0.2">
      <c r="D12353">
        <v>100007413</v>
      </c>
      <c r="E12353" s="49">
        <v>44397</v>
      </c>
      <c r="F12353" t="s">
        <v>7991</v>
      </c>
      <c r="G12353" t="s">
        <v>1953</v>
      </c>
      <c r="H12353">
        <v>7</v>
      </c>
      <c r="I12353">
        <v>25.93</v>
      </c>
      <c r="J12353" s="50">
        <v>181.51</v>
      </c>
      <c r="K12353" t="s">
        <v>1618</v>
      </c>
      <c r="L12353" t="s">
        <v>7992</v>
      </c>
      <c r="M12353" t="s">
        <v>1624</v>
      </c>
      <c r="N12353">
        <v>13.69</v>
      </c>
      <c r="O12353" s="49">
        <v>44399</v>
      </c>
      <c r="P12353" s="50">
        <v>81.679500000000004</v>
      </c>
    </row>
    <row r="12354" spans="4:16" x14ac:dyDescent="0.2">
      <c r="D12354">
        <v>100007416</v>
      </c>
      <c r="E12354" s="49">
        <v>44881</v>
      </c>
      <c r="F12354" t="s">
        <v>7993</v>
      </c>
      <c r="G12354" t="s">
        <v>2038</v>
      </c>
      <c r="H12354">
        <v>7</v>
      </c>
      <c r="I12354">
        <v>118.36</v>
      </c>
      <c r="J12354" s="50">
        <v>828.52</v>
      </c>
      <c r="K12354" t="s">
        <v>1618</v>
      </c>
      <c r="M12354" t="s">
        <v>1621</v>
      </c>
      <c r="N12354">
        <v>62.47</v>
      </c>
      <c r="O12354" s="49">
        <v>44885</v>
      </c>
      <c r="P12354" s="50">
        <v>372.834</v>
      </c>
    </row>
    <row r="12355" spans="4:16" x14ac:dyDescent="0.2">
      <c r="D12355">
        <v>100007416</v>
      </c>
      <c r="E12355" s="49">
        <v>44536</v>
      </c>
      <c r="F12355" t="s">
        <v>7993</v>
      </c>
      <c r="G12355" t="s">
        <v>2204</v>
      </c>
      <c r="H12355">
        <v>2</v>
      </c>
      <c r="I12355">
        <v>69.2</v>
      </c>
      <c r="J12355" s="50">
        <v>138.4</v>
      </c>
      <c r="K12355" t="s">
        <v>1618</v>
      </c>
      <c r="M12355" t="s">
        <v>1629</v>
      </c>
      <c r="N12355">
        <v>36.520000000000003</v>
      </c>
      <c r="O12355" s="49">
        <v>44541</v>
      </c>
      <c r="P12355" s="50">
        <v>62.28</v>
      </c>
    </row>
    <row r="12356" spans="4:16" x14ac:dyDescent="0.2">
      <c r="D12356">
        <v>100007416</v>
      </c>
      <c r="E12356" s="49">
        <v>45513</v>
      </c>
      <c r="F12356" t="s">
        <v>7993</v>
      </c>
      <c r="G12356" t="s">
        <v>1693</v>
      </c>
      <c r="H12356">
        <v>7</v>
      </c>
      <c r="I12356">
        <v>82.86</v>
      </c>
      <c r="J12356" s="50">
        <v>580.02</v>
      </c>
      <c r="K12356" t="s">
        <v>1618</v>
      </c>
      <c r="M12356" t="s">
        <v>1629</v>
      </c>
      <c r="N12356">
        <v>43.73</v>
      </c>
      <c r="O12356" s="49">
        <v>45514</v>
      </c>
      <c r="P12356" s="50">
        <v>261.00900000000001</v>
      </c>
    </row>
    <row r="12357" spans="4:16" x14ac:dyDescent="0.2">
      <c r="D12357">
        <v>100007416</v>
      </c>
      <c r="E12357" s="49">
        <v>45215</v>
      </c>
      <c r="F12357" t="s">
        <v>7993</v>
      </c>
      <c r="G12357" t="s">
        <v>1695</v>
      </c>
      <c r="H12357">
        <v>7</v>
      </c>
      <c r="I12357">
        <v>111.6</v>
      </c>
      <c r="J12357" s="50">
        <v>781.19999999999993</v>
      </c>
      <c r="K12357" t="s">
        <v>1618</v>
      </c>
      <c r="M12357" t="s">
        <v>1629</v>
      </c>
      <c r="N12357">
        <v>58.9</v>
      </c>
      <c r="O12357" s="49">
        <v>45216</v>
      </c>
      <c r="P12357" s="50">
        <v>351.53999999999996</v>
      </c>
    </row>
    <row r="12358" spans="4:16" x14ac:dyDescent="0.2">
      <c r="D12358">
        <v>100007416</v>
      </c>
      <c r="E12358" s="49">
        <v>44257</v>
      </c>
      <c r="F12358" t="s">
        <v>7993</v>
      </c>
      <c r="G12358" t="s">
        <v>1705</v>
      </c>
      <c r="H12358">
        <v>9</v>
      </c>
      <c r="I12358">
        <v>67.38</v>
      </c>
      <c r="J12358" s="50">
        <v>606.41999999999996</v>
      </c>
      <c r="K12358" t="s">
        <v>1618</v>
      </c>
      <c r="M12358" t="s">
        <v>1627</v>
      </c>
      <c r="N12358">
        <v>35.56</v>
      </c>
      <c r="O12358" s="49">
        <v>44262</v>
      </c>
      <c r="P12358" s="50">
        <v>272.88900000000001</v>
      </c>
    </row>
    <row r="12359" spans="4:16" x14ac:dyDescent="0.2">
      <c r="D12359">
        <v>100007417</v>
      </c>
      <c r="E12359" s="49">
        <v>44430</v>
      </c>
      <c r="F12359" t="s">
        <v>7994</v>
      </c>
      <c r="G12359" t="s">
        <v>2255</v>
      </c>
      <c r="H12359">
        <v>6</v>
      </c>
      <c r="I12359">
        <v>90.54</v>
      </c>
      <c r="J12359" s="50">
        <v>543.24</v>
      </c>
      <c r="K12359" t="s">
        <v>1632</v>
      </c>
      <c r="M12359" t="s">
        <v>1624</v>
      </c>
      <c r="N12359">
        <v>47.78</v>
      </c>
      <c r="O12359" s="49">
        <v>44435</v>
      </c>
      <c r="P12359" s="50">
        <v>244.458</v>
      </c>
    </row>
    <row r="12360" spans="4:16" x14ac:dyDescent="0.2">
      <c r="D12360">
        <v>100007417</v>
      </c>
      <c r="E12360" s="49">
        <v>45281</v>
      </c>
      <c r="F12360" t="s">
        <v>7994</v>
      </c>
      <c r="G12360" t="s">
        <v>2213</v>
      </c>
      <c r="H12360">
        <v>2</v>
      </c>
      <c r="I12360">
        <v>27.16</v>
      </c>
      <c r="J12360" s="50">
        <v>54.32</v>
      </c>
      <c r="K12360" t="s">
        <v>1632</v>
      </c>
      <c r="M12360" t="s">
        <v>1624</v>
      </c>
      <c r="N12360">
        <v>14.33</v>
      </c>
      <c r="O12360" s="49">
        <v>45286</v>
      </c>
      <c r="P12360" s="50">
        <v>24.443999999999999</v>
      </c>
    </row>
    <row r="12361" spans="4:16" x14ac:dyDescent="0.2">
      <c r="D12361">
        <v>100007417</v>
      </c>
      <c r="E12361" s="49">
        <v>44874</v>
      </c>
      <c r="F12361" t="s">
        <v>7994</v>
      </c>
      <c r="G12361" t="s">
        <v>2447</v>
      </c>
      <c r="H12361">
        <v>5</v>
      </c>
      <c r="I12361">
        <v>116.76</v>
      </c>
      <c r="J12361" s="50">
        <v>583.80000000000007</v>
      </c>
      <c r="K12361" t="s">
        <v>1632</v>
      </c>
      <c r="M12361" t="s">
        <v>1627</v>
      </c>
      <c r="N12361">
        <v>61.62</v>
      </c>
      <c r="O12361" s="49">
        <v>44879</v>
      </c>
      <c r="P12361" s="50">
        <v>262.71000000000004</v>
      </c>
    </row>
    <row r="12362" spans="4:16" x14ac:dyDescent="0.2">
      <c r="D12362">
        <v>100007419</v>
      </c>
      <c r="E12362" s="49">
        <v>44712</v>
      </c>
      <c r="F12362" t="s">
        <v>5404</v>
      </c>
      <c r="G12362" t="s">
        <v>1693</v>
      </c>
      <c r="H12362">
        <v>2</v>
      </c>
      <c r="I12362">
        <v>68.89</v>
      </c>
      <c r="J12362" s="50">
        <v>137.78</v>
      </c>
      <c r="K12362" t="s">
        <v>1632</v>
      </c>
      <c r="M12362" t="s">
        <v>1624</v>
      </c>
      <c r="N12362">
        <v>36.36</v>
      </c>
      <c r="O12362" s="49">
        <v>44717</v>
      </c>
      <c r="P12362" s="50">
        <v>62.001000000000005</v>
      </c>
    </row>
    <row r="12363" spans="4:16" x14ac:dyDescent="0.2">
      <c r="D12363">
        <v>100007420</v>
      </c>
      <c r="E12363" s="49">
        <v>44416</v>
      </c>
      <c r="F12363" t="s">
        <v>7995</v>
      </c>
      <c r="G12363" t="s">
        <v>1664</v>
      </c>
      <c r="H12363">
        <v>2</v>
      </c>
      <c r="I12363">
        <v>67.540000000000006</v>
      </c>
      <c r="J12363" s="50">
        <v>135.08000000000001</v>
      </c>
      <c r="K12363" t="s">
        <v>1632</v>
      </c>
      <c r="L12363" t="s">
        <v>7996</v>
      </c>
      <c r="M12363" t="s">
        <v>1629</v>
      </c>
      <c r="N12363">
        <v>35.65</v>
      </c>
      <c r="O12363" s="49">
        <v>44421</v>
      </c>
      <c r="P12363" s="50">
        <v>60.786000000000008</v>
      </c>
    </row>
    <row r="12364" spans="4:16" x14ac:dyDescent="0.2">
      <c r="D12364">
        <v>100007422</v>
      </c>
      <c r="E12364" s="49">
        <v>44556</v>
      </c>
      <c r="F12364" t="s">
        <v>7997</v>
      </c>
      <c r="G12364" t="s">
        <v>2240</v>
      </c>
      <c r="H12364">
        <v>10</v>
      </c>
      <c r="I12364">
        <v>90.5</v>
      </c>
      <c r="J12364" s="50">
        <v>905</v>
      </c>
      <c r="K12364" t="s">
        <v>1618</v>
      </c>
      <c r="M12364" t="s">
        <v>1624</v>
      </c>
      <c r="N12364">
        <v>47.76</v>
      </c>
      <c r="O12364" s="49">
        <v>44560</v>
      </c>
      <c r="P12364" s="50">
        <v>407.25</v>
      </c>
    </row>
    <row r="12365" spans="4:16" x14ac:dyDescent="0.2">
      <c r="D12365">
        <v>100007423</v>
      </c>
      <c r="E12365" s="49">
        <v>45608</v>
      </c>
      <c r="F12365" t="s">
        <v>7998</v>
      </c>
      <c r="G12365" t="s">
        <v>1953</v>
      </c>
      <c r="H12365">
        <v>10</v>
      </c>
      <c r="I12365">
        <v>66.92</v>
      </c>
      <c r="J12365" s="50">
        <v>669.2</v>
      </c>
      <c r="K12365" t="s">
        <v>1618</v>
      </c>
      <c r="L12365" t="s">
        <v>7999</v>
      </c>
      <c r="M12365" t="s">
        <v>1627</v>
      </c>
      <c r="N12365">
        <v>35.32</v>
      </c>
      <c r="O12365" s="49">
        <v>45609</v>
      </c>
      <c r="P12365" s="50">
        <v>301.14000000000004</v>
      </c>
    </row>
    <row r="12366" spans="4:16" x14ac:dyDescent="0.2">
      <c r="D12366">
        <v>100007423</v>
      </c>
      <c r="E12366" s="49">
        <v>45067</v>
      </c>
      <c r="F12366" t="s">
        <v>7998</v>
      </c>
      <c r="G12366" t="s">
        <v>1652</v>
      </c>
      <c r="H12366">
        <v>9</v>
      </c>
      <c r="I12366">
        <v>28.29</v>
      </c>
      <c r="J12366" s="50">
        <v>254.61</v>
      </c>
      <c r="K12366" t="s">
        <v>1618</v>
      </c>
      <c r="L12366" t="s">
        <v>7999</v>
      </c>
      <c r="M12366" t="s">
        <v>1627</v>
      </c>
      <c r="N12366">
        <v>14.93</v>
      </c>
      <c r="O12366" s="49">
        <v>45068</v>
      </c>
      <c r="P12366" s="50">
        <v>114.57450000000001</v>
      </c>
    </row>
    <row r="12367" spans="4:16" x14ac:dyDescent="0.2">
      <c r="D12367">
        <v>100007425</v>
      </c>
      <c r="E12367" s="49">
        <v>44519</v>
      </c>
      <c r="F12367" t="s">
        <v>4067</v>
      </c>
      <c r="G12367" t="s">
        <v>1719</v>
      </c>
      <c r="H12367">
        <v>9</v>
      </c>
      <c r="I12367">
        <v>29.44</v>
      </c>
      <c r="J12367" s="50">
        <v>264.95999999999998</v>
      </c>
      <c r="K12367" t="s">
        <v>1632</v>
      </c>
      <c r="M12367" t="s">
        <v>1629</v>
      </c>
      <c r="N12367">
        <v>15.54</v>
      </c>
      <c r="O12367" s="49">
        <v>44524</v>
      </c>
      <c r="P12367" s="50">
        <v>119.232</v>
      </c>
    </row>
    <row r="12368" spans="4:16" x14ac:dyDescent="0.2">
      <c r="D12368">
        <v>100007426</v>
      </c>
      <c r="E12368" s="49">
        <v>45504</v>
      </c>
      <c r="F12368" t="s">
        <v>8000</v>
      </c>
      <c r="G12368" t="s">
        <v>1665</v>
      </c>
      <c r="H12368">
        <v>6</v>
      </c>
      <c r="I12368">
        <v>115.83</v>
      </c>
      <c r="J12368" s="50">
        <v>694.98</v>
      </c>
      <c r="K12368" t="s">
        <v>1618</v>
      </c>
      <c r="M12368" t="s">
        <v>1629</v>
      </c>
      <c r="N12368">
        <v>61.13</v>
      </c>
      <c r="O12368" s="49">
        <v>45505</v>
      </c>
      <c r="P12368" s="50">
        <v>312.74100000000004</v>
      </c>
    </row>
    <row r="12369" spans="4:16" x14ac:dyDescent="0.2">
      <c r="D12369">
        <v>100007427</v>
      </c>
      <c r="E12369" s="49">
        <v>45325</v>
      </c>
      <c r="F12369" t="s">
        <v>8001</v>
      </c>
      <c r="G12369" t="s">
        <v>1885</v>
      </c>
      <c r="H12369">
        <v>6</v>
      </c>
      <c r="I12369">
        <v>105.31</v>
      </c>
      <c r="J12369" s="50">
        <v>631.86</v>
      </c>
      <c r="K12369" t="s">
        <v>1632</v>
      </c>
      <c r="M12369" t="s">
        <v>1619</v>
      </c>
      <c r="N12369">
        <v>55.58</v>
      </c>
      <c r="O12369" s="49">
        <v>45329</v>
      </c>
      <c r="P12369" s="50">
        <v>284.33699999999999</v>
      </c>
    </row>
    <row r="12370" spans="4:16" x14ac:dyDescent="0.2">
      <c r="D12370">
        <v>100007428</v>
      </c>
      <c r="E12370" s="49">
        <v>45439</v>
      </c>
      <c r="F12370" t="s">
        <v>8002</v>
      </c>
      <c r="G12370" t="s">
        <v>2182</v>
      </c>
      <c r="H12370">
        <v>2</v>
      </c>
      <c r="I12370">
        <v>62.16</v>
      </c>
      <c r="J12370" s="50">
        <v>124.32</v>
      </c>
      <c r="K12370" t="s">
        <v>1618</v>
      </c>
      <c r="M12370" t="s">
        <v>1629</v>
      </c>
      <c r="N12370">
        <v>32.81</v>
      </c>
      <c r="O12370" s="49">
        <v>45441</v>
      </c>
      <c r="P12370" s="50">
        <v>55.943999999999996</v>
      </c>
    </row>
    <row r="12371" spans="4:16" x14ac:dyDescent="0.2">
      <c r="D12371">
        <v>100007429</v>
      </c>
      <c r="E12371" s="49">
        <v>44230</v>
      </c>
      <c r="F12371" t="s">
        <v>8003</v>
      </c>
      <c r="G12371" t="s">
        <v>1714</v>
      </c>
      <c r="H12371">
        <v>1</v>
      </c>
      <c r="I12371">
        <v>22.96</v>
      </c>
      <c r="J12371" s="50">
        <v>22.96</v>
      </c>
      <c r="K12371" t="s">
        <v>1618</v>
      </c>
      <c r="L12371" t="s">
        <v>8004</v>
      </c>
      <c r="M12371" t="s">
        <v>1619</v>
      </c>
      <c r="N12371">
        <v>12.12</v>
      </c>
      <c r="O12371" s="49">
        <v>44233</v>
      </c>
      <c r="P12371" s="50">
        <v>10.332000000000001</v>
      </c>
    </row>
    <row r="12372" spans="4:16" x14ac:dyDescent="0.2">
      <c r="D12372">
        <v>100007430</v>
      </c>
      <c r="E12372" s="49">
        <v>45434</v>
      </c>
      <c r="F12372" t="s">
        <v>8005</v>
      </c>
      <c r="G12372" t="s">
        <v>3135</v>
      </c>
      <c r="H12372">
        <v>2</v>
      </c>
      <c r="I12372">
        <v>25.69</v>
      </c>
      <c r="J12372" s="50">
        <v>51.38</v>
      </c>
      <c r="K12372" t="s">
        <v>1618</v>
      </c>
      <c r="M12372" t="s">
        <v>1624</v>
      </c>
      <c r="N12372">
        <v>13.56</v>
      </c>
      <c r="O12372" s="49">
        <v>45438</v>
      </c>
      <c r="P12372" s="50">
        <v>23.121000000000002</v>
      </c>
    </row>
    <row r="12373" spans="4:16" x14ac:dyDescent="0.2">
      <c r="D12373">
        <v>100007431</v>
      </c>
      <c r="E12373" s="49">
        <v>44773</v>
      </c>
      <c r="F12373" t="s">
        <v>8006</v>
      </c>
      <c r="G12373" t="s">
        <v>1781</v>
      </c>
      <c r="H12373">
        <v>2</v>
      </c>
      <c r="I12373">
        <v>63.53</v>
      </c>
      <c r="J12373" s="50">
        <v>127.06</v>
      </c>
      <c r="K12373" t="s">
        <v>1632</v>
      </c>
      <c r="M12373" t="s">
        <v>1621</v>
      </c>
      <c r="N12373">
        <v>33.53</v>
      </c>
      <c r="O12373" s="49">
        <v>44776</v>
      </c>
      <c r="P12373" s="50">
        <v>57.177</v>
      </c>
    </row>
    <row r="12374" spans="4:16" x14ac:dyDescent="0.2">
      <c r="D12374">
        <v>100007432</v>
      </c>
      <c r="E12374" s="49">
        <v>44390</v>
      </c>
      <c r="F12374" t="s">
        <v>8007</v>
      </c>
      <c r="G12374" t="s">
        <v>1738</v>
      </c>
      <c r="H12374">
        <v>8</v>
      </c>
      <c r="I12374">
        <v>14.21</v>
      </c>
      <c r="J12374" s="50">
        <v>113.68</v>
      </c>
      <c r="K12374" t="s">
        <v>1618</v>
      </c>
      <c r="M12374" t="s">
        <v>1627</v>
      </c>
      <c r="N12374">
        <v>7.5</v>
      </c>
      <c r="O12374" s="49">
        <v>44394</v>
      </c>
      <c r="P12374" s="50">
        <v>51.156000000000006</v>
      </c>
    </row>
    <row r="12375" spans="4:16" x14ac:dyDescent="0.2">
      <c r="D12375">
        <v>100007433</v>
      </c>
      <c r="E12375" s="49">
        <v>44450</v>
      </c>
      <c r="F12375" t="s">
        <v>8008</v>
      </c>
      <c r="G12375" t="s">
        <v>1990</v>
      </c>
      <c r="H12375">
        <v>1</v>
      </c>
      <c r="I12375">
        <v>26.59</v>
      </c>
      <c r="J12375" s="50">
        <v>26.59</v>
      </c>
      <c r="K12375" t="s">
        <v>1632</v>
      </c>
      <c r="M12375" t="s">
        <v>1619</v>
      </c>
      <c r="N12375">
        <v>14.03</v>
      </c>
      <c r="O12375" s="49">
        <v>44455</v>
      </c>
      <c r="P12375" s="50">
        <v>11.9655</v>
      </c>
    </row>
    <row r="12376" spans="4:16" x14ac:dyDescent="0.2">
      <c r="D12376">
        <v>100007434</v>
      </c>
      <c r="E12376" s="49">
        <v>45111</v>
      </c>
      <c r="F12376" t="s">
        <v>8009</v>
      </c>
      <c r="G12376" t="s">
        <v>1723</v>
      </c>
      <c r="H12376">
        <v>10</v>
      </c>
      <c r="I12376">
        <v>57.81</v>
      </c>
      <c r="J12376" s="50">
        <v>578.1</v>
      </c>
      <c r="K12376" t="s">
        <v>1618</v>
      </c>
      <c r="M12376" t="s">
        <v>1624</v>
      </c>
      <c r="N12376">
        <v>30.51</v>
      </c>
      <c r="O12376" s="49">
        <v>45116</v>
      </c>
      <c r="P12376" s="50">
        <v>260.14500000000004</v>
      </c>
    </row>
    <row r="12377" spans="4:16" x14ac:dyDescent="0.2">
      <c r="D12377">
        <v>100007435</v>
      </c>
      <c r="E12377" s="49">
        <v>44294</v>
      </c>
      <c r="F12377" t="s">
        <v>8010</v>
      </c>
      <c r="G12377" t="s">
        <v>1980</v>
      </c>
      <c r="H12377">
        <v>5</v>
      </c>
      <c r="I12377">
        <v>76.540000000000006</v>
      </c>
      <c r="J12377" s="50">
        <v>382.7</v>
      </c>
      <c r="K12377" t="s">
        <v>1618</v>
      </c>
      <c r="M12377" t="s">
        <v>1627</v>
      </c>
      <c r="N12377">
        <v>40.4</v>
      </c>
      <c r="O12377" s="49">
        <v>44296</v>
      </c>
      <c r="P12377" s="50">
        <v>172.215</v>
      </c>
    </row>
    <row r="12378" spans="4:16" x14ac:dyDescent="0.2">
      <c r="D12378">
        <v>100007436</v>
      </c>
      <c r="E12378" s="49">
        <v>44433</v>
      </c>
      <c r="F12378" t="s">
        <v>8011</v>
      </c>
      <c r="G12378" t="s">
        <v>1636</v>
      </c>
      <c r="H12378">
        <v>2</v>
      </c>
      <c r="I12378">
        <v>81.14</v>
      </c>
      <c r="J12378" s="50">
        <v>162.28</v>
      </c>
      <c r="K12378" t="s">
        <v>1632</v>
      </c>
      <c r="L12378" t="s">
        <v>2734</v>
      </c>
      <c r="M12378" t="s">
        <v>1621</v>
      </c>
      <c r="N12378">
        <v>42.82</v>
      </c>
      <c r="O12378" s="49">
        <v>44434</v>
      </c>
      <c r="P12378" s="50">
        <v>73.025999999999996</v>
      </c>
    </row>
    <row r="12379" spans="4:16" x14ac:dyDescent="0.2">
      <c r="D12379">
        <v>100007436</v>
      </c>
      <c r="E12379" s="49">
        <v>44952</v>
      </c>
      <c r="F12379" t="s">
        <v>8011</v>
      </c>
      <c r="G12379" t="s">
        <v>1855</v>
      </c>
      <c r="H12379">
        <v>1</v>
      </c>
      <c r="I12379">
        <v>120</v>
      </c>
      <c r="J12379" s="50">
        <v>120</v>
      </c>
      <c r="K12379" t="s">
        <v>1632</v>
      </c>
      <c r="L12379" t="s">
        <v>2734</v>
      </c>
      <c r="M12379" t="s">
        <v>1619</v>
      </c>
      <c r="N12379">
        <v>63.33</v>
      </c>
      <c r="O12379" s="49">
        <v>44953</v>
      </c>
      <c r="P12379" s="50">
        <v>54</v>
      </c>
    </row>
    <row r="12380" spans="4:16" x14ac:dyDescent="0.2">
      <c r="D12380">
        <v>100007437</v>
      </c>
      <c r="E12380" s="49">
        <v>44769</v>
      </c>
      <c r="F12380" t="s">
        <v>4449</v>
      </c>
      <c r="G12380" t="s">
        <v>1701</v>
      </c>
      <c r="H12380">
        <v>9</v>
      </c>
      <c r="I12380">
        <v>10.94</v>
      </c>
      <c r="J12380" s="50">
        <v>98.46</v>
      </c>
      <c r="K12380" t="s">
        <v>1618</v>
      </c>
      <c r="M12380" t="s">
        <v>1629</v>
      </c>
      <c r="N12380">
        <v>5.77</v>
      </c>
      <c r="O12380" s="49">
        <v>44770</v>
      </c>
      <c r="P12380" s="50">
        <v>44.306999999999995</v>
      </c>
    </row>
    <row r="12381" spans="4:16" x14ac:dyDescent="0.2">
      <c r="D12381">
        <v>100007437</v>
      </c>
      <c r="E12381" s="49">
        <v>45322</v>
      </c>
      <c r="F12381" t="s">
        <v>4449</v>
      </c>
      <c r="G12381" t="s">
        <v>1721</v>
      </c>
      <c r="H12381">
        <v>9</v>
      </c>
      <c r="I12381">
        <v>49.48</v>
      </c>
      <c r="J12381" s="50">
        <v>445.32</v>
      </c>
      <c r="K12381" t="s">
        <v>1618</v>
      </c>
      <c r="M12381" t="s">
        <v>1624</v>
      </c>
      <c r="N12381">
        <v>26.11</v>
      </c>
      <c r="O12381" s="49">
        <v>45326</v>
      </c>
      <c r="P12381" s="50">
        <v>200.39400000000001</v>
      </c>
    </row>
    <row r="12382" spans="4:16" x14ac:dyDescent="0.2">
      <c r="D12382">
        <v>100007437</v>
      </c>
      <c r="E12382" s="49">
        <v>44225</v>
      </c>
      <c r="F12382" t="s">
        <v>4449</v>
      </c>
      <c r="G12382" t="s">
        <v>2485</v>
      </c>
      <c r="H12382">
        <v>2</v>
      </c>
      <c r="I12382">
        <v>37.97</v>
      </c>
      <c r="J12382" s="50">
        <v>75.94</v>
      </c>
      <c r="K12382" t="s">
        <v>1618</v>
      </c>
      <c r="M12382" t="s">
        <v>1624</v>
      </c>
      <c r="N12382">
        <v>20.04</v>
      </c>
      <c r="O12382" s="49">
        <v>44227</v>
      </c>
      <c r="P12382" s="50">
        <v>34.173000000000002</v>
      </c>
    </row>
    <row r="12383" spans="4:16" x14ac:dyDescent="0.2">
      <c r="D12383">
        <v>100007437</v>
      </c>
      <c r="E12383" s="49">
        <v>45646</v>
      </c>
      <c r="F12383" t="s">
        <v>4449</v>
      </c>
      <c r="G12383" t="s">
        <v>1924</v>
      </c>
      <c r="H12383">
        <v>8</v>
      </c>
      <c r="I12383">
        <v>81</v>
      </c>
      <c r="J12383" s="50">
        <v>648</v>
      </c>
      <c r="K12383" t="s">
        <v>1618</v>
      </c>
      <c r="M12383" t="s">
        <v>1627</v>
      </c>
      <c r="N12383">
        <v>42.75</v>
      </c>
      <c r="O12383" s="49">
        <v>45648</v>
      </c>
      <c r="P12383" s="50">
        <v>291.60000000000002</v>
      </c>
    </row>
    <row r="12384" spans="4:16" x14ac:dyDescent="0.2">
      <c r="D12384">
        <v>100007437</v>
      </c>
      <c r="E12384" s="49">
        <v>44853</v>
      </c>
      <c r="F12384" t="s">
        <v>4449</v>
      </c>
      <c r="G12384" t="s">
        <v>1971</v>
      </c>
      <c r="H12384">
        <v>8</v>
      </c>
      <c r="I12384">
        <v>24.84</v>
      </c>
      <c r="J12384" s="50">
        <v>198.72</v>
      </c>
      <c r="K12384" t="s">
        <v>1618</v>
      </c>
      <c r="M12384" t="s">
        <v>1619</v>
      </c>
      <c r="N12384">
        <v>13.11</v>
      </c>
      <c r="O12384" s="49">
        <v>44858</v>
      </c>
      <c r="P12384" s="50">
        <v>89.424000000000007</v>
      </c>
    </row>
    <row r="12385" spans="4:16" x14ac:dyDescent="0.2">
      <c r="D12385">
        <v>100007438</v>
      </c>
      <c r="E12385" s="49">
        <v>45473</v>
      </c>
      <c r="F12385" t="s">
        <v>8012</v>
      </c>
      <c r="G12385" t="s">
        <v>1831</v>
      </c>
      <c r="H12385">
        <v>9</v>
      </c>
      <c r="I12385">
        <v>17.399999999999999</v>
      </c>
      <c r="J12385" s="50">
        <v>156.6</v>
      </c>
      <c r="K12385" t="s">
        <v>1632</v>
      </c>
      <c r="M12385" t="s">
        <v>1629</v>
      </c>
      <c r="N12385">
        <v>9.18</v>
      </c>
      <c r="O12385" s="49">
        <v>45475</v>
      </c>
      <c r="P12385" s="50">
        <v>70.47</v>
      </c>
    </row>
    <row r="12386" spans="4:16" x14ac:dyDescent="0.2">
      <c r="D12386">
        <v>100007440</v>
      </c>
      <c r="E12386" s="49">
        <v>45065</v>
      </c>
      <c r="F12386" t="s">
        <v>8013</v>
      </c>
      <c r="G12386" t="s">
        <v>2328</v>
      </c>
      <c r="H12386">
        <v>8</v>
      </c>
      <c r="I12386">
        <v>90.35</v>
      </c>
      <c r="J12386" s="50">
        <v>722.8</v>
      </c>
      <c r="K12386" t="s">
        <v>1618</v>
      </c>
      <c r="M12386" t="s">
        <v>1621</v>
      </c>
      <c r="N12386">
        <v>47.68</v>
      </c>
      <c r="O12386" s="49">
        <v>45066</v>
      </c>
      <c r="P12386" s="50">
        <v>325.26</v>
      </c>
    </row>
    <row r="12387" spans="4:16" x14ac:dyDescent="0.2">
      <c r="D12387">
        <v>100007440</v>
      </c>
      <c r="E12387" s="49">
        <v>44223</v>
      </c>
      <c r="F12387" t="s">
        <v>8013</v>
      </c>
      <c r="G12387" t="s">
        <v>1864</v>
      </c>
      <c r="H12387">
        <v>10</v>
      </c>
      <c r="I12387">
        <v>20.51</v>
      </c>
      <c r="J12387" s="50">
        <v>205.1</v>
      </c>
      <c r="K12387" t="s">
        <v>1618</v>
      </c>
      <c r="M12387" t="s">
        <v>1624</v>
      </c>
      <c r="N12387">
        <v>10.82</v>
      </c>
      <c r="O12387" s="49">
        <v>44227</v>
      </c>
      <c r="P12387" s="50">
        <v>92.295000000000002</v>
      </c>
    </row>
    <row r="12388" spans="4:16" x14ac:dyDescent="0.2">
      <c r="D12388">
        <v>100007441</v>
      </c>
      <c r="E12388" s="49">
        <v>44388</v>
      </c>
      <c r="F12388" t="s">
        <v>8014</v>
      </c>
      <c r="G12388" t="s">
        <v>1792</v>
      </c>
      <c r="H12388">
        <v>9</v>
      </c>
      <c r="I12388">
        <v>16.34</v>
      </c>
      <c r="J12388" s="50">
        <v>147.06</v>
      </c>
      <c r="K12388" t="s">
        <v>1618</v>
      </c>
      <c r="M12388" t="s">
        <v>1629</v>
      </c>
      <c r="N12388">
        <v>8.6199999999999992</v>
      </c>
      <c r="O12388" s="49">
        <v>44392</v>
      </c>
      <c r="P12388" s="50">
        <v>66.177000000000007</v>
      </c>
    </row>
    <row r="12389" spans="4:16" x14ac:dyDescent="0.2">
      <c r="D12389">
        <v>100007441</v>
      </c>
      <c r="E12389" s="49">
        <v>45221</v>
      </c>
      <c r="F12389" t="s">
        <v>8014</v>
      </c>
      <c r="G12389" t="s">
        <v>2194</v>
      </c>
      <c r="H12389">
        <v>2</v>
      </c>
      <c r="I12389">
        <v>43.96</v>
      </c>
      <c r="J12389" s="50">
        <v>87.92</v>
      </c>
      <c r="K12389" t="s">
        <v>1618</v>
      </c>
      <c r="M12389" t="s">
        <v>1627</v>
      </c>
      <c r="N12389">
        <v>23.2</v>
      </c>
      <c r="O12389" s="49">
        <v>45222</v>
      </c>
      <c r="P12389" s="50">
        <v>39.564</v>
      </c>
    </row>
    <row r="12390" spans="4:16" x14ac:dyDescent="0.2">
      <c r="D12390">
        <v>100007441</v>
      </c>
      <c r="E12390" s="49">
        <v>44645</v>
      </c>
      <c r="F12390" t="s">
        <v>8014</v>
      </c>
      <c r="G12390" t="s">
        <v>1675</v>
      </c>
      <c r="H12390">
        <v>10</v>
      </c>
      <c r="I12390">
        <v>30.76</v>
      </c>
      <c r="J12390" s="50">
        <v>307.60000000000002</v>
      </c>
      <c r="K12390" t="s">
        <v>1618</v>
      </c>
      <c r="M12390" t="s">
        <v>1619</v>
      </c>
      <c r="N12390">
        <v>16.23</v>
      </c>
      <c r="O12390" s="49">
        <v>44646</v>
      </c>
      <c r="P12390" s="50">
        <v>138.42000000000002</v>
      </c>
    </row>
    <row r="12391" spans="4:16" x14ac:dyDescent="0.2">
      <c r="D12391">
        <v>100007441</v>
      </c>
      <c r="E12391" s="49">
        <v>45056</v>
      </c>
      <c r="F12391" t="s">
        <v>8014</v>
      </c>
      <c r="G12391" t="s">
        <v>1770</v>
      </c>
      <c r="H12391">
        <v>5</v>
      </c>
      <c r="I12391">
        <v>57.82</v>
      </c>
      <c r="J12391" s="50">
        <v>289.10000000000002</v>
      </c>
      <c r="K12391" t="s">
        <v>1618</v>
      </c>
      <c r="M12391" t="s">
        <v>1624</v>
      </c>
      <c r="N12391">
        <v>30.52</v>
      </c>
      <c r="O12391" s="49">
        <v>45061</v>
      </c>
      <c r="P12391" s="50">
        <v>130.09500000000003</v>
      </c>
    </row>
    <row r="12392" spans="4:16" x14ac:dyDescent="0.2">
      <c r="D12392">
        <v>100007442</v>
      </c>
      <c r="E12392" s="49">
        <v>44907</v>
      </c>
      <c r="F12392" t="s">
        <v>8015</v>
      </c>
      <c r="G12392" t="s">
        <v>2305</v>
      </c>
      <c r="H12392">
        <v>1</v>
      </c>
      <c r="I12392">
        <v>57.81</v>
      </c>
      <c r="J12392" s="50">
        <v>57.81</v>
      </c>
      <c r="K12392" t="s">
        <v>1632</v>
      </c>
      <c r="M12392" t="s">
        <v>1629</v>
      </c>
      <c r="N12392">
        <v>30.51</v>
      </c>
      <c r="O12392" s="49">
        <v>44909</v>
      </c>
      <c r="P12392" s="50">
        <v>26.014500000000002</v>
      </c>
    </row>
    <row r="12393" spans="4:16" x14ac:dyDescent="0.2">
      <c r="D12393">
        <v>100007443</v>
      </c>
      <c r="E12393" s="49">
        <v>44540</v>
      </c>
      <c r="F12393" t="s">
        <v>8016</v>
      </c>
      <c r="G12393" t="s">
        <v>1749</v>
      </c>
      <c r="H12393">
        <v>6</v>
      </c>
      <c r="I12393">
        <v>116.13</v>
      </c>
      <c r="J12393" s="50">
        <v>696.78</v>
      </c>
      <c r="K12393" t="s">
        <v>1632</v>
      </c>
      <c r="M12393" t="s">
        <v>1619</v>
      </c>
      <c r="N12393">
        <v>61.29</v>
      </c>
      <c r="O12393" s="49">
        <v>44543</v>
      </c>
      <c r="P12393" s="50">
        <v>313.55099999999999</v>
      </c>
    </row>
    <row r="12394" spans="4:16" x14ac:dyDescent="0.2">
      <c r="D12394">
        <v>100007444</v>
      </c>
      <c r="E12394" s="49">
        <v>44521</v>
      </c>
      <c r="F12394" t="s">
        <v>8017</v>
      </c>
      <c r="G12394" t="s">
        <v>1975</v>
      </c>
      <c r="H12394">
        <v>1</v>
      </c>
      <c r="I12394">
        <v>78</v>
      </c>
      <c r="J12394" s="50">
        <v>78</v>
      </c>
      <c r="K12394" t="s">
        <v>1618</v>
      </c>
      <c r="M12394" t="s">
        <v>1621</v>
      </c>
      <c r="N12394">
        <v>41.17</v>
      </c>
      <c r="O12394" s="49">
        <v>44526</v>
      </c>
      <c r="P12394" s="50">
        <v>35.1</v>
      </c>
    </row>
    <row r="12395" spans="4:16" x14ac:dyDescent="0.2">
      <c r="D12395">
        <v>100007444</v>
      </c>
      <c r="E12395" s="49">
        <v>45021</v>
      </c>
      <c r="F12395" t="s">
        <v>8017</v>
      </c>
      <c r="G12395" t="s">
        <v>1950</v>
      </c>
      <c r="H12395">
        <v>8</v>
      </c>
      <c r="I12395">
        <v>83.97</v>
      </c>
      <c r="J12395" s="50">
        <v>671.76</v>
      </c>
      <c r="K12395" t="s">
        <v>1618</v>
      </c>
      <c r="M12395" t="s">
        <v>1627</v>
      </c>
      <c r="N12395">
        <v>44.32</v>
      </c>
      <c r="O12395" s="49">
        <v>45025</v>
      </c>
      <c r="P12395" s="50">
        <v>302.29200000000003</v>
      </c>
    </row>
    <row r="12396" spans="4:16" x14ac:dyDescent="0.2">
      <c r="D12396">
        <v>100007444</v>
      </c>
      <c r="E12396" s="49">
        <v>45157</v>
      </c>
      <c r="F12396" t="s">
        <v>8017</v>
      </c>
      <c r="G12396" t="s">
        <v>2393</v>
      </c>
      <c r="H12396">
        <v>4</v>
      </c>
      <c r="I12396">
        <v>40.520000000000003</v>
      </c>
      <c r="J12396" s="50">
        <v>162.08000000000001</v>
      </c>
      <c r="K12396" t="s">
        <v>1618</v>
      </c>
      <c r="M12396" t="s">
        <v>1624</v>
      </c>
      <c r="N12396">
        <v>21.39</v>
      </c>
      <c r="O12396" s="49">
        <v>45162</v>
      </c>
      <c r="P12396" s="50">
        <v>72.936000000000007</v>
      </c>
    </row>
    <row r="12397" spans="4:16" x14ac:dyDescent="0.2">
      <c r="D12397">
        <v>100007445</v>
      </c>
      <c r="E12397" s="49">
        <v>44889</v>
      </c>
      <c r="F12397" t="s">
        <v>8018</v>
      </c>
      <c r="G12397" t="s">
        <v>2204</v>
      </c>
      <c r="H12397">
        <v>9</v>
      </c>
      <c r="I12397">
        <v>102.67</v>
      </c>
      <c r="J12397" s="50">
        <v>924.03</v>
      </c>
      <c r="K12397" t="s">
        <v>1632</v>
      </c>
      <c r="L12397" t="s">
        <v>4686</v>
      </c>
      <c r="M12397" t="s">
        <v>1627</v>
      </c>
      <c r="N12397">
        <v>54.19</v>
      </c>
      <c r="O12397" s="49">
        <v>44891</v>
      </c>
      <c r="P12397" s="50">
        <v>415.81349999999998</v>
      </c>
    </row>
    <row r="12398" spans="4:16" x14ac:dyDescent="0.2">
      <c r="D12398">
        <v>100007445</v>
      </c>
      <c r="E12398" s="49">
        <v>45126</v>
      </c>
      <c r="F12398" t="s">
        <v>8018</v>
      </c>
      <c r="G12398" t="s">
        <v>2042</v>
      </c>
      <c r="H12398">
        <v>1</v>
      </c>
      <c r="I12398">
        <v>24.73</v>
      </c>
      <c r="J12398" s="50">
        <v>24.73</v>
      </c>
      <c r="K12398" t="s">
        <v>1632</v>
      </c>
      <c r="L12398" t="s">
        <v>4686</v>
      </c>
      <c r="M12398" t="s">
        <v>1624</v>
      </c>
      <c r="N12398">
        <v>13.05</v>
      </c>
      <c r="O12398" s="49">
        <v>45129</v>
      </c>
      <c r="P12398" s="50">
        <v>11.128500000000001</v>
      </c>
    </row>
    <row r="12399" spans="4:16" x14ac:dyDescent="0.2">
      <c r="D12399">
        <v>100007445</v>
      </c>
      <c r="E12399" s="49">
        <v>44376</v>
      </c>
      <c r="F12399" t="s">
        <v>8018</v>
      </c>
      <c r="G12399" t="s">
        <v>2420</v>
      </c>
      <c r="H12399">
        <v>3</v>
      </c>
      <c r="I12399">
        <v>84.49</v>
      </c>
      <c r="J12399" s="50">
        <v>253.47</v>
      </c>
      <c r="K12399" t="s">
        <v>1632</v>
      </c>
      <c r="L12399" t="s">
        <v>4686</v>
      </c>
      <c r="M12399" t="s">
        <v>1627</v>
      </c>
      <c r="N12399">
        <v>44.59</v>
      </c>
      <c r="O12399" s="49">
        <v>44379</v>
      </c>
      <c r="P12399" s="50">
        <v>114.0615</v>
      </c>
    </row>
    <row r="12400" spans="4:16" x14ac:dyDescent="0.2">
      <c r="D12400">
        <v>100007446</v>
      </c>
      <c r="E12400" s="49">
        <v>44725</v>
      </c>
      <c r="F12400" t="s">
        <v>8019</v>
      </c>
      <c r="G12400" t="s">
        <v>1751</v>
      </c>
      <c r="H12400">
        <v>10</v>
      </c>
      <c r="I12400">
        <v>33.9</v>
      </c>
      <c r="J12400" s="50">
        <v>339</v>
      </c>
      <c r="K12400" t="s">
        <v>1618</v>
      </c>
      <c r="M12400" t="s">
        <v>1627</v>
      </c>
      <c r="N12400">
        <v>17.89</v>
      </c>
      <c r="O12400" s="49">
        <v>44727</v>
      </c>
      <c r="P12400" s="50">
        <v>152.55000000000001</v>
      </c>
    </row>
    <row r="12401" spans="4:16" x14ac:dyDescent="0.2">
      <c r="D12401">
        <v>100007447</v>
      </c>
      <c r="E12401" s="49">
        <v>44793</v>
      </c>
      <c r="F12401" t="s">
        <v>8020</v>
      </c>
      <c r="G12401" t="s">
        <v>1697</v>
      </c>
      <c r="H12401">
        <v>6</v>
      </c>
      <c r="I12401">
        <v>22.22</v>
      </c>
      <c r="J12401" s="50">
        <v>133.32</v>
      </c>
      <c r="K12401" t="s">
        <v>1618</v>
      </c>
      <c r="L12401" t="s">
        <v>3344</v>
      </c>
      <c r="M12401" t="s">
        <v>1621</v>
      </c>
      <c r="N12401">
        <v>11.73</v>
      </c>
      <c r="O12401" s="49">
        <v>44794</v>
      </c>
      <c r="P12401" s="50">
        <v>59.994</v>
      </c>
    </row>
    <row r="12402" spans="4:16" x14ac:dyDescent="0.2">
      <c r="D12402">
        <v>100007448</v>
      </c>
      <c r="E12402" s="49">
        <v>45039</v>
      </c>
      <c r="F12402" t="s">
        <v>1685</v>
      </c>
      <c r="G12402" t="s">
        <v>1874</v>
      </c>
      <c r="H12402">
        <v>6</v>
      </c>
      <c r="I12402">
        <v>18.03</v>
      </c>
      <c r="J12402" s="50">
        <v>108.18</v>
      </c>
      <c r="K12402" t="s">
        <v>1618</v>
      </c>
      <c r="M12402" t="s">
        <v>1619</v>
      </c>
      <c r="N12402">
        <v>9.52</v>
      </c>
      <c r="O12402" s="49">
        <v>45043</v>
      </c>
      <c r="P12402" s="50">
        <v>48.681000000000004</v>
      </c>
    </row>
    <row r="12403" spans="4:16" x14ac:dyDescent="0.2">
      <c r="D12403">
        <v>100007452</v>
      </c>
      <c r="E12403" s="49">
        <v>44690</v>
      </c>
      <c r="F12403" t="s">
        <v>8021</v>
      </c>
      <c r="G12403" t="s">
        <v>2263</v>
      </c>
      <c r="H12403">
        <v>10</v>
      </c>
      <c r="I12403">
        <v>28.42</v>
      </c>
      <c r="J12403" s="50">
        <v>284.2</v>
      </c>
      <c r="K12403" t="s">
        <v>1632</v>
      </c>
      <c r="M12403" t="s">
        <v>1624</v>
      </c>
      <c r="N12403">
        <v>15</v>
      </c>
      <c r="O12403" s="49">
        <v>44693</v>
      </c>
      <c r="P12403" s="50">
        <v>127.89</v>
      </c>
    </row>
    <row r="12404" spans="4:16" x14ac:dyDescent="0.2">
      <c r="D12404">
        <v>100007452</v>
      </c>
      <c r="E12404" s="49">
        <v>45333</v>
      </c>
      <c r="F12404" t="s">
        <v>8021</v>
      </c>
      <c r="G12404" t="s">
        <v>2202</v>
      </c>
      <c r="H12404">
        <v>6</v>
      </c>
      <c r="I12404">
        <v>65.64</v>
      </c>
      <c r="J12404" s="50">
        <v>393.84</v>
      </c>
      <c r="K12404" t="s">
        <v>1632</v>
      </c>
      <c r="M12404" t="s">
        <v>1619</v>
      </c>
      <c r="N12404">
        <v>34.64</v>
      </c>
      <c r="O12404" s="49">
        <v>45336</v>
      </c>
      <c r="P12404" s="50">
        <v>177.22799999999998</v>
      </c>
    </row>
    <row r="12405" spans="4:16" x14ac:dyDescent="0.2">
      <c r="D12405">
        <v>100007453</v>
      </c>
      <c r="E12405" s="49">
        <v>44663</v>
      </c>
      <c r="F12405" t="s">
        <v>8022</v>
      </c>
      <c r="G12405" t="s">
        <v>1641</v>
      </c>
      <c r="H12405">
        <v>1</v>
      </c>
      <c r="I12405">
        <v>69.78</v>
      </c>
      <c r="J12405" s="50">
        <v>69.78</v>
      </c>
      <c r="K12405" t="s">
        <v>1632</v>
      </c>
      <c r="M12405" t="s">
        <v>1627</v>
      </c>
      <c r="N12405">
        <v>36.83</v>
      </c>
      <c r="O12405" s="49">
        <v>44664</v>
      </c>
      <c r="P12405" s="50">
        <v>31.401</v>
      </c>
    </row>
    <row r="12406" spans="4:16" x14ac:dyDescent="0.2">
      <c r="D12406">
        <v>100007454</v>
      </c>
      <c r="E12406" s="49">
        <v>45420</v>
      </c>
      <c r="F12406" t="s">
        <v>8023</v>
      </c>
      <c r="G12406" t="s">
        <v>1623</v>
      </c>
      <c r="H12406">
        <v>7</v>
      </c>
      <c r="I12406">
        <v>14.64</v>
      </c>
      <c r="J12406" s="50">
        <v>102.48</v>
      </c>
      <c r="K12406" t="s">
        <v>1632</v>
      </c>
      <c r="M12406" t="s">
        <v>1627</v>
      </c>
      <c r="N12406">
        <v>7.73</v>
      </c>
      <c r="O12406" s="49">
        <v>45425</v>
      </c>
      <c r="P12406" s="50">
        <v>46.116</v>
      </c>
    </row>
    <row r="12407" spans="4:16" x14ac:dyDescent="0.2">
      <c r="D12407">
        <v>100007454</v>
      </c>
      <c r="E12407" s="49">
        <v>44759</v>
      </c>
      <c r="F12407" t="s">
        <v>8023</v>
      </c>
      <c r="G12407" t="s">
        <v>2202</v>
      </c>
      <c r="H12407">
        <v>5</v>
      </c>
      <c r="I12407">
        <v>67.290000000000006</v>
      </c>
      <c r="J12407" s="50">
        <v>336.45</v>
      </c>
      <c r="K12407" t="s">
        <v>1632</v>
      </c>
      <c r="M12407" t="s">
        <v>1627</v>
      </c>
      <c r="N12407">
        <v>35.51</v>
      </c>
      <c r="O12407" s="49">
        <v>44762</v>
      </c>
      <c r="P12407" s="50">
        <v>151.4025</v>
      </c>
    </row>
    <row r="12408" spans="4:16" x14ac:dyDescent="0.2">
      <c r="D12408">
        <v>100007454</v>
      </c>
      <c r="E12408" s="49">
        <v>45121</v>
      </c>
      <c r="F12408" t="s">
        <v>8023</v>
      </c>
      <c r="G12408" t="s">
        <v>1693</v>
      </c>
      <c r="H12408">
        <v>1</v>
      </c>
      <c r="I12408">
        <v>33.28</v>
      </c>
      <c r="J12408" s="50">
        <v>33.28</v>
      </c>
      <c r="K12408" t="s">
        <v>1632</v>
      </c>
      <c r="M12408" t="s">
        <v>1621</v>
      </c>
      <c r="N12408">
        <v>17.559999999999999</v>
      </c>
      <c r="O12408" s="49">
        <v>45125</v>
      </c>
      <c r="P12408" s="50">
        <v>14.976000000000001</v>
      </c>
    </row>
    <row r="12409" spans="4:16" x14ac:dyDescent="0.2">
      <c r="D12409">
        <v>100007455</v>
      </c>
      <c r="E12409" s="49">
        <v>44848</v>
      </c>
      <c r="F12409" t="s">
        <v>8024</v>
      </c>
      <c r="G12409" t="s">
        <v>1834</v>
      </c>
      <c r="H12409">
        <v>5</v>
      </c>
      <c r="I12409">
        <v>33.69</v>
      </c>
      <c r="J12409" s="50">
        <v>168.45</v>
      </c>
      <c r="K12409" t="s">
        <v>1618</v>
      </c>
      <c r="L12409" t="s">
        <v>7379</v>
      </c>
      <c r="M12409" t="s">
        <v>1619</v>
      </c>
      <c r="N12409">
        <v>17.78</v>
      </c>
      <c r="O12409" s="49">
        <v>44853</v>
      </c>
      <c r="P12409" s="50">
        <v>75.802499999999995</v>
      </c>
    </row>
    <row r="12410" spans="4:16" x14ac:dyDescent="0.2">
      <c r="D12410">
        <v>100007455</v>
      </c>
      <c r="E12410" s="49">
        <v>44539</v>
      </c>
      <c r="F12410" t="s">
        <v>8024</v>
      </c>
      <c r="G12410" t="s">
        <v>1655</v>
      </c>
      <c r="H12410">
        <v>1</v>
      </c>
      <c r="I12410">
        <v>44.16</v>
      </c>
      <c r="J12410" s="50">
        <v>44.16</v>
      </c>
      <c r="K12410" t="s">
        <v>1618</v>
      </c>
      <c r="L12410" t="s">
        <v>7379</v>
      </c>
      <c r="M12410" t="s">
        <v>1627</v>
      </c>
      <c r="N12410">
        <v>23.31</v>
      </c>
      <c r="O12410" s="49">
        <v>44541</v>
      </c>
      <c r="P12410" s="50">
        <v>19.872</v>
      </c>
    </row>
    <row r="12411" spans="4:16" x14ac:dyDescent="0.2">
      <c r="D12411">
        <v>100007455</v>
      </c>
      <c r="E12411" s="49">
        <v>45452</v>
      </c>
      <c r="F12411" t="s">
        <v>8024</v>
      </c>
      <c r="G12411" t="s">
        <v>2103</v>
      </c>
      <c r="H12411">
        <v>3</v>
      </c>
      <c r="I12411">
        <v>25.85</v>
      </c>
      <c r="J12411" s="50">
        <v>77.550000000000011</v>
      </c>
      <c r="K12411" t="s">
        <v>1618</v>
      </c>
      <c r="L12411" t="s">
        <v>7379</v>
      </c>
      <c r="M12411" t="s">
        <v>1627</v>
      </c>
      <c r="N12411">
        <v>13.64</v>
      </c>
      <c r="O12411" s="49">
        <v>45456</v>
      </c>
      <c r="P12411" s="50">
        <v>34.897500000000008</v>
      </c>
    </row>
    <row r="12412" spans="4:16" x14ac:dyDescent="0.2">
      <c r="D12412">
        <v>100007456</v>
      </c>
      <c r="E12412" s="49">
        <v>45316</v>
      </c>
      <c r="F12412" t="s">
        <v>8025</v>
      </c>
      <c r="G12412" t="s">
        <v>2028</v>
      </c>
      <c r="H12412">
        <v>4</v>
      </c>
      <c r="I12412">
        <v>11.57</v>
      </c>
      <c r="J12412" s="50">
        <v>46.28</v>
      </c>
      <c r="K12412" t="s">
        <v>1632</v>
      </c>
      <c r="L12412" t="s">
        <v>3061</v>
      </c>
      <c r="M12412" t="s">
        <v>1627</v>
      </c>
      <c r="N12412">
        <v>6.11</v>
      </c>
      <c r="O12412" s="49">
        <v>45317</v>
      </c>
      <c r="P12412" s="50">
        <v>20.826000000000001</v>
      </c>
    </row>
    <row r="12413" spans="4:16" x14ac:dyDescent="0.2">
      <c r="D12413">
        <v>100007456</v>
      </c>
      <c r="E12413" s="49">
        <v>44386</v>
      </c>
      <c r="F12413" t="s">
        <v>8025</v>
      </c>
      <c r="G12413" t="s">
        <v>1646</v>
      </c>
      <c r="H12413">
        <v>8</v>
      </c>
      <c r="I12413">
        <v>55.41</v>
      </c>
      <c r="J12413" s="50">
        <v>443.28</v>
      </c>
      <c r="K12413" t="s">
        <v>1632</v>
      </c>
      <c r="L12413" t="s">
        <v>3061</v>
      </c>
      <c r="M12413" t="s">
        <v>1619</v>
      </c>
      <c r="N12413">
        <v>29.24</v>
      </c>
      <c r="O12413" s="49">
        <v>44387</v>
      </c>
      <c r="P12413" s="50">
        <v>199.476</v>
      </c>
    </row>
    <row r="12414" spans="4:16" x14ac:dyDescent="0.2">
      <c r="D12414">
        <v>100007456</v>
      </c>
      <c r="E12414" s="49">
        <v>44327</v>
      </c>
      <c r="F12414" t="s">
        <v>8025</v>
      </c>
      <c r="G12414" t="s">
        <v>1827</v>
      </c>
      <c r="H12414">
        <v>7</v>
      </c>
      <c r="I12414">
        <v>16.440000000000001</v>
      </c>
      <c r="J12414" s="50">
        <v>115.08</v>
      </c>
      <c r="K12414" t="s">
        <v>1632</v>
      </c>
      <c r="L12414" t="s">
        <v>3061</v>
      </c>
      <c r="M12414" t="s">
        <v>1629</v>
      </c>
      <c r="N12414">
        <v>8.68</v>
      </c>
      <c r="O12414" s="49">
        <v>44328</v>
      </c>
      <c r="P12414" s="50">
        <v>51.786000000000001</v>
      </c>
    </row>
    <row r="12415" spans="4:16" x14ac:dyDescent="0.2">
      <c r="D12415">
        <v>100007456</v>
      </c>
      <c r="E12415" s="49">
        <v>45328</v>
      </c>
      <c r="F12415" t="s">
        <v>8025</v>
      </c>
      <c r="G12415" t="s">
        <v>1844</v>
      </c>
      <c r="H12415">
        <v>8</v>
      </c>
      <c r="I12415">
        <v>54.77</v>
      </c>
      <c r="J12415" s="50">
        <v>438.16</v>
      </c>
      <c r="K12415" t="s">
        <v>1632</v>
      </c>
      <c r="L12415" t="s">
        <v>3061</v>
      </c>
      <c r="M12415" t="s">
        <v>1629</v>
      </c>
      <c r="N12415">
        <v>28.91</v>
      </c>
      <c r="O12415" s="49">
        <v>45330</v>
      </c>
      <c r="P12415" s="50">
        <v>197.17200000000003</v>
      </c>
    </row>
    <row r="12416" spans="4:16" x14ac:dyDescent="0.2">
      <c r="D12416">
        <v>100007457</v>
      </c>
      <c r="E12416" s="49">
        <v>44625</v>
      </c>
      <c r="F12416" t="s">
        <v>8026</v>
      </c>
      <c r="G12416" t="s">
        <v>1950</v>
      </c>
      <c r="H12416">
        <v>10</v>
      </c>
      <c r="I12416">
        <v>49.66</v>
      </c>
      <c r="J12416" s="50">
        <v>496.6</v>
      </c>
      <c r="K12416" t="s">
        <v>1618</v>
      </c>
      <c r="M12416" t="s">
        <v>1629</v>
      </c>
      <c r="N12416">
        <v>26.21</v>
      </c>
      <c r="O12416" s="49">
        <v>44628</v>
      </c>
      <c r="P12416" s="50">
        <v>223.47000000000003</v>
      </c>
    </row>
    <row r="12417" spans="4:16" x14ac:dyDescent="0.2">
      <c r="D12417">
        <v>100007458</v>
      </c>
      <c r="E12417" s="49">
        <v>44234</v>
      </c>
      <c r="F12417" t="s">
        <v>8027</v>
      </c>
      <c r="G12417" t="s">
        <v>2571</v>
      </c>
      <c r="H12417">
        <v>8</v>
      </c>
      <c r="I12417">
        <v>82.29</v>
      </c>
      <c r="J12417" s="50">
        <v>658.32</v>
      </c>
      <c r="K12417" t="s">
        <v>1618</v>
      </c>
      <c r="M12417" t="s">
        <v>1629</v>
      </c>
      <c r="N12417">
        <v>43.43</v>
      </c>
      <c r="O12417" s="49">
        <v>44237</v>
      </c>
      <c r="P12417" s="50">
        <v>296.24400000000003</v>
      </c>
    </row>
    <row r="12418" spans="4:16" x14ac:dyDescent="0.2">
      <c r="D12418">
        <v>100007458</v>
      </c>
      <c r="E12418" s="49">
        <v>44300</v>
      </c>
      <c r="F12418" t="s">
        <v>8027</v>
      </c>
      <c r="G12418" t="s">
        <v>1677</v>
      </c>
      <c r="H12418">
        <v>10</v>
      </c>
      <c r="I12418">
        <v>57.06</v>
      </c>
      <c r="J12418" s="50">
        <v>570.6</v>
      </c>
      <c r="K12418" t="s">
        <v>1618</v>
      </c>
      <c r="M12418" t="s">
        <v>1621</v>
      </c>
      <c r="N12418">
        <v>30.11</v>
      </c>
      <c r="O12418" s="49">
        <v>44305</v>
      </c>
      <c r="P12418" s="50">
        <v>256.77000000000004</v>
      </c>
    </row>
    <row r="12419" spans="4:16" x14ac:dyDescent="0.2">
      <c r="D12419">
        <v>100007459</v>
      </c>
      <c r="E12419" s="49">
        <v>44296</v>
      </c>
      <c r="F12419" t="s">
        <v>8028</v>
      </c>
      <c r="G12419" t="s">
        <v>2372</v>
      </c>
      <c r="H12419">
        <v>2</v>
      </c>
      <c r="I12419">
        <v>64</v>
      </c>
      <c r="J12419" s="50">
        <v>128</v>
      </c>
      <c r="K12419" t="s">
        <v>1618</v>
      </c>
      <c r="M12419" t="s">
        <v>1619</v>
      </c>
      <c r="N12419">
        <v>33.78</v>
      </c>
      <c r="O12419" s="49">
        <v>44299</v>
      </c>
      <c r="P12419" s="50">
        <v>57.6</v>
      </c>
    </row>
    <row r="12420" spans="4:16" x14ac:dyDescent="0.2">
      <c r="D12420">
        <v>100007459</v>
      </c>
      <c r="E12420" s="49">
        <v>44378</v>
      </c>
      <c r="F12420" t="s">
        <v>8028</v>
      </c>
      <c r="G12420" t="s">
        <v>2427</v>
      </c>
      <c r="H12420">
        <v>6</v>
      </c>
      <c r="I12420">
        <v>96.15</v>
      </c>
      <c r="J12420" s="50">
        <v>576.90000000000009</v>
      </c>
      <c r="K12420" t="s">
        <v>1618</v>
      </c>
      <c r="M12420" t="s">
        <v>1624</v>
      </c>
      <c r="N12420">
        <v>50.75</v>
      </c>
      <c r="O12420" s="49">
        <v>44380</v>
      </c>
      <c r="P12420" s="50">
        <v>259.60500000000008</v>
      </c>
    </row>
    <row r="12421" spans="4:16" x14ac:dyDescent="0.2">
      <c r="D12421">
        <v>100007459</v>
      </c>
      <c r="E12421" s="49">
        <v>45614</v>
      </c>
      <c r="F12421" t="s">
        <v>8028</v>
      </c>
      <c r="G12421" t="s">
        <v>1958</v>
      </c>
      <c r="H12421">
        <v>10</v>
      </c>
      <c r="I12421">
        <v>96.6</v>
      </c>
      <c r="J12421" s="50">
        <v>966</v>
      </c>
      <c r="K12421" t="s">
        <v>1618</v>
      </c>
      <c r="M12421" t="s">
        <v>1629</v>
      </c>
      <c r="N12421">
        <v>50.98</v>
      </c>
      <c r="O12421" s="49">
        <v>45617</v>
      </c>
      <c r="P12421" s="50">
        <v>434.7</v>
      </c>
    </row>
    <row r="12422" spans="4:16" x14ac:dyDescent="0.2">
      <c r="D12422">
        <v>100007461</v>
      </c>
      <c r="E12422" s="49">
        <v>44847</v>
      </c>
      <c r="F12422" t="s">
        <v>8029</v>
      </c>
      <c r="G12422" t="s">
        <v>2204</v>
      </c>
      <c r="H12422">
        <v>1</v>
      </c>
      <c r="I12422">
        <v>45.34</v>
      </c>
      <c r="J12422" s="50">
        <v>45.34</v>
      </c>
      <c r="K12422" t="s">
        <v>1632</v>
      </c>
      <c r="M12422" t="s">
        <v>1624</v>
      </c>
      <c r="N12422">
        <v>23.93</v>
      </c>
      <c r="O12422" s="49">
        <v>44848</v>
      </c>
      <c r="P12422" s="50">
        <v>20.403000000000002</v>
      </c>
    </row>
    <row r="12423" spans="4:16" x14ac:dyDescent="0.2">
      <c r="D12423">
        <v>100007464</v>
      </c>
      <c r="E12423" s="49">
        <v>44407</v>
      </c>
      <c r="F12423" t="s">
        <v>8030</v>
      </c>
      <c r="G12423" t="s">
        <v>1705</v>
      </c>
      <c r="H12423">
        <v>2</v>
      </c>
      <c r="I12423">
        <v>75.260000000000005</v>
      </c>
      <c r="J12423" s="50">
        <v>150.52000000000001</v>
      </c>
      <c r="K12423" t="s">
        <v>1618</v>
      </c>
      <c r="M12423" t="s">
        <v>1624</v>
      </c>
      <c r="N12423">
        <v>39.72</v>
      </c>
      <c r="O12423" s="49">
        <v>44412</v>
      </c>
      <c r="P12423" s="50">
        <v>67.734000000000009</v>
      </c>
    </row>
    <row r="12424" spans="4:16" x14ac:dyDescent="0.2">
      <c r="D12424">
        <v>100007464</v>
      </c>
      <c r="E12424" s="49">
        <v>45147</v>
      </c>
      <c r="F12424" t="s">
        <v>8030</v>
      </c>
      <c r="G12424" t="s">
        <v>1653</v>
      </c>
      <c r="H12424">
        <v>10</v>
      </c>
      <c r="I12424">
        <v>98.89</v>
      </c>
      <c r="J12424" s="50">
        <v>988.9</v>
      </c>
      <c r="K12424" t="s">
        <v>1618</v>
      </c>
      <c r="M12424" t="s">
        <v>1627</v>
      </c>
      <c r="N12424">
        <v>52.19</v>
      </c>
      <c r="O12424" s="49">
        <v>45152</v>
      </c>
      <c r="P12424" s="50">
        <v>445.005</v>
      </c>
    </row>
    <row r="12425" spans="4:16" x14ac:dyDescent="0.2">
      <c r="D12425">
        <v>100007464</v>
      </c>
      <c r="E12425" s="49">
        <v>45204</v>
      </c>
      <c r="F12425" t="s">
        <v>8030</v>
      </c>
      <c r="G12425" t="s">
        <v>1672</v>
      </c>
      <c r="H12425">
        <v>6</v>
      </c>
      <c r="I12425">
        <v>117.03</v>
      </c>
      <c r="J12425" s="50">
        <v>702.18000000000006</v>
      </c>
      <c r="K12425" t="s">
        <v>1618</v>
      </c>
      <c r="M12425" t="s">
        <v>1629</v>
      </c>
      <c r="N12425">
        <v>61.77</v>
      </c>
      <c r="O12425" s="49">
        <v>45209</v>
      </c>
      <c r="P12425" s="50">
        <v>315.98100000000005</v>
      </c>
    </row>
    <row r="12426" spans="4:16" x14ac:dyDescent="0.2">
      <c r="D12426">
        <v>100007464</v>
      </c>
      <c r="E12426" s="49">
        <v>45018</v>
      </c>
      <c r="F12426" t="s">
        <v>8030</v>
      </c>
      <c r="G12426" t="s">
        <v>2048</v>
      </c>
      <c r="H12426">
        <v>5</v>
      </c>
      <c r="I12426">
        <v>31.55</v>
      </c>
      <c r="J12426" s="50">
        <v>157.75</v>
      </c>
      <c r="K12426" t="s">
        <v>1618</v>
      </c>
      <c r="M12426" t="s">
        <v>1621</v>
      </c>
      <c r="N12426">
        <v>16.649999999999999</v>
      </c>
      <c r="O12426" s="49">
        <v>45021</v>
      </c>
      <c r="P12426" s="50">
        <v>70.987499999999997</v>
      </c>
    </row>
    <row r="12427" spans="4:16" x14ac:dyDescent="0.2">
      <c r="D12427">
        <v>100007464</v>
      </c>
      <c r="E12427" s="49">
        <v>45486</v>
      </c>
      <c r="F12427" t="s">
        <v>8030</v>
      </c>
      <c r="G12427" t="s">
        <v>1841</v>
      </c>
      <c r="H12427">
        <v>6</v>
      </c>
      <c r="I12427">
        <v>27.07</v>
      </c>
      <c r="J12427" s="50">
        <v>162.41999999999999</v>
      </c>
      <c r="K12427" t="s">
        <v>1618</v>
      </c>
      <c r="M12427" t="s">
        <v>1629</v>
      </c>
      <c r="N12427">
        <v>14.29</v>
      </c>
      <c r="O12427" s="49">
        <v>45488</v>
      </c>
      <c r="P12427" s="50">
        <v>73.088999999999999</v>
      </c>
    </row>
    <row r="12428" spans="4:16" x14ac:dyDescent="0.2">
      <c r="D12428">
        <v>100007465</v>
      </c>
      <c r="E12428" s="49">
        <v>44426</v>
      </c>
      <c r="F12428" t="s">
        <v>8031</v>
      </c>
      <c r="G12428" t="s">
        <v>1681</v>
      </c>
      <c r="H12428">
        <v>10</v>
      </c>
      <c r="I12428">
        <v>113</v>
      </c>
      <c r="J12428" s="50">
        <v>1130</v>
      </c>
      <c r="K12428" t="s">
        <v>1618</v>
      </c>
      <c r="M12428" t="s">
        <v>1624</v>
      </c>
      <c r="N12428">
        <v>59.64</v>
      </c>
      <c r="O12428" s="49">
        <v>44427</v>
      </c>
      <c r="P12428" s="50">
        <v>508.5</v>
      </c>
    </row>
    <row r="12429" spans="4:16" x14ac:dyDescent="0.2">
      <c r="D12429">
        <v>100007468</v>
      </c>
      <c r="E12429" s="49">
        <v>44928</v>
      </c>
      <c r="F12429" t="s">
        <v>8032</v>
      </c>
      <c r="G12429" t="s">
        <v>1865</v>
      </c>
      <c r="H12429">
        <v>10</v>
      </c>
      <c r="I12429">
        <v>91.11</v>
      </c>
      <c r="J12429" s="50">
        <v>911.1</v>
      </c>
      <c r="K12429" t="s">
        <v>1632</v>
      </c>
      <c r="M12429" t="s">
        <v>1624</v>
      </c>
      <c r="N12429">
        <v>48.09</v>
      </c>
      <c r="O12429" s="49">
        <v>44930</v>
      </c>
      <c r="P12429" s="50">
        <v>409.995</v>
      </c>
    </row>
    <row r="12430" spans="4:16" x14ac:dyDescent="0.2">
      <c r="D12430">
        <v>100007468</v>
      </c>
      <c r="E12430" s="49">
        <v>45519</v>
      </c>
      <c r="F12430" t="s">
        <v>8032</v>
      </c>
      <c r="G12430" t="s">
        <v>1987</v>
      </c>
      <c r="H12430">
        <v>6</v>
      </c>
      <c r="I12430">
        <v>19.559999999999999</v>
      </c>
      <c r="J12430" s="50">
        <v>117.36</v>
      </c>
      <c r="K12430" t="s">
        <v>1632</v>
      </c>
      <c r="M12430" t="s">
        <v>1619</v>
      </c>
      <c r="N12430">
        <v>10.32</v>
      </c>
      <c r="O12430" s="49">
        <v>45522</v>
      </c>
      <c r="P12430" s="50">
        <v>52.811999999999998</v>
      </c>
    </row>
    <row r="12431" spans="4:16" x14ac:dyDescent="0.2">
      <c r="D12431">
        <v>100007468</v>
      </c>
      <c r="E12431" s="49">
        <v>45105</v>
      </c>
      <c r="F12431" t="s">
        <v>8032</v>
      </c>
      <c r="G12431" t="s">
        <v>2255</v>
      </c>
      <c r="H12431">
        <v>7</v>
      </c>
      <c r="I12431">
        <v>102.42</v>
      </c>
      <c r="J12431" s="50">
        <v>716.94</v>
      </c>
      <c r="K12431" t="s">
        <v>1632</v>
      </c>
      <c r="M12431" t="s">
        <v>1629</v>
      </c>
      <c r="N12431">
        <v>54.05</v>
      </c>
      <c r="O12431" s="49">
        <v>45109</v>
      </c>
      <c r="P12431" s="50">
        <v>322.62300000000005</v>
      </c>
    </row>
    <row r="12432" spans="4:16" x14ac:dyDescent="0.2">
      <c r="D12432">
        <v>100007468</v>
      </c>
      <c r="E12432" s="49">
        <v>45164</v>
      </c>
      <c r="F12432" t="s">
        <v>8032</v>
      </c>
      <c r="G12432" t="s">
        <v>2069</v>
      </c>
      <c r="H12432">
        <v>10</v>
      </c>
      <c r="I12432">
        <v>22.21</v>
      </c>
      <c r="J12432" s="50">
        <v>222.1</v>
      </c>
      <c r="K12432" t="s">
        <v>1632</v>
      </c>
      <c r="M12432" t="s">
        <v>1619</v>
      </c>
      <c r="N12432">
        <v>11.72</v>
      </c>
      <c r="O12432" s="49">
        <v>45168</v>
      </c>
      <c r="P12432" s="50">
        <v>99.944999999999993</v>
      </c>
    </row>
    <row r="12433" spans="4:16" x14ac:dyDescent="0.2">
      <c r="D12433">
        <v>100007469</v>
      </c>
      <c r="E12433" s="49">
        <v>45055</v>
      </c>
      <c r="F12433" t="s">
        <v>4245</v>
      </c>
      <c r="G12433" t="s">
        <v>2514</v>
      </c>
      <c r="H12433">
        <v>10</v>
      </c>
      <c r="I12433">
        <v>90.58</v>
      </c>
      <c r="J12433" s="50">
        <v>905.8</v>
      </c>
      <c r="K12433" t="s">
        <v>1632</v>
      </c>
      <c r="M12433" t="s">
        <v>1624</v>
      </c>
      <c r="N12433">
        <v>47.81</v>
      </c>
      <c r="O12433" s="49">
        <v>45057</v>
      </c>
      <c r="P12433" s="50">
        <v>407.61</v>
      </c>
    </row>
    <row r="12434" spans="4:16" x14ac:dyDescent="0.2">
      <c r="D12434">
        <v>100007469</v>
      </c>
      <c r="E12434" s="49">
        <v>45063</v>
      </c>
      <c r="F12434" t="s">
        <v>4245</v>
      </c>
      <c r="G12434" t="s">
        <v>1766</v>
      </c>
      <c r="H12434">
        <v>9</v>
      </c>
      <c r="I12434">
        <v>87.72</v>
      </c>
      <c r="J12434" s="50">
        <v>789.48</v>
      </c>
      <c r="K12434" t="s">
        <v>1632</v>
      </c>
      <c r="M12434" t="s">
        <v>1629</v>
      </c>
      <c r="N12434">
        <v>46.3</v>
      </c>
      <c r="O12434" s="49">
        <v>45068</v>
      </c>
      <c r="P12434" s="50">
        <v>355.26600000000002</v>
      </c>
    </row>
    <row r="12435" spans="4:16" x14ac:dyDescent="0.2">
      <c r="D12435">
        <v>100007470</v>
      </c>
      <c r="E12435" s="49">
        <v>45070</v>
      </c>
      <c r="F12435" t="s">
        <v>8033</v>
      </c>
      <c r="G12435" t="s">
        <v>1999</v>
      </c>
      <c r="H12435">
        <v>7</v>
      </c>
      <c r="I12435">
        <v>63.52</v>
      </c>
      <c r="J12435" s="50">
        <v>444.64</v>
      </c>
      <c r="K12435" t="s">
        <v>1618</v>
      </c>
      <c r="M12435" t="s">
        <v>1619</v>
      </c>
      <c r="N12435">
        <v>33.520000000000003</v>
      </c>
      <c r="O12435" s="49">
        <v>45074</v>
      </c>
      <c r="P12435" s="50">
        <v>200.08799999999999</v>
      </c>
    </row>
    <row r="12436" spans="4:16" x14ac:dyDescent="0.2">
      <c r="D12436">
        <v>100007471</v>
      </c>
      <c r="E12436" s="49">
        <v>44569</v>
      </c>
      <c r="F12436" t="s">
        <v>8034</v>
      </c>
      <c r="G12436" t="s">
        <v>2180</v>
      </c>
      <c r="H12436">
        <v>6</v>
      </c>
      <c r="I12436">
        <v>19.100000000000001</v>
      </c>
      <c r="J12436" s="50">
        <v>114.6</v>
      </c>
      <c r="K12436" t="s">
        <v>1618</v>
      </c>
      <c r="M12436" t="s">
        <v>1621</v>
      </c>
      <c r="N12436">
        <v>10.08</v>
      </c>
      <c r="O12436" s="49">
        <v>44571</v>
      </c>
      <c r="P12436" s="50">
        <v>51.57</v>
      </c>
    </row>
    <row r="12437" spans="4:16" x14ac:dyDescent="0.2">
      <c r="D12437">
        <v>100007471</v>
      </c>
      <c r="E12437" s="49">
        <v>44229</v>
      </c>
      <c r="F12437" t="s">
        <v>8034</v>
      </c>
      <c r="G12437" t="s">
        <v>1671</v>
      </c>
      <c r="H12437">
        <v>7</v>
      </c>
      <c r="I12437">
        <v>63.6</v>
      </c>
      <c r="J12437" s="50">
        <v>445.2</v>
      </c>
      <c r="K12437" t="s">
        <v>1618</v>
      </c>
      <c r="M12437" t="s">
        <v>1619</v>
      </c>
      <c r="N12437">
        <v>33.57</v>
      </c>
      <c r="O12437" s="49">
        <v>44233</v>
      </c>
      <c r="P12437" s="50">
        <v>200.34</v>
      </c>
    </row>
    <row r="12438" spans="4:16" x14ac:dyDescent="0.2">
      <c r="D12438">
        <v>100007471</v>
      </c>
      <c r="E12438" s="49">
        <v>44291</v>
      </c>
      <c r="F12438" t="s">
        <v>8034</v>
      </c>
      <c r="G12438" t="s">
        <v>2762</v>
      </c>
      <c r="H12438">
        <v>5</v>
      </c>
      <c r="I12438">
        <v>58.2</v>
      </c>
      <c r="J12438" s="50">
        <v>291</v>
      </c>
      <c r="K12438" t="s">
        <v>1618</v>
      </c>
      <c r="M12438" t="s">
        <v>1627</v>
      </c>
      <c r="N12438">
        <v>30.72</v>
      </c>
      <c r="O12438" s="49">
        <v>44295</v>
      </c>
      <c r="P12438" s="50">
        <v>130.95000000000002</v>
      </c>
    </row>
    <row r="12439" spans="4:16" x14ac:dyDescent="0.2">
      <c r="D12439">
        <v>100007471</v>
      </c>
      <c r="E12439" s="49">
        <v>44689</v>
      </c>
      <c r="F12439" t="s">
        <v>8034</v>
      </c>
      <c r="G12439" t="s">
        <v>2180</v>
      </c>
      <c r="H12439">
        <v>1</v>
      </c>
      <c r="I12439">
        <v>13.11</v>
      </c>
      <c r="J12439" s="50">
        <v>13.11</v>
      </c>
      <c r="K12439" t="s">
        <v>1618</v>
      </c>
      <c r="M12439" t="s">
        <v>1627</v>
      </c>
      <c r="N12439">
        <v>6.92</v>
      </c>
      <c r="O12439" s="49">
        <v>44691</v>
      </c>
      <c r="P12439" s="50">
        <v>5.8994999999999997</v>
      </c>
    </row>
    <row r="12440" spans="4:16" x14ac:dyDescent="0.2">
      <c r="D12440">
        <v>100007471</v>
      </c>
      <c r="E12440" s="49">
        <v>44322</v>
      </c>
      <c r="F12440" t="s">
        <v>8034</v>
      </c>
      <c r="G12440" t="s">
        <v>1655</v>
      </c>
      <c r="H12440">
        <v>6</v>
      </c>
      <c r="I12440">
        <v>86.06</v>
      </c>
      <c r="J12440" s="50">
        <v>516.36</v>
      </c>
      <c r="K12440" t="s">
        <v>1618</v>
      </c>
      <c r="M12440" t="s">
        <v>1624</v>
      </c>
      <c r="N12440">
        <v>45.42</v>
      </c>
      <c r="O12440" s="49">
        <v>44324</v>
      </c>
      <c r="P12440" s="50">
        <v>232.36200000000002</v>
      </c>
    </row>
    <row r="12441" spans="4:16" x14ac:dyDescent="0.2">
      <c r="D12441">
        <v>100007472</v>
      </c>
      <c r="E12441" s="49">
        <v>45603</v>
      </c>
      <c r="F12441" t="s">
        <v>8035</v>
      </c>
      <c r="G12441" t="s">
        <v>1783</v>
      </c>
      <c r="H12441">
        <v>10</v>
      </c>
      <c r="I12441">
        <v>12.88</v>
      </c>
      <c r="J12441" s="50">
        <v>128.80000000000001</v>
      </c>
      <c r="K12441" t="s">
        <v>1632</v>
      </c>
      <c r="L12441" t="s">
        <v>2164</v>
      </c>
      <c r="M12441" t="s">
        <v>1619</v>
      </c>
      <c r="N12441">
        <v>6.8</v>
      </c>
      <c r="O12441" s="49">
        <v>45605</v>
      </c>
      <c r="P12441" s="50">
        <v>57.960000000000008</v>
      </c>
    </row>
    <row r="12442" spans="4:16" x14ac:dyDescent="0.2">
      <c r="D12442">
        <v>100007472</v>
      </c>
      <c r="E12442" s="49">
        <v>44519</v>
      </c>
      <c r="F12442" t="s">
        <v>8035</v>
      </c>
      <c r="G12442" t="s">
        <v>1783</v>
      </c>
      <c r="H12442">
        <v>3</v>
      </c>
      <c r="I12442">
        <v>35.54</v>
      </c>
      <c r="J12442" s="50">
        <v>106.62</v>
      </c>
      <c r="K12442" t="s">
        <v>1632</v>
      </c>
      <c r="L12442" t="s">
        <v>2164</v>
      </c>
      <c r="M12442" t="s">
        <v>1629</v>
      </c>
      <c r="N12442">
        <v>18.760000000000002</v>
      </c>
      <c r="O12442" s="49">
        <v>44522</v>
      </c>
      <c r="P12442" s="50">
        <v>47.979000000000006</v>
      </c>
    </row>
    <row r="12443" spans="4:16" x14ac:dyDescent="0.2">
      <c r="D12443">
        <v>100007473</v>
      </c>
      <c r="E12443" s="49">
        <v>44832</v>
      </c>
      <c r="F12443" t="s">
        <v>8036</v>
      </c>
      <c r="G12443" t="s">
        <v>1948</v>
      </c>
      <c r="H12443">
        <v>3</v>
      </c>
      <c r="I12443">
        <v>108.07</v>
      </c>
      <c r="J12443" s="50">
        <v>324.20999999999998</v>
      </c>
      <c r="K12443" t="s">
        <v>1632</v>
      </c>
      <c r="M12443" t="s">
        <v>1624</v>
      </c>
      <c r="N12443">
        <v>57.04</v>
      </c>
      <c r="O12443" s="49">
        <v>44836</v>
      </c>
      <c r="P12443" s="50">
        <v>145.89449999999999</v>
      </c>
    </row>
    <row r="12444" spans="4:16" x14ac:dyDescent="0.2">
      <c r="D12444">
        <v>100007474</v>
      </c>
      <c r="E12444" s="49">
        <v>44758</v>
      </c>
      <c r="F12444" t="s">
        <v>8037</v>
      </c>
      <c r="G12444" t="s">
        <v>2005</v>
      </c>
      <c r="H12444">
        <v>3</v>
      </c>
      <c r="I12444">
        <v>37.97</v>
      </c>
      <c r="J12444" s="50">
        <v>113.91</v>
      </c>
      <c r="K12444" t="s">
        <v>1618</v>
      </c>
      <c r="L12444" t="s">
        <v>8038</v>
      </c>
      <c r="M12444" t="s">
        <v>1627</v>
      </c>
      <c r="N12444">
        <v>20.04</v>
      </c>
      <c r="O12444" s="49">
        <v>44760</v>
      </c>
      <c r="P12444" s="50">
        <v>51.259500000000003</v>
      </c>
    </row>
    <row r="12445" spans="4:16" x14ac:dyDescent="0.2">
      <c r="D12445">
        <v>100007476</v>
      </c>
      <c r="E12445" s="49">
        <v>45594</v>
      </c>
      <c r="F12445" t="s">
        <v>8039</v>
      </c>
      <c r="G12445" t="s">
        <v>2192</v>
      </c>
      <c r="H12445">
        <v>4</v>
      </c>
      <c r="I12445">
        <v>108.41</v>
      </c>
      <c r="J12445" s="50">
        <v>433.64</v>
      </c>
      <c r="K12445" t="s">
        <v>1618</v>
      </c>
      <c r="M12445" t="s">
        <v>1624</v>
      </c>
      <c r="N12445">
        <v>57.22</v>
      </c>
      <c r="O12445" s="49">
        <v>45596</v>
      </c>
      <c r="P12445" s="50">
        <v>195.13800000000001</v>
      </c>
    </row>
    <row r="12446" spans="4:16" x14ac:dyDescent="0.2">
      <c r="D12446">
        <v>100007479</v>
      </c>
      <c r="E12446" s="49">
        <v>45033</v>
      </c>
      <c r="F12446" t="s">
        <v>8040</v>
      </c>
      <c r="G12446" t="s">
        <v>1647</v>
      </c>
      <c r="H12446">
        <v>7</v>
      </c>
      <c r="I12446">
        <v>42.89</v>
      </c>
      <c r="J12446" s="50">
        <v>300.23</v>
      </c>
      <c r="K12446" t="s">
        <v>1618</v>
      </c>
      <c r="M12446" t="s">
        <v>1619</v>
      </c>
      <c r="N12446">
        <v>22.64</v>
      </c>
      <c r="O12446" s="49">
        <v>45035</v>
      </c>
      <c r="P12446" s="50">
        <v>135.10350000000003</v>
      </c>
    </row>
    <row r="12447" spans="4:16" x14ac:dyDescent="0.2">
      <c r="D12447">
        <v>100007480</v>
      </c>
      <c r="E12447" s="49">
        <v>44575</v>
      </c>
      <c r="F12447" t="s">
        <v>8041</v>
      </c>
      <c r="G12447" t="s">
        <v>2301</v>
      </c>
      <c r="H12447">
        <v>10</v>
      </c>
      <c r="I12447">
        <v>85.76</v>
      </c>
      <c r="J12447" s="50">
        <v>857.6</v>
      </c>
      <c r="K12447" t="s">
        <v>1618</v>
      </c>
      <c r="M12447" t="s">
        <v>1629</v>
      </c>
      <c r="N12447">
        <v>45.26</v>
      </c>
      <c r="O12447" s="49">
        <v>44576</v>
      </c>
      <c r="P12447" s="50">
        <v>385.92</v>
      </c>
    </row>
    <row r="12448" spans="4:16" x14ac:dyDescent="0.2">
      <c r="D12448">
        <v>100007480</v>
      </c>
      <c r="E12448" s="49">
        <v>45480</v>
      </c>
      <c r="F12448" t="s">
        <v>8041</v>
      </c>
      <c r="G12448" t="s">
        <v>1718</v>
      </c>
      <c r="H12448">
        <v>4</v>
      </c>
      <c r="I12448">
        <v>73.61</v>
      </c>
      <c r="J12448" s="50">
        <v>294.44</v>
      </c>
      <c r="K12448" t="s">
        <v>1618</v>
      </c>
      <c r="M12448" t="s">
        <v>1619</v>
      </c>
      <c r="N12448">
        <v>38.85</v>
      </c>
      <c r="O12448" s="49">
        <v>45481</v>
      </c>
      <c r="P12448" s="50">
        <v>132.49799999999999</v>
      </c>
    </row>
    <row r="12449" spans="4:16" x14ac:dyDescent="0.2">
      <c r="D12449">
        <v>100007481</v>
      </c>
      <c r="E12449" s="49">
        <v>44846</v>
      </c>
      <c r="F12449" t="s">
        <v>8042</v>
      </c>
      <c r="G12449" t="s">
        <v>1982</v>
      </c>
      <c r="H12449">
        <v>3</v>
      </c>
      <c r="I12449">
        <v>42.45</v>
      </c>
      <c r="J12449" s="50">
        <v>127.35</v>
      </c>
      <c r="K12449" t="s">
        <v>1618</v>
      </c>
      <c r="M12449" t="s">
        <v>1624</v>
      </c>
      <c r="N12449">
        <v>22.4</v>
      </c>
      <c r="O12449" s="49">
        <v>44848</v>
      </c>
      <c r="P12449" s="50">
        <v>57.307499999999997</v>
      </c>
    </row>
    <row r="12450" spans="4:16" x14ac:dyDescent="0.2">
      <c r="D12450">
        <v>100007484</v>
      </c>
      <c r="E12450" s="49">
        <v>44325</v>
      </c>
      <c r="F12450" t="s">
        <v>8043</v>
      </c>
      <c r="G12450" t="s">
        <v>1617</v>
      </c>
      <c r="H12450">
        <v>3</v>
      </c>
      <c r="I12450">
        <v>66.13</v>
      </c>
      <c r="J12450" s="50">
        <v>198.39</v>
      </c>
      <c r="K12450" t="s">
        <v>1618</v>
      </c>
      <c r="M12450" t="s">
        <v>1621</v>
      </c>
      <c r="N12450">
        <v>34.9</v>
      </c>
      <c r="O12450" s="49">
        <v>44327</v>
      </c>
      <c r="P12450" s="50">
        <v>89.275499999999994</v>
      </c>
    </row>
    <row r="12451" spans="4:16" x14ac:dyDescent="0.2">
      <c r="D12451">
        <v>100007484</v>
      </c>
      <c r="E12451" s="49">
        <v>45271</v>
      </c>
      <c r="F12451" t="s">
        <v>8043</v>
      </c>
      <c r="G12451" t="s">
        <v>1739</v>
      </c>
      <c r="H12451">
        <v>1</v>
      </c>
      <c r="I12451">
        <v>101.72</v>
      </c>
      <c r="J12451" s="50">
        <v>101.72</v>
      </c>
      <c r="K12451" t="s">
        <v>1618</v>
      </c>
      <c r="M12451" t="s">
        <v>1624</v>
      </c>
      <c r="N12451">
        <v>53.69</v>
      </c>
      <c r="O12451" s="49">
        <v>45273</v>
      </c>
      <c r="P12451" s="50">
        <v>45.774000000000001</v>
      </c>
    </row>
    <row r="12452" spans="4:16" x14ac:dyDescent="0.2">
      <c r="D12452">
        <v>100007484</v>
      </c>
      <c r="E12452" s="49">
        <v>44414</v>
      </c>
      <c r="F12452" t="s">
        <v>8043</v>
      </c>
      <c r="G12452" t="s">
        <v>1728</v>
      </c>
      <c r="H12452">
        <v>6</v>
      </c>
      <c r="I12452">
        <v>20.010000000000002</v>
      </c>
      <c r="J12452" s="50">
        <v>120.06</v>
      </c>
      <c r="K12452" t="s">
        <v>1618</v>
      </c>
      <c r="M12452" t="s">
        <v>1619</v>
      </c>
      <c r="N12452">
        <v>10.56</v>
      </c>
      <c r="O12452" s="49">
        <v>44416</v>
      </c>
      <c r="P12452" s="50">
        <v>54.027000000000001</v>
      </c>
    </row>
    <row r="12453" spans="4:16" x14ac:dyDescent="0.2">
      <c r="D12453">
        <v>100007484</v>
      </c>
      <c r="E12453" s="49">
        <v>45169</v>
      </c>
      <c r="F12453" t="s">
        <v>8043</v>
      </c>
      <c r="G12453" t="s">
        <v>2088</v>
      </c>
      <c r="H12453">
        <v>2</v>
      </c>
      <c r="I12453">
        <v>74.52</v>
      </c>
      <c r="J12453" s="50">
        <v>149.04</v>
      </c>
      <c r="K12453" t="s">
        <v>1618</v>
      </c>
      <c r="M12453" t="s">
        <v>1627</v>
      </c>
      <c r="N12453">
        <v>39.33</v>
      </c>
      <c r="O12453" s="49">
        <v>45170</v>
      </c>
      <c r="P12453" s="50">
        <v>67.067999999999998</v>
      </c>
    </row>
    <row r="12454" spans="4:16" x14ac:dyDescent="0.2">
      <c r="D12454">
        <v>100007486</v>
      </c>
      <c r="E12454" s="49">
        <v>45167</v>
      </c>
      <c r="F12454" t="s">
        <v>4065</v>
      </c>
      <c r="G12454" t="s">
        <v>1663</v>
      </c>
      <c r="H12454">
        <v>6</v>
      </c>
      <c r="I12454">
        <v>95.07</v>
      </c>
      <c r="J12454" s="50">
        <v>570.41999999999996</v>
      </c>
      <c r="K12454" t="s">
        <v>1618</v>
      </c>
      <c r="M12454" t="s">
        <v>1624</v>
      </c>
      <c r="N12454">
        <v>50.18</v>
      </c>
      <c r="O12454" s="49">
        <v>45172</v>
      </c>
      <c r="P12454" s="50">
        <v>256.68899999999996</v>
      </c>
    </row>
    <row r="12455" spans="4:16" x14ac:dyDescent="0.2">
      <c r="D12455">
        <v>100007486</v>
      </c>
      <c r="E12455" s="49">
        <v>45390</v>
      </c>
      <c r="F12455" t="s">
        <v>4065</v>
      </c>
      <c r="G12455" t="s">
        <v>2328</v>
      </c>
      <c r="H12455">
        <v>6</v>
      </c>
      <c r="I12455">
        <v>67.819999999999993</v>
      </c>
      <c r="J12455" s="50">
        <v>406.92</v>
      </c>
      <c r="K12455" t="s">
        <v>1618</v>
      </c>
      <c r="M12455" t="s">
        <v>1621</v>
      </c>
      <c r="N12455">
        <v>35.79</v>
      </c>
      <c r="O12455" s="49">
        <v>45393</v>
      </c>
      <c r="P12455" s="50">
        <v>183.114</v>
      </c>
    </row>
    <row r="12456" spans="4:16" x14ac:dyDescent="0.2">
      <c r="D12456">
        <v>100007487</v>
      </c>
      <c r="E12456" s="49">
        <v>44289</v>
      </c>
      <c r="F12456" t="s">
        <v>8044</v>
      </c>
      <c r="G12456" t="s">
        <v>2581</v>
      </c>
      <c r="H12456">
        <v>2</v>
      </c>
      <c r="I12456">
        <v>110.43</v>
      </c>
      <c r="J12456" s="50">
        <v>220.86</v>
      </c>
      <c r="K12456" t="s">
        <v>1618</v>
      </c>
      <c r="M12456" t="s">
        <v>1627</v>
      </c>
      <c r="N12456">
        <v>58.28</v>
      </c>
      <c r="O12456" s="49">
        <v>44292</v>
      </c>
      <c r="P12456" s="50">
        <v>99.387000000000015</v>
      </c>
    </row>
    <row r="12457" spans="4:16" x14ac:dyDescent="0.2">
      <c r="D12457">
        <v>100007488</v>
      </c>
      <c r="E12457" s="49">
        <v>45535</v>
      </c>
      <c r="F12457" t="s">
        <v>8045</v>
      </c>
      <c r="G12457" t="s">
        <v>1893</v>
      </c>
      <c r="H12457">
        <v>2</v>
      </c>
      <c r="I12457">
        <v>119.04</v>
      </c>
      <c r="J12457" s="50">
        <v>238.08</v>
      </c>
      <c r="K12457" t="s">
        <v>1632</v>
      </c>
      <c r="M12457" t="s">
        <v>1619</v>
      </c>
      <c r="N12457">
        <v>62.83</v>
      </c>
      <c r="O12457" s="49">
        <v>45539</v>
      </c>
      <c r="P12457" s="50">
        <v>107.13600000000001</v>
      </c>
    </row>
    <row r="12458" spans="4:16" x14ac:dyDescent="0.2">
      <c r="D12458">
        <v>100007489</v>
      </c>
      <c r="E12458" s="49">
        <v>44960</v>
      </c>
      <c r="F12458" t="s">
        <v>8046</v>
      </c>
      <c r="G12458" t="s">
        <v>1976</v>
      </c>
      <c r="H12458">
        <v>9</v>
      </c>
      <c r="I12458">
        <v>107.4</v>
      </c>
      <c r="J12458" s="50">
        <v>966.6</v>
      </c>
      <c r="K12458" t="s">
        <v>1632</v>
      </c>
      <c r="M12458" t="s">
        <v>1629</v>
      </c>
      <c r="N12458">
        <v>56.68</v>
      </c>
      <c r="O12458" s="49">
        <v>44962</v>
      </c>
      <c r="P12458" s="50">
        <v>434.97</v>
      </c>
    </row>
    <row r="12459" spans="4:16" x14ac:dyDescent="0.2">
      <c r="D12459">
        <v>100007490</v>
      </c>
      <c r="E12459" s="49">
        <v>45452</v>
      </c>
      <c r="F12459" t="s">
        <v>8047</v>
      </c>
      <c r="G12459" t="s">
        <v>1762</v>
      </c>
      <c r="H12459">
        <v>4</v>
      </c>
      <c r="I12459">
        <v>86.89</v>
      </c>
      <c r="J12459" s="50">
        <v>347.56</v>
      </c>
      <c r="K12459" t="s">
        <v>1618</v>
      </c>
      <c r="M12459" t="s">
        <v>1619</v>
      </c>
      <c r="N12459">
        <v>45.86</v>
      </c>
      <c r="O12459" s="49">
        <v>45457</v>
      </c>
      <c r="P12459" s="50">
        <v>156.40200000000002</v>
      </c>
    </row>
    <row r="12460" spans="4:16" x14ac:dyDescent="0.2">
      <c r="D12460">
        <v>100007490</v>
      </c>
      <c r="E12460" s="49">
        <v>44789</v>
      </c>
      <c r="F12460" t="s">
        <v>8047</v>
      </c>
      <c r="G12460" t="s">
        <v>1785</v>
      </c>
      <c r="H12460">
        <v>6</v>
      </c>
      <c r="I12460">
        <v>115.04</v>
      </c>
      <c r="J12460" s="50">
        <v>690.24</v>
      </c>
      <c r="K12460" t="s">
        <v>1618</v>
      </c>
      <c r="M12460" t="s">
        <v>1624</v>
      </c>
      <c r="N12460">
        <v>60.72</v>
      </c>
      <c r="O12460" s="49">
        <v>44790</v>
      </c>
      <c r="P12460" s="50">
        <v>310.608</v>
      </c>
    </row>
    <row r="12461" spans="4:16" x14ac:dyDescent="0.2">
      <c r="D12461">
        <v>100007490</v>
      </c>
      <c r="E12461" s="49">
        <v>45584</v>
      </c>
      <c r="F12461" t="s">
        <v>8047</v>
      </c>
      <c r="G12461" t="s">
        <v>2086</v>
      </c>
      <c r="H12461">
        <v>3</v>
      </c>
      <c r="I12461">
        <v>10.3</v>
      </c>
      <c r="J12461" s="50">
        <v>30.9</v>
      </c>
      <c r="K12461" t="s">
        <v>1618</v>
      </c>
      <c r="M12461" t="s">
        <v>1627</v>
      </c>
      <c r="N12461">
        <v>5.44</v>
      </c>
      <c r="O12461" s="49">
        <v>45585</v>
      </c>
      <c r="P12461" s="50">
        <v>13.904999999999999</v>
      </c>
    </row>
    <row r="12462" spans="4:16" x14ac:dyDescent="0.2">
      <c r="D12462">
        <v>100007491</v>
      </c>
      <c r="E12462" s="49">
        <v>44670</v>
      </c>
      <c r="F12462" t="s">
        <v>5814</v>
      </c>
      <c r="G12462" t="s">
        <v>1853</v>
      </c>
      <c r="H12462">
        <v>5</v>
      </c>
      <c r="I12462">
        <v>56.2</v>
      </c>
      <c r="J12462" s="50">
        <v>281</v>
      </c>
      <c r="K12462" t="s">
        <v>1632</v>
      </c>
      <c r="M12462" t="s">
        <v>1629</v>
      </c>
      <c r="N12462">
        <v>29.66</v>
      </c>
      <c r="O12462" s="49">
        <v>44671</v>
      </c>
      <c r="P12462" s="50">
        <v>126.45</v>
      </c>
    </row>
    <row r="12463" spans="4:16" x14ac:dyDescent="0.2">
      <c r="D12463">
        <v>100007492</v>
      </c>
      <c r="E12463" s="49">
        <v>44895</v>
      </c>
      <c r="F12463" t="s">
        <v>8048</v>
      </c>
      <c r="G12463" t="s">
        <v>1864</v>
      </c>
      <c r="H12463">
        <v>1</v>
      </c>
      <c r="I12463">
        <v>104.13</v>
      </c>
      <c r="J12463" s="50">
        <v>104.13</v>
      </c>
      <c r="K12463" t="s">
        <v>1618</v>
      </c>
      <c r="M12463" t="s">
        <v>1621</v>
      </c>
      <c r="N12463">
        <v>54.96</v>
      </c>
      <c r="O12463" s="49">
        <v>44898</v>
      </c>
      <c r="P12463" s="50">
        <v>46.858499999999999</v>
      </c>
    </row>
    <row r="12464" spans="4:16" x14ac:dyDescent="0.2">
      <c r="D12464">
        <v>100007493</v>
      </c>
      <c r="E12464" s="49">
        <v>44712</v>
      </c>
      <c r="F12464" t="s">
        <v>8049</v>
      </c>
      <c r="G12464" t="s">
        <v>1626</v>
      </c>
      <c r="H12464">
        <v>2</v>
      </c>
      <c r="I12464">
        <v>86.95</v>
      </c>
      <c r="J12464" s="50">
        <v>173.9</v>
      </c>
      <c r="K12464" t="s">
        <v>1618</v>
      </c>
      <c r="L12464" t="s">
        <v>4787</v>
      </c>
      <c r="M12464" t="s">
        <v>1627</v>
      </c>
      <c r="N12464">
        <v>45.89</v>
      </c>
      <c r="O12464" s="49">
        <v>44713</v>
      </c>
      <c r="P12464" s="50">
        <v>78.25500000000001</v>
      </c>
    </row>
    <row r="12465" spans="4:16" x14ac:dyDescent="0.2">
      <c r="D12465">
        <v>100007493</v>
      </c>
      <c r="E12465" s="49">
        <v>45443</v>
      </c>
      <c r="F12465" t="s">
        <v>8049</v>
      </c>
      <c r="G12465" t="s">
        <v>1921</v>
      </c>
      <c r="H12465">
        <v>4</v>
      </c>
      <c r="I12465">
        <v>96.18</v>
      </c>
      <c r="J12465" s="50">
        <v>384.72</v>
      </c>
      <c r="K12465" t="s">
        <v>1618</v>
      </c>
      <c r="L12465" t="s">
        <v>4787</v>
      </c>
      <c r="M12465" t="s">
        <v>1619</v>
      </c>
      <c r="N12465">
        <v>50.76</v>
      </c>
      <c r="O12465" s="49">
        <v>45446</v>
      </c>
      <c r="P12465" s="50">
        <v>173.12400000000002</v>
      </c>
    </row>
    <row r="12466" spans="4:16" x14ac:dyDescent="0.2">
      <c r="D12466">
        <v>100007494</v>
      </c>
      <c r="E12466" s="49">
        <v>45242</v>
      </c>
      <c r="F12466" t="s">
        <v>8050</v>
      </c>
      <c r="G12466" t="s">
        <v>2375</v>
      </c>
      <c r="H12466">
        <v>2</v>
      </c>
      <c r="I12466">
        <v>21.71</v>
      </c>
      <c r="J12466" s="50">
        <v>43.42</v>
      </c>
      <c r="K12466" t="s">
        <v>1632</v>
      </c>
      <c r="M12466" t="s">
        <v>1629</v>
      </c>
      <c r="N12466">
        <v>11.46</v>
      </c>
      <c r="O12466" s="49">
        <v>45247</v>
      </c>
      <c r="P12466" s="50">
        <v>19.539000000000001</v>
      </c>
    </row>
    <row r="12467" spans="4:16" x14ac:dyDescent="0.2">
      <c r="D12467">
        <v>100007497</v>
      </c>
      <c r="E12467" s="49">
        <v>45592</v>
      </c>
      <c r="F12467" t="s">
        <v>8051</v>
      </c>
      <c r="G12467" t="s">
        <v>1637</v>
      </c>
      <c r="H12467">
        <v>8</v>
      </c>
      <c r="I12467">
        <v>61.45</v>
      </c>
      <c r="J12467" s="50">
        <v>491.6</v>
      </c>
      <c r="K12467" t="s">
        <v>1632</v>
      </c>
      <c r="M12467" t="s">
        <v>1621</v>
      </c>
      <c r="N12467">
        <v>32.43</v>
      </c>
      <c r="O12467" s="49">
        <v>45593</v>
      </c>
      <c r="P12467" s="50">
        <v>221.22000000000003</v>
      </c>
    </row>
    <row r="12468" spans="4:16" x14ac:dyDescent="0.2">
      <c r="D12468">
        <v>100007497</v>
      </c>
      <c r="E12468" s="49">
        <v>44688</v>
      </c>
      <c r="F12468" t="s">
        <v>8051</v>
      </c>
      <c r="G12468" t="s">
        <v>1868</v>
      </c>
      <c r="H12468">
        <v>3</v>
      </c>
      <c r="I12468">
        <v>94.9</v>
      </c>
      <c r="J12468" s="50">
        <v>284.7</v>
      </c>
      <c r="K12468" t="s">
        <v>1632</v>
      </c>
      <c r="M12468" t="s">
        <v>1624</v>
      </c>
      <c r="N12468">
        <v>50.09</v>
      </c>
      <c r="O12468" s="49">
        <v>44693</v>
      </c>
      <c r="P12468" s="50">
        <v>128.11500000000001</v>
      </c>
    </row>
    <row r="12469" spans="4:16" x14ac:dyDescent="0.2">
      <c r="D12469">
        <v>100007498</v>
      </c>
      <c r="E12469" s="49">
        <v>45525</v>
      </c>
      <c r="F12469" t="s">
        <v>8052</v>
      </c>
      <c r="G12469" t="s">
        <v>1969</v>
      </c>
      <c r="H12469">
        <v>3</v>
      </c>
      <c r="I12469">
        <v>45.52</v>
      </c>
      <c r="J12469" s="50">
        <v>136.56</v>
      </c>
      <c r="K12469" t="s">
        <v>1618</v>
      </c>
      <c r="M12469" t="s">
        <v>1624</v>
      </c>
      <c r="N12469">
        <v>24.02</v>
      </c>
      <c r="O12469" s="49">
        <v>45530</v>
      </c>
      <c r="P12469" s="50">
        <v>61.452000000000005</v>
      </c>
    </row>
    <row r="12470" spans="4:16" x14ac:dyDescent="0.2">
      <c r="D12470">
        <v>100007500</v>
      </c>
      <c r="E12470" s="49">
        <v>45568</v>
      </c>
      <c r="F12470" t="s">
        <v>8053</v>
      </c>
      <c r="G12470" t="s">
        <v>2745</v>
      </c>
      <c r="H12470">
        <v>4</v>
      </c>
      <c r="I12470">
        <v>51.91</v>
      </c>
      <c r="J12470" s="50">
        <v>207.64</v>
      </c>
      <c r="K12470" t="s">
        <v>1632</v>
      </c>
      <c r="L12470" t="s">
        <v>8054</v>
      </c>
      <c r="M12470" t="s">
        <v>1629</v>
      </c>
      <c r="N12470">
        <v>27.4</v>
      </c>
      <c r="O12470" s="49">
        <v>45572</v>
      </c>
      <c r="P12470" s="50">
        <v>93.438000000000002</v>
      </c>
    </row>
    <row r="12471" spans="4:16" x14ac:dyDescent="0.2">
      <c r="D12471">
        <v>100007501</v>
      </c>
      <c r="E12471" s="49">
        <v>45099</v>
      </c>
      <c r="F12471" t="s">
        <v>5341</v>
      </c>
      <c r="G12471" t="s">
        <v>1671</v>
      </c>
      <c r="H12471">
        <v>9</v>
      </c>
      <c r="I12471">
        <v>106.12</v>
      </c>
      <c r="J12471" s="50">
        <v>955.08</v>
      </c>
      <c r="K12471" t="s">
        <v>1618</v>
      </c>
      <c r="M12471" t="s">
        <v>1627</v>
      </c>
      <c r="N12471">
        <v>56.01</v>
      </c>
      <c r="O12471" s="49">
        <v>45101</v>
      </c>
      <c r="P12471" s="50">
        <v>429.786</v>
      </c>
    </row>
    <row r="12472" spans="4:16" x14ac:dyDescent="0.2">
      <c r="D12472">
        <v>100007503</v>
      </c>
      <c r="E12472" s="49">
        <v>45238</v>
      </c>
      <c r="F12472" t="s">
        <v>8055</v>
      </c>
      <c r="G12472" t="s">
        <v>1727</v>
      </c>
      <c r="H12472">
        <v>1</v>
      </c>
      <c r="I12472">
        <v>101.86</v>
      </c>
      <c r="J12472" s="50">
        <v>101.86</v>
      </c>
      <c r="K12472" t="s">
        <v>1618</v>
      </c>
      <c r="L12472" t="s">
        <v>8056</v>
      </c>
      <c r="M12472" t="s">
        <v>1621</v>
      </c>
      <c r="N12472">
        <v>53.76</v>
      </c>
      <c r="O12472" s="49">
        <v>45243</v>
      </c>
      <c r="P12472" s="50">
        <v>45.837000000000003</v>
      </c>
    </row>
    <row r="12473" spans="4:16" x14ac:dyDescent="0.2">
      <c r="D12473">
        <v>100007506</v>
      </c>
      <c r="E12473" s="49">
        <v>45595</v>
      </c>
      <c r="F12473" t="s">
        <v>8057</v>
      </c>
      <c r="G12473" t="s">
        <v>1743</v>
      </c>
      <c r="H12473">
        <v>7</v>
      </c>
      <c r="I12473">
        <v>45.35</v>
      </c>
      <c r="J12473" s="50">
        <v>317.45</v>
      </c>
      <c r="K12473" t="s">
        <v>1632</v>
      </c>
      <c r="M12473" t="s">
        <v>1621</v>
      </c>
      <c r="N12473">
        <v>23.93</v>
      </c>
      <c r="O12473" s="49">
        <v>45599</v>
      </c>
      <c r="P12473" s="50">
        <v>142.85249999999999</v>
      </c>
    </row>
    <row r="12474" spans="4:16" x14ac:dyDescent="0.2">
      <c r="D12474">
        <v>100007507</v>
      </c>
      <c r="E12474" s="49">
        <v>44551</v>
      </c>
      <c r="F12474" t="s">
        <v>8058</v>
      </c>
      <c r="G12474" t="s">
        <v>1751</v>
      </c>
      <c r="H12474">
        <v>2</v>
      </c>
      <c r="I12474">
        <v>110.48</v>
      </c>
      <c r="J12474" s="50">
        <v>220.96</v>
      </c>
      <c r="K12474" t="s">
        <v>1618</v>
      </c>
      <c r="M12474" t="s">
        <v>1627</v>
      </c>
      <c r="N12474">
        <v>58.31</v>
      </c>
      <c r="O12474" s="49">
        <v>44552</v>
      </c>
      <c r="P12474" s="50">
        <v>99.432000000000002</v>
      </c>
    </row>
    <row r="12475" spans="4:16" x14ac:dyDescent="0.2">
      <c r="D12475">
        <v>100007507</v>
      </c>
      <c r="E12475" s="49">
        <v>44654</v>
      </c>
      <c r="F12475" t="s">
        <v>8058</v>
      </c>
      <c r="G12475" t="s">
        <v>1856</v>
      </c>
      <c r="H12475">
        <v>4</v>
      </c>
      <c r="I12475">
        <v>57.63</v>
      </c>
      <c r="J12475" s="50">
        <v>230.52</v>
      </c>
      <c r="K12475" t="s">
        <v>1618</v>
      </c>
      <c r="M12475" t="s">
        <v>1621</v>
      </c>
      <c r="N12475">
        <v>30.42</v>
      </c>
      <c r="O12475" s="49">
        <v>44657</v>
      </c>
      <c r="P12475" s="50">
        <v>103.73400000000001</v>
      </c>
    </row>
    <row r="12476" spans="4:16" x14ac:dyDescent="0.2">
      <c r="D12476">
        <v>100007508</v>
      </c>
      <c r="E12476" s="49">
        <v>44236</v>
      </c>
      <c r="F12476" t="s">
        <v>8059</v>
      </c>
      <c r="G12476" t="s">
        <v>1782</v>
      </c>
      <c r="H12476">
        <v>9</v>
      </c>
      <c r="I12476">
        <v>25.61</v>
      </c>
      <c r="J12476" s="50">
        <v>230.49</v>
      </c>
      <c r="K12476" t="s">
        <v>1632</v>
      </c>
      <c r="M12476" t="s">
        <v>1627</v>
      </c>
      <c r="N12476">
        <v>13.52</v>
      </c>
      <c r="O12476" s="49">
        <v>44237</v>
      </c>
      <c r="P12476" s="50">
        <v>103.7205</v>
      </c>
    </row>
    <row r="12477" spans="4:16" x14ac:dyDescent="0.2">
      <c r="D12477">
        <v>100007508</v>
      </c>
      <c r="E12477" s="49">
        <v>45445</v>
      </c>
      <c r="F12477" t="s">
        <v>8059</v>
      </c>
      <c r="G12477" t="s">
        <v>2745</v>
      </c>
      <c r="H12477">
        <v>1</v>
      </c>
      <c r="I12477">
        <v>41.36</v>
      </c>
      <c r="J12477" s="50">
        <v>41.36</v>
      </c>
      <c r="K12477" t="s">
        <v>1632</v>
      </c>
      <c r="M12477" t="s">
        <v>1619</v>
      </c>
      <c r="N12477">
        <v>21.83</v>
      </c>
      <c r="O12477" s="49">
        <v>45449</v>
      </c>
      <c r="P12477" s="50">
        <v>18.612000000000002</v>
      </c>
    </row>
    <row r="12478" spans="4:16" x14ac:dyDescent="0.2">
      <c r="D12478">
        <v>100007510</v>
      </c>
      <c r="E12478" s="49">
        <v>44724</v>
      </c>
      <c r="F12478" t="s">
        <v>8060</v>
      </c>
      <c r="G12478" t="s">
        <v>2305</v>
      </c>
      <c r="H12478">
        <v>6</v>
      </c>
      <c r="I12478">
        <v>66.3</v>
      </c>
      <c r="J12478" s="50">
        <v>397.8</v>
      </c>
      <c r="K12478" t="s">
        <v>1618</v>
      </c>
      <c r="M12478" t="s">
        <v>1629</v>
      </c>
      <c r="N12478">
        <v>34.99</v>
      </c>
      <c r="O12478" s="49">
        <v>44728</v>
      </c>
      <c r="P12478" s="50">
        <v>179.01000000000002</v>
      </c>
    </row>
    <row r="12479" spans="4:16" x14ac:dyDescent="0.2">
      <c r="D12479">
        <v>100007510</v>
      </c>
      <c r="E12479" s="49">
        <v>45605</v>
      </c>
      <c r="F12479" t="s">
        <v>8060</v>
      </c>
      <c r="G12479" t="s">
        <v>1681</v>
      </c>
      <c r="H12479">
        <v>9</v>
      </c>
      <c r="I12479">
        <v>25.71</v>
      </c>
      <c r="J12479" s="50">
        <v>231.39</v>
      </c>
      <c r="K12479" t="s">
        <v>1618</v>
      </c>
      <c r="M12479" t="s">
        <v>1624</v>
      </c>
      <c r="N12479">
        <v>13.57</v>
      </c>
      <c r="O12479" s="49">
        <v>45610</v>
      </c>
      <c r="P12479" s="50">
        <v>104.1255</v>
      </c>
    </row>
    <row r="12480" spans="4:16" x14ac:dyDescent="0.2">
      <c r="D12480">
        <v>100007510</v>
      </c>
      <c r="E12480" s="49">
        <v>45611</v>
      </c>
      <c r="F12480" t="s">
        <v>8060</v>
      </c>
      <c r="G12480" t="s">
        <v>2323</v>
      </c>
      <c r="H12480">
        <v>3</v>
      </c>
      <c r="I12480">
        <v>51.33</v>
      </c>
      <c r="J12480" s="50">
        <v>153.99</v>
      </c>
      <c r="K12480" t="s">
        <v>1618</v>
      </c>
      <c r="M12480" t="s">
        <v>1619</v>
      </c>
      <c r="N12480">
        <v>27.09</v>
      </c>
      <c r="O12480" s="49">
        <v>45612</v>
      </c>
      <c r="P12480" s="50">
        <v>69.295500000000004</v>
      </c>
    </row>
    <row r="12481" spans="4:16" x14ac:dyDescent="0.2">
      <c r="D12481">
        <v>100007510</v>
      </c>
      <c r="E12481" s="49">
        <v>45256</v>
      </c>
      <c r="F12481" t="s">
        <v>8060</v>
      </c>
      <c r="G12481" t="s">
        <v>2071</v>
      </c>
      <c r="H12481">
        <v>6</v>
      </c>
      <c r="I12481">
        <v>49.33</v>
      </c>
      <c r="J12481" s="50">
        <v>295.98</v>
      </c>
      <c r="K12481" t="s">
        <v>1618</v>
      </c>
      <c r="M12481" t="s">
        <v>1624</v>
      </c>
      <c r="N12481">
        <v>26.04</v>
      </c>
      <c r="O12481" s="49">
        <v>45260</v>
      </c>
      <c r="P12481" s="50">
        <v>133.191</v>
      </c>
    </row>
    <row r="12482" spans="4:16" x14ac:dyDescent="0.2">
      <c r="D12482">
        <v>100007510</v>
      </c>
      <c r="E12482" s="49">
        <v>44224</v>
      </c>
      <c r="F12482" t="s">
        <v>8060</v>
      </c>
      <c r="G12482" t="s">
        <v>1865</v>
      </c>
      <c r="H12482">
        <v>10</v>
      </c>
      <c r="I12482">
        <v>88.3</v>
      </c>
      <c r="J12482" s="50">
        <v>883</v>
      </c>
      <c r="K12482" t="s">
        <v>1618</v>
      </c>
      <c r="M12482" t="s">
        <v>1624</v>
      </c>
      <c r="N12482">
        <v>46.6</v>
      </c>
      <c r="O12482" s="49">
        <v>44227</v>
      </c>
      <c r="P12482" s="50">
        <v>397.35</v>
      </c>
    </row>
    <row r="12483" spans="4:16" x14ac:dyDescent="0.2">
      <c r="D12483">
        <v>100007512</v>
      </c>
      <c r="E12483" s="49">
        <v>45081</v>
      </c>
      <c r="F12483" t="s">
        <v>8061</v>
      </c>
      <c r="G12483" t="s">
        <v>2192</v>
      </c>
      <c r="H12483">
        <v>4</v>
      </c>
      <c r="I12483">
        <v>112.96</v>
      </c>
      <c r="J12483" s="50">
        <v>451.84</v>
      </c>
      <c r="K12483" t="s">
        <v>1618</v>
      </c>
      <c r="M12483" t="s">
        <v>1627</v>
      </c>
      <c r="N12483">
        <v>59.62</v>
      </c>
      <c r="O12483" s="49">
        <v>45083</v>
      </c>
      <c r="P12483" s="50">
        <v>203.328</v>
      </c>
    </row>
    <row r="12484" spans="4:16" x14ac:dyDescent="0.2">
      <c r="D12484">
        <v>100007514</v>
      </c>
      <c r="E12484" s="49">
        <v>45073</v>
      </c>
      <c r="F12484" t="s">
        <v>5176</v>
      </c>
      <c r="G12484" t="s">
        <v>1885</v>
      </c>
      <c r="H12484">
        <v>5</v>
      </c>
      <c r="I12484">
        <v>55.46</v>
      </c>
      <c r="J12484" s="50">
        <v>277.3</v>
      </c>
      <c r="K12484" t="s">
        <v>1618</v>
      </c>
      <c r="M12484" t="s">
        <v>1627</v>
      </c>
      <c r="N12484">
        <v>29.27</v>
      </c>
      <c r="O12484" s="49">
        <v>45077</v>
      </c>
      <c r="P12484" s="50">
        <v>124.78500000000001</v>
      </c>
    </row>
    <row r="12485" spans="4:16" x14ac:dyDescent="0.2">
      <c r="D12485">
        <v>100007515</v>
      </c>
      <c r="E12485" s="49">
        <v>44464</v>
      </c>
      <c r="F12485" t="s">
        <v>8062</v>
      </c>
      <c r="G12485" t="s">
        <v>1702</v>
      </c>
      <c r="H12485">
        <v>5</v>
      </c>
      <c r="I12485">
        <v>63.53</v>
      </c>
      <c r="J12485" s="50">
        <v>317.64999999999998</v>
      </c>
      <c r="K12485" t="s">
        <v>1632</v>
      </c>
      <c r="L12485" t="s">
        <v>3036</v>
      </c>
      <c r="M12485" t="s">
        <v>1621</v>
      </c>
      <c r="N12485">
        <v>33.53</v>
      </c>
      <c r="O12485" s="49">
        <v>44467</v>
      </c>
      <c r="P12485" s="50">
        <v>142.9425</v>
      </c>
    </row>
    <row r="12486" spans="4:16" x14ac:dyDescent="0.2">
      <c r="D12486">
        <v>100007515</v>
      </c>
      <c r="E12486" s="49">
        <v>45039</v>
      </c>
      <c r="F12486" t="s">
        <v>8062</v>
      </c>
      <c r="G12486" t="s">
        <v>1688</v>
      </c>
      <c r="H12486">
        <v>7</v>
      </c>
      <c r="I12486">
        <v>52.52</v>
      </c>
      <c r="J12486" s="50">
        <v>367.64</v>
      </c>
      <c r="K12486" t="s">
        <v>1632</v>
      </c>
      <c r="L12486" t="s">
        <v>3036</v>
      </c>
      <c r="M12486" t="s">
        <v>1627</v>
      </c>
      <c r="N12486">
        <v>27.72</v>
      </c>
      <c r="O12486" s="49">
        <v>45044</v>
      </c>
      <c r="P12486" s="50">
        <v>165.43799999999999</v>
      </c>
    </row>
    <row r="12487" spans="4:16" x14ac:dyDescent="0.2">
      <c r="D12487">
        <v>100007516</v>
      </c>
      <c r="E12487" s="49">
        <v>44885</v>
      </c>
      <c r="F12487" t="s">
        <v>8063</v>
      </c>
      <c r="G12487" t="s">
        <v>1897</v>
      </c>
      <c r="H12487">
        <v>5</v>
      </c>
      <c r="I12487">
        <v>33.79</v>
      </c>
      <c r="J12487" s="50">
        <v>168.95</v>
      </c>
      <c r="K12487" t="s">
        <v>1618</v>
      </c>
      <c r="M12487" t="s">
        <v>1627</v>
      </c>
      <c r="N12487">
        <v>17.829999999999998</v>
      </c>
      <c r="O12487" s="49">
        <v>44889</v>
      </c>
      <c r="P12487" s="50">
        <v>76.027500000000003</v>
      </c>
    </row>
    <row r="12488" spans="4:16" x14ac:dyDescent="0.2">
      <c r="D12488">
        <v>100007518</v>
      </c>
      <c r="E12488" s="49">
        <v>44699</v>
      </c>
      <c r="F12488" t="s">
        <v>8064</v>
      </c>
      <c r="G12488" t="s">
        <v>1953</v>
      </c>
      <c r="H12488">
        <v>8</v>
      </c>
      <c r="I12488">
        <v>81.67</v>
      </c>
      <c r="J12488" s="50">
        <v>653.36</v>
      </c>
      <c r="K12488" t="s">
        <v>1618</v>
      </c>
      <c r="M12488" t="s">
        <v>1627</v>
      </c>
      <c r="N12488">
        <v>43.1</v>
      </c>
      <c r="O12488" s="49">
        <v>44704</v>
      </c>
      <c r="P12488" s="50">
        <v>294.012</v>
      </c>
    </row>
    <row r="12489" spans="4:16" x14ac:dyDescent="0.2">
      <c r="D12489">
        <v>100007518</v>
      </c>
      <c r="E12489" s="49">
        <v>44480</v>
      </c>
      <c r="F12489" t="s">
        <v>8064</v>
      </c>
      <c r="G12489" t="s">
        <v>2375</v>
      </c>
      <c r="H12489">
        <v>3</v>
      </c>
      <c r="I12489">
        <v>100.18</v>
      </c>
      <c r="J12489" s="50">
        <v>300.54000000000002</v>
      </c>
      <c r="K12489" t="s">
        <v>1618</v>
      </c>
      <c r="M12489" t="s">
        <v>1619</v>
      </c>
      <c r="N12489">
        <v>52.87</v>
      </c>
      <c r="O12489" s="49">
        <v>44485</v>
      </c>
      <c r="P12489" s="50">
        <v>135.24300000000002</v>
      </c>
    </row>
    <row r="12490" spans="4:16" x14ac:dyDescent="0.2">
      <c r="D12490">
        <v>100007518</v>
      </c>
      <c r="E12490" s="49">
        <v>44700</v>
      </c>
      <c r="F12490" t="s">
        <v>8064</v>
      </c>
      <c r="G12490" t="s">
        <v>1932</v>
      </c>
      <c r="H12490">
        <v>7</v>
      </c>
      <c r="I12490">
        <v>37.880000000000003</v>
      </c>
      <c r="J12490" s="50">
        <v>265.16000000000003</v>
      </c>
      <c r="K12490" t="s">
        <v>1618</v>
      </c>
      <c r="M12490" t="s">
        <v>1629</v>
      </c>
      <c r="N12490">
        <v>19.989999999999998</v>
      </c>
      <c r="O12490" s="49">
        <v>44705</v>
      </c>
      <c r="P12490" s="50">
        <v>119.32200000000002</v>
      </c>
    </row>
    <row r="12491" spans="4:16" x14ac:dyDescent="0.2">
      <c r="D12491">
        <v>100007519</v>
      </c>
      <c r="E12491" s="49">
        <v>45159</v>
      </c>
      <c r="F12491" t="s">
        <v>8065</v>
      </c>
      <c r="G12491" t="s">
        <v>1834</v>
      </c>
      <c r="H12491">
        <v>8</v>
      </c>
      <c r="I12491">
        <v>32.47</v>
      </c>
      <c r="J12491" s="50">
        <v>259.76</v>
      </c>
      <c r="K12491" t="s">
        <v>1618</v>
      </c>
      <c r="M12491" t="s">
        <v>1629</v>
      </c>
      <c r="N12491">
        <v>17.14</v>
      </c>
      <c r="O12491" s="49">
        <v>45163</v>
      </c>
      <c r="P12491" s="50">
        <v>116.892</v>
      </c>
    </row>
    <row r="12492" spans="4:16" x14ac:dyDescent="0.2">
      <c r="D12492">
        <v>100007520</v>
      </c>
      <c r="E12492" s="49">
        <v>44286</v>
      </c>
      <c r="F12492" t="s">
        <v>2519</v>
      </c>
      <c r="G12492" t="s">
        <v>1856</v>
      </c>
      <c r="H12492">
        <v>5</v>
      </c>
      <c r="I12492">
        <v>25</v>
      </c>
      <c r="J12492" s="50">
        <v>125</v>
      </c>
      <c r="K12492" t="s">
        <v>1618</v>
      </c>
      <c r="M12492" t="s">
        <v>1627</v>
      </c>
      <c r="N12492">
        <v>13.19</v>
      </c>
      <c r="O12492" s="49">
        <v>44290</v>
      </c>
      <c r="P12492" s="50">
        <v>56.25</v>
      </c>
    </row>
    <row r="12493" spans="4:16" x14ac:dyDescent="0.2">
      <c r="D12493">
        <v>100007521</v>
      </c>
      <c r="E12493" s="49">
        <v>44638</v>
      </c>
      <c r="F12493" t="s">
        <v>6606</v>
      </c>
      <c r="G12493" t="s">
        <v>1777</v>
      </c>
      <c r="H12493">
        <v>8</v>
      </c>
      <c r="I12493">
        <v>84.82</v>
      </c>
      <c r="J12493" s="50">
        <v>678.56</v>
      </c>
      <c r="K12493" t="s">
        <v>1632</v>
      </c>
      <c r="M12493" t="s">
        <v>1619</v>
      </c>
      <c r="N12493">
        <v>44.77</v>
      </c>
      <c r="O12493" s="49">
        <v>44642</v>
      </c>
      <c r="P12493" s="50">
        <v>305.35199999999998</v>
      </c>
    </row>
    <row r="12494" spans="4:16" x14ac:dyDescent="0.2">
      <c r="D12494">
        <v>100007521</v>
      </c>
      <c r="E12494" s="49">
        <v>44664</v>
      </c>
      <c r="F12494" t="s">
        <v>6606</v>
      </c>
      <c r="G12494" t="s">
        <v>1707</v>
      </c>
      <c r="H12494">
        <v>6</v>
      </c>
      <c r="I12494">
        <v>70.38</v>
      </c>
      <c r="J12494" s="50">
        <v>422.28</v>
      </c>
      <c r="K12494" t="s">
        <v>1632</v>
      </c>
      <c r="M12494" t="s">
        <v>1624</v>
      </c>
      <c r="N12494">
        <v>37.14</v>
      </c>
      <c r="O12494" s="49">
        <v>44668</v>
      </c>
      <c r="P12494" s="50">
        <v>190.02599999999998</v>
      </c>
    </row>
    <row r="12495" spans="4:16" x14ac:dyDescent="0.2">
      <c r="D12495">
        <v>100007521</v>
      </c>
      <c r="E12495" s="49">
        <v>45217</v>
      </c>
      <c r="F12495" t="s">
        <v>6606</v>
      </c>
      <c r="G12495" t="s">
        <v>1781</v>
      </c>
      <c r="H12495">
        <v>7</v>
      </c>
      <c r="I12495">
        <v>59.42</v>
      </c>
      <c r="J12495" s="50">
        <v>415.94</v>
      </c>
      <c r="K12495" t="s">
        <v>1632</v>
      </c>
      <c r="M12495" t="s">
        <v>1624</v>
      </c>
      <c r="N12495">
        <v>31.36</v>
      </c>
      <c r="O12495" s="49">
        <v>45220</v>
      </c>
      <c r="P12495" s="50">
        <v>187.173</v>
      </c>
    </row>
    <row r="12496" spans="4:16" x14ac:dyDescent="0.2">
      <c r="D12496">
        <v>100007523</v>
      </c>
      <c r="E12496" s="49">
        <v>44837</v>
      </c>
      <c r="F12496" t="s">
        <v>8066</v>
      </c>
      <c r="G12496" t="s">
        <v>1975</v>
      </c>
      <c r="H12496">
        <v>4</v>
      </c>
      <c r="I12496">
        <v>54.64</v>
      </c>
      <c r="J12496" s="50">
        <v>218.56</v>
      </c>
      <c r="K12496" t="s">
        <v>1632</v>
      </c>
      <c r="M12496" t="s">
        <v>1624</v>
      </c>
      <c r="N12496">
        <v>28.84</v>
      </c>
      <c r="O12496" s="49">
        <v>44841</v>
      </c>
      <c r="P12496" s="50">
        <v>98.352000000000004</v>
      </c>
    </row>
    <row r="12497" spans="4:16" x14ac:dyDescent="0.2">
      <c r="D12497">
        <v>100007525</v>
      </c>
      <c r="E12497" s="49">
        <v>45629</v>
      </c>
      <c r="F12497" t="s">
        <v>8067</v>
      </c>
      <c r="G12497" t="s">
        <v>1999</v>
      </c>
      <c r="H12497">
        <v>4</v>
      </c>
      <c r="I12497">
        <v>70.650000000000006</v>
      </c>
      <c r="J12497" s="50">
        <v>282.60000000000002</v>
      </c>
      <c r="K12497" t="s">
        <v>1618</v>
      </c>
      <c r="M12497" t="s">
        <v>1624</v>
      </c>
      <c r="N12497">
        <v>37.29</v>
      </c>
      <c r="O12497" s="49">
        <v>45634</v>
      </c>
      <c r="P12497" s="50">
        <v>127.17000000000002</v>
      </c>
    </row>
    <row r="12498" spans="4:16" x14ac:dyDescent="0.2">
      <c r="D12498">
        <v>100007525</v>
      </c>
      <c r="E12498" s="49">
        <v>44257</v>
      </c>
      <c r="F12498" t="s">
        <v>8067</v>
      </c>
      <c r="G12498" t="s">
        <v>2337</v>
      </c>
      <c r="H12498">
        <v>1</v>
      </c>
      <c r="I12498">
        <v>74.95</v>
      </c>
      <c r="J12498" s="50">
        <v>74.95</v>
      </c>
      <c r="K12498" t="s">
        <v>1618</v>
      </c>
      <c r="M12498" t="s">
        <v>1619</v>
      </c>
      <c r="N12498">
        <v>39.56</v>
      </c>
      <c r="O12498" s="49">
        <v>44262</v>
      </c>
      <c r="P12498" s="50">
        <v>33.727499999999999</v>
      </c>
    </row>
    <row r="12499" spans="4:16" x14ac:dyDescent="0.2">
      <c r="D12499">
        <v>100007525</v>
      </c>
      <c r="E12499" s="49">
        <v>45186</v>
      </c>
      <c r="F12499" t="s">
        <v>8067</v>
      </c>
      <c r="G12499" t="s">
        <v>1805</v>
      </c>
      <c r="H12499">
        <v>5</v>
      </c>
      <c r="I12499">
        <v>55.18</v>
      </c>
      <c r="J12499" s="50">
        <v>275.89999999999998</v>
      </c>
      <c r="K12499" t="s">
        <v>1618</v>
      </c>
      <c r="M12499" t="s">
        <v>1624</v>
      </c>
      <c r="N12499">
        <v>29.12</v>
      </c>
      <c r="O12499" s="49">
        <v>45189</v>
      </c>
      <c r="P12499" s="50">
        <v>124.15499999999999</v>
      </c>
    </row>
    <row r="12500" spans="4:16" x14ac:dyDescent="0.2">
      <c r="D12500">
        <v>100007526</v>
      </c>
      <c r="E12500" s="49">
        <v>45490</v>
      </c>
      <c r="F12500" t="s">
        <v>8068</v>
      </c>
      <c r="G12500" t="s">
        <v>1758</v>
      </c>
      <c r="H12500">
        <v>8</v>
      </c>
      <c r="I12500">
        <v>65.66</v>
      </c>
      <c r="J12500" s="50">
        <v>525.28</v>
      </c>
      <c r="K12500" t="s">
        <v>1618</v>
      </c>
      <c r="M12500" t="s">
        <v>1627</v>
      </c>
      <c r="N12500">
        <v>34.65</v>
      </c>
      <c r="O12500" s="49">
        <v>45491</v>
      </c>
      <c r="P12500" s="50">
        <v>236.376</v>
      </c>
    </row>
    <row r="12501" spans="4:16" x14ac:dyDescent="0.2">
      <c r="D12501">
        <v>100007527</v>
      </c>
      <c r="E12501" s="49">
        <v>44451</v>
      </c>
      <c r="F12501" t="s">
        <v>8069</v>
      </c>
      <c r="G12501" t="s">
        <v>1815</v>
      </c>
      <c r="H12501">
        <v>1</v>
      </c>
      <c r="I12501">
        <v>103.76</v>
      </c>
      <c r="J12501" s="50">
        <v>103.76</v>
      </c>
      <c r="K12501" t="s">
        <v>1632</v>
      </c>
      <c r="M12501" t="s">
        <v>1621</v>
      </c>
      <c r="N12501">
        <v>54.76</v>
      </c>
      <c r="O12501" s="49">
        <v>44453</v>
      </c>
      <c r="P12501" s="50">
        <v>46.692</v>
      </c>
    </row>
    <row r="12502" spans="4:16" x14ac:dyDescent="0.2">
      <c r="D12502">
        <v>100007528</v>
      </c>
      <c r="E12502" s="49">
        <v>45019</v>
      </c>
      <c r="F12502" t="s">
        <v>8070</v>
      </c>
      <c r="G12502" t="s">
        <v>2174</v>
      </c>
      <c r="H12502">
        <v>10</v>
      </c>
      <c r="I12502">
        <v>112.78</v>
      </c>
      <c r="J12502" s="50">
        <v>1127.8</v>
      </c>
      <c r="K12502" t="s">
        <v>1618</v>
      </c>
      <c r="L12502" t="s">
        <v>4115</v>
      </c>
      <c r="M12502" t="s">
        <v>1621</v>
      </c>
      <c r="N12502">
        <v>59.52</v>
      </c>
      <c r="O12502" s="49">
        <v>45020</v>
      </c>
      <c r="P12502" s="50">
        <v>507.51</v>
      </c>
    </row>
    <row r="12503" spans="4:16" x14ac:dyDescent="0.2">
      <c r="D12503">
        <v>100007528</v>
      </c>
      <c r="E12503" s="49">
        <v>44934</v>
      </c>
      <c r="F12503" t="s">
        <v>8070</v>
      </c>
      <c r="G12503" t="s">
        <v>1794</v>
      </c>
      <c r="H12503">
        <v>7</v>
      </c>
      <c r="I12503">
        <v>60.88</v>
      </c>
      <c r="J12503" s="50">
        <v>426.16</v>
      </c>
      <c r="K12503" t="s">
        <v>1618</v>
      </c>
      <c r="L12503" t="s">
        <v>4115</v>
      </c>
      <c r="M12503" t="s">
        <v>1619</v>
      </c>
      <c r="N12503">
        <v>32.130000000000003</v>
      </c>
      <c r="O12503" s="49">
        <v>44937</v>
      </c>
      <c r="P12503" s="50">
        <v>191.77200000000002</v>
      </c>
    </row>
    <row r="12504" spans="4:16" x14ac:dyDescent="0.2">
      <c r="D12504">
        <v>100007529</v>
      </c>
      <c r="E12504" s="49">
        <v>44861</v>
      </c>
      <c r="F12504" t="s">
        <v>8071</v>
      </c>
      <c r="G12504" t="s">
        <v>1634</v>
      </c>
      <c r="H12504">
        <v>7</v>
      </c>
      <c r="I12504">
        <v>11.43</v>
      </c>
      <c r="J12504" s="50">
        <v>80.009999999999991</v>
      </c>
      <c r="K12504" t="s">
        <v>1618</v>
      </c>
      <c r="L12504" t="s">
        <v>5196</v>
      </c>
      <c r="M12504" t="s">
        <v>1624</v>
      </c>
      <c r="N12504">
        <v>6.03</v>
      </c>
      <c r="O12504" s="49">
        <v>44862</v>
      </c>
      <c r="P12504" s="50">
        <v>36.0045</v>
      </c>
    </row>
    <row r="12505" spans="4:16" x14ac:dyDescent="0.2">
      <c r="D12505">
        <v>100007529</v>
      </c>
      <c r="E12505" s="49">
        <v>44275</v>
      </c>
      <c r="F12505" t="s">
        <v>8071</v>
      </c>
      <c r="G12505" t="s">
        <v>2553</v>
      </c>
      <c r="H12505">
        <v>3</v>
      </c>
      <c r="I12505">
        <v>34.9</v>
      </c>
      <c r="J12505" s="50">
        <v>104.7</v>
      </c>
      <c r="K12505" t="s">
        <v>1618</v>
      </c>
      <c r="L12505" t="s">
        <v>5196</v>
      </c>
      <c r="M12505" t="s">
        <v>1624</v>
      </c>
      <c r="N12505">
        <v>18.420000000000002</v>
      </c>
      <c r="O12505" s="49">
        <v>44280</v>
      </c>
      <c r="P12505" s="50">
        <v>47.115000000000002</v>
      </c>
    </row>
    <row r="12506" spans="4:16" x14ac:dyDescent="0.2">
      <c r="D12506">
        <v>100007529</v>
      </c>
      <c r="E12506" s="49">
        <v>45646</v>
      </c>
      <c r="F12506" t="s">
        <v>8071</v>
      </c>
      <c r="G12506" t="s">
        <v>2028</v>
      </c>
      <c r="H12506">
        <v>2</v>
      </c>
      <c r="I12506">
        <v>31.86</v>
      </c>
      <c r="J12506" s="50">
        <v>63.72</v>
      </c>
      <c r="K12506" t="s">
        <v>1618</v>
      </c>
      <c r="L12506" t="s">
        <v>5196</v>
      </c>
      <c r="M12506" t="s">
        <v>1627</v>
      </c>
      <c r="N12506">
        <v>16.809999999999999</v>
      </c>
      <c r="O12506" s="49">
        <v>45649</v>
      </c>
      <c r="P12506" s="50">
        <v>28.673999999999999</v>
      </c>
    </row>
    <row r="12507" spans="4:16" x14ac:dyDescent="0.2">
      <c r="D12507">
        <v>100007530</v>
      </c>
      <c r="E12507" s="49">
        <v>45529</v>
      </c>
      <c r="F12507" t="s">
        <v>8072</v>
      </c>
      <c r="G12507" t="s">
        <v>1958</v>
      </c>
      <c r="H12507">
        <v>7</v>
      </c>
      <c r="I12507">
        <v>78.709999999999994</v>
      </c>
      <c r="J12507" s="50">
        <v>550.96999999999991</v>
      </c>
      <c r="K12507" t="s">
        <v>1632</v>
      </c>
      <c r="M12507" t="s">
        <v>1621</v>
      </c>
      <c r="N12507">
        <v>41.54</v>
      </c>
      <c r="O12507" s="49">
        <v>45530</v>
      </c>
      <c r="P12507" s="50">
        <v>247.93649999999997</v>
      </c>
    </row>
    <row r="12508" spans="4:16" x14ac:dyDescent="0.2">
      <c r="D12508">
        <v>100007530</v>
      </c>
      <c r="E12508" s="49">
        <v>44925</v>
      </c>
      <c r="F12508" t="s">
        <v>8072</v>
      </c>
      <c r="G12508" t="s">
        <v>1647</v>
      </c>
      <c r="H12508">
        <v>10</v>
      </c>
      <c r="I12508">
        <v>33.74</v>
      </c>
      <c r="J12508" s="50">
        <v>337.4</v>
      </c>
      <c r="K12508" t="s">
        <v>1632</v>
      </c>
      <c r="M12508" t="s">
        <v>1629</v>
      </c>
      <c r="N12508">
        <v>17.809999999999999</v>
      </c>
      <c r="O12508" s="49">
        <v>44930</v>
      </c>
      <c r="P12508" s="50">
        <v>151.82999999999998</v>
      </c>
    </row>
    <row r="12509" spans="4:16" x14ac:dyDescent="0.2">
      <c r="D12509">
        <v>100007531</v>
      </c>
      <c r="E12509" s="49">
        <v>45175</v>
      </c>
      <c r="F12509" t="s">
        <v>8073</v>
      </c>
      <c r="G12509" t="s">
        <v>1631</v>
      </c>
      <c r="H12509">
        <v>6</v>
      </c>
      <c r="I12509">
        <v>93.95</v>
      </c>
      <c r="J12509" s="50">
        <v>563.70000000000005</v>
      </c>
      <c r="K12509" t="s">
        <v>1632</v>
      </c>
      <c r="M12509" t="s">
        <v>1619</v>
      </c>
      <c r="N12509">
        <v>49.58</v>
      </c>
      <c r="O12509" s="49">
        <v>45177</v>
      </c>
      <c r="P12509" s="50">
        <v>253.66500000000002</v>
      </c>
    </row>
    <row r="12510" spans="4:16" x14ac:dyDescent="0.2">
      <c r="D12510">
        <v>100007531</v>
      </c>
      <c r="E12510" s="49">
        <v>44619</v>
      </c>
      <c r="F12510" t="s">
        <v>8073</v>
      </c>
      <c r="G12510" t="s">
        <v>1768</v>
      </c>
      <c r="H12510">
        <v>8</v>
      </c>
      <c r="I12510">
        <v>93.49</v>
      </c>
      <c r="J12510" s="50">
        <v>747.92</v>
      </c>
      <c r="K12510" t="s">
        <v>1632</v>
      </c>
      <c r="M12510" t="s">
        <v>1624</v>
      </c>
      <c r="N12510">
        <v>49.34</v>
      </c>
      <c r="O12510" s="49">
        <v>44624</v>
      </c>
      <c r="P12510" s="50">
        <v>336.56399999999996</v>
      </c>
    </row>
    <row r="12511" spans="4:16" x14ac:dyDescent="0.2">
      <c r="D12511">
        <v>100007531</v>
      </c>
      <c r="E12511" s="49">
        <v>44489</v>
      </c>
      <c r="F12511" t="s">
        <v>8073</v>
      </c>
      <c r="G12511" t="s">
        <v>1620</v>
      </c>
      <c r="H12511">
        <v>2</v>
      </c>
      <c r="I12511">
        <v>18.84</v>
      </c>
      <c r="J12511" s="50">
        <v>37.68</v>
      </c>
      <c r="K12511" t="s">
        <v>1632</v>
      </c>
      <c r="M12511" t="s">
        <v>1629</v>
      </c>
      <c r="N12511">
        <v>9.94</v>
      </c>
      <c r="O12511" s="49">
        <v>44490</v>
      </c>
      <c r="P12511" s="50">
        <v>16.956</v>
      </c>
    </row>
    <row r="12512" spans="4:16" x14ac:dyDescent="0.2">
      <c r="D12512">
        <v>100007531</v>
      </c>
      <c r="E12512" s="49">
        <v>45092</v>
      </c>
      <c r="F12512" t="s">
        <v>8073</v>
      </c>
      <c r="G12512" t="s">
        <v>2514</v>
      </c>
      <c r="H12512">
        <v>5</v>
      </c>
      <c r="I12512">
        <v>82.9</v>
      </c>
      <c r="J12512" s="50">
        <v>414.5</v>
      </c>
      <c r="K12512" t="s">
        <v>1632</v>
      </c>
      <c r="M12512" t="s">
        <v>1627</v>
      </c>
      <c r="N12512">
        <v>43.75</v>
      </c>
      <c r="O12512" s="49">
        <v>45096</v>
      </c>
      <c r="P12512" s="50">
        <v>186.52500000000001</v>
      </c>
    </row>
    <row r="12513" spans="4:16" x14ac:dyDescent="0.2">
      <c r="D12513">
        <v>100007532</v>
      </c>
      <c r="E12513" s="49">
        <v>44353</v>
      </c>
      <c r="F12513" t="s">
        <v>8074</v>
      </c>
      <c r="G12513" t="s">
        <v>1665</v>
      </c>
      <c r="H12513">
        <v>9</v>
      </c>
      <c r="I12513">
        <v>44.27</v>
      </c>
      <c r="J12513" s="50">
        <v>398.43</v>
      </c>
      <c r="K12513" t="s">
        <v>1618</v>
      </c>
      <c r="L12513" t="s">
        <v>8075</v>
      </c>
      <c r="M12513" t="s">
        <v>1627</v>
      </c>
      <c r="N12513">
        <v>23.36</v>
      </c>
      <c r="O12513" s="49">
        <v>44358</v>
      </c>
      <c r="P12513" s="50">
        <v>179.29349999999999</v>
      </c>
    </row>
    <row r="12514" spans="4:16" x14ac:dyDescent="0.2">
      <c r="D12514">
        <v>100007532</v>
      </c>
      <c r="E12514" s="49">
        <v>44853</v>
      </c>
      <c r="F12514" t="s">
        <v>8074</v>
      </c>
      <c r="G12514" t="s">
        <v>1724</v>
      </c>
      <c r="H12514">
        <v>5</v>
      </c>
      <c r="I12514">
        <v>46.22</v>
      </c>
      <c r="J12514" s="50">
        <v>231.1</v>
      </c>
      <c r="K12514" t="s">
        <v>1618</v>
      </c>
      <c r="L12514" t="s">
        <v>8075</v>
      </c>
      <c r="M12514" t="s">
        <v>1627</v>
      </c>
      <c r="N12514">
        <v>24.39</v>
      </c>
      <c r="O12514" s="49">
        <v>44856</v>
      </c>
      <c r="P12514" s="50">
        <v>103.995</v>
      </c>
    </row>
    <row r="12515" spans="4:16" x14ac:dyDescent="0.2">
      <c r="D12515">
        <v>100007533</v>
      </c>
      <c r="E12515" s="49">
        <v>44664</v>
      </c>
      <c r="F12515" t="s">
        <v>8076</v>
      </c>
      <c r="G12515" t="s">
        <v>1855</v>
      </c>
      <c r="H12515">
        <v>8</v>
      </c>
      <c r="I12515">
        <v>54.79</v>
      </c>
      <c r="J12515" s="50">
        <v>438.32</v>
      </c>
      <c r="K12515" t="s">
        <v>1618</v>
      </c>
      <c r="M12515" t="s">
        <v>1619</v>
      </c>
      <c r="N12515">
        <v>28.92</v>
      </c>
      <c r="O12515" s="49">
        <v>44666</v>
      </c>
      <c r="P12515" s="50">
        <v>197.244</v>
      </c>
    </row>
    <row r="12516" spans="4:16" x14ac:dyDescent="0.2">
      <c r="D12516">
        <v>100007534</v>
      </c>
      <c r="E12516" s="49">
        <v>44508</v>
      </c>
      <c r="F12516" t="s">
        <v>8077</v>
      </c>
      <c r="G12516" t="s">
        <v>1760</v>
      </c>
      <c r="H12516">
        <v>2</v>
      </c>
      <c r="I12516">
        <v>85.45</v>
      </c>
      <c r="J12516" s="50">
        <v>170.9</v>
      </c>
      <c r="K12516" t="s">
        <v>1618</v>
      </c>
      <c r="M12516" t="s">
        <v>1627</v>
      </c>
      <c r="N12516">
        <v>45.1</v>
      </c>
      <c r="O12516" s="49">
        <v>44510</v>
      </c>
      <c r="P12516" s="50">
        <v>76.905000000000001</v>
      </c>
    </row>
    <row r="12517" spans="4:16" x14ac:dyDescent="0.2">
      <c r="D12517">
        <v>100007535</v>
      </c>
      <c r="E12517" s="49">
        <v>45210</v>
      </c>
      <c r="F12517" t="s">
        <v>5425</v>
      </c>
      <c r="G12517" t="s">
        <v>2213</v>
      </c>
      <c r="H12517">
        <v>10</v>
      </c>
      <c r="I12517">
        <v>27.32</v>
      </c>
      <c r="J12517" s="50">
        <v>273.2</v>
      </c>
      <c r="K12517" t="s">
        <v>1618</v>
      </c>
      <c r="M12517" t="s">
        <v>1624</v>
      </c>
      <c r="N12517">
        <v>14.42</v>
      </c>
      <c r="O12517" s="49">
        <v>45214</v>
      </c>
      <c r="P12517" s="50">
        <v>122.94</v>
      </c>
    </row>
    <row r="12518" spans="4:16" x14ac:dyDescent="0.2">
      <c r="D12518">
        <v>100007535</v>
      </c>
      <c r="E12518" s="49">
        <v>45223</v>
      </c>
      <c r="F12518" t="s">
        <v>5425</v>
      </c>
      <c r="G12518" t="s">
        <v>1842</v>
      </c>
      <c r="H12518">
        <v>9</v>
      </c>
      <c r="I12518">
        <v>44.67</v>
      </c>
      <c r="J12518" s="50">
        <v>402.03</v>
      </c>
      <c r="K12518" t="s">
        <v>1618</v>
      </c>
      <c r="M12518" t="s">
        <v>1629</v>
      </c>
      <c r="N12518">
        <v>23.58</v>
      </c>
      <c r="O12518" s="49">
        <v>45228</v>
      </c>
      <c r="P12518" s="50">
        <v>180.9135</v>
      </c>
    </row>
    <row r="12519" spans="4:16" x14ac:dyDescent="0.2">
      <c r="D12519">
        <v>100007538</v>
      </c>
      <c r="E12519" s="49">
        <v>45196</v>
      </c>
      <c r="F12519" t="s">
        <v>8078</v>
      </c>
      <c r="G12519" t="s">
        <v>3075</v>
      </c>
      <c r="H12519">
        <v>7</v>
      </c>
      <c r="I12519">
        <v>58.05</v>
      </c>
      <c r="J12519" s="50">
        <v>406.35</v>
      </c>
      <c r="K12519" t="s">
        <v>1618</v>
      </c>
      <c r="M12519" t="s">
        <v>1619</v>
      </c>
      <c r="N12519">
        <v>30.64</v>
      </c>
      <c r="O12519" s="49">
        <v>45201</v>
      </c>
      <c r="P12519" s="50">
        <v>182.85750000000002</v>
      </c>
    </row>
    <row r="12520" spans="4:16" x14ac:dyDescent="0.2">
      <c r="D12520">
        <v>100007540</v>
      </c>
      <c r="E12520" s="49">
        <v>45125</v>
      </c>
      <c r="F12520" t="s">
        <v>8079</v>
      </c>
      <c r="G12520" t="s">
        <v>2019</v>
      </c>
      <c r="H12520">
        <v>8</v>
      </c>
      <c r="I12520">
        <v>98.89</v>
      </c>
      <c r="J12520" s="50">
        <v>791.12</v>
      </c>
      <c r="K12520" t="s">
        <v>1632</v>
      </c>
      <c r="M12520" t="s">
        <v>1629</v>
      </c>
      <c r="N12520">
        <v>52.19</v>
      </c>
      <c r="O12520" s="49">
        <v>45126</v>
      </c>
      <c r="P12520" s="50">
        <v>356.00400000000002</v>
      </c>
    </row>
    <row r="12521" spans="4:16" x14ac:dyDescent="0.2">
      <c r="D12521">
        <v>100007541</v>
      </c>
      <c r="E12521" s="49">
        <v>45267</v>
      </c>
      <c r="F12521" t="s">
        <v>8080</v>
      </c>
      <c r="G12521" t="s">
        <v>2698</v>
      </c>
      <c r="H12521">
        <v>4</v>
      </c>
      <c r="I12521">
        <v>48.66</v>
      </c>
      <c r="J12521" s="50">
        <v>194.64</v>
      </c>
      <c r="K12521" t="s">
        <v>1618</v>
      </c>
      <c r="L12521" t="s">
        <v>3189</v>
      </c>
      <c r="M12521" t="s">
        <v>1624</v>
      </c>
      <c r="N12521">
        <v>25.68</v>
      </c>
      <c r="O12521" s="49">
        <v>45268</v>
      </c>
      <c r="P12521" s="50">
        <v>87.587999999999994</v>
      </c>
    </row>
    <row r="12522" spans="4:16" x14ac:dyDescent="0.2">
      <c r="D12522">
        <v>100007541</v>
      </c>
      <c r="E12522" s="49">
        <v>45544</v>
      </c>
      <c r="F12522" t="s">
        <v>8080</v>
      </c>
      <c r="G12522" t="s">
        <v>1722</v>
      </c>
      <c r="H12522">
        <v>2</v>
      </c>
      <c r="I12522">
        <v>79.84</v>
      </c>
      <c r="J12522" s="50">
        <v>159.68</v>
      </c>
      <c r="K12522" t="s">
        <v>1618</v>
      </c>
      <c r="L12522" t="s">
        <v>3189</v>
      </c>
      <c r="M12522" t="s">
        <v>1629</v>
      </c>
      <c r="N12522">
        <v>42.14</v>
      </c>
      <c r="O12522" s="49">
        <v>45549</v>
      </c>
      <c r="P12522" s="50">
        <v>71.856000000000009</v>
      </c>
    </row>
    <row r="12523" spans="4:16" x14ac:dyDescent="0.2">
      <c r="D12523">
        <v>100007542</v>
      </c>
      <c r="E12523" s="49">
        <v>44201</v>
      </c>
      <c r="F12523" t="s">
        <v>8081</v>
      </c>
      <c r="G12523" t="s">
        <v>1939</v>
      </c>
      <c r="H12523">
        <v>3</v>
      </c>
      <c r="I12523">
        <v>13.92</v>
      </c>
      <c r="J12523" s="50">
        <v>41.76</v>
      </c>
      <c r="K12523" t="s">
        <v>1632</v>
      </c>
      <c r="L12523" t="s">
        <v>1879</v>
      </c>
      <c r="M12523" t="s">
        <v>1621</v>
      </c>
      <c r="N12523">
        <v>7.35</v>
      </c>
      <c r="O12523" s="49">
        <v>44203</v>
      </c>
      <c r="P12523" s="50">
        <v>18.791999999999998</v>
      </c>
    </row>
    <row r="12524" spans="4:16" x14ac:dyDescent="0.2">
      <c r="D12524">
        <v>100007542</v>
      </c>
      <c r="E12524" s="49">
        <v>45074</v>
      </c>
      <c r="F12524" t="s">
        <v>8081</v>
      </c>
      <c r="G12524" t="s">
        <v>2613</v>
      </c>
      <c r="H12524">
        <v>2</v>
      </c>
      <c r="I12524">
        <v>47.16</v>
      </c>
      <c r="J12524" s="50">
        <v>94.32</v>
      </c>
      <c r="K12524" t="s">
        <v>1632</v>
      </c>
      <c r="L12524" t="s">
        <v>1879</v>
      </c>
      <c r="M12524" t="s">
        <v>1619</v>
      </c>
      <c r="N12524">
        <v>24.89</v>
      </c>
      <c r="O12524" s="49">
        <v>45077</v>
      </c>
      <c r="P12524" s="50">
        <v>42.443999999999996</v>
      </c>
    </row>
    <row r="12525" spans="4:16" x14ac:dyDescent="0.2">
      <c r="D12525">
        <v>100007542</v>
      </c>
      <c r="E12525" s="49">
        <v>44440</v>
      </c>
      <c r="F12525" t="s">
        <v>8081</v>
      </c>
      <c r="G12525" t="s">
        <v>1701</v>
      </c>
      <c r="H12525">
        <v>9</v>
      </c>
      <c r="I12525">
        <v>28.71</v>
      </c>
      <c r="J12525" s="50">
        <v>258.39</v>
      </c>
      <c r="K12525" t="s">
        <v>1632</v>
      </c>
      <c r="L12525" t="s">
        <v>1879</v>
      </c>
      <c r="M12525" t="s">
        <v>1621</v>
      </c>
      <c r="N12525">
        <v>15.15</v>
      </c>
      <c r="O12525" s="49">
        <v>44441</v>
      </c>
      <c r="P12525" s="50">
        <v>116.27549999999999</v>
      </c>
    </row>
    <row r="12526" spans="4:16" x14ac:dyDescent="0.2">
      <c r="D12526">
        <v>100007543</v>
      </c>
      <c r="E12526" s="49">
        <v>44978</v>
      </c>
      <c r="F12526" t="s">
        <v>8082</v>
      </c>
      <c r="G12526" t="s">
        <v>1943</v>
      </c>
      <c r="H12526">
        <v>1</v>
      </c>
      <c r="I12526">
        <v>106.76</v>
      </c>
      <c r="J12526" s="50">
        <v>106.76</v>
      </c>
      <c r="K12526" t="s">
        <v>1632</v>
      </c>
      <c r="M12526" t="s">
        <v>1624</v>
      </c>
      <c r="N12526">
        <v>56.35</v>
      </c>
      <c r="O12526" s="49">
        <v>44982</v>
      </c>
      <c r="P12526" s="50">
        <v>48.042000000000002</v>
      </c>
    </row>
    <row r="12527" spans="4:16" x14ac:dyDescent="0.2">
      <c r="D12527">
        <v>100007543</v>
      </c>
      <c r="E12527" s="49">
        <v>45568</v>
      </c>
      <c r="F12527" t="s">
        <v>8082</v>
      </c>
      <c r="G12527" t="s">
        <v>1817</v>
      </c>
      <c r="H12527">
        <v>10</v>
      </c>
      <c r="I12527">
        <v>16.59</v>
      </c>
      <c r="J12527" s="50">
        <v>165.9</v>
      </c>
      <c r="K12527" t="s">
        <v>1632</v>
      </c>
      <c r="M12527" t="s">
        <v>1629</v>
      </c>
      <c r="N12527">
        <v>8.76</v>
      </c>
      <c r="O12527" s="49">
        <v>45571</v>
      </c>
      <c r="P12527" s="50">
        <v>74.655000000000001</v>
      </c>
    </row>
    <row r="12528" spans="4:16" x14ac:dyDescent="0.2">
      <c r="D12528">
        <v>100007543</v>
      </c>
      <c r="E12528" s="49">
        <v>44421</v>
      </c>
      <c r="F12528" t="s">
        <v>8082</v>
      </c>
      <c r="G12528" t="s">
        <v>1710</v>
      </c>
      <c r="H12528">
        <v>7</v>
      </c>
      <c r="I12528">
        <v>101.72</v>
      </c>
      <c r="J12528" s="50">
        <v>712.04</v>
      </c>
      <c r="K12528" t="s">
        <v>1632</v>
      </c>
      <c r="M12528" t="s">
        <v>1629</v>
      </c>
      <c r="N12528">
        <v>53.69</v>
      </c>
      <c r="O12528" s="49">
        <v>44423</v>
      </c>
      <c r="P12528" s="50">
        <v>320.41800000000001</v>
      </c>
    </row>
    <row r="12529" spans="4:16" x14ac:dyDescent="0.2">
      <c r="D12529">
        <v>100007543</v>
      </c>
      <c r="E12529" s="49">
        <v>44419</v>
      </c>
      <c r="F12529" t="s">
        <v>8082</v>
      </c>
      <c r="G12529" t="s">
        <v>2240</v>
      </c>
      <c r="H12529">
        <v>2</v>
      </c>
      <c r="I12529">
        <v>19.84</v>
      </c>
      <c r="J12529" s="50">
        <v>39.68</v>
      </c>
      <c r="K12529" t="s">
        <v>1632</v>
      </c>
      <c r="M12529" t="s">
        <v>1624</v>
      </c>
      <c r="N12529">
        <v>10.47</v>
      </c>
      <c r="O12529" s="49">
        <v>44422</v>
      </c>
      <c r="P12529" s="50">
        <v>17.856000000000002</v>
      </c>
    </row>
    <row r="12530" spans="4:16" x14ac:dyDescent="0.2">
      <c r="D12530">
        <v>100007544</v>
      </c>
      <c r="E12530" s="49">
        <v>45473</v>
      </c>
      <c r="F12530" t="s">
        <v>8083</v>
      </c>
      <c r="G12530" t="s">
        <v>2278</v>
      </c>
      <c r="H12530">
        <v>5</v>
      </c>
      <c r="I12530">
        <v>61.06</v>
      </c>
      <c r="J12530" s="50">
        <v>305.3</v>
      </c>
      <c r="K12530" t="s">
        <v>1618</v>
      </c>
      <c r="L12530" t="s">
        <v>6841</v>
      </c>
      <c r="M12530" t="s">
        <v>1621</v>
      </c>
      <c r="N12530">
        <v>32.229999999999997</v>
      </c>
      <c r="O12530" s="49">
        <v>45474</v>
      </c>
      <c r="P12530" s="50">
        <v>137.38500000000002</v>
      </c>
    </row>
    <row r="12531" spans="4:16" x14ac:dyDescent="0.2">
      <c r="D12531">
        <v>100007544</v>
      </c>
      <c r="E12531" s="49">
        <v>44410</v>
      </c>
      <c r="F12531" t="s">
        <v>8083</v>
      </c>
      <c r="G12531" t="s">
        <v>2150</v>
      </c>
      <c r="H12531">
        <v>6</v>
      </c>
      <c r="I12531">
        <v>94</v>
      </c>
      <c r="J12531" s="50">
        <v>564</v>
      </c>
      <c r="K12531" t="s">
        <v>1618</v>
      </c>
      <c r="L12531" t="s">
        <v>6841</v>
      </c>
      <c r="M12531" t="s">
        <v>1624</v>
      </c>
      <c r="N12531">
        <v>49.61</v>
      </c>
      <c r="O12531" s="49">
        <v>44414</v>
      </c>
      <c r="P12531" s="50">
        <v>253.8</v>
      </c>
    </row>
    <row r="12532" spans="4:16" x14ac:dyDescent="0.2">
      <c r="D12532">
        <v>100007545</v>
      </c>
      <c r="E12532" s="49">
        <v>44677</v>
      </c>
      <c r="F12532" t="s">
        <v>5589</v>
      </c>
      <c r="G12532" t="s">
        <v>1807</v>
      </c>
      <c r="H12532">
        <v>3</v>
      </c>
      <c r="I12532">
        <v>15.14</v>
      </c>
      <c r="J12532" s="50">
        <v>45.42</v>
      </c>
      <c r="K12532" t="s">
        <v>1618</v>
      </c>
      <c r="M12532" t="s">
        <v>1619</v>
      </c>
      <c r="N12532">
        <v>7.99</v>
      </c>
      <c r="O12532" s="49">
        <v>44678</v>
      </c>
      <c r="P12532" s="50">
        <v>20.439</v>
      </c>
    </row>
    <row r="12533" spans="4:16" x14ac:dyDescent="0.2">
      <c r="D12533">
        <v>100007545</v>
      </c>
      <c r="E12533" s="49">
        <v>45046</v>
      </c>
      <c r="F12533" t="s">
        <v>5589</v>
      </c>
      <c r="G12533" t="s">
        <v>2062</v>
      </c>
      <c r="H12533">
        <v>4</v>
      </c>
      <c r="I12533">
        <v>57.16</v>
      </c>
      <c r="J12533" s="50">
        <v>228.64</v>
      </c>
      <c r="K12533" t="s">
        <v>1618</v>
      </c>
      <c r="M12533" t="s">
        <v>1624</v>
      </c>
      <c r="N12533">
        <v>30.17</v>
      </c>
      <c r="O12533" s="49">
        <v>45051</v>
      </c>
      <c r="P12533" s="50">
        <v>102.88799999999999</v>
      </c>
    </row>
    <row r="12534" spans="4:16" x14ac:dyDescent="0.2">
      <c r="D12534">
        <v>100007545</v>
      </c>
      <c r="E12534" s="49">
        <v>44286</v>
      </c>
      <c r="F12534" t="s">
        <v>5589</v>
      </c>
      <c r="G12534" t="s">
        <v>1866</v>
      </c>
      <c r="H12534">
        <v>10</v>
      </c>
      <c r="I12534">
        <v>46.07</v>
      </c>
      <c r="J12534" s="50">
        <v>460.7</v>
      </c>
      <c r="K12534" t="s">
        <v>1618</v>
      </c>
      <c r="M12534" t="s">
        <v>1629</v>
      </c>
      <c r="N12534">
        <v>24.31</v>
      </c>
      <c r="O12534" s="49">
        <v>44288</v>
      </c>
      <c r="P12534" s="50">
        <v>207.315</v>
      </c>
    </row>
    <row r="12535" spans="4:16" x14ac:dyDescent="0.2">
      <c r="D12535">
        <v>100007545</v>
      </c>
      <c r="E12535" s="49">
        <v>45595</v>
      </c>
      <c r="F12535" t="s">
        <v>5589</v>
      </c>
      <c r="G12535" t="s">
        <v>2041</v>
      </c>
      <c r="H12535">
        <v>3</v>
      </c>
      <c r="I12535">
        <v>39.729999999999997</v>
      </c>
      <c r="J12535" s="50">
        <v>119.19</v>
      </c>
      <c r="K12535" t="s">
        <v>1618</v>
      </c>
      <c r="M12535" t="s">
        <v>1619</v>
      </c>
      <c r="N12535">
        <v>20.97</v>
      </c>
      <c r="O12535" s="49">
        <v>45597</v>
      </c>
      <c r="P12535" s="50">
        <v>53.6355</v>
      </c>
    </row>
    <row r="12536" spans="4:16" x14ac:dyDescent="0.2">
      <c r="D12536">
        <v>100007548</v>
      </c>
      <c r="E12536" s="49">
        <v>45345</v>
      </c>
      <c r="F12536" t="s">
        <v>8084</v>
      </c>
      <c r="G12536" t="s">
        <v>1705</v>
      </c>
      <c r="H12536">
        <v>5</v>
      </c>
      <c r="I12536">
        <v>46.3</v>
      </c>
      <c r="J12536" s="50">
        <v>231.5</v>
      </c>
      <c r="K12536" t="s">
        <v>1632</v>
      </c>
      <c r="M12536" t="s">
        <v>1627</v>
      </c>
      <c r="N12536">
        <v>24.44</v>
      </c>
      <c r="O12536" s="49">
        <v>45347</v>
      </c>
      <c r="P12536" s="50">
        <v>104.175</v>
      </c>
    </row>
    <row r="12537" spans="4:16" x14ac:dyDescent="0.2">
      <c r="D12537">
        <v>100007549</v>
      </c>
      <c r="E12537" s="49">
        <v>44622</v>
      </c>
      <c r="F12537" t="s">
        <v>5136</v>
      </c>
      <c r="G12537" t="s">
        <v>1715</v>
      </c>
      <c r="H12537">
        <v>8</v>
      </c>
      <c r="I12537">
        <v>62.74</v>
      </c>
      <c r="J12537" s="50">
        <v>501.92</v>
      </c>
      <c r="K12537" t="s">
        <v>1618</v>
      </c>
      <c r="L12537" t="s">
        <v>4743</v>
      </c>
      <c r="M12537" t="s">
        <v>1627</v>
      </c>
      <c r="N12537">
        <v>33.11</v>
      </c>
      <c r="O12537" s="49">
        <v>44624</v>
      </c>
      <c r="P12537" s="50">
        <v>225.864</v>
      </c>
    </row>
    <row r="12538" spans="4:16" x14ac:dyDescent="0.2">
      <c r="D12538">
        <v>100007551</v>
      </c>
      <c r="E12538" s="49">
        <v>45393</v>
      </c>
      <c r="F12538" t="s">
        <v>8085</v>
      </c>
      <c r="G12538" t="s">
        <v>2331</v>
      </c>
      <c r="H12538">
        <v>8</v>
      </c>
      <c r="I12538">
        <v>54.32</v>
      </c>
      <c r="J12538" s="50">
        <v>434.56</v>
      </c>
      <c r="K12538" t="s">
        <v>1618</v>
      </c>
      <c r="L12538" t="s">
        <v>8086</v>
      </c>
      <c r="M12538" t="s">
        <v>1627</v>
      </c>
      <c r="N12538">
        <v>28.67</v>
      </c>
      <c r="O12538" s="49">
        <v>45395</v>
      </c>
      <c r="P12538" s="50">
        <v>195.55199999999999</v>
      </c>
    </row>
    <row r="12539" spans="4:16" x14ac:dyDescent="0.2">
      <c r="D12539">
        <v>100007551</v>
      </c>
      <c r="E12539" s="49">
        <v>44621</v>
      </c>
      <c r="F12539" t="s">
        <v>8085</v>
      </c>
      <c r="G12539" t="s">
        <v>1664</v>
      </c>
      <c r="H12539">
        <v>8</v>
      </c>
      <c r="I12539">
        <v>19.05</v>
      </c>
      <c r="J12539" s="50">
        <v>152.4</v>
      </c>
      <c r="K12539" t="s">
        <v>1618</v>
      </c>
      <c r="L12539" t="s">
        <v>8086</v>
      </c>
      <c r="M12539" t="s">
        <v>1621</v>
      </c>
      <c r="N12539">
        <v>10.050000000000001</v>
      </c>
      <c r="O12539" s="49">
        <v>44623</v>
      </c>
      <c r="P12539" s="50">
        <v>68.58</v>
      </c>
    </row>
    <row r="12540" spans="4:16" x14ac:dyDescent="0.2">
      <c r="D12540">
        <v>100007552</v>
      </c>
      <c r="E12540" s="49">
        <v>44604</v>
      </c>
      <c r="F12540" t="s">
        <v>8087</v>
      </c>
      <c r="G12540" t="s">
        <v>2064</v>
      </c>
      <c r="H12540">
        <v>3</v>
      </c>
      <c r="I12540">
        <v>18</v>
      </c>
      <c r="J12540" s="50">
        <v>54</v>
      </c>
      <c r="K12540" t="s">
        <v>1618</v>
      </c>
      <c r="M12540" t="s">
        <v>1621</v>
      </c>
      <c r="N12540">
        <v>9.5</v>
      </c>
      <c r="O12540" s="49">
        <v>44607</v>
      </c>
      <c r="P12540" s="50">
        <v>24.3</v>
      </c>
    </row>
    <row r="12541" spans="4:16" x14ac:dyDescent="0.2">
      <c r="D12541">
        <v>100007552</v>
      </c>
      <c r="E12541" s="49">
        <v>45328</v>
      </c>
      <c r="F12541" t="s">
        <v>8087</v>
      </c>
      <c r="G12541" t="s">
        <v>1664</v>
      </c>
      <c r="H12541">
        <v>6</v>
      </c>
      <c r="I12541">
        <v>53.3</v>
      </c>
      <c r="J12541" s="50">
        <v>319.8</v>
      </c>
      <c r="K12541" t="s">
        <v>1618</v>
      </c>
      <c r="M12541" t="s">
        <v>1629</v>
      </c>
      <c r="N12541">
        <v>28.13</v>
      </c>
      <c r="O12541" s="49">
        <v>45329</v>
      </c>
      <c r="P12541" s="50">
        <v>143.91</v>
      </c>
    </row>
    <row r="12542" spans="4:16" x14ac:dyDescent="0.2">
      <c r="D12542">
        <v>100007553</v>
      </c>
      <c r="E12542" s="49">
        <v>45607</v>
      </c>
      <c r="F12542" t="s">
        <v>2404</v>
      </c>
      <c r="G12542" t="s">
        <v>1802</v>
      </c>
      <c r="H12542">
        <v>5</v>
      </c>
      <c r="I12542">
        <v>43.85</v>
      </c>
      <c r="J12542" s="50">
        <v>219.25</v>
      </c>
      <c r="K12542" t="s">
        <v>1618</v>
      </c>
      <c r="L12542" t="s">
        <v>8088</v>
      </c>
      <c r="M12542" t="s">
        <v>1624</v>
      </c>
      <c r="N12542">
        <v>23.14</v>
      </c>
      <c r="O12542" s="49">
        <v>45612</v>
      </c>
      <c r="P12542" s="50">
        <v>98.662500000000009</v>
      </c>
    </row>
    <row r="12543" spans="4:16" x14ac:dyDescent="0.2">
      <c r="D12543">
        <v>100007555</v>
      </c>
      <c r="E12543" s="49">
        <v>45403</v>
      </c>
      <c r="F12543" t="s">
        <v>8089</v>
      </c>
      <c r="G12543" t="s">
        <v>1729</v>
      </c>
      <c r="H12543">
        <v>5</v>
      </c>
      <c r="I12543">
        <v>58.64</v>
      </c>
      <c r="J12543" s="50">
        <v>293.2</v>
      </c>
      <c r="K12543" t="s">
        <v>1618</v>
      </c>
      <c r="L12543" t="s">
        <v>5874</v>
      </c>
      <c r="M12543" t="s">
        <v>1627</v>
      </c>
      <c r="N12543">
        <v>30.95</v>
      </c>
      <c r="O12543" s="49">
        <v>45408</v>
      </c>
      <c r="P12543" s="50">
        <v>131.94</v>
      </c>
    </row>
    <row r="12544" spans="4:16" x14ac:dyDescent="0.2">
      <c r="D12544">
        <v>100007557</v>
      </c>
      <c r="E12544" s="49">
        <v>45124</v>
      </c>
      <c r="F12544" t="s">
        <v>8090</v>
      </c>
      <c r="G12544" t="s">
        <v>1634</v>
      </c>
      <c r="H12544">
        <v>5</v>
      </c>
      <c r="I12544">
        <v>42.86</v>
      </c>
      <c r="J12544" s="50">
        <v>214.3</v>
      </c>
      <c r="K12544" t="s">
        <v>1618</v>
      </c>
      <c r="M12544" t="s">
        <v>1627</v>
      </c>
      <c r="N12544">
        <v>22.62</v>
      </c>
      <c r="O12544" s="49">
        <v>45125</v>
      </c>
      <c r="P12544" s="50">
        <v>96.435000000000002</v>
      </c>
    </row>
    <row r="12545" spans="4:16" x14ac:dyDescent="0.2">
      <c r="D12545">
        <v>100007558</v>
      </c>
      <c r="E12545" s="49">
        <v>45442</v>
      </c>
      <c r="F12545" t="s">
        <v>6556</v>
      </c>
      <c r="G12545" t="s">
        <v>1855</v>
      </c>
      <c r="H12545">
        <v>8</v>
      </c>
      <c r="I12545">
        <v>41.96</v>
      </c>
      <c r="J12545" s="50">
        <v>335.68</v>
      </c>
      <c r="K12545" t="s">
        <v>1632</v>
      </c>
      <c r="M12545" t="s">
        <v>1624</v>
      </c>
      <c r="N12545">
        <v>22.15</v>
      </c>
      <c r="O12545" s="49">
        <v>45447</v>
      </c>
      <c r="P12545" s="50">
        <v>151.05600000000001</v>
      </c>
    </row>
    <row r="12546" spans="4:16" x14ac:dyDescent="0.2">
      <c r="D12546">
        <v>100007558</v>
      </c>
      <c r="E12546" s="49">
        <v>45419</v>
      </c>
      <c r="F12546" t="s">
        <v>6556</v>
      </c>
      <c r="G12546" t="s">
        <v>2042</v>
      </c>
      <c r="H12546">
        <v>6</v>
      </c>
      <c r="I12546">
        <v>119.45</v>
      </c>
      <c r="J12546" s="50">
        <v>716.7</v>
      </c>
      <c r="K12546" t="s">
        <v>1632</v>
      </c>
      <c r="M12546" t="s">
        <v>1621</v>
      </c>
      <c r="N12546">
        <v>63.04</v>
      </c>
      <c r="O12546" s="49">
        <v>45421</v>
      </c>
      <c r="P12546" s="50">
        <v>322.51500000000004</v>
      </c>
    </row>
    <row r="12547" spans="4:16" x14ac:dyDescent="0.2">
      <c r="D12547">
        <v>100007559</v>
      </c>
      <c r="E12547" s="49">
        <v>45547</v>
      </c>
      <c r="F12547" t="s">
        <v>8091</v>
      </c>
      <c r="G12547" t="s">
        <v>2658</v>
      </c>
      <c r="H12547">
        <v>10</v>
      </c>
      <c r="I12547">
        <v>102.08</v>
      </c>
      <c r="J12547" s="50">
        <v>1020.8</v>
      </c>
      <c r="K12547" t="s">
        <v>1632</v>
      </c>
      <c r="M12547" t="s">
        <v>1624</v>
      </c>
      <c r="N12547">
        <v>53.88</v>
      </c>
      <c r="O12547" s="49">
        <v>45551</v>
      </c>
      <c r="P12547" s="50">
        <v>459.36</v>
      </c>
    </row>
    <row r="12548" spans="4:16" x14ac:dyDescent="0.2">
      <c r="D12548">
        <v>100007559</v>
      </c>
      <c r="E12548" s="49">
        <v>45167</v>
      </c>
      <c r="F12548" t="s">
        <v>8091</v>
      </c>
      <c r="G12548" t="s">
        <v>1777</v>
      </c>
      <c r="H12548">
        <v>2</v>
      </c>
      <c r="I12548">
        <v>44.92</v>
      </c>
      <c r="J12548" s="50">
        <v>89.84</v>
      </c>
      <c r="K12548" t="s">
        <v>1632</v>
      </c>
      <c r="M12548" t="s">
        <v>1619</v>
      </c>
      <c r="N12548">
        <v>23.71</v>
      </c>
      <c r="O12548" s="49">
        <v>45169</v>
      </c>
      <c r="P12548" s="50">
        <v>40.428000000000004</v>
      </c>
    </row>
    <row r="12549" spans="4:16" x14ac:dyDescent="0.2">
      <c r="D12549">
        <v>100007559</v>
      </c>
      <c r="E12549" s="49">
        <v>45007</v>
      </c>
      <c r="F12549" t="s">
        <v>8091</v>
      </c>
      <c r="G12549" t="s">
        <v>1628</v>
      </c>
      <c r="H12549">
        <v>10</v>
      </c>
      <c r="I12549">
        <v>36.26</v>
      </c>
      <c r="J12549" s="50">
        <v>362.6</v>
      </c>
      <c r="K12549" t="s">
        <v>1632</v>
      </c>
      <c r="M12549" t="s">
        <v>1619</v>
      </c>
      <c r="N12549">
        <v>19.14</v>
      </c>
      <c r="O12549" s="49">
        <v>45009</v>
      </c>
      <c r="P12549" s="50">
        <v>163.17000000000002</v>
      </c>
    </row>
    <row r="12550" spans="4:16" x14ac:dyDescent="0.2">
      <c r="D12550">
        <v>100007560</v>
      </c>
      <c r="E12550" s="49">
        <v>44745</v>
      </c>
      <c r="F12550" t="s">
        <v>8092</v>
      </c>
      <c r="G12550" t="s">
        <v>1978</v>
      </c>
      <c r="H12550">
        <v>1</v>
      </c>
      <c r="I12550">
        <v>86.39</v>
      </c>
      <c r="J12550" s="50">
        <v>86.39</v>
      </c>
      <c r="K12550" t="s">
        <v>1632</v>
      </c>
      <c r="M12550" t="s">
        <v>1627</v>
      </c>
      <c r="N12550">
        <v>45.59</v>
      </c>
      <c r="O12550" s="49">
        <v>44749</v>
      </c>
      <c r="P12550" s="50">
        <v>38.875500000000002</v>
      </c>
    </row>
    <row r="12551" spans="4:16" x14ac:dyDescent="0.2">
      <c r="D12551">
        <v>100007561</v>
      </c>
      <c r="E12551" s="49">
        <v>45628</v>
      </c>
      <c r="F12551" t="s">
        <v>8093</v>
      </c>
      <c r="G12551" t="s">
        <v>1631</v>
      </c>
      <c r="H12551">
        <v>1</v>
      </c>
      <c r="I12551">
        <v>111.72</v>
      </c>
      <c r="J12551" s="50">
        <v>111.72</v>
      </c>
      <c r="K12551" t="s">
        <v>1632</v>
      </c>
      <c r="M12551" t="s">
        <v>1627</v>
      </c>
      <c r="N12551">
        <v>58.96</v>
      </c>
      <c r="O12551" s="49">
        <v>45630</v>
      </c>
      <c r="P12551" s="50">
        <v>50.274000000000001</v>
      </c>
    </row>
    <row r="12552" spans="4:16" x14ac:dyDescent="0.2">
      <c r="D12552">
        <v>100007563</v>
      </c>
      <c r="E12552" s="49">
        <v>44984</v>
      </c>
      <c r="F12552" t="s">
        <v>8094</v>
      </c>
      <c r="G12552" t="s">
        <v>1913</v>
      </c>
      <c r="H12552">
        <v>4</v>
      </c>
      <c r="I12552">
        <v>115.36</v>
      </c>
      <c r="J12552" s="50">
        <v>461.44</v>
      </c>
      <c r="K12552" t="s">
        <v>1618</v>
      </c>
      <c r="M12552" t="s">
        <v>1629</v>
      </c>
      <c r="N12552">
        <v>60.88</v>
      </c>
      <c r="O12552" s="49">
        <v>44988</v>
      </c>
      <c r="P12552" s="50">
        <v>207.648</v>
      </c>
    </row>
    <row r="12553" spans="4:16" x14ac:dyDescent="0.2">
      <c r="D12553">
        <v>100007563</v>
      </c>
      <c r="E12553" s="49">
        <v>44820</v>
      </c>
      <c r="F12553" t="s">
        <v>8094</v>
      </c>
      <c r="G12553" t="s">
        <v>2302</v>
      </c>
      <c r="H12553">
        <v>8</v>
      </c>
      <c r="I12553">
        <v>12.04</v>
      </c>
      <c r="J12553" s="50">
        <v>96.32</v>
      </c>
      <c r="K12553" t="s">
        <v>1618</v>
      </c>
      <c r="M12553" t="s">
        <v>1621</v>
      </c>
      <c r="N12553">
        <v>6.35</v>
      </c>
      <c r="O12553" s="49">
        <v>44823</v>
      </c>
      <c r="P12553" s="50">
        <v>43.344000000000001</v>
      </c>
    </row>
    <row r="12554" spans="4:16" x14ac:dyDescent="0.2">
      <c r="D12554">
        <v>100007564</v>
      </c>
      <c r="E12554" s="49">
        <v>44646</v>
      </c>
      <c r="F12554" t="s">
        <v>8095</v>
      </c>
      <c r="G12554" t="s">
        <v>1866</v>
      </c>
      <c r="H12554">
        <v>3</v>
      </c>
      <c r="I12554">
        <v>67.900000000000006</v>
      </c>
      <c r="J12554" s="50">
        <v>203.7</v>
      </c>
      <c r="K12554" t="s">
        <v>1618</v>
      </c>
      <c r="L12554" t="s">
        <v>6855</v>
      </c>
      <c r="M12554" t="s">
        <v>1627</v>
      </c>
      <c r="N12554">
        <v>35.840000000000003</v>
      </c>
      <c r="O12554" s="49">
        <v>44650</v>
      </c>
      <c r="P12554" s="50">
        <v>91.664999999999992</v>
      </c>
    </row>
    <row r="12555" spans="4:16" x14ac:dyDescent="0.2">
      <c r="D12555">
        <v>100007564</v>
      </c>
      <c r="E12555" s="49">
        <v>45622</v>
      </c>
      <c r="F12555" t="s">
        <v>8095</v>
      </c>
      <c r="G12555" t="s">
        <v>1838</v>
      </c>
      <c r="H12555">
        <v>9</v>
      </c>
      <c r="I12555">
        <v>28</v>
      </c>
      <c r="J12555" s="50">
        <v>252</v>
      </c>
      <c r="K12555" t="s">
        <v>1618</v>
      </c>
      <c r="L12555" t="s">
        <v>6855</v>
      </c>
      <c r="M12555" t="s">
        <v>1627</v>
      </c>
      <c r="N12555">
        <v>14.78</v>
      </c>
      <c r="O12555" s="49">
        <v>45625</v>
      </c>
      <c r="P12555" s="50">
        <v>113.4</v>
      </c>
    </row>
    <row r="12556" spans="4:16" x14ac:dyDescent="0.2">
      <c r="D12556">
        <v>100007564</v>
      </c>
      <c r="E12556" s="49">
        <v>45624</v>
      </c>
      <c r="F12556" t="s">
        <v>8095</v>
      </c>
      <c r="G12556" t="s">
        <v>2063</v>
      </c>
      <c r="H12556">
        <v>3</v>
      </c>
      <c r="I12556">
        <v>34.72</v>
      </c>
      <c r="J12556" s="50">
        <v>104.16</v>
      </c>
      <c r="K12556" t="s">
        <v>1618</v>
      </c>
      <c r="L12556" t="s">
        <v>6855</v>
      </c>
      <c r="M12556" t="s">
        <v>1629</v>
      </c>
      <c r="N12556">
        <v>18.32</v>
      </c>
      <c r="O12556" s="49">
        <v>45626</v>
      </c>
      <c r="P12556" s="50">
        <v>46.872</v>
      </c>
    </row>
    <row r="12557" spans="4:16" x14ac:dyDescent="0.2">
      <c r="D12557">
        <v>100007565</v>
      </c>
      <c r="E12557" s="49">
        <v>44843</v>
      </c>
      <c r="F12557" t="s">
        <v>8096</v>
      </c>
      <c r="G12557" t="s">
        <v>1707</v>
      </c>
      <c r="H12557">
        <v>7</v>
      </c>
      <c r="I12557">
        <v>55.1</v>
      </c>
      <c r="J12557" s="50">
        <v>385.7</v>
      </c>
      <c r="K12557" t="s">
        <v>1632</v>
      </c>
      <c r="M12557" t="s">
        <v>1619</v>
      </c>
      <c r="N12557">
        <v>29.08</v>
      </c>
      <c r="O12557" s="49">
        <v>44848</v>
      </c>
      <c r="P12557" s="50">
        <v>173.565</v>
      </c>
    </row>
    <row r="12558" spans="4:16" x14ac:dyDescent="0.2">
      <c r="D12558">
        <v>100007565</v>
      </c>
      <c r="E12558" s="49">
        <v>44958</v>
      </c>
      <c r="F12558" t="s">
        <v>8096</v>
      </c>
      <c r="G12558" t="s">
        <v>1859</v>
      </c>
      <c r="H12558">
        <v>10</v>
      </c>
      <c r="I12558">
        <v>53.29</v>
      </c>
      <c r="J12558" s="50">
        <v>532.9</v>
      </c>
      <c r="K12558" t="s">
        <v>1632</v>
      </c>
      <c r="M12558" t="s">
        <v>1621</v>
      </c>
      <c r="N12558">
        <v>28.13</v>
      </c>
      <c r="O12558" s="49">
        <v>44961</v>
      </c>
      <c r="P12558" s="50">
        <v>239.80500000000001</v>
      </c>
    </row>
    <row r="12559" spans="4:16" x14ac:dyDescent="0.2">
      <c r="D12559">
        <v>100007566</v>
      </c>
      <c r="E12559" s="49">
        <v>44599</v>
      </c>
      <c r="F12559" t="s">
        <v>8097</v>
      </c>
      <c r="G12559" t="s">
        <v>2305</v>
      </c>
      <c r="H12559">
        <v>5</v>
      </c>
      <c r="I12559">
        <v>43.63</v>
      </c>
      <c r="J12559" s="50">
        <v>218.15</v>
      </c>
      <c r="K12559" t="s">
        <v>1618</v>
      </c>
      <c r="M12559" t="s">
        <v>1624</v>
      </c>
      <c r="N12559">
        <v>23.03</v>
      </c>
      <c r="O12559" s="49">
        <v>44600</v>
      </c>
      <c r="P12559" s="50">
        <v>98.167500000000004</v>
      </c>
    </row>
    <row r="12560" spans="4:16" x14ac:dyDescent="0.2">
      <c r="D12560">
        <v>100007566</v>
      </c>
      <c r="E12560" s="49">
        <v>44707</v>
      </c>
      <c r="F12560" t="s">
        <v>8097</v>
      </c>
      <c r="G12560" t="s">
        <v>1701</v>
      </c>
      <c r="H12560">
        <v>1</v>
      </c>
      <c r="I12560">
        <v>104.41</v>
      </c>
      <c r="J12560" s="50">
        <v>104.41</v>
      </c>
      <c r="K12560" t="s">
        <v>1618</v>
      </c>
      <c r="M12560" t="s">
        <v>1621</v>
      </c>
      <c r="N12560">
        <v>55.1</v>
      </c>
      <c r="O12560" s="49">
        <v>44708</v>
      </c>
      <c r="P12560" s="50">
        <v>46.984499999999997</v>
      </c>
    </row>
    <row r="12561" spans="4:16" x14ac:dyDescent="0.2">
      <c r="D12561">
        <v>100007566</v>
      </c>
      <c r="E12561" s="49">
        <v>45265</v>
      </c>
      <c r="F12561" t="s">
        <v>8097</v>
      </c>
      <c r="G12561" t="s">
        <v>1969</v>
      </c>
      <c r="H12561">
        <v>9</v>
      </c>
      <c r="I12561">
        <v>65.81</v>
      </c>
      <c r="J12561" s="50">
        <v>592.29</v>
      </c>
      <c r="K12561" t="s">
        <v>1618</v>
      </c>
      <c r="M12561" t="s">
        <v>1619</v>
      </c>
      <c r="N12561">
        <v>34.729999999999997</v>
      </c>
      <c r="O12561" s="49">
        <v>45268</v>
      </c>
      <c r="P12561" s="50">
        <v>266.53050000000002</v>
      </c>
    </row>
    <row r="12562" spans="4:16" x14ac:dyDescent="0.2">
      <c r="D12562">
        <v>100007567</v>
      </c>
      <c r="E12562" s="49">
        <v>45654</v>
      </c>
      <c r="F12562" t="s">
        <v>8098</v>
      </c>
      <c r="G12562" t="s">
        <v>1921</v>
      </c>
      <c r="H12562">
        <v>2</v>
      </c>
      <c r="I12562">
        <v>62.59</v>
      </c>
      <c r="J12562" s="50">
        <v>125.18</v>
      </c>
      <c r="K12562" t="s">
        <v>1632</v>
      </c>
      <c r="L12562" t="s">
        <v>2206</v>
      </c>
      <c r="M12562" t="s">
        <v>1624</v>
      </c>
      <c r="N12562">
        <v>33.03</v>
      </c>
      <c r="O12562" s="49">
        <v>45659</v>
      </c>
      <c r="P12562" s="50">
        <v>56.331000000000003</v>
      </c>
    </row>
    <row r="12563" spans="4:16" x14ac:dyDescent="0.2">
      <c r="D12563">
        <v>100007568</v>
      </c>
      <c r="E12563" s="49">
        <v>44834</v>
      </c>
      <c r="F12563" t="s">
        <v>8099</v>
      </c>
      <c r="G12563" t="s">
        <v>1827</v>
      </c>
      <c r="H12563">
        <v>7</v>
      </c>
      <c r="I12563">
        <v>107.86</v>
      </c>
      <c r="J12563" s="50">
        <v>755.02</v>
      </c>
      <c r="K12563" t="s">
        <v>1632</v>
      </c>
      <c r="M12563" t="s">
        <v>1621</v>
      </c>
      <c r="N12563">
        <v>56.93</v>
      </c>
      <c r="O12563" s="49">
        <v>44838</v>
      </c>
      <c r="P12563" s="50">
        <v>339.75900000000001</v>
      </c>
    </row>
    <row r="12564" spans="4:16" x14ac:dyDescent="0.2">
      <c r="D12564">
        <v>100007570</v>
      </c>
      <c r="E12564" s="49">
        <v>44892</v>
      </c>
      <c r="F12564" t="s">
        <v>8100</v>
      </c>
      <c r="G12564" t="s">
        <v>2581</v>
      </c>
      <c r="H12564">
        <v>8</v>
      </c>
      <c r="I12564">
        <v>96.49</v>
      </c>
      <c r="J12564" s="50">
        <v>771.92</v>
      </c>
      <c r="K12564" t="s">
        <v>1632</v>
      </c>
      <c r="M12564" t="s">
        <v>1629</v>
      </c>
      <c r="N12564">
        <v>50.92</v>
      </c>
      <c r="O12564" s="49">
        <v>44895</v>
      </c>
      <c r="P12564" s="50">
        <v>347.36399999999998</v>
      </c>
    </row>
    <row r="12565" spans="4:16" x14ac:dyDescent="0.2">
      <c r="D12565">
        <v>100007570</v>
      </c>
      <c r="E12565" s="49">
        <v>44283</v>
      </c>
      <c r="F12565" t="s">
        <v>8100</v>
      </c>
      <c r="G12565" t="s">
        <v>1921</v>
      </c>
      <c r="H12565">
        <v>2</v>
      </c>
      <c r="I12565">
        <v>65.930000000000007</v>
      </c>
      <c r="J12565" s="50">
        <v>131.86000000000001</v>
      </c>
      <c r="K12565" t="s">
        <v>1632</v>
      </c>
      <c r="M12565" t="s">
        <v>1621</v>
      </c>
      <c r="N12565">
        <v>34.799999999999997</v>
      </c>
      <c r="O12565" s="49">
        <v>44288</v>
      </c>
      <c r="P12565" s="50">
        <v>59.33700000000001</v>
      </c>
    </row>
    <row r="12566" spans="4:16" x14ac:dyDescent="0.2">
      <c r="D12566">
        <v>100007570</v>
      </c>
      <c r="E12566" s="49">
        <v>45080</v>
      </c>
      <c r="F12566" t="s">
        <v>8100</v>
      </c>
      <c r="G12566" t="s">
        <v>1916</v>
      </c>
      <c r="H12566">
        <v>3</v>
      </c>
      <c r="I12566">
        <v>36.700000000000003</v>
      </c>
      <c r="J12566" s="50">
        <v>110.1</v>
      </c>
      <c r="K12566" t="s">
        <v>1632</v>
      </c>
      <c r="M12566" t="s">
        <v>1621</v>
      </c>
      <c r="N12566">
        <v>19.37</v>
      </c>
      <c r="O12566" s="49">
        <v>45082</v>
      </c>
      <c r="P12566" s="50">
        <v>49.545000000000002</v>
      </c>
    </row>
    <row r="12567" spans="4:16" x14ac:dyDescent="0.2">
      <c r="D12567">
        <v>100007570</v>
      </c>
      <c r="E12567" s="49">
        <v>45205</v>
      </c>
      <c r="F12567" t="s">
        <v>8100</v>
      </c>
      <c r="G12567" t="s">
        <v>2130</v>
      </c>
      <c r="H12567">
        <v>7</v>
      </c>
      <c r="I12567">
        <v>58.96</v>
      </c>
      <c r="J12567" s="50">
        <v>412.72</v>
      </c>
      <c r="K12567" t="s">
        <v>1632</v>
      </c>
      <c r="M12567" t="s">
        <v>1621</v>
      </c>
      <c r="N12567">
        <v>31.12</v>
      </c>
      <c r="O12567" s="49">
        <v>45208</v>
      </c>
      <c r="P12567" s="50">
        <v>185.72400000000002</v>
      </c>
    </row>
    <row r="12568" spans="4:16" x14ac:dyDescent="0.2">
      <c r="D12568">
        <v>100007570</v>
      </c>
      <c r="E12568" s="49">
        <v>45346</v>
      </c>
      <c r="F12568" t="s">
        <v>8100</v>
      </c>
      <c r="G12568" t="s">
        <v>1950</v>
      </c>
      <c r="H12568">
        <v>7</v>
      </c>
      <c r="I12568">
        <v>27.62</v>
      </c>
      <c r="J12568" s="50">
        <v>193.34</v>
      </c>
      <c r="K12568" t="s">
        <v>1632</v>
      </c>
      <c r="M12568" t="s">
        <v>1624</v>
      </c>
      <c r="N12568">
        <v>14.58</v>
      </c>
      <c r="O12568" s="49">
        <v>45349</v>
      </c>
      <c r="P12568" s="50">
        <v>87.003</v>
      </c>
    </row>
    <row r="12569" spans="4:16" x14ac:dyDescent="0.2">
      <c r="D12569">
        <v>100007570</v>
      </c>
      <c r="E12569" s="49">
        <v>44853</v>
      </c>
      <c r="F12569" t="s">
        <v>8100</v>
      </c>
      <c r="G12569" t="s">
        <v>2291</v>
      </c>
      <c r="H12569">
        <v>8</v>
      </c>
      <c r="I12569">
        <v>29.02</v>
      </c>
      <c r="J12569" s="50">
        <v>232.16</v>
      </c>
      <c r="K12569" t="s">
        <v>1632</v>
      </c>
      <c r="M12569" t="s">
        <v>1619</v>
      </c>
      <c r="N12569">
        <v>15.32</v>
      </c>
      <c r="O12569" s="49">
        <v>44855</v>
      </c>
      <c r="P12569" s="50">
        <v>104.47199999999999</v>
      </c>
    </row>
    <row r="12570" spans="4:16" x14ac:dyDescent="0.2">
      <c r="D12570">
        <v>100007570</v>
      </c>
      <c r="E12570" s="49">
        <v>45372</v>
      </c>
      <c r="F12570" t="s">
        <v>8100</v>
      </c>
      <c r="G12570" t="s">
        <v>1646</v>
      </c>
      <c r="H12570">
        <v>1</v>
      </c>
      <c r="I12570">
        <v>28.72</v>
      </c>
      <c r="J12570" s="50">
        <v>28.72</v>
      </c>
      <c r="K12570" t="s">
        <v>1632</v>
      </c>
      <c r="M12570" t="s">
        <v>1624</v>
      </c>
      <c r="N12570">
        <v>15.16</v>
      </c>
      <c r="O12570" s="49">
        <v>45373</v>
      </c>
      <c r="P12570" s="50">
        <v>12.923999999999999</v>
      </c>
    </row>
    <row r="12571" spans="4:16" x14ac:dyDescent="0.2">
      <c r="D12571">
        <v>100007572</v>
      </c>
      <c r="E12571" s="49">
        <v>44473</v>
      </c>
      <c r="F12571" t="s">
        <v>8101</v>
      </c>
      <c r="G12571" t="s">
        <v>1723</v>
      </c>
      <c r="H12571">
        <v>5</v>
      </c>
      <c r="I12571">
        <v>24.91</v>
      </c>
      <c r="J12571" s="50">
        <v>124.55</v>
      </c>
      <c r="K12571" t="s">
        <v>1618</v>
      </c>
      <c r="M12571" t="s">
        <v>1621</v>
      </c>
      <c r="N12571">
        <v>13.15</v>
      </c>
      <c r="O12571" s="49">
        <v>44474</v>
      </c>
      <c r="P12571" s="50">
        <v>56.047499999999999</v>
      </c>
    </row>
    <row r="12572" spans="4:16" x14ac:dyDescent="0.2">
      <c r="D12572">
        <v>100007572</v>
      </c>
      <c r="E12572" s="49">
        <v>45047</v>
      </c>
      <c r="F12572" t="s">
        <v>8101</v>
      </c>
      <c r="G12572" t="s">
        <v>1828</v>
      </c>
      <c r="H12572">
        <v>4</v>
      </c>
      <c r="I12572">
        <v>119.21</v>
      </c>
      <c r="J12572" s="50">
        <v>476.84</v>
      </c>
      <c r="K12572" t="s">
        <v>1618</v>
      </c>
      <c r="M12572" t="s">
        <v>1629</v>
      </c>
      <c r="N12572">
        <v>62.92</v>
      </c>
      <c r="O12572" s="49">
        <v>45050</v>
      </c>
      <c r="P12572" s="50">
        <v>214.578</v>
      </c>
    </row>
    <row r="12573" spans="4:16" x14ac:dyDescent="0.2">
      <c r="D12573">
        <v>100007572</v>
      </c>
      <c r="E12573" s="49">
        <v>45095</v>
      </c>
      <c r="F12573" t="s">
        <v>8101</v>
      </c>
      <c r="G12573" t="s">
        <v>1856</v>
      </c>
      <c r="H12573">
        <v>10</v>
      </c>
      <c r="I12573">
        <v>64.12</v>
      </c>
      <c r="J12573" s="50">
        <v>641.20000000000005</v>
      </c>
      <c r="K12573" t="s">
        <v>1618</v>
      </c>
      <c r="M12573" t="s">
        <v>1619</v>
      </c>
      <c r="N12573">
        <v>33.840000000000003</v>
      </c>
      <c r="O12573" s="49">
        <v>45096</v>
      </c>
      <c r="P12573" s="50">
        <v>288.54000000000002</v>
      </c>
    </row>
    <row r="12574" spans="4:16" x14ac:dyDescent="0.2">
      <c r="D12574">
        <v>100007573</v>
      </c>
      <c r="E12574" s="49">
        <v>45020</v>
      </c>
      <c r="F12574" t="s">
        <v>8102</v>
      </c>
      <c r="G12574" t="s">
        <v>2005</v>
      </c>
      <c r="H12574">
        <v>2</v>
      </c>
      <c r="I12574">
        <v>33.200000000000003</v>
      </c>
      <c r="J12574" s="50">
        <v>66.400000000000006</v>
      </c>
      <c r="K12574" t="s">
        <v>1632</v>
      </c>
      <c r="M12574" t="s">
        <v>1629</v>
      </c>
      <c r="N12574">
        <v>17.52</v>
      </c>
      <c r="O12574" s="49">
        <v>45025</v>
      </c>
      <c r="P12574" s="50">
        <v>29.880000000000003</v>
      </c>
    </row>
    <row r="12575" spans="4:16" x14ac:dyDescent="0.2">
      <c r="D12575">
        <v>100007573</v>
      </c>
      <c r="E12575" s="49">
        <v>45374</v>
      </c>
      <c r="F12575" t="s">
        <v>8102</v>
      </c>
      <c r="G12575" t="s">
        <v>1709</v>
      </c>
      <c r="H12575">
        <v>6</v>
      </c>
      <c r="I12575">
        <v>47.05</v>
      </c>
      <c r="J12575" s="50">
        <v>282.3</v>
      </c>
      <c r="K12575" t="s">
        <v>1632</v>
      </c>
      <c r="M12575" t="s">
        <v>1627</v>
      </c>
      <c r="N12575">
        <v>24.83</v>
      </c>
      <c r="O12575" s="49">
        <v>45376</v>
      </c>
      <c r="P12575" s="50">
        <v>127.03500000000001</v>
      </c>
    </row>
    <row r="12576" spans="4:16" x14ac:dyDescent="0.2">
      <c r="D12576">
        <v>100007573</v>
      </c>
      <c r="E12576" s="49">
        <v>44461</v>
      </c>
      <c r="F12576" t="s">
        <v>8102</v>
      </c>
      <c r="G12576" t="s">
        <v>2204</v>
      </c>
      <c r="H12576">
        <v>10</v>
      </c>
      <c r="I12576">
        <v>107.3</v>
      </c>
      <c r="J12576" s="50">
        <v>1073</v>
      </c>
      <c r="K12576" t="s">
        <v>1632</v>
      </c>
      <c r="M12576" t="s">
        <v>1629</v>
      </c>
      <c r="N12576">
        <v>56.63</v>
      </c>
      <c r="O12576" s="49">
        <v>44462</v>
      </c>
      <c r="P12576" s="50">
        <v>482.85</v>
      </c>
    </row>
    <row r="12577" spans="4:16" x14ac:dyDescent="0.2">
      <c r="D12577">
        <v>100007574</v>
      </c>
      <c r="E12577" s="49">
        <v>44621</v>
      </c>
      <c r="F12577" t="s">
        <v>8103</v>
      </c>
      <c r="G12577" t="s">
        <v>2079</v>
      </c>
      <c r="H12577">
        <v>1</v>
      </c>
      <c r="I12577">
        <v>111.58</v>
      </c>
      <c r="J12577" s="50">
        <v>111.58</v>
      </c>
      <c r="K12577" t="s">
        <v>1618</v>
      </c>
      <c r="M12577" t="s">
        <v>1627</v>
      </c>
      <c r="N12577">
        <v>58.89</v>
      </c>
      <c r="O12577" s="49">
        <v>44624</v>
      </c>
      <c r="P12577" s="50">
        <v>50.210999999999999</v>
      </c>
    </row>
    <row r="12578" spans="4:16" x14ac:dyDescent="0.2">
      <c r="D12578">
        <v>100007575</v>
      </c>
      <c r="E12578" s="49">
        <v>45312</v>
      </c>
      <c r="F12578" t="s">
        <v>8104</v>
      </c>
      <c r="G12578" t="s">
        <v>2134</v>
      </c>
      <c r="H12578">
        <v>5</v>
      </c>
      <c r="I12578">
        <v>39.56</v>
      </c>
      <c r="J12578" s="50">
        <v>197.8</v>
      </c>
      <c r="K12578" t="s">
        <v>1632</v>
      </c>
      <c r="M12578" t="s">
        <v>1619</v>
      </c>
      <c r="N12578">
        <v>20.88</v>
      </c>
      <c r="O12578" s="49">
        <v>45315</v>
      </c>
      <c r="P12578" s="50">
        <v>89.01</v>
      </c>
    </row>
    <row r="12579" spans="4:16" x14ac:dyDescent="0.2">
      <c r="D12579">
        <v>100007576</v>
      </c>
      <c r="E12579" s="49">
        <v>45265</v>
      </c>
      <c r="F12579" t="s">
        <v>8105</v>
      </c>
      <c r="G12579" t="s">
        <v>3135</v>
      </c>
      <c r="H12579">
        <v>7</v>
      </c>
      <c r="I12579">
        <v>62.54</v>
      </c>
      <c r="J12579" s="50">
        <v>437.78</v>
      </c>
      <c r="K12579" t="s">
        <v>1618</v>
      </c>
      <c r="L12579" t="s">
        <v>6033</v>
      </c>
      <c r="M12579" t="s">
        <v>1621</v>
      </c>
      <c r="N12579">
        <v>33.01</v>
      </c>
      <c r="O12579" s="49">
        <v>45269</v>
      </c>
      <c r="P12579" s="50">
        <v>197.001</v>
      </c>
    </row>
    <row r="12580" spans="4:16" x14ac:dyDescent="0.2">
      <c r="D12580">
        <v>100007578</v>
      </c>
      <c r="E12580" s="49">
        <v>45061</v>
      </c>
      <c r="F12580" t="s">
        <v>8106</v>
      </c>
      <c r="G12580" t="s">
        <v>2079</v>
      </c>
      <c r="H12580">
        <v>5</v>
      </c>
      <c r="I12580">
        <v>20.32</v>
      </c>
      <c r="J12580" s="50">
        <v>101.6</v>
      </c>
      <c r="K12580" t="s">
        <v>1618</v>
      </c>
      <c r="M12580" t="s">
        <v>1621</v>
      </c>
      <c r="N12580">
        <v>10.72</v>
      </c>
      <c r="O12580" s="49">
        <v>45065</v>
      </c>
      <c r="P12580" s="50">
        <v>45.72</v>
      </c>
    </row>
    <row r="12581" spans="4:16" x14ac:dyDescent="0.2">
      <c r="D12581">
        <v>100007578</v>
      </c>
      <c r="E12581" s="49">
        <v>45370</v>
      </c>
      <c r="F12581" t="s">
        <v>8106</v>
      </c>
      <c r="G12581" t="s">
        <v>1664</v>
      </c>
      <c r="H12581">
        <v>5</v>
      </c>
      <c r="I12581">
        <v>68.489999999999995</v>
      </c>
      <c r="J12581" s="50">
        <v>342.45</v>
      </c>
      <c r="K12581" t="s">
        <v>1618</v>
      </c>
      <c r="M12581" t="s">
        <v>1621</v>
      </c>
      <c r="N12581">
        <v>36.15</v>
      </c>
      <c r="O12581" s="49">
        <v>45372</v>
      </c>
      <c r="P12581" s="50">
        <v>154.10249999999999</v>
      </c>
    </row>
    <row r="12582" spans="4:16" x14ac:dyDescent="0.2">
      <c r="D12582">
        <v>100007578</v>
      </c>
      <c r="E12582" s="49">
        <v>44568</v>
      </c>
      <c r="F12582" t="s">
        <v>8106</v>
      </c>
      <c r="G12582" t="s">
        <v>1851</v>
      </c>
      <c r="H12582">
        <v>10</v>
      </c>
      <c r="I12582">
        <v>38.74</v>
      </c>
      <c r="J12582" s="50">
        <v>387.4</v>
      </c>
      <c r="K12582" t="s">
        <v>1618</v>
      </c>
      <c r="M12582" t="s">
        <v>1629</v>
      </c>
      <c r="N12582">
        <v>20.45</v>
      </c>
      <c r="O12582" s="49">
        <v>44570</v>
      </c>
      <c r="P12582" s="50">
        <v>174.32999999999998</v>
      </c>
    </row>
    <row r="12583" spans="4:16" x14ac:dyDescent="0.2">
      <c r="D12583">
        <v>100007578</v>
      </c>
      <c r="E12583" s="49">
        <v>45022</v>
      </c>
      <c r="F12583" t="s">
        <v>8106</v>
      </c>
      <c r="G12583" t="s">
        <v>1948</v>
      </c>
      <c r="H12583">
        <v>5</v>
      </c>
      <c r="I12583">
        <v>10.53</v>
      </c>
      <c r="J12583" s="50">
        <v>52.65</v>
      </c>
      <c r="K12583" t="s">
        <v>1618</v>
      </c>
      <c r="M12583" t="s">
        <v>1624</v>
      </c>
      <c r="N12583">
        <v>5.56</v>
      </c>
      <c r="O12583" s="49">
        <v>45026</v>
      </c>
      <c r="P12583" s="50">
        <v>23.692499999999999</v>
      </c>
    </row>
    <row r="12584" spans="4:16" x14ac:dyDescent="0.2">
      <c r="D12584">
        <v>100007580</v>
      </c>
      <c r="E12584" s="49">
        <v>44577</v>
      </c>
      <c r="F12584" t="s">
        <v>8107</v>
      </c>
      <c r="G12584" t="s">
        <v>2372</v>
      </c>
      <c r="H12584">
        <v>1</v>
      </c>
      <c r="I12584">
        <v>38.47</v>
      </c>
      <c r="J12584" s="50">
        <v>38.47</v>
      </c>
      <c r="K12584" t="s">
        <v>1632</v>
      </c>
      <c r="M12584" t="s">
        <v>1629</v>
      </c>
      <c r="N12584">
        <v>20.3</v>
      </c>
      <c r="O12584" s="49">
        <v>44579</v>
      </c>
      <c r="P12584" s="50">
        <v>17.311499999999999</v>
      </c>
    </row>
    <row r="12585" spans="4:16" x14ac:dyDescent="0.2">
      <c r="D12585">
        <v>100007581</v>
      </c>
      <c r="E12585" s="49">
        <v>45489</v>
      </c>
      <c r="F12585" t="s">
        <v>8108</v>
      </c>
      <c r="G12585" t="s">
        <v>2213</v>
      </c>
      <c r="H12585">
        <v>10</v>
      </c>
      <c r="I12585">
        <v>55.46</v>
      </c>
      <c r="J12585" s="50">
        <v>554.6</v>
      </c>
      <c r="K12585" t="s">
        <v>1632</v>
      </c>
      <c r="M12585" t="s">
        <v>1624</v>
      </c>
      <c r="N12585">
        <v>29.27</v>
      </c>
      <c r="O12585" s="49">
        <v>45492</v>
      </c>
      <c r="P12585" s="50">
        <v>249.57000000000002</v>
      </c>
    </row>
    <row r="12586" spans="4:16" x14ac:dyDescent="0.2">
      <c r="D12586">
        <v>100007581</v>
      </c>
      <c r="E12586" s="49">
        <v>44943</v>
      </c>
      <c r="F12586" t="s">
        <v>8108</v>
      </c>
      <c r="G12586" t="s">
        <v>1677</v>
      </c>
      <c r="H12586">
        <v>9</v>
      </c>
      <c r="I12586">
        <v>30.99</v>
      </c>
      <c r="J12586" s="50">
        <v>278.91000000000003</v>
      </c>
      <c r="K12586" t="s">
        <v>1632</v>
      </c>
      <c r="M12586" t="s">
        <v>1629</v>
      </c>
      <c r="N12586">
        <v>16.36</v>
      </c>
      <c r="O12586" s="49">
        <v>44944</v>
      </c>
      <c r="P12586" s="50">
        <v>125.50950000000002</v>
      </c>
    </row>
    <row r="12587" spans="4:16" x14ac:dyDescent="0.2">
      <c r="D12587">
        <v>100007581</v>
      </c>
      <c r="E12587" s="49">
        <v>45252</v>
      </c>
      <c r="F12587" t="s">
        <v>8108</v>
      </c>
      <c r="G12587" t="s">
        <v>2302</v>
      </c>
      <c r="H12587">
        <v>3</v>
      </c>
      <c r="I12587">
        <v>50.22</v>
      </c>
      <c r="J12587" s="50">
        <v>150.66</v>
      </c>
      <c r="K12587" t="s">
        <v>1632</v>
      </c>
      <c r="M12587" t="s">
        <v>1624</v>
      </c>
      <c r="N12587">
        <v>26.5</v>
      </c>
      <c r="O12587" s="49">
        <v>45257</v>
      </c>
      <c r="P12587" s="50">
        <v>67.796999999999997</v>
      </c>
    </row>
    <row r="12588" spans="4:16" x14ac:dyDescent="0.2">
      <c r="D12588">
        <v>100007581</v>
      </c>
      <c r="E12588" s="49">
        <v>45227</v>
      </c>
      <c r="F12588" t="s">
        <v>8108</v>
      </c>
      <c r="G12588" t="s">
        <v>2202</v>
      </c>
      <c r="H12588">
        <v>5</v>
      </c>
      <c r="I12588">
        <v>44.1</v>
      </c>
      <c r="J12588" s="50">
        <v>220.5</v>
      </c>
      <c r="K12588" t="s">
        <v>1632</v>
      </c>
      <c r="M12588" t="s">
        <v>1621</v>
      </c>
      <c r="N12588">
        <v>23.27</v>
      </c>
      <c r="O12588" s="49">
        <v>45228</v>
      </c>
      <c r="P12588" s="50">
        <v>99.225000000000009</v>
      </c>
    </row>
    <row r="12589" spans="4:16" x14ac:dyDescent="0.2">
      <c r="D12589">
        <v>100007583</v>
      </c>
      <c r="E12589" s="49">
        <v>45604</v>
      </c>
      <c r="F12589" t="s">
        <v>8109</v>
      </c>
      <c r="G12589" t="s">
        <v>1963</v>
      </c>
      <c r="H12589">
        <v>3</v>
      </c>
      <c r="I12589">
        <v>98.49</v>
      </c>
      <c r="J12589" s="50">
        <v>295.47000000000003</v>
      </c>
      <c r="K12589" t="s">
        <v>1632</v>
      </c>
      <c r="M12589" t="s">
        <v>1624</v>
      </c>
      <c r="N12589">
        <v>51.98</v>
      </c>
      <c r="O12589" s="49">
        <v>45606</v>
      </c>
      <c r="P12589" s="50">
        <v>132.96150000000003</v>
      </c>
    </row>
    <row r="12590" spans="4:16" x14ac:dyDescent="0.2">
      <c r="D12590">
        <v>100007583</v>
      </c>
      <c r="E12590" s="49">
        <v>45320</v>
      </c>
      <c r="F12590" t="s">
        <v>8109</v>
      </c>
      <c r="G12590" t="s">
        <v>1704</v>
      </c>
      <c r="H12590">
        <v>5</v>
      </c>
      <c r="I12590">
        <v>64.5</v>
      </c>
      <c r="J12590" s="50">
        <v>322.5</v>
      </c>
      <c r="K12590" t="s">
        <v>1632</v>
      </c>
      <c r="M12590" t="s">
        <v>1629</v>
      </c>
      <c r="N12590">
        <v>34.04</v>
      </c>
      <c r="O12590" s="49">
        <v>45321</v>
      </c>
      <c r="P12590" s="50">
        <v>145.125</v>
      </c>
    </row>
    <row r="12591" spans="4:16" x14ac:dyDescent="0.2">
      <c r="D12591">
        <v>100007584</v>
      </c>
      <c r="E12591" s="49">
        <v>45653</v>
      </c>
      <c r="F12591" t="s">
        <v>8110</v>
      </c>
      <c r="G12591" t="s">
        <v>1945</v>
      </c>
      <c r="H12591">
        <v>9</v>
      </c>
      <c r="I12591">
        <v>102.38</v>
      </c>
      <c r="J12591" s="50">
        <v>921.42</v>
      </c>
      <c r="K12591" t="s">
        <v>1632</v>
      </c>
      <c r="L12591" t="s">
        <v>4527</v>
      </c>
      <c r="M12591" t="s">
        <v>1621</v>
      </c>
      <c r="N12591">
        <v>54.03</v>
      </c>
      <c r="O12591" s="49">
        <v>45658</v>
      </c>
      <c r="P12591" s="50">
        <v>414.63900000000001</v>
      </c>
    </row>
    <row r="12592" spans="4:16" x14ac:dyDescent="0.2">
      <c r="D12592">
        <v>100007584</v>
      </c>
      <c r="E12592" s="49">
        <v>44279</v>
      </c>
      <c r="F12592" t="s">
        <v>8110</v>
      </c>
      <c r="G12592" t="s">
        <v>1681</v>
      </c>
      <c r="H12592">
        <v>9</v>
      </c>
      <c r="I12592">
        <v>22.56</v>
      </c>
      <c r="J12592" s="50">
        <v>203.04</v>
      </c>
      <c r="K12592" t="s">
        <v>1632</v>
      </c>
      <c r="L12592" t="s">
        <v>4527</v>
      </c>
      <c r="M12592" t="s">
        <v>1621</v>
      </c>
      <c r="N12592">
        <v>11.91</v>
      </c>
      <c r="O12592" s="49">
        <v>44284</v>
      </c>
      <c r="P12592" s="50">
        <v>91.367999999999995</v>
      </c>
    </row>
    <row r="12593" spans="4:16" x14ac:dyDescent="0.2">
      <c r="D12593">
        <v>100007588</v>
      </c>
      <c r="E12593" s="49">
        <v>44884</v>
      </c>
      <c r="F12593" t="s">
        <v>8111</v>
      </c>
      <c r="G12593" t="s">
        <v>1642</v>
      </c>
      <c r="H12593">
        <v>9</v>
      </c>
      <c r="I12593">
        <v>107.84</v>
      </c>
      <c r="J12593" s="50">
        <v>970.56000000000006</v>
      </c>
      <c r="K12593" t="s">
        <v>1632</v>
      </c>
      <c r="M12593" t="s">
        <v>1619</v>
      </c>
      <c r="N12593">
        <v>56.92</v>
      </c>
      <c r="O12593" s="49">
        <v>44886</v>
      </c>
      <c r="P12593" s="50">
        <v>436.75200000000001</v>
      </c>
    </row>
    <row r="12594" spans="4:16" x14ac:dyDescent="0.2">
      <c r="D12594">
        <v>100007589</v>
      </c>
      <c r="E12594" s="49">
        <v>44715</v>
      </c>
      <c r="F12594" t="s">
        <v>8112</v>
      </c>
      <c r="G12594" t="s">
        <v>1941</v>
      </c>
      <c r="H12594">
        <v>8</v>
      </c>
      <c r="I12594">
        <v>86.2</v>
      </c>
      <c r="J12594" s="50">
        <v>689.6</v>
      </c>
      <c r="K12594" t="s">
        <v>1632</v>
      </c>
      <c r="M12594" t="s">
        <v>1627</v>
      </c>
      <c r="N12594">
        <v>45.49</v>
      </c>
      <c r="O12594" s="49">
        <v>44718</v>
      </c>
      <c r="P12594" s="50">
        <v>310.32</v>
      </c>
    </row>
    <row r="12595" spans="4:16" x14ac:dyDescent="0.2">
      <c r="D12595">
        <v>100007589</v>
      </c>
      <c r="E12595" s="49">
        <v>44474</v>
      </c>
      <c r="F12595" t="s">
        <v>8112</v>
      </c>
      <c r="G12595" t="s">
        <v>2016</v>
      </c>
      <c r="H12595">
        <v>3</v>
      </c>
      <c r="I12595">
        <v>46.97</v>
      </c>
      <c r="J12595" s="50">
        <v>140.91</v>
      </c>
      <c r="K12595" t="s">
        <v>1632</v>
      </c>
      <c r="M12595" t="s">
        <v>1627</v>
      </c>
      <c r="N12595">
        <v>24.79</v>
      </c>
      <c r="O12595" s="49">
        <v>44479</v>
      </c>
      <c r="P12595" s="50">
        <v>63.409500000000001</v>
      </c>
    </row>
    <row r="12596" spans="4:16" x14ac:dyDescent="0.2">
      <c r="D12596">
        <v>100007590</v>
      </c>
      <c r="E12596" s="49">
        <v>44394</v>
      </c>
      <c r="F12596" t="s">
        <v>8113</v>
      </c>
      <c r="G12596" t="s">
        <v>1677</v>
      </c>
      <c r="H12596">
        <v>8</v>
      </c>
      <c r="I12596">
        <v>104.64</v>
      </c>
      <c r="J12596" s="50">
        <v>837.12</v>
      </c>
      <c r="K12596" t="s">
        <v>1618</v>
      </c>
      <c r="M12596" t="s">
        <v>1621</v>
      </c>
      <c r="N12596">
        <v>55.23</v>
      </c>
      <c r="O12596" s="49">
        <v>44396</v>
      </c>
      <c r="P12596" s="50">
        <v>376.70400000000001</v>
      </c>
    </row>
    <row r="12597" spans="4:16" x14ac:dyDescent="0.2">
      <c r="D12597">
        <v>100007591</v>
      </c>
      <c r="E12597" s="49">
        <v>44412</v>
      </c>
      <c r="F12597" t="s">
        <v>8114</v>
      </c>
      <c r="G12597" t="s">
        <v>2159</v>
      </c>
      <c r="H12597">
        <v>6</v>
      </c>
      <c r="I12597">
        <v>105.54</v>
      </c>
      <c r="J12597" s="50">
        <v>633.24</v>
      </c>
      <c r="K12597" t="s">
        <v>1632</v>
      </c>
      <c r="M12597" t="s">
        <v>1621</v>
      </c>
      <c r="N12597">
        <v>55.7</v>
      </c>
      <c r="O12597" s="49">
        <v>44416</v>
      </c>
      <c r="P12597" s="50">
        <v>284.95800000000003</v>
      </c>
    </row>
    <row r="12598" spans="4:16" x14ac:dyDescent="0.2">
      <c r="D12598">
        <v>100007591</v>
      </c>
      <c r="E12598" s="49">
        <v>44675</v>
      </c>
      <c r="F12598" t="s">
        <v>8114</v>
      </c>
      <c r="G12598" t="s">
        <v>2603</v>
      </c>
      <c r="H12598">
        <v>1</v>
      </c>
      <c r="I12598">
        <v>37.46</v>
      </c>
      <c r="J12598" s="50">
        <v>37.46</v>
      </c>
      <c r="K12598" t="s">
        <v>1632</v>
      </c>
      <c r="M12598" t="s">
        <v>1629</v>
      </c>
      <c r="N12598">
        <v>19.77</v>
      </c>
      <c r="O12598" s="49">
        <v>44679</v>
      </c>
      <c r="P12598" s="50">
        <v>16.856999999999999</v>
      </c>
    </row>
    <row r="12599" spans="4:16" x14ac:dyDescent="0.2">
      <c r="D12599">
        <v>100007592</v>
      </c>
      <c r="E12599" s="49">
        <v>44317</v>
      </c>
      <c r="F12599" t="s">
        <v>8115</v>
      </c>
      <c r="G12599" t="s">
        <v>1805</v>
      </c>
      <c r="H12599">
        <v>2</v>
      </c>
      <c r="I12599">
        <v>94.03</v>
      </c>
      <c r="J12599" s="50">
        <v>188.06</v>
      </c>
      <c r="K12599" t="s">
        <v>1618</v>
      </c>
      <c r="M12599" t="s">
        <v>1627</v>
      </c>
      <c r="N12599">
        <v>49.63</v>
      </c>
      <c r="O12599" s="49">
        <v>44320</v>
      </c>
      <c r="P12599" s="50">
        <v>84.62700000000001</v>
      </c>
    </row>
    <row r="12600" spans="4:16" x14ac:dyDescent="0.2">
      <c r="D12600">
        <v>100007593</v>
      </c>
      <c r="E12600" s="49">
        <v>45453</v>
      </c>
      <c r="F12600" t="s">
        <v>8116</v>
      </c>
      <c r="G12600" t="s">
        <v>2150</v>
      </c>
      <c r="H12600">
        <v>8</v>
      </c>
      <c r="I12600">
        <v>102.85</v>
      </c>
      <c r="J12600" s="50">
        <v>822.8</v>
      </c>
      <c r="K12600" t="s">
        <v>1618</v>
      </c>
      <c r="M12600" t="s">
        <v>1629</v>
      </c>
      <c r="N12600">
        <v>54.28</v>
      </c>
      <c r="O12600" s="49">
        <v>45454</v>
      </c>
      <c r="P12600" s="50">
        <v>370.26</v>
      </c>
    </row>
    <row r="12601" spans="4:16" x14ac:dyDescent="0.2">
      <c r="D12601">
        <v>100007594</v>
      </c>
      <c r="E12601" s="49">
        <v>44323</v>
      </c>
      <c r="F12601" t="s">
        <v>8117</v>
      </c>
      <c r="G12601" t="s">
        <v>1842</v>
      </c>
      <c r="H12601">
        <v>8</v>
      </c>
      <c r="I12601">
        <v>13.86</v>
      </c>
      <c r="J12601" s="50">
        <v>110.88</v>
      </c>
      <c r="K12601" t="s">
        <v>1618</v>
      </c>
      <c r="L12601" t="s">
        <v>2081</v>
      </c>
      <c r="M12601" t="s">
        <v>1621</v>
      </c>
      <c r="N12601">
        <v>7.31</v>
      </c>
      <c r="O12601" s="49">
        <v>44325</v>
      </c>
      <c r="P12601" s="50">
        <v>49.896000000000001</v>
      </c>
    </row>
    <row r="12602" spans="4:16" x14ac:dyDescent="0.2">
      <c r="D12602">
        <v>100007594</v>
      </c>
      <c r="E12602" s="49">
        <v>45215</v>
      </c>
      <c r="F12602" t="s">
        <v>8117</v>
      </c>
      <c r="G12602" t="s">
        <v>2093</v>
      </c>
      <c r="H12602">
        <v>9</v>
      </c>
      <c r="I12602">
        <v>11.93</v>
      </c>
      <c r="J12602" s="50">
        <v>107.37</v>
      </c>
      <c r="K12602" t="s">
        <v>1618</v>
      </c>
      <c r="L12602" t="s">
        <v>2081</v>
      </c>
      <c r="M12602" t="s">
        <v>1619</v>
      </c>
      <c r="N12602">
        <v>6.3</v>
      </c>
      <c r="O12602" s="49">
        <v>45216</v>
      </c>
      <c r="P12602" s="50">
        <v>48.316500000000005</v>
      </c>
    </row>
    <row r="12603" spans="4:16" x14ac:dyDescent="0.2">
      <c r="D12603">
        <v>100007595</v>
      </c>
      <c r="E12603" s="49">
        <v>44578</v>
      </c>
      <c r="F12603" t="s">
        <v>7778</v>
      </c>
      <c r="G12603" t="s">
        <v>2103</v>
      </c>
      <c r="H12603">
        <v>6</v>
      </c>
      <c r="I12603">
        <v>14.87</v>
      </c>
      <c r="J12603" s="50">
        <v>89.22</v>
      </c>
      <c r="K12603" t="s">
        <v>1632</v>
      </c>
      <c r="M12603" t="s">
        <v>1629</v>
      </c>
      <c r="N12603">
        <v>7.85</v>
      </c>
      <c r="O12603" s="49">
        <v>44582</v>
      </c>
      <c r="P12603" s="50">
        <v>40.149000000000001</v>
      </c>
    </row>
    <row r="12604" spans="4:16" x14ac:dyDescent="0.2">
      <c r="D12604">
        <v>100007595</v>
      </c>
      <c r="E12604" s="49">
        <v>45466</v>
      </c>
      <c r="F12604" t="s">
        <v>7778</v>
      </c>
      <c r="G12604" t="s">
        <v>1834</v>
      </c>
      <c r="H12604">
        <v>7</v>
      </c>
      <c r="I12604">
        <v>37.53</v>
      </c>
      <c r="J12604" s="50">
        <v>262.70999999999998</v>
      </c>
      <c r="K12604" t="s">
        <v>1632</v>
      </c>
      <c r="M12604" t="s">
        <v>1621</v>
      </c>
      <c r="N12604">
        <v>19.809999999999999</v>
      </c>
      <c r="O12604" s="49">
        <v>45469</v>
      </c>
      <c r="P12604" s="50">
        <v>118.2195</v>
      </c>
    </row>
    <row r="12605" spans="4:16" x14ac:dyDescent="0.2">
      <c r="D12605">
        <v>100007595</v>
      </c>
      <c r="E12605" s="49">
        <v>44967</v>
      </c>
      <c r="F12605" t="s">
        <v>7778</v>
      </c>
      <c r="G12605" t="s">
        <v>1851</v>
      </c>
      <c r="H12605">
        <v>1</v>
      </c>
      <c r="I12605">
        <v>81.55</v>
      </c>
      <c r="J12605" s="50">
        <v>81.55</v>
      </c>
      <c r="K12605" t="s">
        <v>1632</v>
      </c>
      <c r="M12605" t="s">
        <v>1619</v>
      </c>
      <c r="N12605">
        <v>43.04</v>
      </c>
      <c r="O12605" s="49">
        <v>44971</v>
      </c>
      <c r="P12605" s="50">
        <v>36.697499999999998</v>
      </c>
    </row>
    <row r="12606" spans="4:16" x14ac:dyDescent="0.2">
      <c r="D12606">
        <v>100007595</v>
      </c>
      <c r="E12606" s="49">
        <v>44535</v>
      </c>
      <c r="F12606" t="s">
        <v>7778</v>
      </c>
      <c r="G12606" t="s">
        <v>2412</v>
      </c>
      <c r="H12606">
        <v>1</v>
      </c>
      <c r="I12606">
        <v>89.74</v>
      </c>
      <c r="J12606" s="50">
        <v>89.74</v>
      </c>
      <c r="K12606" t="s">
        <v>1632</v>
      </c>
      <c r="M12606" t="s">
        <v>1627</v>
      </c>
      <c r="N12606">
        <v>47.36</v>
      </c>
      <c r="O12606" s="49">
        <v>44539</v>
      </c>
      <c r="P12606" s="50">
        <v>40.382999999999996</v>
      </c>
    </row>
    <row r="12607" spans="4:16" x14ac:dyDescent="0.2">
      <c r="D12607">
        <v>100007596</v>
      </c>
      <c r="E12607" s="49">
        <v>44368</v>
      </c>
      <c r="F12607" t="s">
        <v>8118</v>
      </c>
      <c r="G12607" t="s">
        <v>1739</v>
      </c>
      <c r="H12607">
        <v>9</v>
      </c>
      <c r="I12607">
        <v>20.260000000000002</v>
      </c>
      <c r="J12607" s="50">
        <v>182.34</v>
      </c>
      <c r="K12607" t="s">
        <v>1618</v>
      </c>
      <c r="M12607" t="s">
        <v>1629</v>
      </c>
      <c r="N12607">
        <v>10.69</v>
      </c>
      <c r="O12607" s="49">
        <v>44370</v>
      </c>
      <c r="P12607" s="50">
        <v>82.052999999999997</v>
      </c>
    </row>
    <row r="12608" spans="4:16" x14ac:dyDescent="0.2">
      <c r="D12608">
        <v>100007596</v>
      </c>
      <c r="E12608" s="49">
        <v>44399</v>
      </c>
      <c r="F12608" t="s">
        <v>8118</v>
      </c>
      <c r="G12608" t="s">
        <v>2261</v>
      </c>
      <c r="H12608">
        <v>6</v>
      </c>
      <c r="I12608">
        <v>43.15</v>
      </c>
      <c r="J12608" s="50">
        <v>258.89999999999998</v>
      </c>
      <c r="K12608" t="s">
        <v>1618</v>
      </c>
      <c r="M12608" t="s">
        <v>1621</v>
      </c>
      <c r="N12608">
        <v>22.77</v>
      </c>
      <c r="O12608" s="49">
        <v>44404</v>
      </c>
      <c r="P12608" s="50">
        <v>116.505</v>
      </c>
    </row>
    <row r="12609" spans="4:16" x14ac:dyDescent="0.2">
      <c r="D12609">
        <v>100007596</v>
      </c>
      <c r="E12609" s="49">
        <v>44249</v>
      </c>
      <c r="F12609" t="s">
        <v>8118</v>
      </c>
      <c r="G12609" t="s">
        <v>1785</v>
      </c>
      <c r="H12609">
        <v>6</v>
      </c>
      <c r="I12609">
        <v>114.2</v>
      </c>
      <c r="J12609" s="50">
        <v>685.2</v>
      </c>
      <c r="K12609" t="s">
        <v>1618</v>
      </c>
      <c r="M12609" t="s">
        <v>1627</v>
      </c>
      <c r="N12609">
        <v>60.27</v>
      </c>
      <c r="O12609" s="49">
        <v>44254</v>
      </c>
      <c r="P12609" s="50">
        <v>308.34000000000003</v>
      </c>
    </row>
    <row r="12610" spans="4:16" x14ac:dyDescent="0.2">
      <c r="D12610">
        <v>100007597</v>
      </c>
      <c r="E12610" s="49">
        <v>44535</v>
      </c>
      <c r="F12610" t="s">
        <v>8119</v>
      </c>
      <c r="G12610" t="s">
        <v>1782</v>
      </c>
      <c r="H12610">
        <v>9</v>
      </c>
      <c r="I12610">
        <v>40.76</v>
      </c>
      <c r="J12610" s="50">
        <v>366.84</v>
      </c>
      <c r="K12610" t="s">
        <v>1632</v>
      </c>
      <c r="M12610" t="s">
        <v>1627</v>
      </c>
      <c r="N12610">
        <v>21.51</v>
      </c>
      <c r="O12610" s="49">
        <v>44539</v>
      </c>
      <c r="P12610" s="50">
        <v>165.078</v>
      </c>
    </row>
    <row r="12611" spans="4:16" x14ac:dyDescent="0.2">
      <c r="D12611">
        <v>100007598</v>
      </c>
      <c r="E12611" s="49">
        <v>45406</v>
      </c>
      <c r="F12611" t="s">
        <v>8120</v>
      </c>
      <c r="G12611" t="s">
        <v>1856</v>
      </c>
      <c r="H12611">
        <v>4</v>
      </c>
      <c r="I12611">
        <v>116.22</v>
      </c>
      <c r="J12611" s="50">
        <v>464.88</v>
      </c>
      <c r="K12611" t="s">
        <v>1618</v>
      </c>
      <c r="M12611" t="s">
        <v>1619</v>
      </c>
      <c r="N12611">
        <v>61.34</v>
      </c>
      <c r="O12611" s="49">
        <v>45407</v>
      </c>
      <c r="P12611" s="50">
        <v>209.196</v>
      </c>
    </row>
    <row r="12612" spans="4:16" x14ac:dyDescent="0.2">
      <c r="D12612">
        <v>100007599</v>
      </c>
      <c r="E12612" s="49">
        <v>45022</v>
      </c>
      <c r="F12612" t="s">
        <v>8121</v>
      </c>
      <c r="G12612" t="s">
        <v>2023</v>
      </c>
      <c r="H12612">
        <v>4</v>
      </c>
      <c r="I12612">
        <v>46.18</v>
      </c>
      <c r="J12612" s="50">
        <v>184.72</v>
      </c>
      <c r="K12612" t="s">
        <v>1618</v>
      </c>
      <c r="L12612" t="s">
        <v>4688</v>
      </c>
      <c r="M12612" t="s">
        <v>1619</v>
      </c>
      <c r="N12612">
        <v>24.37</v>
      </c>
      <c r="O12612" s="49">
        <v>45024</v>
      </c>
      <c r="P12612" s="50">
        <v>83.123999999999995</v>
      </c>
    </row>
    <row r="12613" spans="4:16" x14ac:dyDescent="0.2">
      <c r="D12613">
        <v>100007599</v>
      </c>
      <c r="E12613" s="49">
        <v>45482</v>
      </c>
      <c r="F12613" t="s">
        <v>8121</v>
      </c>
      <c r="G12613" t="s">
        <v>1805</v>
      </c>
      <c r="H12613">
        <v>10</v>
      </c>
      <c r="I12613">
        <v>12.75</v>
      </c>
      <c r="J12613" s="50">
        <v>127.5</v>
      </c>
      <c r="K12613" t="s">
        <v>1618</v>
      </c>
      <c r="L12613" t="s">
        <v>4688</v>
      </c>
      <c r="M12613" t="s">
        <v>1619</v>
      </c>
      <c r="N12613">
        <v>6.73</v>
      </c>
      <c r="O12613" s="49">
        <v>45487</v>
      </c>
      <c r="P12613" s="50">
        <v>57.375</v>
      </c>
    </row>
    <row r="12614" spans="4:16" x14ac:dyDescent="0.2">
      <c r="D12614">
        <v>100007600</v>
      </c>
      <c r="E12614" s="49">
        <v>44670</v>
      </c>
      <c r="F12614" t="s">
        <v>8122</v>
      </c>
      <c r="G12614" t="s">
        <v>2553</v>
      </c>
      <c r="H12614">
        <v>6</v>
      </c>
      <c r="I12614">
        <v>96.31</v>
      </c>
      <c r="J12614" s="50">
        <v>577.86</v>
      </c>
      <c r="K12614" t="s">
        <v>1632</v>
      </c>
      <c r="M12614" t="s">
        <v>1629</v>
      </c>
      <c r="N12614">
        <v>50.83</v>
      </c>
      <c r="O12614" s="49">
        <v>44673</v>
      </c>
      <c r="P12614" s="50">
        <v>260.03700000000003</v>
      </c>
    </row>
    <row r="12615" spans="4:16" x14ac:dyDescent="0.2">
      <c r="D12615">
        <v>100007602</v>
      </c>
      <c r="E12615" s="49">
        <v>45354</v>
      </c>
      <c r="F12615" t="s">
        <v>5260</v>
      </c>
      <c r="G12615" t="s">
        <v>2328</v>
      </c>
      <c r="H12615">
        <v>10</v>
      </c>
      <c r="I12615">
        <v>82.5</v>
      </c>
      <c r="J12615" s="50">
        <v>825</v>
      </c>
      <c r="K12615" t="s">
        <v>1632</v>
      </c>
      <c r="L12615" t="s">
        <v>8123</v>
      </c>
      <c r="M12615" t="s">
        <v>1627</v>
      </c>
      <c r="N12615">
        <v>43.54</v>
      </c>
      <c r="O12615" s="49">
        <v>45355</v>
      </c>
      <c r="P12615" s="50">
        <v>371.25</v>
      </c>
    </row>
    <row r="12616" spans="4:16" x14ac:dyDescent="0.2">
      <c r="D12616">
        <v>100007602</v>
      </c>
      <c r="E12616" s="49">
        <v>44717</v>
      </c>
      <c r="F12616" t="s">
        <v>5260</v>
      </c>
      <c r="G12616" t="s">
        <v>1785</v>
      </c>
      <c r="H12616">
        <v>3</v>
      </c>
      <c r="I12616">
        <v>114.48</v>
      </c>
      <c r="J12616" s="50">
        <v>343.44</v>
      </c>
      <c r="K12616" t="s">
        <v>1632</v>
      </c>
      <c r="L12616" t="s">
        <v>8123</v>
      </c>
      <c r="M12616" t="s">
        <v>1624</v>
      </c>
      <c r="N12616">
        <v>60.42</v>
      </c>
      <c r="O12616" s="49">
        <v>44720</v>
      </c>
      <c r="P12616" s="50">
        <v>154.548</v>
      </c>
    </row>
    <row r="12617" spans="4:16" x14ac:dyDescent="0.2">
      <c r="D12617">
        <v>100007602</v>
      </c>
      <c r="E12617" s="49">
        <v>44647</v>
      </c>
      <c r="F12617" t="s">
        <v>5260</v>
      </c>
      <c r="G12617" t="s">
        <v>2633</v>
      </c>
      <c r="H12617">
        <v>9</v>
      </c>
      <c r="I12617">
        <v>99.63</v>
      </c>
      <c r="J12617" s="50">
        <v>896.67</v>
      </c>
      <c r="K12617" t="s">
        <v>1632</v>
      </c>
      <c r="L12617" t="s">
        <v>8123</v>
      </c>
      <c r="M12617" t="s">
        <v>1619</v>
      </c>
      <c r="N12617">
        <v>52.58</v>
      </c>
      <c r="O12617" s="49">
        <v>44651</v>
      </c>
      <c r="P12617" s="50">
        <v>403.50149999999996</v>
      </c>
    </row>
    <row r="12618" spans="4:16" x14ac:dyDescent="0.2">
      <c r="D12618">
        <v>100007602</v>
      </c>
      <c r="E12618" s="49">
        <v>44863</v>
      </c>
      <c r="F12618" t="s">
        <v>5260</v>
      </c>
      <c r="G12618" t="s">
        <v>2460</v>
      </c>
      <c r="H12618">
        <v>10</v>
      </c>
      <c r="I12618">
        <v>50.99</v>
      </c>
      <c r="J12618" s="50">
        <v>509.9</v>
      </c>
      <c r="K12618" t="s">
        <v>1632</v>
      </c>
      <c r="L12618" t="s">
        <v>8123</v>
      </c>
      <c r="M12618" t="s">
        <v>1627</v>
      </c>
      <c r="N12618">
        <v>26.91</v>
      </c>
      <c r="O12618" s="49">
        <v>44864</v>
      </c>
      <c r="P12618" s="50">
        <v>229.45499999999998</v>
      </c>
    </row>
    <row r="12619" spans="4:16" x14ac:dyDescent="0.2">
      <c r="D12619">
        <v>100007602</v>
      </c>
      <c r="E12619" s="49">
        <v>44389</v>
      </c>
      <c r="F12619" t="s">
        <v>5260</v>
      </c>
      <c r="G12619" t="s">
        <v>2138</v>
      </c>
      <c r="H12619">
        <v>5</v>
      </c>
      <c r="I12619">
        <v>38.67</v>
      </c>
      <c r="J12619" s="50">
        <v>193.35</v>
      </c>
      <c r="K12619" t="s">
        <v>1632</v>
      </c>
      <c r="L12619" t="s">
        <v>8123</v>
      </c>
      <c r="M12619" t="s">
        <v>1629</v>
      </c>
      <c r="N12619">
        <v>20.41</v>
      </c>
      <c r="O12619" s="49">
        <v>44393</v>
      </c>
      <c r="P12619" s="50">
        <v>87.007499999999993</v>
      </c>
    </row>
    <row r="12620" spans="4:16" x14ac:dyDescent="0.2">
      <c r="D12620">
        <v>100007603</v>
      </c>
      <c r="E12620" s="49">
        <v>45318</v>
      </c>
      <c r="F12620" t="s">
        <v>8124</v>
      </c>
      <c r="G12620" t="s">
        <v>1768</v>
      </c>
      <c r="H12620">
        <v>1</v>
      </c>
      <c r="I12620">
        <v>70.040000000000006</v>
      </c>
      <c r="J12620" s="50">
        <v>70.040000000000006</v>
      </c>
      <c r="K12620" t="s">
        <v>1618</v>
      </c>
      <c r="L12620" t="s">
        <v>2768</v>
      </c>
      <c r="M12620" t="s">
        <v>1619</v>
      </c>
      <c r="N12620">
        <v>36.97</v>
      </c>
      <c r="O12620" s="49">
        <v>45319</v>
      </c>
      <c r="P12620" s="50">
        <v>31.518000000000004</v>
      </c>
    </row>
    <row r="12621" spans="4:16" x14ac:dyDescent="0.2">
      <c r="D12621">
        <v>100007604</v>
      </c>
      <c r="E12621" s="49">
        <v>45001</v>
      </c>
      <c r="F12621" t="s">
        <v>8125</v>
      </c>
      <c r="G12621" t="s">
        <v>1882</v>
      </c>
      <c r="H12621">
        <v>7</v>
      </c>
      <c r="I12621">
        <v>106.46</v>
      </c>
      <c r="J12621" s="50">
        <v>745.21999999999991</v>
      </c>
      <c r="K12621" t="s">
        <v>1618</v>
      </c>
      <c r="M12621" t="s">
        <v>1619</v>
      </c>
      <c r="N12621">
        <v>56.19</v>
      </c>
      <c r="O12621" s="49">
        <v>45003</v>
      </c>
      <c r="P12621" s="50">
        <v>335.34899999999999</v>
      </c>
    </row>
    <row r="12622" spans="4:16" x14ac:dyDescent="0.2">
      <c r="D12622">
        <v>100007605</v>
      </c>
      <c r="E12622" s="49">
        <v>45046</v>
      </c>
      <c r="F12622" t="s">
        <v>8126</v>
      </c>
      <c r="G12622" t="s">
        <v>2373</v>
      </c>
      <c r="H12622">
        <v>4</v>
      </c>
      <c r="I12622">
        <v>110.81</v>
      </c>
      <c r="J12622" s="50">
        <v>443.24</v>
      </c>
      <c r="K12622" t="s">
        <v>1618</v>
      </c>
      <c r="M12622" t="s">
        <v>1621</v>
      </c>
      <c r="N12622">
        <v>58.48</v>
      </c>
      <c r="O12622" s="49">
        <v>45050</v>
      </c>
      <c r="P12622" s="50">
        <v>199.458</v>
      </c>
    </row>
    <row r="12623" spans="4:16" x14ac:dyDescent="0.2">
      <c r="D12623">
        <v>100007606</v>
      </c>
      <c r="E12623" s="49">
        <v>45041</v>
      </c>
      <c r="F12623" t="s">
        <v>8127</v>
      </c>
      <c r="G12623" t="s">
        <v>1921</v>
      </c>
      <c r="H12623">
        <v>9</v>
      </c>
      <c r="I12623">
        <v>88.58</v>
      </c>
      <c r="J12623" s="50">
        <v>797.22</v>
      </c>
      <c r="K12623" t="s">
        <v>1632</v>
      </c>
      <c r="M12623" t="s">
        <v>1619</v>
      </c>
      <c r="N12623">
        <v>46.75</v>
      </c>
      <c r="O12623" s="49">
        <v>45046</v>
      </c>
      <c r="P12623" s="50">
        <v>358.74900000000002</v>
      </c>
    </row>
    <row r="12624" spans="4:16" x14ac:dyDescent="0.2">
      <c r="D12624">
        <v>100007606</v>
      </c>
      <c r="E12624" s="49">
        <v>44224</v>
      </c>
      <c r="F12624" t="s">
        <v>8127</v>
      </c>
      <c r="G12624" t="s">
        <v>2042</v>
      </c>
      <c r="H12624">
        <v>9</v>
      </c>
      <c r="I12624">
        <v>109.04</v>
      </c>
      <c r="J12624" s="50">
        <v>981.36</v>
      </c>
      <c r="K12624" t="s">
        <v>1632</v>
      </c>
      <c r="M12624" t="s">
        <v>1627</v>
      </c>
      <c r="N12624">
        <v>57.55</v>
      </c>
      <c r="O12624" s="49">
        <v>44226</v>
      </c>
      <c r="P12624" s="50">
        <v>441.61200000000002</v>
      </c>
    </row>
    <row r="12625" spans="4:16" x14ac:dyDescent="0.2">
      <c r="D12625">
        <v>100007607</v>
      </c>
      <c r="E12625" s="49">
        <v>44784</v>
      </c>
      <c r="F12625" t="s">
        <v>8128</v>
      </c>
      <c r="G12625" t="s">
        <v>1797</v>
      </c>
      <c r="H12625">
        <v>5</v>
      </c>
      <c r="I12625">
        <v>39.729999999999997</v>
      </c>
      <c r="J12625" s="50">
        <v>198.65</v>
      </c>
      <c r="K12625" t="s">
        <v>1618</v>
      </c>
      <c r="L12625" t="s">
        <v>4624</v>
      </c>
      <c r="M12625" t="s">
        <v>1629</v>
      </c>
      <c r="N12625">
        <v>20.97</v>
      </c>
      <c r="O12625" s="49">
        <v>44786</v>
      </c>
      <c r="P12625" s="50">
        <v>89.392499999999998</v>
      </c>
    </row>
    <row r="12626" spans="4:16" x14ac:dyDescent="0.2">
      <c r="D12626">
        <v>100007608</v>
      </c>
      <c r="E12626" s="49">
        <v>44540</v>
      </c>
      <c r="F12626" t="s">
        <v>8129</v>
      </c>
      <c r="G12626" t="s">
        <v>1744</v>
      </c>
      <c r="H12626">
        <v>2</v>
      </c>
      <c r="I12626">
        <v>19.059999999999999</v>
      </c>
      <c r="J12626" s="50">
        <v>38.119999999999997</v>
      </c>
      <c r="K12626" t="s">
        <v>1618</v>
      </c>
      <c r="M12626" t="s">
        <v>1629</v>
      </c>
      <c r="N12626">
        <v>10.06</v>
      </c>
      <c r="O12626" s="49">
        <v>44544</v>
      </c>
      <c r="P12626" s="50">
        <v>17.154</v>
      </c>
    </row>
    <row r="12627" spans="4:16" x14ac:dyDescent="0.2">
      <c r="D12627">
        <v>100007608</v>
      </c>
      <c r="E12627" s="49">
        <v>44983</v>
      </c>
      <c r="F12627" t="s">
        <v>8129</v>
      </c>
      <c r="G12627" t="s">
        <v>1733</v>
      </c>
      <c r="H12627">
        <v>7</v>
      </c>
      <c r="I12627">
        <v>26.12</v>
      </c>
      <c r="J12627" s="50">
        <v>182.84</v>
      </c>
      <c r="K12627" t="s">
        <v>1618</v>
      </c>
      <c r="M12627" t="s">
        <v>1619</v>
      </c>
      <c r="N12627">
        <v>13.79</v>
      </c>
      <c r="O12627" s="49">
        <v>44984</v>
      </c>
      <c r="P12627" s="50">
        <v>82.278000000000006</v>
      </c>
    </row>
    <row r="12628" spans="4:16" x14ac:dyDescent="0.2">
      <c r="D12628">
        <v>100007608</v>
      </c>
      <c r="E12628" s="49">
        <v>44773</v>
      </c>
      <c r="F12628" t="s">
        <v>8129</v>
      </c>
      <c r="G12628" t="s">
        <v>2278</v>
      </c>
      <c r="H12628">
        <v>1</v>
      </c>
      <c r="I12628">
        <v>67.180000000000007</v>
      </c>
      <c r="J12628" s="50">
        <v>67.180000000000007</v>
      </c>
      <c r="K12628" t="s">
        <v>1618</v>
      </c>
      <c r="M12628" t="s">
        <v>1627</v>
      </c>
      <c r="N12628">
        <v>35.46</v>
      </c>
      <c r="O12628" s="49">
        <v>44776</v>
      </c>
      <c r="P12628" s="50">
        <v>30.231000000000005</v>
      </c>
    </row>
    <row r="12629" spans="4:16" x14ac:dyDescent="0.2">
      <c r="D12629">
        <v>100007608</v>
      </c>
      <c r="E12629" s="49">
        <v>44571</v>
      </c>
      <c r="F12629" t="s">
        <v>8129</v>
      </c>
      <c r="G12629" t="s">
        <v>2005</v>
      </c>
      <c r="H12629">
        <v>10</v>
      </c>
      <c r="I12629">
        <v>22.69</v>
      </c>
      <c r="J12629" s="50">
        <v>226.9</v>
      </c>
      <c r="K12629" t="s">
        <v>1618</v>
      </c>
      <c r="M12629" t="s">
        <v>1627</v>
      </c>
      <c r="N12629">
        <v>11.98</v>
      </c>
      <c r="O12629" s="49">
        <v>44573</v>
      </c>
      <c r="P12629" s="50">
        <v>102.105</v>
      </c>
    </row>
    <row r="12630" spans="4:16" x14ac:dyDescent="0.2">
      <c r="D12630">
        <v>100007608</v>
      </c>
      <c r="E12630" s="49">
        <v>45445</v>
      </c>
      <c r="F12630" t="s">
        <v>8129</v>
      </c>
      <c r="G12630" t="s">
        <v>1766</v>
      </c>
      <c r="H12630">
        <v>7</v>
      </c>
      <c r="I12630">
        <v>112.23</v>
      </c>
      <c r="J12630" s="50">
        <v>785.61</v>
      </c>
      <c r="K12630" t="s">
        <v>1618</v>
      </c>
      <c r="M12630" t="s">
        <v>1624</v>
      </c>
      <c r="N12630">
        <v>59.23</v>
      </c>
      <c r="O12630" s="49">
        <v>45447</v>
      </c>
      <c r="P12630" s="50">
        <v>353.52449999999999</v>
      </c>
    </row>
    <row r="12631" spans="4:16" x14ac:dyDescent="0.2">
      <c r="D12631">
        <v>100007609</v>
      </c>
      <c r="E12631" s="49">
        <v>44629</v>
      </c>
      <c r="F12631" t="s">
        <v>8130</v>
      </c>
      <c r="G12631" t="s">
        <v>1817</v>
      </c>
      <c r="H12631">
        <v>8</v>
      </c>
      <c r="I12631">
        <v>42.73</v>
      </c>
      <c r="J12631" s="50">
        <v>341.84</v>
      </c>
      <c r="K12631" t="s">
        <v>1618</v>
      </c>
      <c r="M12631" t="s">
        <v>1624</v>
      </c>
      <c r="N12631">
        <v>22.55</v>
      </c>
      <c r="O12631" s="49">
        <v>44634</v>
      </c>
      <c r="P12631" s="50">
        <v>153.828</v>
      </c>
    </row>
    <row r="12632" spans="4:16" x14ac:dyDescent="0.2">
      <c r="D12632">
        <v>100007609</v>
      </c>
      <c r="E12632" s="49">
        <v>45438</v>
      </c>
      <c r="F12632" t="s">
        <v>8130</v>
      </c>
      <c r="G12632" t="s">
        <v>2263</v>
      </c>
      <c r="H12632">
        <v>8</v>
      </c>
      <c r="I12632">
        <v>78.209999999999994</v>
      </c>
      <c r="J12632" s="50">
        <v>625.67999999999995</v>
      </c>
      <c r="K12632" t="s">
        <v>1618</v>
      </c>
      <c r="M12632" t="s">
        <v>1624</v>
      </c>
      <c r="N12632">
        <v>41.28</v>
      </c>
      <c r="O12632" s="49">
        <v>45439</v>
      </c>
      <c r="P12632" s="50">
        <v>281.55599999999998</v>
      </c>
    </row>
    <row r="12633" spans="4:16" x14ac:dyDescent="0.2">
      <c r="D12633">
        <v>100007609</v>
      </c>
      <c r="E12633" s="49">
        <v>44566</v>
      </c>
      <c r="F12633" t="s">
        <v>8130</v>
      </c>
      <c r="G12633" t="s">
        <v>1880</v>
      </c>
      <c r="H12633">
        <v>4</v>
      </c>
      <c r="I12633">
        <v>76.14</v>
      </c>
      <c r="J12633" s="50">
        <v>304.56</v>
      </c>
      <c r="K12633" t="s">
        <v>1618</v>
      </c>
      <c r="M12633" t="s">
        <v>1621</v>
      </c>
      <c r="N12633">
        <v>40.18</v>
      </c>
      <c r="O12633" s="49">
        <v>44570</v>
      </c>
      <c r="P12633" s="50">
        <v>137.05199999999999</v>
      </c>
    </row>
    <row r="12634" spans="4:16" x14ac:dyDescent="0.2">
      <c r="D12634">
        <v>100007609</v>
      </c>
      <c r="E12634" s="49">
        <v>44428</v>
      </c>
      <c r="F12634" t="s">
        <v>8130</v>
      </c>
      <c r="G12634" t="s">
        <v>2150</v>
      </c>
      <c r="H12634">
        <v>6</v>
      </c>
      <c r="I12634">
        <v>33.64</v>
      </c>
      <c r="J12634" s="50">
        <v>201.84</v>
      </c>
      <c r="K12634" t="s">
        <v>1618</v>
      </c>
      <c r="M12634" t="s">
        <v>1627</v>
      </c>
      <c r="N12634">
        <v>17.75</v>
      </c>
      <c r="O12634" s="49">
        <v>44432</v>
      </c>
      <c r="P12634" s="50">
        <v>90.828000000000003</v>
      </c>
    </row>
    <row r="12635" spans="4:16" x14ac:dyDescent="0.2">
      <c r="D12635">
        <v>100007610</v>
      </c>
      <c r="E12635" s="49">
        <v>44992</v>
      </c>
      <c r="F12635" t="s">
        <v>8131</v>
      </c>
      <c r="G12635" t="s">
        <v>1865</v>
      </c>
      <c r="H12635">
        <v>3</v>
      </c>
      <c r="I12635">
        <v>46.49</v>
      </c>
      <c r="J12635" s="50">
        <v>139.47</v>
      </c>
      <c r="K12635" t="s">
        <v>1618</v>
      </c>
      <c r="M12635" t="s">
        <v>1621</v>
      </c>
      <c r="N12635">
        <v>24.54</v>
      </c>
      <c r="O12635" s="49">
        <v>44997</v>
      </c>
      <c r="P12635" s="50">
        <v>62.761499999999998</v>
      </c>
    </row>
    <row r="12636" spans="4:16" x14ac:dyDescent="0.2">
      <c r="D12636">
        <v>100007611</v>
      </c>
      <c r="E12636" s="49">
        <v>45119</v>
      </c>
      <c r="F12636" t="s">
        <v>8132</v>
      </c>
      <c r="G12636" t="s">
        <v>1650</v>
      </c>
      <c r="H12636">
        <v>7</v>
      </c>
      <c r="I12636">
        <v>53.84</v>
      </c>
      <c r="J12636" s="50">
        <v>376.88</v>
      </c>
      <c r="K12636" t="s">
        <v>1632</v>
      </c>
      <c r="M12636" t="s">
        <v>1624</v>
      </c>
      <c r="N12636">
        <v>28.42</v>
      </c>
      <c r="O12636" s="49">
        <v>45123</v>
      </c>
      <c r="P12636" s="50">
        <v>169.596</v>
      </c>
    </row>
    <row r="12637" spans="4:16" x14ac:dyDescent="0.2">
      <c r="D12637">
        <v>100007611</v>
      </c>
      <c r="E12637" s="49">
        <v>45455</v>
      </c>
      <c r="F12637" t="s">
        <v>8132</v>
      </c>
      <c r="G12637" t="s">
        <v>2291</v>
      </c>
      <c r="H12637">
        <v>8</v>
      </c>
      <c r="I12637">
        <v>28.39</v>
      </c>
      <c r="J12637" s="50">
        <v>227.12</v>
      </c>
      <c r="K12637" t="s">
        <v>1632</v>
      </c>
      <c r="M12637" t="s">
        <v>1627</v>
      </c>
      <c r="N12637">
        <v>14.98</v>
      </c>
      <c r="O12637" s="49">
        <v>45456</v>
      </c>
      <c r="P12637" s="50">
        <v>102.20400000000001</v>
      </c>
    </row>
    <row r="12638" spans="4:16" x14ac:dyDescent="0.2">
      <c r="D12638">
        <v>100007611</v>
      </c>
      <c r="E12638" s="49">
        <v>44586</v>
      </c>
      <c r="F12638" t="s">
        <v>8132</v>
      </c>
      <c r="G12638" t="s">
        <v>2357</v>
      </c>
      <c r="H12638">
        <v>4</v>
      </c>
      <c r="I12638">
        <v>118.64</v>
      </c>
      <c r="J12638" s="50">
        <v>474.56</v>
      </c>
      <c r="K12638" t="s">
        <v>1632</v>
      </c>
      <c r="M12638" t="s">
        <v>1619</v>
      </c>
      <c r="N12638">
        <v>62.62</v>
      </c>
      <c r="O12638" s="49">
        <v>44589</v>
      </c>
      <c r="P12638" s="50">
        <v>213.55199999999999</v>
      </c>
    </row>
    <row r="12639" spans="4:16" x14ac:dyDescent="0.2">
      <c r="D12639">
        <v>100007611</v>
      </c>
      <c r="E12639" s="49">
        <v>45256</v>
      </c>
      <c r="F12639" t="s">
        <v>8132</v>
      </c>
      <c r="G12639" t="s">
        <v>1712</v>
      </c>
      <c r="H12639">
        <v>10</v>
      </c>
      <c r="I12639">
        <v>20.8</v>
      </c>
      <c r="J12639" s="50">
        <v>208</v>
      </c>
      <c r="K12639" t="s">
        <v>1632</v>
      </c>
      <c r="M12639" t="s">
        <v>1629</v>
      </c>
      <c r="N12639">
        <v>10.98</v>
      </c>
      <c r="O12639" s="49">
        <v>45258</v>
      </c>
      <c r="P12639" s="50">
        <v>93.600000000000009</v>
      </c>
    </row>
    <row r="12640" spans="4:16" x14ac:dyDescent="0.2">
      <c r="D12640">
        <v>100007611</v>
      </c>
      <c r="E12640" s="49">
        <v>44496</v>
      </c>
      <c r="F12640" t="s">
        <v>8132</v>
      </c>
      <c r="G12640" t="s">
        <v>1978</v>
      </c>
      <c r="H12640">
        <v>10</v>
      </c>
      <c r="I12640">
        <v>31.81</v>
      </c>
      <c r="J12640" s="50">
        <v>318.10000000000002</v>
      </c>
      <c r="K12640" t="s">
        <v>1632</v>
      </c>
      <c r="M12640" t="s">
        <v>1621</v>
      </c>
      <c r="N12640">
        <v>16.79</v>
      </c>
      <c r="O12640" s="49">
        <v>44500</v>
      </c>
      <c r="P12640" s="50">
        <v>143.14500000000001</v>
      </c>
    </row>
    <row r="12641" spans="4:16" x14ac:dyDescent="0.2">
      <c r="D12641">
        <v>100007611</v>
      </c>
      <c r="E12641" s="49">
        <v>44550</v>
      </c>
      <c r="F12641" t="s">
        <v>8132</v>
      </c>
      <c r="G12641" t="s">
        <v>1707</v>
      </c>
      <c r="H12641">
        <v>7</v>
      </c>
      <c r="I12641">
        <v>92.63</v>
      </c>
      <c r="J12641" s="50">
        <v>648.41</v>
      </c>
      <c r="K12641" t="s">
        <v>1632</v>
      </c>
      <c r="M12641" t="s">
        <v>1627</v>
      </c>
      <c r="N12641">
        <v>48.89</v>
      </c>
      <c r="O12641" s="49">
        <v>44551</v>
      </c>
      <c r="P12641" s="50">
        <v>291.78449999999998</v>
      </c>
    </row>
    <row r="12642" spans="4:16" x14ac:dyDescent="0.2">
      <c r="D12642">
        <v>100007611</v>
      </c>
      <c r="E12642" s="49">
        <v>44871</v>
      </c>
      <c r="F12642" t="s">
        <v>8132</v>
      </c>
      <c r="G12642" t="s">
        <v>2380</v>
      </c>
      <c r="H12642">
        <v>7</v>
      </c>
      <c r="I12642">
        <v>16.170000000000002</v>
      </c>
      <c r="J12642" s="50">
        <v>113.19</v>
      </c>
      <c r="K12642" t="s">
        <v>1632</v>
      </c>
      <c r="M12642" t="s">
        <v>1624</v>
      </c>
      <c r="N12642">
        <v>8.5299999999999994</v>
      </c>
      <c r="O12642" s="49">
        <v>44873</v>
      </c>
      <c r="P12642" s="50">
        <v>50.935499999999998</v>
      </c>
    </row>
    <row r="12643" spans="4:16" x14ac:dyDescent="0.2">
      <c r="D12643">
        <v>100007611</v>
      </c>
      <c r="E12643" s="49">
        <v>44651</v>
      </c>
      <c r="F12643" t="s">
        <v>8132</v>
      </c>
      <c r="G12643" t="s">
        <v>2465</v>
      </c>
      <c r="H12643">
        <v>5</v>
      </c>
      <c r="I12643">
        <v>56.12</v>
      </c>
      <c r="J12643" s="50">
        <v>280.60000000000002</v>
      </c>
      <c r="K12643" t="s">
        <v>1632</v>
      </c>
      <c r="M12643" t="s">
        <v>1619</v>
      </c>
      <c r="N12643">
        <v>29.62</v>
      </c>
      <c r="O12643" s="49">
        <v>44656</v>
      </c>
      <c r="P12643" s="50">
        <v>126.27000000000001</v>
      </c>
    </row>
    <row r="12644" spans="4:16" x14ac:dyDescent="0.2">
      <c r="D12644">
        <v>100007613</v>
      </c>
      <c r="E12644" s="49">
        <v>44331</v>
      </c>
      <c r="F12644" t="s">
        <v>8133</v>
      </c>
      <c r="G12644" t="s">
        <v>1733</v>
      </c>
      <c r="H12644">
        <v>8</v>
      </c>
      <c r="I12644">
        <v>51.21</v>
      </c>
      <c r="J12644" s="50">
        <v>409.68</v>
      </c>
      <c r="K12644" t="s">
        <v>1632</v>
      </c>
      <c r="M12644" t="s">
        <v>1624</v>
      </c>
      <c r="N12644">
        <v>27.03</v>
      </c>
      <c r="O12644" s="49">
        <v>44333</v>
      </c>
      <c r="P12644" s="50">
        <v>184.35599999999999</v>
      </c>
    </row>
    <row r="12645" spans="4:16" x14ac:dyDescent="0.2">
      <c r="D12645">
        <v>100007615</v>
      </c>
      <c r="E12645" s="49">
        <v>45323</v>
      </c>
      <c r="F12645" t="s">
        <v>8134</v>
      </c>
      <c r="G12645" t="s">
        <v>1686</v>
      </c>
      <c r="H12645">
        <v>1</v>
      </c>
      <c r="I12645">
        <v>86.57</v>
      </c>
      <c r="J12645" s="50">
        <v>86.57</v>
      </c>
      <c r="K12645" t="s">
        <v>1632</v>
      </c>
      <c r="L12645" t="s">
        <v>8135</v>
      </c>
      <c r="M12645" t="s">
        <v>1621</v>
      </c>
      <c r="N12645">
        <v>45.69</v>
      </c>
      <c r="O12645" s="49">
        <v>45324</v>
      </c>
      <c r="P12645" s="50">
        <v>38.956499999999998</v>
      </c>
    </row>
    <row r="12646" spans="4:16" x14ac:dyDescent="0.2">
      <c r="D12646">
        <v>100007615</v>
      </c>
      <c r="E12646" s="49">
        <v>45598</v>
      </c>
      <c r="F12646" t="s">
        <v>8134</v>
      </c>
      <c r="G12646" t="s">
        <v>2210</v>
      </c>
      <c r="H12646">
        <v>3</v>
      </c>
      <c r="I12646">
        <v>36.99</v>
      </c>
      <c r="J12646" s="50">
        <v>110.97</v>
      </c>
      <c r="K12646" t="s">
        <v>1632</v>
      </c>
      <c r="L12646" t="s">
        <v>8135</v>
      </c>
      <c r="M12646" t="s">
        <v>1627</v>
      </c>
      <c r="N12646">
        <v>19.52</v>
      </c>
      <c r="O12646" s="49">
        <v>45600</v>
      </c>
      <c r="P12646" s="50">
        <v>49.936500000000002</v>
      </c>
    </row>
    <row r="12647" spans="4:16" x14ac:dyDescent="0.2">
      <c r="D12647">
        <v>100007616</v>
      </c>
      <c r="E12647" s="49">
        <v>44761</v>
      </c>
      <c r="F12647" t="s">
        <v>8136</v>
      </c>
      <c r="G12647" t="s">
        <v>1717</v>
      </c>
      <c r="H12647">
        <v>2</v>
      </c>
      <c r="I12647">
        <v>34.47</v>
      </c>
      <c r="J12647" s="50">
        <v>68.94</v>
      </c>
      <c r="K12647" t="s">
        <v>1632</v>
      </c>
      <c r="M12647" t="s">
        <v>1621</v>
      </c>
      <c r="N12647">
        <v>18.190000000000001</v>
      </c>
      <c r="O12647" s="49">
        <v>44764</v>
      </c>
      <c r="P12647" s="50">
        <v>31.023</v>
      </c>
    </row>
    <row r="12648" spans="4:16" x14ac:dyDescent="0.2">
      <c r="D12648">
        <v>100007616</v>
      </c>
      <c r="E12648" s="49">
        <v>45482</v>
      </c>
      <c r="F12648" t="s">
        <v>8136</v>
      </c>
      <c r="G12648" t="s">
        <v>1720</v>
      </c>
      <c r="H12648">
        <v>4</v>
      </c>
      <c r="I12648">
        <v>14.29</v>
      </c>
      <c r="J12648" s="50">
        <v>57.16</v>
      </c>
      <c r="K12648" t="s">
        <v>1632</v>
      </c>
      <c r="M12648" t="s">
        <v>1627</v>
      </c>
      <c r="N12648">
        <v>7.54</v>
      </c>
      <c r="O12648" s="49">
        <v>45486</v>
      </c>
      <c r="P12648" s="50">
        <v>25.721999999999998</v>
      </c>
    </row>
    <row r="12649" spans="4:16" x14ac:dyDescent="0.2">
      <c r="D12649">
        <v>100007616</v>
      </c>
      <c r="E12649" s="49">
        <v>44888</v>
      </c>
      <c r="F12649" t="s">
        <v>8136</v>
      </c>
      <c r="G12649" t="s">
        <v>1817</v>
      </c>
      <c r="H12649">
        <v>10</v>
      </c>
      <c r="I12649">
        <v>118.92</v>
      </c>
      <c r="J12649" s="50">
        <v>1189.2</v>
      </c>
      <c r="K12649" t="s">
        <v>1632</v>
      </c>
      <c r="M12649" t="s">
        <v>1621</v>
      </c>
      <c r="N12649">
        <v>62.76</v>
      </c>
      <c r="O12649" s="49">
        <v>44891</v>
      </c>
      <c r="P12649" s="50">
        <v>535.14</v>
      </c>
    </row>
    <row r="12650" spans="4:16" x14ac:dyDescent="0.2">
      <c r="D12650">
        <v>100007616</v>
      </c>
      <c r="E12650" s="49">
        <v>45094</v>
      </c>
      <c r="F12650" t="s">
        <v>8136</v>
      </c>
      <c r="G12650" t="s">
        <v>2111</v>
      </c>
      <c r="H12650">
        <v>1</v>
      </c>
      <c r="I12650">
        <v>20.420000000000002</v>
      </c>
      <c r="J12650" s="50">
        <v>20.420000000000002</v>
      </c>
      <c r="K12650" t="s">
        <v>1632</v>
      </c>
      <c r="M12650" t="s">
        <v>1621</v>
      </c>
      <c r="N12650">
        <v>10.78</v>
      </c>
      <c r="O12650" s="49">
        <v>45098</v>
      </c>
      <c r="P12650" s="50">
        <v>9.1890000000000018</v>
      </c>
    </row>
    <row r="12651" spans="4:16" x14ac:dyDescent="0.2">
      <c r="D12651">
        <v>100007616</v>
      </c>
      <c r="E12651" s="49">
        <v>44916</v>
      </c>
      <c r="F12651" t="s">
        <v>8136</v>
      </c>
      <c r="G12651" t="s">
        <v>2213</v>
      </c>
      <c r="H12651">
        <v>10</v>
      </c>
      <c r="I12651">
        <v>20.9</v>
      </c>
      <c r="J12651" s="50">
        <v>209</v>
      </c>
      <c r="K12651" t="s">
        <v>1632</v>
      </c>
      <c r="M12651" t="s">
        <v>1629</v>
      </c>
      <c r="N12651">
        <v>11.03</v>
      </c>
      <c r="O12651" s="49">
        <v>44918</v>
      </c>
      <c r="P12651" s="50">
        <v>94.05</v>
      </c>
    </row>
    <row r="12652" spans="4:16" x14ac:dyDescent="0.2">
      <c r="D12652">
        <v>100007617</v>
      </c>
      <c r="E12652" s="49">
        <v>45493</v>
      </c>
      <c r="F12652" t="s">
        <v>8137</v>
      </c>
      <c r="G12652" t="s">
        <v>1893</v>
      </c>
      <c r="H12652">
        <v>9</v>
      </c>
      <c r="I12652">
        <v>113.87</v>
      </c>
      <c r="J12652" s="50">
        <v>1024.83</v>
      </c>
      <c r="K12652" t="s">
        <v>1618</v>
      </c>
      <c r="M12652" t="s">
        <v>1621</v>
      </c>
      <c r="N12652">
        <v>60.1</v>
      </c>
      <c r="O12652" s="49">
        <v>45497</v>
      </c>
      <c r="P12652" s="50">
        <v>461.17349999999999</v>
      </c>
    </row>
    <row r="12653" spans="4:16" x14ac:dyDescent="0.2">
      <c r="D12653">
        <v>100007617</v>
      </c>
      <c r="E12653" s="49">
        <v>45062</v>
      </c>
      <c r="F12653" t="s">
        <v>8137</v>
      </c>
      <c r="G12653" t="s">
        <v>1723</v>
      </c>
      <c r="H12653">
        <v>6</v>
      </c>
      <c r="I12653">
        <v>80.040000000000006</v>
      </c>
      <c r="J12653" s="50">
        <v>480.24</v>
      </c>
      <c r="K12653" t="s">
        <v>1618</v>
      </c>
      <c r="M12653" t="s">
        <v>1624</v>
      </c>
      <c r="N12653">
        <v>42.24</v>
      </c>
      <c r="O12653" s="49">
        <v>45064</v>
      </c>
      <c r="P12653" s="50">
        <v>216.108</v>
      </c>
    </row>
    <row r="12654" spans="4:16" x14ac:dyDescent="0.2">
      <c r="D12654">
        <v>100007617</v>
      </c>
      <c r="E12654" s="49">
        <v>44394</v>
      </c>
      <c r="F12654" t="s">
        <v>8137</v>
      </c>
      <c r="G12654" t="s">
        <v>1928</v>
      </c>
      <c r="H12654">
        <v>7</v>
      </c>
      <c r="I12654">
        <v>104.18</v>
      </c>
      <c r="J12654" s="50">
        <v>729.26</v>
      </c>
      <c r="K12654" t="s">
        <v>1618</v>
      </c>
      <c r="M12654" t="s">
        <v>1629</v>
      </c>
      <c r="N12654">
        <v>54.98</v>
      </c>
      <c r="O12654" s="49">
        <v>44395</v>
      </c>
      <c r="P12654" s="50">
        <v>328.16700000000003</v>
      </c>
    </row>
    <row r="12655" spans="4:16" x14ac:dyDescent="0.2">
      <c r="D12655">
        <v>100007617</v>
      </c>
      <c r="E12655" s="49">
        <v>44417</v>
      </c>
      <c r="F12655" t="s">
        <v>8137</v>
      </c>
      <c r="G12655" t="s">
        <v>1712</v>
      </c>
      <c r="H12655">
        <v>2</v>
      </c>
      <c r="I12655">
        <v>30.95</v>
      </c>
      <c r="J12655" s="50">
        <v>61.9</v>
      </c>
      <c r="K12655" t="s">
        <v>1618</v>
      </c>
      <c r="M12655" t="s">
        <v>1619</v>
      </c>
      <c r="N12655">
        <v>16.329999999999998</v>
      </c>
      <c r="O12655" s="49">
        <v>44422</v>
      </c>
      <c r="P12655" s="50">
        <v>27.855</v>
      </c>
    </row>
    <row r="12656" spans="4:16" x14ac:dyDescent="0.2">
      <c r="D12656">
        <v>100007617</v>
      </c>
      <c r="E12656" s="49">
        <v>45552</v>
      </c>
      <c r="F12656" t="s">
        <v>8137</v>
      </c>
      <c r="G12656" t="s">
        <v>2111</v>
      </c>
      <c r="H12656">
        <v>8</v>
      </c>
      <c r="I12656">
        <v>65.86</v>
      </c>
      <c r="J12656" s="50">
        <v>526.88</v>
      </c>
      <c r="K12656" t="s">
        <v>1618</v>
      </c>
      <c r="M12656" t="s">
        <v>1629</v>
      </c>
      <c r="N12656">
        <v>34.76</v>
      </c>
      <c r="O12656" s="49">
        <v>45555</v>
      </c>
      <c r="P12656" s="50">
        <v>237.096</v>
      </c>
    </row>
    <row r="12657" spans="4:16" x14ac:dyDescent="0.2">
      <c r="D12657">
        <v>100007617</v>
      </c>
      <c r="E12657" s="49">
        <v>44268</v>
      </c>
      <c r="F12657" t="s">
        <v>8137</v>
      </c>
      <c r="G12657" t="s">
        <v>1880</v>
      </c>
      <c r="H12657">
        <v>9</v>
      </c>
      <c r="I12657">
        <v>60.66</v>
      </c>
      <c r="J12657" s="50">
        <v>545.93999999999994</v>
      </c>
      <c r="K12657" t="s">
        <v>1618</v>
      </c>
      <c r="M12657" t="s">
        <v>1619</v>
      </c>
      <c r="N12657">
        <v>32.01</v>
      </c>
      <c r="O12657" s="49">
        <v>44270</v>
      </c>
      <c r="P12657" s="50">
        <v>245.67299999999997</v>
      </c>
    </row>
    <row r="12658" spans="4:16" x14ac:dyDescent="0.2">
      <c r="D12658">
        <v>100007618</v>
      </c>
      <c r="E12658" s="49">
        <v>45006</v>
      </c>
      <c r="F12658" t="s">
        <v>8138</v>
      </c>
      <c r="G12658" t="s">
        <v>2074</v>
      </c>
      <c r="H12658">
        <v>9</v>
      </c>
      <c r="I12658">
        <v>112.4</v>
      </c>
      <c r="J12658" s="50">
        <v>1011.6</v>
      </c>
      <c r="K12658" t="s">
        <v>1618</v>
      </c>
      <c r="M12658" t="s">
        <v>1619</v>
      </c>
      <c r="N12658">
        <v>59.32</v>
      </c>
      <c r="O12658" s="49">
        <v>45010</v>
      </c>
      <c r="P12658" s="50">
        <v>455.22</v>
      </c>
    </row>
    <row r="12659" spans="4:16" x14ac:dyDescent="0.2">
      <c r="D12659">
        <v>100007618</v>
      </c>
      <c r="E12659" s="49">
        <v>44693</v>
      </c>
      <c r="F12659" t="s">
        <v>8138</v>
      </c>
      <c r="G12659" t="s">
        <v>2151</v>
      </c>
      <c r="H12659">
        <v>6</v>
      </c>
      <c r="I12659">
        <v>98.27</v>
      </c>
      <c r="J12659" s="50">
        <v>589.62</v>
      </c>
      <c r="K12659" t="s">
        <v>1618</v>
      </c>
      <c r="M12659" t="s">
        <v>1627</v>
      </c>
      <c r="N12659">
        <v>51.86</v>
      </c>
      <c r="O12659" s="49">
        <v>44694</v>
      </c>
      <c r="P12659" s="50">
        <v>265.32900000000001</v>
      </c>
    </row>
    <row r="12660" spans="4:16" x14ac:dyDescent="0.2">
      <c r="D12660">
        <v>100007618</v>
      </c>
      <c r="E12660" s="49">
        <v>44762</v>
      </c>
      <c r="F12660" t="s">
        <v>8138</v>
      </c>
      <c r="G12660" t="s">
        <v>2553</v>
      </c>
      <c r="H12660">
        <v>7</v>
      </c>
      <c r="I12660">
        <v>30.25</v>
      </c>
      <c r="J12660" s="50">
        <v>211.75</v>
      </c>
      <c r="K12660" t="s">
        <v>1618</v>
      </c>
      <c r="M12660" t="s">
        <v>1619</v>
      </c>
      <c r="N12660">
        <v>15.97</v>
      </c>
      <c r="O12660" s="49">
        <v>44765</v>
      </c>
      <c r="P12660" s="50">
        <v>95.287500000000009</v>
      </c>
    </row>
    <row r="12661" spans="4:16" x14ac:dyDescent="0.2">
      <c r="D12661">
        <v>100007619</v>
      </c>
      <c r="E12661" s="49">
        <v>45545</v>
      </c>
      <c r="F12661" t="s">
        <v>8139</v>
      </c>
      <c r="G12661" t="s">
        <v>1864</v>
      </c>
      <c r="H12661">
        <v>6</v>
      </c>
      <c r="I12661">
        <v>26.4</v>
      </c>
      <c r="J12661" s="50">
        <v>158.4</v>
      </c>
      <c r="K12661" t="s">
        <v>1632</v>
      </c>
      <c r="M12661" t="s">
        <v>1627</v>
      </c>
      <c r="N12661">
        <v>13.93</v>
      </c>
      <c r="O12661" s="49">
        <v>45550</v>
      </c>
      <c r="P12661" s="50">
        <v>71.28</v>
      </c>
    </row>
    <row r="12662" spans="4:16" x14ac:dyDescent="0.2">
      <c r="D12662">
        <v>100007620</v>
      </c>
      <c r="E12662" s="49">
        <v>45325</v>
      </c>
      <c r="F12662" t="s">
        <v>8140</v>
      </c>
      <c r="G12662" t="s">
        <v>1719</v>
      </c>
      <c r="H12662">
        <v>10</v>
      </c>
      <c r="I12662">
        <v>119.02</v>
      </c>
      <c r="J12662" s="50">
        <v>1190.2</v>
      </c>
      <c r="K12662" t="s">
        <v>1632</v>
      </c>
      <c r="M12662" t="s">
        <v>1619</v>
      </c>
      <c r="N12662">
        <v>62.82</v>
      </c>
      <c r="O12662" s="49">
        <v>45330</v>
      </c>
      <c r="P12662" s="50">
        <v>535.59</v>
      </c>
    </row>
    <row r="12663" spans="4:16" x14ac:dyDescent="0.2">
      <c r="D12663">
        <v>100007623</v>
      </c>
      <c r="E12663" s="49">
        <v>44530</v>
      </c>
      <c r="F12663" t="s">
        <v>8141</v>
      </c>
      <c r="G12663" t="s">
        <v>1872</v>
      </c>
      <c r="H12663">
        <v>7</v>
      </c>
      <c r="I12663">
        <v>75.569999999999993</v>
      </c>
      <c r="J12663" s="50">
        <v>528.99</v>
      </c>
      <c r="K12663" t="s">
        <v>1632</v>
      </c>
      <c r="L12663" t="s">
        <v>2227</v>
      </c>
      <c r="M12663" t="s">
        <v>1624</v>
      </c>
      <c r="N12663">
        <v>39.880000000000003</v>
      </c>
      <c r="O12663" s="49">
        <v>44534</v>
      </c>
      <c r="P12663" s="50">
        <v>238.0455</v>
      </c>
    </row>
    <row r="12664" spans="4:16" x14ac:dyDescent="0.2">
      <c r="D12664">
        <v>100007624</v>
      </c>
      <c r="E12664" s="49">
        <v>45053</v>
      </c>
      <c r="F12664" t="s">
        <v>8142</v>
      </c>
      <c r="G12664" t="s">
        <v>1631</v>
      </c>
      <c r="H12664">
        <v>7</v>
      </c>
      <c r="I12664">
        <v>11</v>
      </c>
      <c r="J12664" s="50">
        <v>77</v>
      </c>
      <c r="K12664" t="s">
        <v>1618</v>
      </c>
      <c r="L12664" t="s">
        <v>6900</v>
      </c>
      <c r="M12664" t="s">
        <v>1624</v>
      </c>
      <c r="N12664">
        <v>5.81</v>
      </c>
      <c r="O12664" s="49">
        <v>45054</v>
      </c>
      <c r="P12664" s="50">
        <v>34.65</v>
      </c>
    </row>
    <row r="12665" spans="4:16" x14ac:dyDescent="0.2">
      <c r="D12665">
        <v>100007625</v>
      </c>
      <c r="E12665" s="49">
        <v>45140</v>
      </c>
      <c r="F12665" t="s">
        <v>8143</v>
      </c>
      <c r="G12665" t="s">
        <v>1978</v>
      </c>
      <c r="H12665">
        <v>10</v>
      </c>
      <c r="I12665">
        <v>70.739999999999995</v>
      </c>
      <c r="J12665" s="50">
        <v>707.4</v>
      </c>
      <c r="K12665" t="s">
        <v>1632</v>
      </c>
      <c r="M12665" t="s">
        <v>1621</v>
      </c>
      <c r="N12665">
        <v>37.33</v>
      </c>
      <c r="O12665" s="49">
        <v>45142</v>
      </c>
      <c r="P12665" s="50">
        <v>318.33</v>
      </c>
    </row>
    <row r="12666" spans="4:16" x14ac:dyDescent="0.2">
      <c r="D12666">
        <v>100007626</v>
      </c>
      <c r="E12666" s="49">
        <v>45493</v>
      </c>
      <c r="F12666" t="s">
        <v>8144</v>
      </c>
      <c r="G12666" t="s">
        <v>2707</v>
      </c>
      <c r="H12666">
        <v>9</v>
      </c>
      <c r="I12666">
        <v>49.55</v>
      </c>
      <c r="J12666" s="50">
        <v>445.95</v>
      </c>
      <c r="K12666" t="s">
        <v>1632</v>
      </c>
      <c r="M12666" t="s">
        <v>1621</v>
      </c>
      <c r="N12666">
        <v>26.15</v>
      </c>
      <c r="O12666" s="49">
        <v>45495</v>
      </c>
      <c r="P12666" s="50">
        <v>200.67750000000001</v>
      </c>
    </row>
    <row r="12667" spans="4:16" x14ac:dyDescent="0.2">
      <c r="D12667">
        <v>100007627</v>
      </c>
      <c r="E12667" s="49">
        <v>44333</v>
      </c>
      <c r="F12667" t="s">
        <v>8145</v>
      </c>
      <c r="G12667" t="s">
        <v>1916</v>
      </c>
      <c r="H12667">
        <v>7</v>
      </c>
      <c r="I12667">
        <v>104.36</v>
      </c>
      <c r="J12667" s="50">
        <v>730.52</v>
      </c>
      <c r="K12667" t="s">
        <v>1618</v>
      </c>
      <c r="L12667" t="s">
        <v>8146</v>
      </c>
      <c r="M12667" t="s">
        <v>1629</v>
      </c>
      <c r="N12667">
        <v>55.08</v>
      </c>
      <c r="O12667" s="49">
        <v>44336</v>
      </c>
      <c r="P12667" s="50">
        <v>328.73399999999998</v>
      </c>
    </row>
    <row r="12668" spans="4:16" x14ac:dyDescent="0.2">
      <c r="D12668">
        <v>100007627</v>
      </c>
      <c r="E12668" s="49">
        <v>45145</v>
      </c>
      <c r="F12668" t="s">
        <v>8145</v>
      </c>
      <c r="G12668" t="s">
        <v>2194</v>
      </c>
      <c r="H12668">
        <v>1</v>
      </c>
      <c r="I12668">
        <v>55.18</v>
      </c>
      <c r="J12668" s="50">
        <v>55.18</v>
      </c>
      <c r="K12668" t="s">
        <v>1618</v>
      </c>
      <c r="L12668" t="s">
        <v>8146</v>
      </c>
      <c r="M12668" t="s">
        <v>1627</v>
      </c>
      <c r="N12668">
        <v>29.12</v>
      </c>
      <c r="O12668" s="49">
        <v>45148</v>
      </c>
      <c r="P12668" s="50">
        <v>24.831</v>
      </c>
    </row>
    <row r="12669" spans="4:16" x14ac:dyDescent="0.2">
      <c r="D12669">
        <v>100007627</v>
      </c>
      <c r="E12669" s="49">
        <v>45399</v>
      </c>
      <c r="F12669" t="s">
        <v>8145</v>
      </c>
      <c r="G12669" t="s">
        <v>2337</v>
      </c>
      <c r="H12669">
        <v>3</v>
      </c>
      <c r="I12669">
        <v>75.42</v>
      </c>
      <c r="J12669" s="50">
        <v>226.26</v>
      </c>
      <c r="K12669" t="s">
        <v>1618</v>
      </c>
      <c r="L12669" t="s">
        <v>8146</v>
      </c>
      <c r="M12669" t="s">
        <v>1627</v>
      </c>
      <c r="N12669">
        <v>39.799999999999997</v>
      </c>
      <c r="O12669" s="49">
        <v>45403</v>
      </c>
      <c r="P12669" s="50">
        <v>101.81699999999999</v>
      </c>
    </row>
    <row r="12670" spans="4:16" x14ac:dyDescent="0.2">
      <c r="D12670">
        <v>100007627</v>
      </c>
      <c r="E12670" s="49">
        <v>44704</v>
      </c>
      <c r="F12670" t="s">
        <v>8145</v>
      </c>
      <c r="G12670" t="s">
        <v>1978</v>
      </c>
      <c r="H12670">
        <v>3</v>
      </c>
      <c r="I12670">
        <v>64.87</v>
      </c>
      <c r="J12670" s="50">
        <v>194.61</v>
      </c>
      <c r="K12670" t="s">
        <v>1618</v>
      </c>
      <c r="L12670" t="s">
        <v>8146</v>
      </c>
      <c r="M12670" t="s">
        <v>1629</v>
      </c>
      <c r="N12670">
        <v>34.24</v>
      </c>
      <c r="O12670" s="49">
        <v>44707</v>
      </c>
      <c r="P12670" s="50">
        <v>87.574500000000015</v>
      </c>
    </row>
    <row r="12671" spans="4:16" x14ac:dyDescent="0.2">
      <c r="D12671">
        <v>100007628</v>
      </c>
      <c r="E12671" s="49">
        <v>44593</v>
      </c>
      <c r="F12671" t="s">
        <v>8147</v>
      </c>
      <c r="G12671" t="s">
        <v>2232</v>
      </c>
      <c r="H12671">
        <v>8</v>
      </c>
      <c r="I12671">
        <v>85.81</v>
      </c>
      <c r="J12671" s="50">
        <v>686.48</v>
      </c>
      <c r="K12671" t="s">
        <v>1632</v>
      </c>
      <c r="M12671" t="s">
        <v>1619</v>
      </c>
      <c r="N12671">
        <v>45.29</v>
      </c>
      <c r="O12671" s="49">
        <v>44596</v>
      </c>
      <c r="P12671" s="50">
        <v>308.916</v>
      </c>
    </row>
    <row r="12672" spans="4:16" x14ac:dyDescent="0.2">
      <c r="D12672">
        <v>100007629</v>
      </c>
      <c r="E12672" s="49">
        <v>44350</v>
      </c>
      <c r="F12672" t="s">
        <v>8148</v>
      </c>
      <c r="G12672" t="s">
        <v>2065</v>
      </c>
      <c r="H12672">
        <v>1</v>
      </c>
      <c r="I12672">
        <v>64.84</v>
      </c>
      <c r="J12672" s="50">
        <v>64.84</v>
      </c>
      <c r="K12672" t="s">
        <v>1618</v>
      </c>
      <c r="M12672" t="s">
        <v>1619</v>
      </c>
      <c r="N12672">
        <v>34.22</v>
      </c>
      <c r="O12672" s="49">
        <v>44354</v>
      </c>
      <c r="P12672" s="50">
        <v>29.178000000000001</v>
      </c>
    </row>
    <row r="12673" spans="4:16" x14ac:dyDescent="0.2">
      <c r="D12673">
        <v>100007629</v>
      </c>
      <c r="E12673" s="49">
        <v>44541</v>
      </c>
      <c r="F12673" t="s">
        <v>8148</v>
      </c>
      <c r="G12673" t="s">
        <v>1754</v>
      </c>
      <c r="H12673">
        <v>10</v>
      </c>
      <c r="I12673">
        <v>48.04</v>
      </c>
      <c r="J12673" s="50">
        <v>480.4</v>
      </c>
      <c r="K12673" t="s">
        <v>1618</v>
      </c>
      <c r="M12673" t="s">
        <v>1619</v>
      </c>
      <c r="N12673">
        <v>25.35</v>
      </c>
      <c r="O12673" s="49">
        <v>44546</v>
      </c>
      <c r="P12673" s="50">
        <v>216.18</v>
      </c>
    </row>
    <row r="12674" spans="4:16" x14ac:dyDescent="0.2">
      <c r="D12674">
        <v>100007630</v>
      </c>
      <c r="E12674" s="49">
        <v>44228</v>
      </c>
      <c r="F12674" t="s">
        <v>8149</v>
      </c>
      <c r="G12674" t="s">
        <v>1665</v>
      </c>
      <c r="H12674">
        <v>1</v>
      </c>
      <c r="I12674">
        <v>114.31</v>
      </c>
      <c r="J12674" s="50">
        <v>114.31</v>
      </c>
      <c r="K12674" t="s">
        <v>1632</v>
      </c>
      <c r="M12674" t="s">
        <v>1627</v>
      </c>
      <c r="N12674">
        <v>60.33</v>
      </c>
      <c r="O12674" s="49">
        <v>44232</v>
      </c>
      <c r="P12674" s="50">
        <v>51.439500000000002</v>
      </c>
    </row>
    <row r="12675" spans="4:16" x14ac:dyDescent="0.2">
      <c r="D12675">
        <v>100007630</v>
      </c>
      <c r="E12675" s="49">
        <v>45556</v>
      </c>
      <c r="F12675" t="s">
        <v>8149</v>
      </c>
      <c r="G12675" t="s">
        <v>2692</v>
      </c>
      <c r="H12675">
        <v>10</v>
      </c>
      <c r="I12675">
        <v>87.22</v>
      </c>
      <c r="J12675" s="50">
        <v>872.2</v>
      </c>
      <c r="K12675" t="s">
        <v>1632</v>
      </c>
      <c r="M12675" t="s">
        <v>1627</v>
      </c>
      <c r="N12675">
        <v>46.03</v>
      </c>
      <c r="O12675" s="49">
        <v>45557</v>
      </c>
      <c r="P12675" s="50">
        <v>392.49</v>
      </c>
    </row>
    <row r="12676" spans="4:16" x14ac:dyDescent="0.2">
      <c r="D12676">
        <v>100007631</v>
      </c>
      <c r="E12676" s="49">
        <v>44374</v>
      </c>
      <c r="F12676" t="s">
        <v>8150</v>
      </c>
      <c r="G12676" t="s">
        <v>1623</v>
      </c>
      <c r="H12676">
        <v>5</v>
      </c>
      <c r="I12676">
        <v>22.14</v>
      </c>
      <c r="J12676" s="50">
        <v>110.7</v>
      </c>
      <c r="K12676" t="s">
        <v>1618</v>
      </c>
      <c r="M12676" t="s">
        <v>1619</v>
      </c>
      <c r="N12676">
        <v>11.68</v>
      </c>
      <c r="O12676" s="49">
        <v>44376</v>
      </c>
      <c r="P12676" s="50">
        <v>49.815000000000005</v>
      </c>
    </row>
    <row r="12677" spans="4:16" x14ac:dyDescent="0.2">
      <c r="D12677">
        <v>100007632</v>
      </c>
      <c r="E12677" s="49">
        <v>45303</v>
      </c>
      <c r="F12677" t="s">
        <v>8151</v>
      </c>
      <c r="G12677" t="s">
        <v>2065</v>
      </c>
      <c r="H12677">
        <v>8</v>
      </c>
      <c r="I12677">
        <v>36.32</v>
      </c>
      <c r="J12677" s="50">
        <v>290.56</v>
      </c>
      <c r="K12677" t="s">
        <v>1632</v>
      </c>
      <c r="L12677" t="s">
        <v>5316</v>
      </c>
      <c r="M12677" t="s">
        <v>1621</v>
      </c>
      <c r="N12677">
        <v>19.170000000000002</v>
      </c>
      <c r="O12677" s="49">
        <v>45308</v>
      </c>
      <c r="P12677" s="50">
        <v>130.75200000000001</v>
      </c>
    </row>
    <row r="12678" spans="4:16" x14ac:dyDescent="0.2">
      <c r="D12678">
        <v>100007634</v>
      </c>
      <c r="E12678" s="49">
        <v>45121</v>
      </c>
      <c r="F12678" t="s">
        <v>8152</v>
      </c>
      <c r="G12678" t="s">
        <v>2431</v>
      </c>
      <c r="H12678">
        <v>6</v>
      </c>
      <c r="I12678">
        <v>27.02</v>
      </c>
      <c r="J12678" s="50">
        <v>162.12</v>
      </c>
      <c r="K12678" t="s">
        <v>1632</v>
      </c>
      <c r="M12678" t="s">
        <v>1627</v>
      </c>
      <c r="N12678">
        <v>14.26</v>
      </c>
      <c r="O12678" s="49">
        <v>45126</v>
      </c>
      <c r="P12678" s="50">
        <v>72.954000000000008</v>
      </c>
    </row>
    <row r="12679" spans="4:16" x14ac:dyDescent="0.2">
      <c r="D12679">
        <v>100007636</v>
      </c>
      <c r="E12679" s="49">
        <v>45011</v>
      </c>
      <c r="F12679" t="s">
        <v>8153</v>
      </c>
      <c r="G12679" t="s">
        <v>1969</v>
      </c>
      <c r="H12679">
        <v>6</v>
      </c>
      <c r="I12679">
        <v>61.43</v>
      </c>
      <c r="J12679" s="50">
        <v>368.58</v>
      </c>
      <c r="K12679" t="s">
        <v>1618</v>
      </c>
      <c r="M12679" t="s">
        <v>1621</v>
      </c>
      <c r="N12679">
        <v>32.42</v>
      </c>
      <c r="O12679" s="49">
        <v>45012</v>
      </c>
      <c r="P12679" s="50">
        <v>165.86099999999999</v>
      </c>
    </row>
    <row r="12680" spans="4:16" x14ac:dyDescent="0.2">
      <c r="D12680">
        <v>100007637</v>
      </c>
      <c r="E12680" s="49">
        <v>45444</v>
      </c>
      <c r="F12680" t="s">
        <v>8154</v>
      </c>
      <c r="G12680" t="s">
        <v>1710</v>
      </c>
      <c r="H12680">
        <v>5</v>
      </c>
      <c r="I12680">
        <v>103.27</v>
      </c>
      <c r="J12680" s="50">
        <v>516.35</v>
      </c>
      <c r="K12680" t="s">
        <v>1618</v>
      </c>
      <c r="M12680" t="s">
        <v>1621</v>
      </c>
      <c r="N12680">
        <v>54.5</v>
      </c>
      <c r="O12680" s="49">
        <v>45446</v>
      </c>
      <c r="P12680" s="50">
        <v>232.35750000000002</v>
      </c>
    </row>
    <row r="12681" spans="4:16" x14ac:dyDescent="0.2">
      <c r="D12681">
        <v>100007637</v>
      </c>
      <c r="E12681" s="49">
        <v>44433</v>
      </c>
      <c r="F12681" t="s">
        <v>8154</v>
      </c>
      <c r="G12681" t="s">
        <v>2418</v>
      </c>
      <c r="H12681">
        <v>9</v>
      </c>
      <c r="I12681">
        <v>21.16</v>
      </c>
      <c r="J12681" s="50">
        <v>190.44</v>
      </c>
      <c r="K12681" t="s">
        <v>1618</v>
      </c>
      <c r="M12681" t="s">
        <v>1627</v>
      </c>
      <c r="N12681">
        <v>11.17</v>
      </c>
      <c r="O12681" s="49">
        <v>44434</v>
      </c>
      <c r="P12681" s="50">
        <v>85.698000000000008</v>
      </c>
    </row>
    <row r="12682" spans="4:16" x14ac:dyDescent="0.2">
      <c r="D12682">
        <v>100007637</v>
      </c>
      <c r="E12682" s="49">
        <v>44762</v>
      </c>
      <c r="F12682" t="s">
        <v>8154</v>
      </c>
      <c r="G12682" t="s">
        <v>2301</v>
      </c>
      <c r="H12682">
        <v>1</v>
      </c>
      <c r="I12682">
        <v>100.89</v>
      </c>
      <c r="J12682" s="50">
        <v>100.89</v>
      </c>
      <c r="K12682" t="s">
        <v>1618</v>
      </c>
      <c r="M12682" t="s">
        <v>1621</v>
      </c>
      <c r="N12682">
        <v>53.25</v>
      </c>
      <c r="O12682" s="49">
        <v>44766</v>
      </c>
      <c r="P12682" s="50">
        <v>45.400500000000001</v>
      </c>
    </row>
    <row r="12683" spans="4:16" x14ac:dyDescent="0.2">
      <c r="D12683">
        <v>100007637</v>
      </c>
      <c r="E12683" s="49">
        <v>44648</v>
      </c>
      <c r="F12683" t="s">
        <v>8154</v>
      </c>
      <c r="G12683" t="s">
        <v>2305</v>
      </c>
      <c r="H12683">
        <v>9</v>
      </c>
      <c r="I12683">
        <v>100.25</v>
      </c>
      <c r="J12683" s="50">
        <v>902.25</v>
      </c>
      <c r="K12683" t="s">
        <v>1618</v>
      </c>
      <c r="M12683" t="s">
        <v>1619</v>
      </c>
      <c r="N12683">
        <v>52.91</v>
      </c>
      <c r="O12683" s="49">
        <v>44649</v>
      </c>
      <c r="P12683" s="50">
        <v>406.01249999999999</v>
      </c>
    </row>
    <row r="12684" spans="4:16" x14ac:dyDescent="0.2">
      <c r="D12684">
        <v>100007639</v>
      </c>
      <c r="E12684" s="49">
        <v>44698</v>
      </c>
      <c r="F12684" t="s">
        <v>5622</v>
      </c>
      <c r="G12684" t="s">
        <v>2436</v>
      </c>
      <c r="H12684">
        <v>3</v>
      </c>
      <c r="I12684">
        <v>88.24</v>
      </c>
      <c r="J12684" s="50">
        <v>264.72000000000003</v>
      </c>
      <c r="K12684" t="s">
        <v>1632</v>
      </c>
      <c r="M12684" t="s">
        <v>1621</v>
      </c>
      <c r="N12684">
        <v>46.57</v>
      </c>
      <c r="O12684" s="49">
        <v>44700</v>
      </c>
      <c r="P12684" s="50">
        <v>119.12400000000001</v>
      </c>
    </row>
    <row r="12685" spans="4:16" x14ac:dyDescent="0.2">
      <c r="D12685">
        <v>100007641</v>
      </c>
      <c r="E12685" s="49">
        <v>44479</v>
      </c>
      <c r="F12685" t="s">
        <v>8155</v>
      </c>
      <c r="G12685" t="s">
        <v>1819</v>
      </c>
      <c r="H12685">
        <v>1</v>
      </c>
      <c r="I12685">
        <v>80.14</v>
      </c>
      <c r="J12685" s="50">
        <v>80.14</v>
      </c>
      <c r="K12685" t="s">
        <v>1632</v>
      </c>
      <c r="L12685" t="s">
        <v>5787</v>
      </c>
      <c r="M12685" t="s">
        <v>1621</v>
      </c>
      <c r="N12685">
        <v>42.3</v>
      </c>
      <c r="O12685" s="49">
        <v>44480</v>
      </c>
      <c r="P12685" s="50">
        <v>36.063000000000002</v>
      </c>
    </row>
    <row r="12686" spans="4:16" x14ac:dyDescent="0.2">
      <c r="D12686">
        <v>100007641</v>
      </c>
      <c r="E12686" s="49">
        <v>45571</v>
      </c>
      <c r="F12686" t="s">
        <v>8155</v>
      </c>
      <c r="G12686" t="s">
        <v>1913</v>
      </c>
      <c r="H12686">
        <v>4</v>
      </c>
      <c r="I12686">
        <v>70.39</v>
      </c>
      <c r="J12686" s="50">
        <v>281.56</v>
      </c>
      <c r="K12686" t="s">
        <v>1632</v>
      </c>
      <c r="L12686" t="s">
        <v>5787</v>
      </c>
      <c r="M12686" t="s">
        <v>1627</v>
      </c>
      <c r="N12686">
        <v>37.15</v>
      </c>
      <c r="O12686" s="49">
        <v>45573</v>
      </c>
      <c r="P12686" s="50">
        <v>126.702</v>
      </c>
    </row>
    <row r="12687" spans="4:16" x14ac:dyDescent="0.2">
      <c r="D12687">
        <v>100007642</v>
      </c>
      <c r="E12687" s="49">
        <v>45186</v>
      </c>
      <c r="F12687" t="s">
        <v>7032</v>
      </c>
      <c r="G12687" t="s">
        <v>1820</v>
      </c>
      <c r="H12687">
        <v>4</v>
      </c>
      <c r="I12687">
        <v>90.89</v>
      </c>
      <c r="J12687" s="50">
        <v>363.56</v>
      </c>
      <c r="K12687" t="s">
        <v>1618</v>
      </c>
      <c r="M12687" t="s">
        <v>1624</v>
      </c>
      <c r="N12687">
        <v>47.97</v>
      </c>
      <c r="O12687" s="49">
        <v>45187</v>
      </c>
      <c r="P12687" s="50">
        <v>163.602</v>
      </c>
    </row>
    <row r="12688" spans="4:16" x14ac:dyDescent="0.2">
      <c r="D12688">
        <v>100007647</v>
      </c>
      <c r="E12688" s="49">
        <v>44721</v>
      </c>
      <c r="F12688" t="s">
        <v>8156</v>
      </c>
      <c r="G12688" t="s">
        <v>1924</v>
      </c>
      <c r="H12688">
        <v>8</v>
      </c>
      <c r="I12688">
        <v>40.78</v>
      </c>
      <c r="J12688" s="50">
        <v>326.24</v>
      </c>
      <c r="K12688" t="s">
        <v>1618</v>
      </c>
      <c r="L12688" t="s">
        <v>5083</v>
      </c>
      <c r="M12688" t="s">
        <v>1619</v>
      </c>
      <c r="N12688">
        <v>21.52</v>
      </c>
      <c r="O12688" s="49">
        <v>44725</v>
      </c>
      <c r="P12688" s="50">
        <v>146.80800000000002</v>
      </c>
    </row>
    <row r="12689" spans="4:16" x14ac:dyDescent="0.2">
      <c r="D12689">
        <v>100007648</v>
      </c>
      <c r="E12689" s="49">
        <v>44949</v>
      </c>
      <c r="F12689" t="s">
        <v>8157</v>
      </c>
      <c r="G12689" t="s">
        <v>1904</v>
      </c>
      <c r="H12689">
        <v>10</v>
      </c>
      <c r="I12689">
        <v>51.08</v>
      </c>
      <c r="J12689" s="50">
        <v>510.8</v>
      </c>
      <c r="K12689" t="s">
        <v>1618</v>
      </c>
      <c r="L12689" t="s">
        <v>7115</v>
      </c>
      <c r="M12689" t="s">
        <v>1619</v>
      </c>
      <c r="N12689">
        <v>26.96</v>
      </c>
      <c r="O12689" s="49">
        <v>44954</v>
      </c>
      <c r="P12689" s="50">
        <v>229.86</v>
      </c>
    </row>
    <row r="12690" spans="4:16" x14ac:dyDescent="0.2">
      <c r="D12690">
        <v>100007651</v>
      </c>
      <c r="E12690" s="49">
        <v>45016</v>
      </c>
      <c r="F12690" t="s">
        <v>8158</v>
      </c>
      <c r="G12690" t="s">
        <v>2301</v>
      </c>
      <c r="H12690">
        <v>2</v>
      </c>
      <c r="I12690">
        <v>47.78</v>
      </c>
      <c r="J12690" s="50">
        <v>95.56</v>
      </c>
      <c r="K12690" t="s">
        <v>1618</v>
      </c>
      <c r="L12690" t="s">
        <v>3637</v>
      </c>
      <c r="M12690" t="s">
        <v>1621</v>
      </c>
      <c r="N12690">
        <v>25.22</v>
      </c>
      <c r="O12690" s="49">
        <v>45019</v>
      </c>
      <c r="P12690" s="50">
        <v>43.002000000000002</v>
      </c>
    </row>
    <row r="12691" spans="4:16" x14ac:dyDescent="0.2">
      <c r="D12691">
        <v>100007651</v>
      </c>
      <c r="E12691" s="49">
        <v>44664</v>
      </c>
      <c r="F12691" t="s">
        <v>8158</v>
      </c>
      <c r="G12691" t="s">
        <v>1645</v>
      </c>
      <c r="H12691">
        <v>4</v>
      </c>
      <c r="I12691">
        <v>107.89</v>
      </c>
      <c r="J12691" s="50">
        <v>431.56</v>
      </c>
      <c r="K12691" t="s">
        <v>1618</v>
      </c>
      <c r="L12691" t="s">
        <v>3637</v>
      </c>
      <c r="M12691" t="s">
        <v>1624</v>
      </c>
      <c r="N12691">
        <v>56.94</v>
      </c>
      <c r="O12691" s="49">
        <v>44666</v>
      </c>
      <c r="P12691" s="50">
        <v>194.202</v>
      </c>
    </row>
    <row r="12692" spans="4:16" x14ac:dyDescent="0.2">
      <c r="D12692">
        <v>100007651</v>
      </c>
      <c r="E12692" s="49">
        <v>44793</v>
      </c>
      <c r="F12692" t="s">
        <v>8158</v>
      </c>
      <c r="G12692" t="s">
        <v>2375</v>
      </c>
      <c r="H12692">
        <v>1</v>
      </c>
      <c r="I12692">
        <v>75.650000000000006</v>
      </c>
      <c r="J12692" s="50">
        <v>75.650000000000006</v>
      </c>
      <c r="K12692" t="s">
        <v>1618</v>
      </c>
      <c r="L12692" t="s">
        <v>3637</v>
      </c>
      <c r="M12692" t="s">
        <v>1629</v>
      </c>
      <c r="N12692">
        <v>39.93</v>
      </c>
      <c r="O12692" s="49">
        <v>44794</v>
      </c>
      <c r="P12692" s="50">
        <v>34.042500000000004</v>
      </c>
    </row>
    <row r="12693" spans="4:16" x14ac:dyDescent="0.2">
      <c r="D12693">
        <v>100007652</v>
      </c>
      <c r="E12693" s="49">
        <v>44862</v>
      </c>
      <c r="F12693" t="s">
        <v>8159</v>
      </c>
      <c r="G12693" t="s">
        <v>1729</v>
      </c>
      <c r="H12693">
        <v>8</v>
      </c>
      <c r="I12693">
        <v>26.91</v>
      </c>
      <c r="J12693" s="50">
        <v>215.28</v>
      </c>
      <c r="K12693" t="s">
        <v>1618</v>
      </c>
      <c r="M12693" t="s">
        <v>1627</v>
      </c>
      <c r="N12693">
        <v>14.2</v>
      </c>
      <c r="O12693" s="49">
        <v>44866</v>
      </c>
      <c r="P12693" s="50">
        <v>96.876000000000005</v>
      </c>
    </row>
    <row r="12694" spans="4:16" x14ac:dyDescent="0.2">
      <c r="D12694">
        <v>100007653</v>
      </c>
      <c r="E12694" s="49">
        <v>45135</v>
      </c>
      <c r="F12694" t="s">
        <v>8160</v>
      </c>
      <c r="G12694" t="s">
        <v>2042</v>
      </c>
      <c r="H12694">
        <v>4</v>
      </c>
      <c r="I12694">
        <v>96.05</v>
      </c>
      <c r="J12694" s="50">
        <v>384.2</v>
      </c>
      <c r="K12694" t="s">
        <v>1632</v>
      </c>
      <c r="L12694" t="s">
        <v>8161</v>
      </c>
      <c r="M12694" t="s">
        <v>1629</v>
      </c>
      <c r="N12694">
        <v>50.69</v>
      </c>
      <c r="O12694" s="49">
        <v>45140</v>
      </c>
      <c r="P12694" s="50">
        <v>172.89</v>
      </c>
    </row>
    <row r="12695" spans="4:16" x14ac:dyDescent="0.2">
      <c r="D12695">
        <v>100007654</v>
      </c>
      <c r="E12695" s="49">
        <v>45337</v>
      </c>
      <c r="F12695" t="s">
        <v>6478</v>
      </c>
      <c r="G12695" t="s">
        <v>2204</v>
      </c>
      <c r="H12695">
        <v>5</v>
      </c>
      <c r="I12695">
        <v>116.94</v>
      </c>
      <c r="J12695" s="50">
        <v>584.70000000000005</v>
      </c>
      <c r="K12695" t="s">
        <v>1618</v>
      </c>
      <c r="M12695" t="s">
        <v>1621</v>
      </c>
      <c r="N12695">
        <v>61.72</v>
      </c>
      <c r="O12695" s="49">
        <v>45342</v>
      </c>
      <c r="P12695" s="50">
        <v>263.11500000000001</v>
      </c>
    </row>
    <row r="12696" spans="4:16" x14ac:dyDescent="0.2">
      <c r="D12696">
        <v>100007655</v>
      </c>
      <c r="E12696" s="49">
        <v>45579</v>
      </c>
      <c r="F12696" t="s">
        <v>8162</v>
      </c>
      <c r="G12696" t="s">
        <v>1794</v>
      </c>
      <c r="H12696">
        <v>3</v>
      </c>
      <c r="I12696">
        <v>55.35</v>
      </c>
      <c r="J12696" s="50">
        <v>166.05</v>
      </c>
      <c r="K12696" t="s">
        <v>1618</v>
      </c>
      <c r="M12696" t="s">
        <v>1629</v>
      </c>
      <c r="N12696">
        <v>29.21</v>
      </c>
      <c r="O12696" s="49">
        <v>45582</v>
      </c>
      <c r="P12696" s="50">
        <v>74.722500000000011</v>
      </c>
    </row>
    <row r="12697" spans="4:16" x14ac:dyDescent="0.2">
      <c r="D12697">
        <v>100007656</v>
      </c>
      <c r="E12697" s="49">
        <v>45306</v>
      </c>
      <c r="F12697" t="s">
        <v>8163</v>
      </c>
      <c r="G12697" t="s">
        <v>2387</v>
      </c>
      <c r="H12697">
        <v>6</v>
      </c>
      <c r="I12697">
        <v>86.53</v>
      </c>
      <c r="J12697" s="50">
        <v>519.18000000000006</v>
      </c>
      <c r="K12697" t="s">
        <v>1618</v>
      </c>
      <c r="M12697" t="s">
        <v>1621</v>
      </c>
      <c r="N12697">
        <v>45.67</v>
      </c>
      <c r="O12697" s="49">
        <v>45308</v>
      </c>
      <c r="P12697" s="50">
        <v>233.63100000000003</v>
      </c>
    </row>
    <row r="12698" spans="4:16" x14ac:dyDescent="0.2">
      <c r="D12698">
        <v>100007656</v>
      </c>
      <c r="E12698" s="49">
        <v>45344</v>
      </c>
      <c r="F12698" t="s">
        <v>8163</v>
      </c>
      <c r="G12698" t="s">
        <v>2628</v>
      </c>
      <c r="H12698">
        <v>5</v>
      </c>
      <c r="I12698">
        <v>25.5</v>
      </c>
      <c r="J12698" s="50">
        <v>127.5</v>
      </c>
      <c r="K12698" t="s">
        <v>1618</v>
      </c>
      <c r="M12698" t="s">
        <v>1624</v>
      </c>
      <c r="N12698">
        <v>13.46</v>
      </c>
      <c r="O12698" s="49">
        <v>45345</v>
      </c>
      <c r="P12698" s="50">
        <v>57.375</v>
      </c>
    </row>
    <row r="12699" spans="4:16" x14ac:dyDescent="0.2">
      <c r="D12699">
        <v>100007656</v>
      </c>
      <c r="E12699" s="49">
        <v>44222</v>
      </c>
      <c r="F12699" t="s">
        <v>8163</v>
      </c>
      <c r="G12699" t="s">
        <v>1838</v>
      </c>
      <c r="H12699">
        <v>8</v>
      </c>
      <c r="I12699">
        <v>60.48</v>
      </c>
      <c r="J12699" s="50">
        <v>483.84</v>
      </c>
      <c r="K12699" t="s">
        <v>1618</v>
      </c>
      <c r="M12699" t="s">
        <v>1629</v>
      </c>
      <c r="N12699">
        <v>31.92</v>
      </c>
      <c r="O12699" s="49">
        <v>44227</v>
      </c>
      <c r="P12699" s="50">
        <v>217.72799999999998</v>
      </c>
    </row>
    <row r="12700" spans="4:16" x14ac:dyDescent="0.2">
      <c r="D12700">
        <v>100007656</v>
      </c>
      <c r="E12700" s="49">
        <v>44205</v>
      </c>
      <c r="F12700" t="s">
        <v>8163</v>
      </c>
      <c r="G12700" t="s">
        <v>1834</v>
      </c>
      <c r="H12700">
        <v>9</v>
      </c>
      <c r="I12700">
        <v>90.08</v>
      </c>
      <c r="J12700" s="50">
        <v>810.72</v>
      </c>
      <c r="K12700" t="s">
        <v>1618</v>
      </c>
      <c r="M12700" t="s">
        <v>1619</v>
      </c>
      <c r="N12700">
        <v>47.54</v>
      </c>
      <c r="O12700" s="49">
        <v>44207</v>
      </c>
      <c r="P12700" s="50">
        <v>364.82400000000001</v>
      </c>
    </row>
    <row r="12701" spans="4:16" x14ac:dyDescent="0.2">
      <c r="D12701">
        <v>100007658</v>
      </c>
      <c r="E12701" s="49">
        <v>45021</v>
      </c>
      <c r="F12701" t="s">
        <v>8164</v>
      </c>
      <c r="G12701" t="s">
        <v>2132</v>
      </c>
      <c r="H12701">
        <v>4</v>
      </c>
      <c r="I12701">
        <v>50.22</v>
      </c>
      <c r="J12701" s="50">
        <v>200.88</v>
      </c>
      <c r="K12701" t="s">
        <v>1632</v>
      </c>
      <c r="M12701" t="s">
        <v>1621</v>
      </c>
      <c r="N12701">
        <v>26.5</v>
      </c>
      <c r="O12701" s="49">
        <v>45025</v>
      </c>
      <c r="P12701" s="50">
        <v>90.396000000000001</v>
      </c>
    </row>
    <row r="12702" spans="4:16" x14ac:dyDescent="0.2">
      <c r="D12702">
        <v>100007658</v>
      </c>
      <c r="E12702" s="49">
        <v>44249</v>
      </c>
      <c r="F12702" t="s">
        <v>8164</v>
      </c>
      <c r="G12702" t="s">
        <v>2057</v>
      </c>
      <c r="H12702">
        <v>7</v>
      </c>
      <c r="I12702">
        <v>40.46</v>
      </c>
      <c r="J12702" s="50">
        <v>283.22000000000003</v>
      </c>
      <c r="K12702" t="s">
        <v>1632</v>
      </c>
      <c r="M12702" t="s">
        <v>1624</v>
      </c>
      <c r="N12702">
        <v>21.35</v>
      </c>
      <c r="O12702" s="49">
        <v>44254</v>
      </c>
      <c r="P12702" s="50">
        <v>127.44900000000001</v>
      </c>
    </row>
    <row r="12703" spans="4:16" x14ac:dyDescent="0.2">
      <c r="D12703">
        <v>100007658</v>
      </c>
      <c r="E12703" s="49">
        <v>44368</v>
      </c>
      <c r="F12703" t="s">
        <v>8164</v>
      </c>
      <c r="G12703" t="s">
        <v>1838</v>
      </c>
      <c r="H12703">
        <v>8</v>
      </c>
      <c r="I12703">
        <v>61.21</v>
      </c>
      <c r="J12703" s="50">
        <v>489.68</v>
      </c>
      <c r="K12703" t="s">
        <v>1632</v>
      </c>
      <c r="M12703" t="s">
        <v>1621</v>
      </c>
      <c r="N12703">
        <v>32.31</v>
      </c>
      <c r="O12703" s="49">
        <v>44372</v>
      </c>
      <c r="P12703" s="50">
        <v>220.35599999999999</v>
      </c>
    </row>
    <row r="12704" spans="4:16" x14ac:dyDescent="0.2">
      <c r="D12704">
        <v>100007661</v>
      </c>
      <c r="E12704" s="49">
        <v>45340</v>
      </c>
      <c r="F12704" t="s">
        <v>8165</v>
      </c>
      <c r="G12704" t="s">
        <v>1623</v>
      </c>
      <c r="H12704">
        <v>1</v>
      </c>
      <c r="I12704">
        <v>63.71</v>
      </c>
      <c r="J12704" s="50">
        <v>63.71</v>
      </c>
      <c r="K12704" t="s">
        <v>1632</v>
      </c>
      <c r="M12704" t="s">
        <v>1627</v>
      </c>
      <c r="N12704">
        <v>33.619999999999997</v>
      </c>
      <c r="O12704" s="49">
        <v>45344</v>
      </c>
      <c r="P12704" s="50">
        <v>28.669499999999999</v>
      </c>
    </row>
    <row r="12705" spans="4:16" x14ac:dyDescent="0.2">
      <c r="D12705">
        <v>100007661</v>
      </c>
      <c r="E12705" s="49">
        <v>44886</v>
      </c>
      <c r="F12705" t="s">
        <v>8165</v>
      </c>
      <c r="G12705" t="s">
        <v>2465</v>
      </c>
      <c r="H12705">
        <v>9</v>
      </c>
      <c r="I12705">
        <v>23.98</v>
      </c>
      <c r="J12705" s="50">
        <v>215.82</v>
      </c>
      <c r="K12705" t="s">
        <v>1632</v>
      </c>
      <c r="M12705" t="s">
        <v>1621</v>
      </c>
      <c r="N12705">
        <v>12.66</v>
      </c>
      <c r="O12705" s="49">
        <v>44889</v>
      </c>
      <c r="P12705" s="50">
        <v>97.119</v>
      </c>
    </row>
    <row r="12706" spans="4:16" x14ac:dyDescent="0.2">
      <c r="D12706">
        <v>100007661</v>
      </c>
      <c r="E12706" s="49">
        <v>44485</v>
      </c>
      <c r="F12706" t="s">
        <v>8165</v>
      </c>
      <c r="G12706" t="s">
        <v>1939</v>
      </c>
      <c r="H12706">
        <v>10</v>
      </c>
      <c r="I12706">
        <v>50.48</v>
      </c>
      <c r="J12706" s="50">
        <v>504.8</v>
      </c>
      <c r="K12706" t="s">
        <v>1632</v>
      </c>
      <c r="M12706" t="s">
        <v>1621</v>
      </c>
      <c r="N12706">
        <v>26.64</v>
      </c>
      <c r="O12706" s="49">
        <v>44487</v>
      </c>
      <c r="P12706" s="50">
        <v>227.16</v>
      </c>
    </row>
    <row r="12707" spans="4:16" x14ac:dyDescent="0.2">
      <c r="D12707">
        <v>100007661</v>
      </c>
      <c r="E12707" s="49">
        <v>45488</v>
      </c>
      <c r="F12707" t="s">
        <v>8165</v>
      </c>
      <c r="G12707" t="s">
        <v>2065</v>
      </c>
      <c r="H12707">
        <v>4</v>
      </c>
      <c r="I12707">
        <v>48.06</v>
      </c>
      <c r="J12707" s="50">
        <v>192.24</v>
      </c>
      <c r="K12707" t="s">
        <v>1632</v>
      </c>
      <c r="M12707" t="s">
        <v>1619</v>
      </c>
      <c r="N12707">
        <v>25.36</v>
      </c>
      <c r="O12707" s="49">
        <v>45489</v>
      </c>
      <c r="P12707" s="50">
        <v>86.50800000000001</v>
      </c>
    </row>
    <row r="12708" spans="4:16" x14ac:dyDescent="0.2">
      <c r="D12708">
        <v>100007662</v>
      </c>
      <c r="E12708" s="49">
        <v>45060</v>
      </c>
      <c r="F12708" t="s">
        <v>8166</v>
      </c>
      <c r="G12708" t="s">
        <v>1754</v>
      </c>
      <c r="H12708">
        <v>3</v>
      </c>
      <c r="I12708">
        <v>57.69</v>
      </c>
      <c r="J12708" s="50">
        <v>173.07</v>
      </c>
      <c r="K12708" t="s">
        <v>1618</v>
      </c>
      <c r="M12708" t="s">
        <v>1619</v>
      </c>
      <c r="N12708">
        <v>30.45</v>
      </c>
      <c r="O12708" s="49">
        <v>45063</v>
      </c>
      <c r="P12708" s="50">
        <v>77.881500000000003</v>
      </c>
    </row>
    <row r="12709" spans="4:16" x14ac:dyDescent="0.2">
      <c r="D12709">
        <v>100007663</v>
      </c>
      <c r="E12709" s="49">
        <v>44536</v>
      </c>
      <c r="F12709" t="s">
        <v>8167</v>
      </c>
      <c r="G12709" t="s">
        <v>1617</v>
      </c>
      <c r="H12709">
        <v>8</v>
      </c>
      <c r="I12709">
        <v>50.87</v>
      </c>
      <c r="J12709" s="50">
        <v>406.96</v>
      </c>
      <c r="K12709" t="s">
        <v>1618</v>
      </c>
      <c r="L12709" t="s">
        <v>8168</v>
      </c>
      <c r="M12709" t="s">
        <v>1624</v>
      </c>
      <c r="N12709">
        <v>26.85</v>
      </c>
      <c r="O12709" s="49">
        <v>44539</v>
      </c>
      <c r="P12709" s="50">
        <v>183.13200000000001</v>
      </c>
    </row>
    <row r="12710" spans="4:16" x14ac:dyDescent="0.2">
      <c r="D12710">
        <v>100007664</v>
      </c>
      <c r="E12710" s="49">
        <v>45202</v>
      </c>
      <c r="F12710" t="s">
        <v>8169</v>
      </c>
      <c r="G12710" t="s">
        <v>1901</v>
      </c>
      <c r="H12710">
        <v>10</v>
      </c>
      <c r="I12710">
        <v>110.81</v>
      </c>
      <c r="J12710" s="50">
        <v>1108.0999999999999</v>
      </c>
      <c r="K12710" t="s">
        <v>1618</v>
      </c>
      <c r="L12710" t="s">
        <v>3130</v>
      </c>
      <c r="M12710" t="s">
        <v>1619</v>
      </c>
      <c r="N12710">
        <v>58.48</v>
      </c>
      <c r="O12710" s="49">
        <v>45206</v>
      </c>
      <c r="P12710" s="50">
        <v>498.64499999999998</v>
      </c>
    </row>
    <row r="12711" spans="4:16" x14ac:dyDescent="0.2">
      <c r="D12711">
        <v>100007664</v>
      </c>
      <c r="E12711" s="49">
        <v>44646</v>
      </c>
      <c r="F12711" t="s">
        <v>8169</v>
      </c>
      <c r="G12711" t="s">
        <v>1758</v>
      </c>
      <c r="H12711">
        <v>8</v>
      </c>
      <c r="I12711">
        <v>15.81</v>
      </c>
      <c r="J12711" s="50">
        <v>126.48</v>
      </c>
      <c r="K12711" t="s">
        <v>1618</v>
      </c>
      <c r="L12711" t="s">
        <v>3130</v>
      </c>
      <c r="M12711" t="s">
        <v>1621</v>
      </c>
      <c r="N12711">
        <v>8.34</v>
      </c>
      <c r="O12711" s="49">
        <v>44651</v>
      </c>
      <c r="P12711" s="50">
        <v>56.916000000000004</v>
      </c>
    </row>
    <row r="12712" spans="4:16" x14ac:dyDescent="0.2">
      <c r="D12712">
        <v>100007665</v>
      </c>
      <c r="E12712" s="49">
        <v>44938</v>
      </c>
      <c r="F12712" t="s">
        <v>8170</v>
      </c>
      <c r="G12712" t="s">
        <v>1795</v>
      </c>
      <c r="H12712">
        <v>1</v>
      </c>
      <c r="I12712">
        <v>14.39</v>
      </c>
      <c r="J12712" s="50">
        <v>14.39</v>
      </c>
      <c r="K12712" t="s">
        <v>1632</v>
      </c>
      <c r="M12712" t="s">
        <v>1624</v>
      </c>
      <c r="N12712">
        <v>7.59</v>
      </c>
      <c r="O12712" s="49">
        <v>44939</v>
      </c>
      <c r="P12712" s="50">
        <v>6.4755000000000003</v>
      </c>
    </row>
    <row r="12713" spans="4:16" x14ac:dyDescent="0.2">
      <c r="D12713">
        <v>100007665</v>
      </c>
      <c r="E12713" s="49">
        <v>44693</v>
      </c>
      <c r="F12713" t="s">
        <v>8170</v>
      </c>
      <c r="G12713" t="s">
        <v>1672</v>
      </c>
      <c r="H12713">
        <v>5</v>
      </c>
      <c r="I12713">
        <v>46.88</v>
      </c>
      <c r="J12713" s="50">
        <v>234.4</v>
      </c>
      <c r="K12713" t="s">
        <v>1632</v>
      </c>
      <c r="M12713" t="s">
        <v>1627</v>
      </c>
      <c r="N12713">
        <v>24.74</v>
      </c>
      <c r="O12713" s="49">
        <v>44698</v>
      </c>
      <c r="P12713" s="50">
        <v>105.48</v>
      </c>
    </row>
    <row r="12714" spans="4:16" x14ac:dyDescent="0.2">
      <c r="D12714">
        <v>100007666</v>
      </c>
      <c r="E12714" s="49">
        <v>44438</v>
      </c>
      <c r="F12714" t="s">
        <v>8171</v>
      </c>
      <c r="G12714" t="s">
        <v>2090</v>
      </c>
      <c r="H12714">
        <v>5</v>
      </c>
      <c r="I12714">
        <v>36.090000000000003</v>
      </c>
      <c r="J12714" s="50">
        <v>180.45</v>
      </c>
      <c r="K12714" t="s">
        <v>1632</v>
      </c>
      <c r="M12714" t="s">
        <v>1621</v>
      </c>
      <c r="N12714">
        <v>19.05</v>
      </c>
      <c r="O12714" s="49">
        <v>44440</v>
      </c>
      <c r="P12714" s="50">
        <v>81.202500000000001</v>
      </c>
    </row>
    <row r="12715" spans="4:16" x14ac:dyDescent="0.2">
      <c r="D12715">
        <v>100007666</v>
      </c>
      <c r="E12715" s="49">
        <v>45209</v>
      </c>
      <c r="F12715" t="s">
        <v>8171</v>
      </c>
      <c r="G12715" t="s">
        <v>2121</v>
      </c>
      <c r="H12715">
        <v>4</v>
      </c>
      <c r="I12715">
        <v>20.25</v>
      </c>
      <c r="J12715" s="50">
        <v>81</v>
      </c>
      <c r="K12715" t="s">
        <v>1632</v>
      </c>
      <c r="M12715" t="s">
        <v>1619</v>
      </c>
      <c r="N12715">
        <v>10.69</v>
      </c>
      <c r="O12715" s="49">
        <v>45214</v>
      </c>
      <c r="P12715" s="50">
        <v>36.450000000000003</v>
      </c>
    </row>
    <row r="12716" spans="4:16" x14ac:dyDescent="0.2">
      <c r="D12716">
        <v>100007666</v>
      </c>
      <c r="E12716" s="49">
        <v>45289</v>
      </c>
      <c r="F12716" t="s">
        <v>8171</v>
      </c>
      <c r="G12716" t="s">
        <v>1872</v>
      </c>
      <c r="H12716">
        <v>6</v>
      </c>
      <c r="I12716">
        <v>113.38</v>
      </c>
      <c r="J12716" s="50">
        <v>680.28</v>
      </c>
      <c r="K12716" t="s">
        <v>1632</v>
      </c>
      <c r="M12716" t="s">
        <v>1629</v>
      </c>
      <c r="N12716">
        <v>59.84</v>
      </c>
      <c r="O12716" s="49">
        <v>45290</v>
      </c>
      <c r="P12716" s="50">
        <v>306.12599999999998</v>
      </c>
    </row>
    <row r="12717" spans="4:16" x14ac:dyDescent="0.2">
      <c r="D12717">
        <v>100007666</v>
      </c>
      <c r="E12717" s="49">
        <v>44863</v>
      </c>
      <c r="F12717" t="s">
        <v>8171</v>
      </c>
      <c r="G12717" t="s">
        <v>1768</v>
      </c>
      <c r="H12717">
        <v>4</v>
      </c>
      <c r="I12717">
        <v>88.83</v>
      </c>
      <c r="J12717" s="50">
        <v>355.32</v>
      </c>
      <c r="K12717" t="s">
        <v>1632</v>
      </c>
      <c r="M12717" t="s">
        <v>1621</v>
      </c>
      <c r="N12717">
        <v>46.88</v>
      </c>
      <c r="O12717" s="49">
        <v>44867</v>
      </c>
      <c r="P12717" s="50">
        <v>159.89400000000001</v>
      </c>
    </row>
    <row r="12718" spans="4:16" x14ac:dyDescent="0.2">
      <c r="D12718">
        <v>100007669</v>
      </c>
      <c r="E12718" s="49">
        <v>45064</v>
      </c>
      <c r="F12718" t="s">
        <v>8172</v>
      </c>
      <c r="G12718" t="s">
        <v>1865</v>
      </c>
      <c r="H12718">
        <v>5</v>
      </c>
      <c r="I12718">
        <v>97.78</v>
      </c>
      <c r="J12718" s="50">
        <v>488.9</v>
      </c>
      <c r="K12718" t="s">
        <v>1632</v>
      </c>
      <c r="M12718" t="s">
        <v>1629</v>
      </c>
      <c r="N12718">
        <v>51.61</v>
      </c>
      <c r="O12718" s="49">
        <v>45068</v>
      </c>
      <c r="P12718" s="50">
        <v>220.005</v>
      </c>
    </row>
    <row r="12719" spans="4:16" x14ac:dyDescent="0.2">
      <c r="D12719">
        <v>100007669</v>
      </c>
      <c r="E12719" s="49">
        <v>45349</v>
      </c>
      <c r="F12719" t="s">
        <v>8172</v>
      </c>
      <c r="G12719" t="s">
        <v>1701</v>
      </c>
      <c r="H12719">
        <v>2</v>
      </c>
      <c r="I12719">
        <v>10.93</v>
      </c>
      <c r="J12719" s="50">
        <v>21.86</v>
      </c>
      <c r="K12719" t="s">
        <v>1632</v>
      </c>
      <c r="M12719" t="s">
        <v>1619</v>
      </c>
      <c r="N12719">
        <v>5.77</v>
      </c>
      <c r="O12719" s="49">
        <v>45351</v>
      </c>
      <c r="P12719" s="50">
        <v>9.8369999999999997</v>
      </c>
    </row>
    <row r="12720" spans="4:16" x14ac:dyDescent="0.2">
      <c r="D12720">
        <v>100007670</v>
      </c>
      <c r="E12720" s="49">
        <v>44947</v>
      </c>
      <c r="F12720" t="s">
        <v>8173</v>
      </c>
      <c r="G12720" t="s">
        <v>1985</v>
      </c>
      <c r="H12720">
        <v>9</v>
      </c>
      <c r="I12720">
        <v>111.65</v>
      </c>
      <c r="J12720" s="50">
        <v>1004.85</v>
      </c>
      <c r="K12720" t="s">
        <v>1632</v>
      </c>
      <c r="M12720" t="s">
        <v>1624</v>
      </c>
      <c r="N12720">
        <v>58.93</v>
      </c>
      <c r="O12720" s="49">
        <v>44952</v>
      </c>
      <c r="P12720" s="50">
        <v>452.1825</v>
      </c>
    </row>
    <row r="12721" spans="4:16" x14ac:dyDescent="0.2">
      <c r="D12721">
        <v>100007670</v>
      </c>
      <c r="E12721" s="49">
        <v>45253</v>
      </c>
      <c r="F12721" t="s">
        <v>8173</v>
      </c>
      <c r="G12721" t="s">
        <v>1697</v>
      </c>
      <c r="H12721">
        <v>1</v>
      </c>
      <c r="I12721">
        <v>28.39</v>
      </c>
      <c r="J12721" s="50">
        <v>28.39</v>
      </c>
      <c r="K12721" t="s">
        <v>1632</v>
      </c>
      <c r="M12721" t="s">
        <v>1619</v>
      </c>
      <c r="N12721">
        <v>14.98</v>
      </c>
      <c r="O12721" s="49">
        <v>45254</v>
      </c>
      <c r="P12721" s="50">
        <v>12.775500000000001</v>
      </c>
    </row>
    <row r="12722" spans="4:16" x14ac:dyDescent="0.2">
      <c r="D12722">
        <v>100007670</v>
      </c>
      <c r="E12722" s="49">
        <v>45188</v>
      </c>
      <c r="F12722" t="s">
        <v>8173</v>
      </c>
      <c r="G12722" t="s">
        <v>1910</v>
      </c>
      <c r="H12722">
        <v>1</v>
      </c>
      <c r="I12722">
        <v>107.6</v>
      </c>
      <c r="J12722" s="50">
        <v>107.6</v>
      </c>
      <c r="K12722" t="s">
        <v>1632</v>
      </c>
      <c r="M12722" t="s">
        <v>1619</v>
      </c>
      <c r="N12722">
        <v>56.79</v>
      </c>
      <c r="O12722" s="49">
        <v>45193</v>
      </c>
      <c r="P12722" s="50">
        <v>48.42</v>
      </c>
    </row>
    <row r="12723" spans="4:16" x14ac:dyDescent="0.2">
      <c r="D12723">
        <v>100007670</v>
      </c>
      <c r="E12723" s="49">
        <v>45023</v>
      </c>
      <c r="F12723" t="s">
        <v>8173</v>
      </c>
      <c r="G12723" t="s">
        <v>1967</v>
      </c>
      <c r="H12723">
        <v>2</v>
      </c>
      <c r="I12723">
        <v>41.44</v>
      </c>
      <c r="J12723" s="50">
        <v>82.88</v>
      </c>
      <c r="K12723" t="s">
        <v>1632</v>
      </c>
      <c r="M12723" t="s">
        <v>1627</v>
      </c>
      <c r="N12723">
        <v>21.87</v>
      </c>
      <c r="O12723" s="49">
        <v>45025</v>
      </c>
      <c r="P12723" s="50">
        <v>37.295999999999999</v>
      </c>
    </row>
    <row r="12724" spans="4:16" x14ac:dyDescent="0.2">
      <c r="D12724">
        <v>100007673</v>
      </c>
      <c r="E12724" s="49">
        <v>44219</v>
      </c>
      <c r="F12724" t="s">
        <v>8174</v>
      </c>
      <c r="G12724" t="s">
        <v>1717</v>
      </c>
      <c r="H12724">
        <v>2</v>
      </c>
      <c r="I12724">
        <v>112.6</v>
      </c>
      <c r="J12724" s="50">
        <v>225.2</v>
      </c>
      <c r="K12724" t="s">
        <v>1632</v>
      </c>
      <c r="M12724" t="s">
        <v>1619</v>
      </c>
      <c r="N12724">
        <v>59.43</v>
      </c>
      <c r="O12724" s="49">
        <v>44224</v>
      </c>
      <c r="P12724" s="50">
        <v>101.34</v>
      </c>
    </row>
    <row r="12725" spans="4:16" x14ac:dyDescent="0.2">
      <c r="D12725">
        <v>100007673</v>
      </c>
      <c r="E12725" s="49">
        <v>45318</v>
      </c>
      <c r="F12725" t="s">
        <v>8174</v>
      </c>
      <c r="G12725" t="s">
        <v>2372</v>
      </c>
      <c r="H12725">
        <v>8</v>
      </c>
      <c r="I12725">
        <v>66.75</v>
      </c>
      <c r="J12725" s="50">
        <v>534</v>
      </c>
      <c r="K12725" t="s">
        <v>1632</v>
      </c>
      <c r="M12725" t="s">
        <v>1619</v>
      </c>
      <c r="N12725">
        <v>35.229999999999997</v>
      </c>
      <c r="O12725" s="49">
        <v>45320</v>
      </c>
      <c r="P12725" s="50">
        <v>240.3</v>
      </c>
    </row>
    <row r="12726" spans="4:16" x14ac:dyDescent="0.2">
      <c r="D12726">
        <v>100007674</v>
      </c>
      <c r="E12726" s="49">
        <v>44393</v>
      </c>
      <c r="F12726" t="s">
        <v>7608</v>
      </c>
      <c r="G12726" t="s">
        <v>2194</v>
      </c>
      <c r="H12726">
        <v>5</v>
      </c>
      <c r="I12726">
        <v>98.88</v>
      </c>
      <c r="J12726" s="50">
        <v>494.4</v>
      </c>
      <c r="K12726" t="s">
        <v>1632</v>
      </c>
      <c r="L12726" t="s">
        <v>2894</v>
      </c>
      <c r="M12726" t="s">
        <v>1619</v>
      </c>
      <c r="N12726">
        <v>52.19</v>
      </c>
      <c r="O12726" s="49">
        <v>44398</v>
      </c>
      <c r="P12726" s="50">
        <v>222.48</v>
      </c>
    </row>
    <row r="12727" spans="4:16" x14ac:dyDescent="0.2">
      <c r="D12727">
        <v>100007674</v>
      </c>
      <c r="E12727" s="49">
        <v>45099</v>
      </c>
      <c r="F12727" t="s">
        <v>7608</v>
      </c>
      <c r="G12727" t="s">
        <v>2263</v>
      </c>
      <c r="H12727">
        <v>6</v>
      </c>
      <c r="I12727">
        <v>79.53</v>
      </c>
      <c r="J12727" s="50">
        <v>477.18</v>
      </c>
      <c r="K12727" t="s">
        <v>1632</v>
      </c>
      <c r="L12727" t="s">
        <v>2894</v>
      </c>
      <c r="M12727" t="s">
        <v>1629</v>
      </c>
      <c r="N12727">
        <v>41.97</v>
      </c>
      <c r="O12727" s="49">
        <v>45103</v>
      </c>
      <c r="P12727" s="50">
        <v>214.73099999999999</v>
      </c>
    </row>
    <row r="12728" spans="4:16" x14ac:dyDescent="0.2">
      <c r="D12728">
        <v>100007675</v>
      </c>
      <c r="E12728" s="49">
        <v>44285</v>
      </c>
      <c r="F12728" t="s">
        <v>8175</v>
      </c>
      <c r="G12728" t="s">
        <v>1848</v>
      </c>
      <c r="H12728">
        <v>6</v>
      </c>
      <c r="I12728">
        <v>87.33</v>
      </c>
      <c r="J12728" s="50">
        <v>523.98</v>
      </c>
      <c r="K12728" t="s">
        <v>1618</v>
      </c>
      <c r="M12728" t="s">
        <v>1627</v>
      </c>
      <c r="N12728">
        <v>46.09</v>
      </c>
      <c r="O12728" s="49">
        <v>44287</v>
      </c>
      <c r="P12728" s="50">
        <v>235.79100000000003</v>
      </c>
    </row>
    <row r="12729" spans="4:16" x14ac:dyDescent="0.2">
      <c r="D12729">
        <v>100007675</v>
      </c>
      <c r="E12729" s="49">
        <v>44402</v>
      </c>
      <c r="F12729" t="s">
        <v>8175</v>
      </c>
      <c r="G12729" t="s">
        <v>2025</v>
      </c>
      <c r="H12729">
        <v>6</v>
      </c>
      <c r="I12729">
        <v>30.03</v>
      </c>
      <c r="J12729" s="50">
        <v>180.18</v>
      </c>
      <c r="K12729" t="s">
        <v>1618</v>
      </c>
      <c r="M12729" t="s">
        <v>1619</v>
      </c>
      <c r="N12729">
        <v>15.85</v>
      </c>
      <c r="O12729" s="49">
        <v>44403</v>
      </c>
      <c r="P12729" s="50">
        <v>81.081000000000003</v>
      </c>
    </row>
    <row r="12730" spans="4:16" x14ac:dyDescent="0.2">
      <c r="D12730">
        <v>100007678</v>
      </c>
      <c r="E12730" s="49">
        <v>45363</v>
      </c>
      <c r="F12730" t="s">
        <v>8176</v>
      </c>
      <c r="G12730" t="s">
        <v>1751</v>
      </c>
      <c r="H12730">
        <v>10</v>
      </c>
      <c r="I12730">
        <v>47.79</v>
      </c>
      <c r="J12730" s="50">
        <v>477.9</v>
      </c>
      <c r="K12730" t="s">
        <v>1618</v>
      </c>
      <c r="M12730" t="s">
        <v>1621</v>
      </c>
      <c r="N12730">
        <v>25.22</v>
      </c>
      <c r="O12730" s="49">
        <v>45368</v>
      </c>
      <c r="P12730" s="50">
        <v>215.05500000000001</v>
      </c>
    </row>
    <row r="12731" spans="4:16" x14ac:dyDescent="0.2">
      <c r="D12731">
        <v>100007679</v>
      </c>
      <c r="E12731" s="49">
        <v>44757</v>
      </c>
      <c r="F12731" t="s">
        <v>8177</v>
      </c>
      <c r="G12731" t="s">
        <v>2762</v>
      </c>
      <c r="H12731">
        <v>6</v>
      </c>
      <c r="I12731">
        <v>29</v>
      </c>
      <c r="J12731" s="50">
        <v>174</v>
      </c>
      <c r="K12731" t="s">
        <v>1618</v>
      </c>
      <c r="M12731" t="s">
        <v>1629</v>
      </c>
      <c r="N12731">
        <v>15.31</v>
      </c>
      <c r="O12731" s="49">
        <v>44762</v>
      </c>
      <c r="P12731" s="50">
        <v>78.3</v>
      </c>
    </row>
    <row r="12732" spans="4:16" x14ac:dyDescent="0.2">
      <c r="D12732">
        <v>100007680</v>
      </c>
      <c r="E12732" s="49">
        <v>44514</v>
      </c>
      <c r="F12732" t="s">
        <v>8178</v>
      </c>
      <c r="G12732" t="s">
        <v>1947</v>
      </c>
      <c r="H12732">
        <v>9</v>
      </c>
      <c r="I12732">
        <v>39.68</v>
      </c>
      <c r="J12732" s="50">
        <v>357.12</v>
      </c>
      <c r="K12732" t="s">
        <v>1618</v>
      </c>
      <c r="M12732" t="s">
        <v>1629</v>
      </c>
      <c r="N12732">
        <v>20.94</v>
      </c>
      <c r="O12732" s="49">
        <v>44518</v>
      </c>
      <c r="P12732" s="50">
        <v>160.70400000000001</v>
      </c>
    </row>
    <row r="12733" spans="4:16" x14ac:dyDescent="0.2">
      <c r="D12733">
        <v>100007680</v>
      </c>
      <c r="E12733" s="49">
        <v>45198</v>
      </c>
      <c r="F12733" t="s">
        <v>8178</v>
      </c>
      <c r="G12733" t="s">
        <v>1720</v>
      </c>
      <c r="H12733">
        <v>6</v>
      </c>
      <c r="I12733">
        <v>45.53</v>
      </c>
      <c r="J12733" s="50">
        <v>273.18</v>
      </c>
      <c r="K12733" t="s">
        <v>1618</v>
      </c>
      <c r="M12733" t="s">
        <v>1629</v>
      </c>
      <c r="N12733">
        <v>24.03</v>
      </c>
      <c r="O12733" s="49">
        <v>45200</v>
      </c>
      <c r="P12733" s="50">
        <v>122.93100000000001</v>
      </c>
    </row>
    <row r="12734" spans="4:16" x14ac:dyDescent="0.2">
      <c r="D12734">
        <v>100007680</v>
      </c>
      <c r="E12734" s="49">
        <v>44630</v>
      </c>
      <c r="F12734" t="s">
        <v>8178</v>
      </c>
      <c r="G12734" t="s">
        <v>2023</v>
      </c>
      <c r="H12734">
        <v>4</v>
      </c>
      <c r="I12734">
        <v>111.45</v>
      </c>
      <c r="J12734" s="50">
        <v>445.8</v>
      </c>
      <c r="K12734" t="s">
        <v>1618</v>
      </c>
      <c r="M12734" t="s">
        <v>1629</v>
      </c>
      <c r="N12734">
        <v>58.82</v>
      </c>
      <c r="O12734" s="49">
        <v>44633</v>
      </c>
      <c r="P12734" s="50">
        <v>200.61</v>
      </c>
    </row>
    <row r="12735" spans="4:16" x14ac:dyDescent="0.2">
      <c r="D12735">
        <v>100007680</v>
      </c>
      <c r="E12735" s="49">
        <v>45418</v>
      </c>
      <c r="F12735" t="s">
        <v>8178</v>
      </c>
      <c r="G12735" t="s">
        <v>1642</v>
      </c>
      <c r="H12735">
        <v>1</v>
      </c>
      <c r="I12735">
        <v>13.83</v>
      </c>
      <c r="J12735" s="50">
        <v>13.83</v>
      </c>
      <c r="K12735" t="s">
        <v>1618</v>
      </c>
      <c r="M12735" t="s">
        <v>1619</v>
      </c>
      <c r="N12735">
        <v>7.3</v>
      </c>
      <c r="O12735" s="49">
        <v>45421</v>
      </c>
      <c r="P12735" s="50">
        <v>6.2235000000000005</v>
      </c>
    </row>
    <row r="12736" spans="4:16" x14ac:dyDescent="0.2">
      <c r="D12736">
        <v>100007681</v>
      </c>
      <c r="E12736" s="49">
        <v>45187</v>
      </c>
      <c r="F12736" t="s">
        <v>8179</v>
      </c>
      <c r="G12736" t="s">
        <v>2023</v>
      </c>
      <c r="H12736">
        <v>3</v>
      </c>
      <c r="I12736">
        <v>10.09</v>
      </c>
      <c r="J12736" s="50">
        <v>30.27</v>
      </c>
      <c r="K12736" t="s">
        <v>1632</v>
      </c>
      <c r="M12736" t="s">
        <v>1629</v>
      </c>
      <c r="N12736">
        <v>5.33</v>
      </c>
      <c r="O12736" s="49">
        <v>45191</v>
      </c>
      <c r="P12736" s="50">
        <v>13.621499999999999</v>
      </c>
    </row>
    <row r="12737" spans="4:16" x14ac:dyDescent="0.2">
      <c r="D12737">
        <v>100007681</v>
      </c>
      <c r="E12737" s="49">
        <v>45584</v>
      </c>
      <c r="F12737" t="s">
        <v>8179</v>
      </c>
      <c r="G12737" t="s">
        <v>2007</v>
      </c>
      <c r="H12737">
        <v>9</v>
      </c>
      <c r="I12737">
        <v>90.59</v>
      </c>
      <c r="J12737" s="50">
        <v>815.31000000000006</v>
      </c>
      <c r="K12737" t="s">
        <v>1632</v>
      </c>
      <c r="M12737" t="s">
        <v>1621</v>
      </c>
      <c r="N12737">
        <v>47.81</v>
      </c>
      <c r="O12737" s="49">
        <v>45586</v>
      </c>
      <c r="P12737" s="50">
        <v>366.88950000000006</v>
      </c>
    </row>
    <row r="12738" spans="4:16" x14ac:dyDescent="0.2">
      <c r="D12738">
        <v>100007682</v>
      </c>
      <c r="E12738" s="49">
        <v>45477</v>
      </c>
      <c r="F12738" t="s">
        <v>8180</v>
      </c>
      <c r="G12738" t="s">
        <v>1714</v>
      </c>
      <c r="H12738">
        <v>6</v>
      </c>
      <c r="I12738">
        <v>106.94</v>
      </c>
      <c r="J12738" s="50">
        <v>641.64</v>
      </c>
      <c r="K12738" t="s">
        <v>1632</v>
      </c>
      <c r="L12738" t="s">
        <v>3424</v>
      </c>
      <c r="M12738" t="s">
        <v>1629</v>
      </c>
      <c r="N12738">
        <v>56.44</v>
      </c>
      <c r="O12738" s="49">
        <v>45479</v>
      </c>
      <c r="P12738" s="50">
        <v>288.738</v>
      </c>
    </row>
    <row r="12739" spans="4:16" x14ac:dyDescent="0.2">
      <c r="D12739">
        <v>100007682</v>
      </c>
      <c r="E12739" s="49">
        <v>44290</v>
      </c>
      <c r="F12739" t="s">
        <v>8180</v>
      </c>
      <c r="G12739" t="s">
        <v>1731</v>
      </c>
      <c r="H12739">
        <v>2</v>
      </c>
      <c r="I12739">
        <v>80.44</v>
      </c>
      <c r="J12739" s="50">
        <v>160.88</v>
      </c>
      <c r="K12739" t="s">
        <v>1632</v>
      </c>
      <c r="L12739" t="s">
        <v>3424</v>
      </c>
      <c r="M12739" t="s">
        <v>1624</v>
      </c>
      <c r="N12739">
        <v>42.45</v>
      </c>
      <c r="O12739" s="49">
        <v>44291</v>
      </c>
      <c r="P12739" s="50">
        <v>72.396000000000001</v>
      </c>
    </row>
    <row r="12740" spans="4:16" x14ac:dyDescent="0.2">
      <c r="D12740">
        <v>100007682</v>
      </c>
      <c r="E12740" s="49">
        <v>45441</v>
      </c>
      <c r="F12740" t="s">
        <v>8180</v>
      </c>
      <c r="G12740" t="s">
        <v>1749</v>
      </c>
      <c r="H12740">
        <v>9</v>
      </c>
      <c r="I12740">
        <v>10.08</v>
      </c>
      <c r="J12740" s="50">
        <v>90.72</v>
      </c>
      <c r="K12740" t="s">
        <v>1632</v>
      </c>
      <c r="L12740" t="s">
        <v>3424</v>
      </c>
      <c r="M12740" t="s">
        <v>1619</v>
      </c>
      <c r="N12740">
        <v>5.32</v>
      </c>
      <c r="O12740" s="49">
        <v>45442</v>
      </c>
      <c r="P12740" s="50">
        <v>40.823999999999998</v>
      </c>
    </row>
    <row r="12741" spans="4:16" x14ac:dyDescent="0.2">
      <c r="D12741">
        <v>100007683</v>
      </c>
      <c r="E12741" s="49">
        <v>44369</v>
      </c>
      <c r="F12741" t="s">
        <v>8181</v>
      </c>
      <c r="G12741" t="s">
        <v>2343</v>
      </c>
      <c r="H12741">
        <v>10</v>
      </c>
      <c r="I12741">
        <v>111.89</v>
      </c>
      <c r="J12741" s="50">
        <v>1118.9000000000001</v>
      </c>
      <c r="K12741" t="s">
        <v>1618</v>
      </c>
      <c r="M12741" t="s">
        <v>1619</v>
      </c>
      <c r="N12741">
        <v>59.05</v>
      </c>
      <c r="O12741" s="49">
        <v>44372</v>
      </c>
      <c r="P12741" s="50">
        <v>503.50500000000005</v>
      </c>
    </row>
    <row r="12742" spans="4:16" x14ac:dyDescent="0.2">
      <c r="D12742">
        <v>100007684</v>
      </c>
      <c r="E12742" s="49">
        <v>44892</v>
      </c>
      <c r="F12742" t="s">
        <v>8182</v>
      </c>
      <c r="G12742" t="s">
        <v>1664</v>
      </c>
      <c r="H12742">
        <v>9</v>
      </c>
      <c r="I12742">
        <v>100.03</v>
      </c>
      <c r="J12742" s="50">
        <v>900.27</v>
      </c>
      <c r="K12742" t="s">
        <v>1618</v>
      </c>
      <c r="M12742" t="s">
        <v>1619</v>
      </c>
      <c r="N12742">
        <v>52.79</v>
      </c>
      <c r="O12742" s="49">
        <v>44893</v>
      </c>
      <c r="P12742" s="50">
        <v>405.12150000000003</v>
      </c>
    </row>
    <row r="12743" spans="4:16" x14ac:dyDescent="0.2">
      <c r="D12743">
        <v>100007685</v>
      </c>
      <c r="E12743" s="49">
        <v>44744</v>
      </c>
      <c r="F12743" t="s">
        <v>8183</v>
      </c>
      <c r="G12743" t="s">
        <v>1853</v>
      </c>
      <c r="H12743">
        <v>4</v>
      </c>
      <c r="I12743">
        <v>79.400000000000006</v>
      </c>
      <c r="J12743" s="50">
        <v>317.60000000000002</v>
      </c>
      <c r="K12743" t="s">
        <v>1632</v>
      </c>
      <c r="M12743" t="s">
        <v>1619</v>
      </c>
      <c r="N12743">
        <v>41.91</v>
      </c>
      <c r="O12743" s="49">
        <v>44749</v>
      </c>
      <c r="P12743" s="50">
        <v>142.92000000000002</v>
      </c>
    </row>
    <row r="12744" spans="4:16" x14ac:dyDescent="0.2">
      <c r="D12744">
        <v>100007687</v>
      </c>
      <c r="E12744" s="49">
        <v>45567</v>
      </c>
      <c r="F12744" t="s">
        <v>8184</v>
      </c>
      <c r="G12744" t="s">
        <v>1865</v>
      </c>
      <c r="H12744">
        <v>10</v>
      </c>
      <c r="I12744">
        <v>64.540000000000006</v>
      </c>
      <c r="J12744" s="50">
        <v>645.40000000000009</v>
      </c>
      <c r="K12744" t="s">
        <v>1618</v>
      </c>
      <c r="L12744" t="s">
        <v>5075</v>
      </c>
      <c r="M12744" t="s">
        <v>1624</v>
      </c>
      <c r="N12744">
        <v>34.06</v>
      </c>
      <c r="O12744" s="49">
        <v>45572</v>
      </c>
      <c r="P12744" s="50">
        <v>290.43000000000006</v>
      </c>
    </row>
    <row r="12745" spans="4:16" x14ac:dyDescent="0.2">
      <c r="D12745">
        <v>100007687</v>
      </c>
      <c r="E12745" s="49">
        <v>45103</v>
      </c>
      <c r="F12745" t="s">
        <v>8184</v>
      </c>
      <c r="G12745" t="s">
        <v>2387</v>
      </c>
      <c r="H12745">
        <v>2</v>
      </c>
      <c r="I12745">
        <v>109.11</v>
      </c>
      <c r="J12745" s="50">
        <v>218.22</v>
      </c>
      <c r="K12745" t="s">
        <v>1618</v>
      </c>
      <c r="L12745" t="s">
        <v>5075</v>
      </c>
      <c r="M12745" t="s">
        <v>1624</v>
      </c>
      <c r="N12745">
        <v>57.59</v>
      </c>
      <c r="O12745" s="49">
        <v>45106</v>
      </c>
      <c r="P12745" s="50">
        <v>98.198999999999998</v>
      </c>
    </row>
    <row r="12746" spans="4:16" x14ac:dyDescent="0.2">
      <c r="D12746">
        <v>100007687</v>
      </c>
      <c r="E12746" s="49">
        <v>44810</v>
      </c>
      <c r="F12746" t="s">
        <v>8184</v>
      </c>
      <c r="G12746" t="s">
        <v>2079</v>
      </c>
      <c r="H12746">
        <v>2</v>
      </c>
      <c r="I12746">
        <v>100.9</v>
      </c>
      <c r="J12746" s="50">
        <v>201.8</v>
      </c>
      <c r="K12746" t="s">
        <v>1618</v>
      </c>
      <c r="L12746" t="s">
        <v>5075</v>
      </c>
      <c r="M12746" t="s">
        <v>1619</v>
      </c>
      <c r="N12746">
        <v>53.25</v>
      </c>
      <c r="O12746" s="49">
        <v>44814</v>
      </c>
      <c r="P12746" s="50">
        <v>90.81</v>
      </c>
    </row>
    <row r="12747" spans="4:16" x14ac:dyDescent="0.2">
      <c r="D12747">
        <v>100007688</v>
      </c>
      <c r="E12747" s="49">
        <v>44907</v>
      </c>
      <c r="F12747" t="s">
        <v>8185</v>
      </c>
      <c r="G12747" t="s">
        <v>2480</v>
      </c>
      <c r="H12747">
        <v>10</v>
      </c>
      <c r="I12747">
        <v>79.53</v>
      </c>
      <c r="J12747" s="50">
        <v>795.3</v>
      </c>
      <c r="K12747" t="s">
        <v>1618</v>
      </c>
      <c r="M12747" t="s">
        <v>1629</v>
      </c>
      <c r="N12747">
        <v>41.97</v>
      </c>
      <c r="O12747" s="49">
        <v>44910</v>
      </c>
      <c r="P12747" s="50">
        <v>357.88499999999999</v>
      </c>
    </row>
    <row r="12748" spans="4:16" x14ac:dyDescent="0.2">
      <c r="D12748">
        <v>100007688</v>
      </c>
      <c r="E12748" s="49">
        <v>44609</v>
      </c>
      <c r="F12748" t="s">
        <v>8185</v>
      </c>
      <c r="G12748" t="s">
        <v>1893</v>
      </c>
      <c r="H12748">
        <v>4</v>
      </c>
      <c r="I12748">
        <v>30.18</v>
      </c>
      <c r="J12748" s="50">
        <v>120.72</v>
      </c>
      <c r="K12748" t="s">
        <v>1618</v>
      </c>
      <c r="M12748" t="s">
        <v>1629</v>
      </c>
      <c r="N12748">
        <v>15.93</v>
      </c>
      <c r="O12748" s="49">
        <v>44611</v>
      </c>
      <c r="P12748" s="50">
        <v>54.323999999999998</v>
      </c>
    </row>
    <row r="12749" spans="4:16" x14ac:dyDescent="0.2">
      <c r="D12749">
        <v>100007688</v>
      </c>
      <c r="E12749" s="49">
        <v>44276</v>
      </c>
      <c r="F12749" t="s">
        <v>8185</v>
      </c>
      <c r="G12749" t="s">
        <v>1712</v>
      </c>
      <c r="H12749">
        <v>4</v>
      </c>
      <c r="I12749">
        <v>103.55</v>
      </c>
      <c r="J12749" s="50">
        <v>414.2</v>
      </c>
      <c r="K12749" t="s">
        <v>1618</v>
      </c>
      <c r="M12749" t="s">
        <v>1621</v>
      </c>
      <c r="N12749">
        <v>54.65</v>
      </c>
      <c r="O12749" s="49">
        <v>44279</v>
      </c>
      <c r="P12749" s="50">
        <v>186.39</v>
      </c>
    </row>
    <row r="12750" spans="4:16" x14ac:dyDescent="0.2">
      <c r="D12750">
        <v>100007689</v>
      </c>
      <c r="E12750" s="49">
        <v>44339</v>
      </c>
      <c r="F12750" t="s">
        <v>8186</v>
      </c>
      <c r="G12750" t="s">
        <v>1749</v>
      </c>
      <c r="H12750">
        <v>2</v>
      </c>
      <c r="I12750">
        <v>113.12</v>
      </c>
      <c r="J12750" s="50">
        <v>226.24</v>
      </c>
      <c r="K12750" t="s">
        <v>1632</v>
      </c>
      <c r="M12750" t="s">
        <v>1624</v>
      </c>
      <c r="N12750">
        <v>59.7</v>
      </c>
      <c r="O12750" s="49">
        <v>44341</v>
      </c>
      <c r="P12750" s="50">
        <v>101.80800000000001</v>
      </c>
    </row>
    <row r="12751" spans="4:16" x14ac:dyDescent="0.2">
      <c r="D12751">
        <v>100007690</v>
      </c>
      <c r="E12751" s="49">
        <v>45234</v>
      </c>
      <c r="F12751" t="s">
        <v>8187</v>
      </c>
      <c r="G12751" t="s">
        <v>1643</v>
      </c>
      <c r="H12751">
        <v>1</v>
      </c>
      <c r="I12751">
        <v>90</v>
      </c>
      <c r="J12751" s="50">
        <v>90</v>
      </c>
      <c r="K12751" t="s">
        <v>1632</v>
      </c>
      <c r="M12751" t="s">
        <v>1624</v>
      </c>
      <c r="N12751">
        <v>47.5</v>
      </c>
      <c r="O12751" s="49">
        <v>45237</v>
      </c>
      <c r="P12751" s="50">
        <v>40.5</v>
      </c>
    </row>
    <row r="12752" spans="4:16" x14ac:dyDescent="0.2">
      <c r="D12752">
        <v>100007690</v>
      </c>
      <c r="E12752" s="49">
        <v>45111</v>
      </c>
      <c r="F12752" t="s">
        <v>8187</v>
      </c>
      <c r="G12752" t="s">
        <v>1823</v>
      </c>
      <c r="H12752">
        <v>7</v>
      </c>
      <c r="I12752">
        <v>60.48</v>
      </c>
      <c r="J12752" s="50">
        <v>423.36</v>
      </c>
      <c r="K12752" t="s">
        <v>1632</v>
      </c>
      <c r="M12752" t="s">
        <v>1627</v>
      </c>
      <c r="N12752">
        <v>31.92</v>
      </c>
      <c r="O12752" s="49">
        <v>45115</v>
      </c>
      <c r="P12752" s="50">
        <v>190.512</v>
      </c>
    </row>
    <row r="12753" spans="4:16" x14ac:dyDescent="0.2">
      <c r="D12753">
        <v>100007690</v>
      </c>
      <c r="E12753" s="49">
        <v>45441</v>
      </c>
      <c r="F12753" t="s">
        <v>8187</v>
      </c>
      <c r="G12753" t="s">
        <v>2278</v>
      </c>
      <c r="H12753">
        <v>9</v>
      </c>
      <c r="I12753">
        <v>20.059999999999999</v>
      </c>
      <c r="J12753" s="50">
        <v>180.54</v>
      </c>
      <c r="K12753" t="s">
        <v>1632</v>
      </c>
      <c r="M12753" t="s">
        <v>1621</v>
      </c>
      <c r="N12753">
        <v>10.59</v>
      </c>
      <c r="O12753" s="49">
        <v>45442</v>
      </c>
      <c r="P12753" s="50">
        <v>81.242999999999995</v>
      </c>
    </row>
    <row r="12754" spans="4:16" x14ac:dyDescent="0.2">
      <c r="D12754">
        <v>100007690</v>
      </c>
      <c r="E12754" s="49">
        <v>45302</v>
      </c>
      <c r="F12754" t="s">
        <v>8187</v>
      </c>
      <c r="G12754" t="s">
        <v>1704</v>
      </c>
      <c r="H12754">
        <v>8</v>
      </c>
      <c r="I12754">
        <v>37.06</v>
      </c>
      <c r="J12754" s="50">
        <v>296.48</v>
      </c>
      <c r="K12754" t="s">
        <v>1632</v>
      </c>
      <c r="M12754" t="s">
        <v>1627</v>
      </c>
      <c r="N12754">
        <v>19.559999999999999</v>
      </c>
      <c r="O12754" s="49">
        <v>45305</v>
      </c>
      <c r="P12754" s="50">
        <v>133.41600000000003</v>
      </c>
    </row>
    <row r="12755" spans="4:16" x14ac:dyDescent="0.2">
      <c r="D12755">
        <v>100007692</v>
      </c>
      <c r="E12755" s="49">
        <v>44344</v>
      </c>
      <c r="F12755" t="s">
        <v>8188</v>
      </c>
      <c r="G12755" t="s">
        <v>2079</v>
      </c>
      <c r="H12755">
        <v>5</v>
      </c>
      <c r="I12755">
        <v>95.87</v>
      </c>
      <c r="J12755" s="50">
        <v>479.35</v>
      </c>
      <c r="K12755" t="s">
        <v>1632</v>
      </c>
      <c r="M12755" t="s">
        <v>1619</v>
      </c>
      <c r="N12755">
        <v>50.6</v>
      </c>
      <c r="O12755" s="49">
        <v>44346</v>
      </c>
      <c r="P12755" s="50">
        <v>215.70750000000001</v>
      </c>
    </row>
    <row r="12756" spans="4:16" x14ac:dyDescent="0.2">
      <c r="D12756">
        <v>100007692</v>
      </c>
      <c r="E12756" s="49">
        <v>45003</v>
      </c>
      <c r="F12756" t="s">
        <v>8188</v>
      </c>
      <c r="G12756" t="s">
        <v>1645</v>
      </c>
      <c r="H12756">
        <v>10</v>
      </c>
      <c r="I12756">
        <v>113.46</v>
      </c>
      <c r="J12756" s="50">
        <v>1134.5999999999999</v>
      </c>
      <c r="K12756" t="s">
        <v>1632</v>
      </c>
      <c r="M12756" t="s">
        <v>1624</v>
      </c>
      <c r="N12756">
        <v>59.88</v>
      </c>
      <c r="O12756" s="49">
        <v>45004</v>
      </c>
      <c r="P12756" s="50">
        <v>510.57</v>
      </c>
    </row>
    <row r="12757" spans="4:16" x14ac:dyDescent="0.2">
      <c r="D12757">
        <v>100007693</v>
      </c>
      <c r="E12757" s="49">
        <v>45123</v>
      </c>
      <c r="F12757" t="s">
        <v>8189</v>
      </c>
      <c r="G12757" t="s">
        <v>2147</v>
      </c>
      <c r="H12757">
        <v>2</v>
      </c>
      <c r="I12757">
        <v>76.62</v>
      </c>
      <c r="J12757" s="50">
        <v>153.24</v>
      </c>
      <c r="K12757" t="s">
        <v>1632</v>
      </c>
      <c r="M12757" t="s">
        <v>1629</v>
      </c>
      <c r="N12757">
        <v>40.44</v>
      </c>
      <c r="O12757" s="49">
        <v>45124</v>
      </c>
      <c r="P12757" s="50">
        <v>68.958000000000013</v>
      </c>
    </row>
    <row r="12758" spans="4:16" x14ac:dyDescent="0.2">
      <c r="D12758">
        <v>100007695</v>
      </c>
      <c r="E12758" s="49">
        <v>44434</v>
      </c>
      <c r="F12758" t="s">
        <v>8190</v>
      </c>
      <c r="G12758" t="s">
        <v>1833</v>
      </c>
      <c r="H12758">
        <v>4</v>
      </c>
      <c r="I12758">
        <v>105.22</v>
      </c>
      <c r="J12758" s="50">
        <v>420.88</v>
      </c>
      <c r="K12758" t="s">
        <v>1618</v>
      </c>
      <c r="M12758" t="s">
        <v>1627</v>
      </c>
      <c r="N12758">
        <v>55.53</v>
      </c>
      <c r="O12758" s="49">
        <v>44439</v>
      </c>
      <c r="P12758" s="50">
        <v>189.39600000000002</v>
      </c>
    </row>
    <row r="12759" spans="4:16" x14ac:dyDescent="0.2">
      <c r="D12759">
        <v>100007696</v>
      </c>
      <c r="E12759" s="49">
        <v>44996</v>
      </c>
      <c r="F12759" t="s">
        <v>4145</v>
      </c>
      <c r="G12759" t="s">
        <v>1987</v>
      </c>
      <c r="H12759">
        <v>3</v>
      </c>
      <c r="I12759">
        <v>78.91</v>
      </c>
      <c r="J12759" s="50">
        <v>236.73</v>
      </c>
      <c r="K12759" t="s">
        <v>1618</v>
      </c>
      <c r="M12759" t="s">
        <v>1621</v>
      </c>
      <c r="N12759">
        <v>41.65</v>
      </c>
      <c r="O12759" s="49">
        <v>44999</v>
      </c>
      <c r="P12759" s="50">
        <v>106.52849999999999</v>
      </c>
    </row>
    <row r="12760" spans="4:16" x14ac:dyDescent="0.2">
      <c r="D12760">
        <v>100007697</v>
      </c>
      <c r="E12760" s="49">
        <v>44457</v>
      </c>
      <c r="F12760" t="s">
        <v>8191</v>
      </c>
      <c r="G12760" t="s">
        <v>2007</v>
      </c>
      <c r="H12760">
        <v>9</v>
      </c>
      <c r="I12760">
        <v>97.84</v>
      </c>
      <c r="J12760" s="50">
        <v>880.56000000000006</v>
      </c>
      <c r="K12760" t="s">
        <v>1632</v>
      </c>
      <c r="M12760" t="s">
        <v>1621</v>
      </c>
      <c r="N12760">
        <v>51.64</v>
      </c>
      <c r="O12760" s="49">
        <v>44459</v>
      </c>
      <c r="P12760" s="50">
        <v>396.25200000000001</v>
      </c>
    </row>
    <row r="12761" spans="4:16" x14ac:dyDescent="0.2">
      <c r="D12761">
        <v>100007697</v>
      </c>
      <c r="E12761" s="49">
        <v>44803</v>
      </c>
      <c r="F12761" t="s">
        <v>8191</v>
      </c>
      <c r="G12761" t="s">
        <v>1620</v>
      </c>
      <c r="H12761">
        <v>6</v>
      </c>
      <c r="I12761">
        <v>96.77</v>
      </c>
      <c r="J12761" s="50">
        <v>580.62</v>
      </c>
      <c r="K12761" t="s">
        <v>1632</v>
      </c>
      <c r="M12761" t="s">
        <v>1621</v>
      </c>
      <c r="N12761">
        <v>51.07</v>
      </c>
      <c r="O12761" s="49">
        <v>44808</v>
      </c>
      <c r="P12761" s="50">
        <v>261.279</v>
      </c>
    </row>
    <row r="12762" spans="4:16" x14ac:dyDescent="0.2">
      <c r="D12762">
        <v>100007698</v>
      </c>
      <c r="E12762" s="49">
        <v>44708</v>
      </c>
      <c r="F12762" t="s">
        <v>8192</v>
      </c>
      <c r="G12762" t="s">
        <v>2004</v>
      </c>
      <c r="H12762">
        <v>7</v>
      </c>
      <c r="I12762">
        <v>114.87</v>
      </c>
      <c r="J12762" s="50">
        <v>804.09</v>
      </c>
      <c r="K12762" t="s">
        <v>1618</v>
      </c>
      <c r="M12762" t="s">
        <v>1619</v>
      </c>
      <c r="N12762">
        <v>60.63</v>
      </c>
      <c r="O12762" s="49">
        <v>44709</v>
      </c>
      <c r="P12762" s="50">
        <v>361.84050000000002</v>
      </c>
    </row>
    <row r="12763" spans="4:16" x14ac:dyDescent="0.2">
      <c r="D12763">
        <v>100007700</v>
      </c>
      <c r="E12763" s="49">
        <v>44714</v>
      </c>
      <c r="F12763" t="s">
        <v>3655</v>
      </c>
      <c r="G12763" t="s">
        <v>1758</v>
      </c>
      <c r="H12763">
        <v>3</v>
      </c>
      <c r="I12763">
        <v>11.31</v>
      </c>
      <c r="J12763" s="50">
        <v>33.93</v>
      </c>
      <c r="K12763" t="s">
        <v>1618</v>
      </c>
      <c r="M12763" t="s">
        <v>1624</v>
      </c>
      <c r="N12763">
        <v>5.97</v>
      </c>
      <c r="O12763" s="49">
        <v>44719</v>
      </c>
      <c r="P12763" s="50">
        <v>15.2685</v>
      </c>
    </row>
    <row r="12764" spans="4:16" x14ac:dyDescent="0.2">
      <c r="D12764">
        <v>100007701</v>
      </c>
      <c r="E12764" s="49">
        <v>45062</v>
      </c>
      <c r="F12764" t="s">
        <v>8193</v>
      </c>
      <c r="G12764" t="s">
        <v>2204</v>
      </c>
      <c r="H12764">
        <v>1</v>
      </c>
      <c r="I12764">
        <v>10.1</v>
      </c>
      <c r="J12764" s="50">
        <v>10.1</v>
      </c>
      <c r="K12764" t="s">
        <v>1632</v>
      </c>
      <c r="M12764" t="s">
        <v>1621</v>
      </c>
      <c r="N12764">
        <v>5.33</v>
      </c>
      <c r="O12764" s="49">
        <v>45063</v>
      </c>
      <c r="P12764" s="50">
        <v>4.5449999999999999</v>
      </c>
    </row>
    <row r="12765" spans="4:16" x14ac:dyDescent="0.2">
      <c r="D12765">
        <v>100007702</v>
      </c>
      <c r="E12765" s="49">
        <v>44782</v>
      </c>
      <c r="F12765" t="s">
        <v>8062</v>
      </c>
      <c r="G12765" t="s">
        <v>2207</v>
      </c>
      <c r="H12765">
        <v>2</v>
      </c>
      <c r="I12765">
        <v>112.17</v>
      </c>
      <c r="J12765" s="50">
        <v>224.34</v>
      </c>
      <c r="K12765" t="s">
        <v>1632</v>
      </c>
      <c r="M12765" t="s">
        <v>1621</v>
      </c>
      <c r="N12765">
        <v>59.2</v>
      </c>
      <c r="O12765" s="49">
        <v>44785</v>
      </c>
      <c r="P12765" s="50">
        <v>100.953</v>
      </c>
    </row>
    <row r="12766" spans="4:16" x14ac:dyDescent="0.2">
      <c r="D12766">
        <v>100007703</v>
      </c>
      <c r="E12766" s="49">
        <v>44674</v>
      </c>
      <c r="F12766" t="s">
        <v>8194</v>
      </c>
      <c r="G12766" t="s">
        <v>2168</v>
      </c>
      <c r="H12766">
        <v>2</v>
      </c>
      <c r="I12766">
        <v>106.43</v>
      </c>
      <c r="J12766" s="50">
        <v>212.86</v>
      </c>
      <c r="K12766" t="s">
        <v>1618</v>
      </c>
      <c r="M12766" t="s">
        <v>1619</v>
      </c>
      <c r="N12766">
        <v>56.17</v>
      </c>
      <c r="O12766" s="49">
        <v>44678</v>
      </c>
      <c r="P12766" s="50">
        <v>95.787000000000006</v>
      </c>
    </row>
    <row r="12767" spans="4:16" x14ac:dyDescent="0.2">
      <c r="D12767">
        <v>100007703</v>
      </c>
      <c r="E12767" s="49">
        <v>44952</v>
      </c>
      <c r="F12767" t="s">
        <v>8194</v>
      </c>
      <c r="G12767" t="s">
        <v>1767</v>
      </c>
      <c r="H12767">
        <v>9</v>
      </c>
      <c r="I12767">
        <v>37.17</v>
      </c>
      <c r="J12767" s="50">
        <v>334.53</v>
      </c>
      <c r="K12767" t="s">
        <v>1618</v>
      </c>
      <c r="M12767" t="s">
        <v>1629</v>
      </c>
      <c r="N12767">
        <v>19.62</v>
      </c>
      <c r="O12767" s="49">
        <v>44955</v>
      </c>
      <c r="P12767" s="50">
        <v>150.5385</v>
      </c>
    </row>
    <row r="12768" spans="4:16" x14ac:dyDescent="0.2">
      <c r="D12768">
        <v>100007704</v>
      </c>
      <c r="E12768" s="49">
        <v>44689</v>
      </c>
      <c r="F12768" t="s">
        <v>8195</v>
      </c>
      <c r="G12768" t="s">
        <v>1644</v>
      </c>
      <c r="H12768">
        <v>5</v>
      </c>
      <c r="I12768">
        <v>109.86</v>
      </c>
      <c r="J12768" s="50">
        <v>549.29999999999995</v>
      </c>
      <c r="K12768" t="s">
        <v>1632</v>
      </c>
      <c r="M12768" t="s">
        <v>1624</v>
      </c>
      <c r="N12768">
        <v>57.98</v>
      </c>
      <c r="O12768" s="49">
        <v>44690</v>
      </c>
      <c r="P12768" s="50">
        <v>247.18499999999997</v>
      </c>
    </row>
    <row r="12769" spans="4:16" x14ac:dyDescent="0.2">
      <c r="D12769">
        <v>100007704</v>
      </c>
      <c r="E12769" s="49">
        <v>44459</v>
      </c>
      <c r="F12769" t="s">
        <v>8195</v>
      </c>
      <c r="G12769" t="s">
        <v>2480</v>
      </c>
      <c r="H12769">
        <v>8</v>
      </c>
      <c r="I12769">
        <v>67.64</v>
      </c>
      <c r="J12769" s="50">
        <v>541.12</v>
      </c>
      <c r="K12769" t="s">
        <v>1632</v>
      </c>
      <c r="M12769" t="s">
        <v>1629</v>
      </c>
      <c r="N12769">
        <v>35.700000000000003</v>
      </c>
      <c r="O12769" s="49">
        <v>44464</v>
      </c>
      <c r="P12769" s="50">
        <v>243.50400000000002</v>
      </c>
    </row>
    <row r="12770" spans="4:16" x14ac:dyDescent="0.2">
      <c r="D12770">
        <v>100007706</v>
      </c>
      <c r="E12770" s="49">
        <v>45592</v>
      </c>
      <c r="F12770" t="s">
        <v>8196</v>
      </c>
      <c r="G12770" t="s">
        <v>1825</v>
      </c>
      <c r="H12770">
        <v>10</v>
      </c>
      <c r="I12770">
        <v>82.04</v>
      </c>
      <c r="J12770" s="50">
        <v>820.40000000000009</v>
      </c>
      <c r="K12770" t="s">
        <v>1618</v>
      </c>
      <c r="L12770" t="s">
        <v>8197</v>
      </c>
      <c r="M12770" t="s">
        <v>1629</v>
      </c>
      <c r="N12770">
        <v>43.3</v>
      </c>
      <c r="O12770" s="49">
        <v>45593</v>
      </c>
      <c r="P12770" s="50">
        <v>369.18000000000006</v>
      </c>
    </row>
    <row r="12771" spans="4:16" x14ac:dyDescent="0.2">
      <c r="D12771">
        <v>100007706</v>
      </c>
      <c r="E12771" s="49">
        <v>44800</v>
      </c>
      <c r="F12771" t="s">
        <v>8196</v>
      </c>
      <c r="G12771" t="s">
        <v>1645</v>
      </c>
      <c r="H12771">
        <v>3</v>
      </c>
      <c r="I12771">
        <v>119.33</v>
      </c>
      <c r="J12771" s="50">
        <v>357.99</v>
      </c>
      <c r="K12771" t="s">
        <v>1618</v>
      </c>
      <c r="L12771" t="s">
        <v>8197</v>
      </c>
      <c r="M12771" t="s">
        <v>1619</v>
      </c>
      <c r="N12771">
        <v>62.98</v>
      </c>
      <c r="O12771" s="49">
        <v>44801</v>
      </c>
      <c r="P12771" s="50">
        <v>161.09550000000002</v>
      </c>
    </row>
    <row r="12772" spans="4:16" x14ac:dyDescent="0.2">
      <c r="D12772">
        <v>100007707</v>
      </c>
      <c r="E12772" s="49">
        <v>44598</v>
      </c>
      <c r="F12772" t="s">
        <v>8198</v>
      </c>
      <c r="G12772" t="s">
        <v>2357</v>
      </c>
      <c r="H12772">
        <v>10</v>
      </c>
      <c r="I12772">
        <v>25.83</v>
      </c>
      <c r="J12772" s="50">
        <v>258.3</v>
      </c>
      <c r="K12772" t="s">
        <v>1618</v>
      </c>
      <c r="M12772" t="s">
        <v>1619</v>
      </c>
      <c r="N12772">
        <v>13.63</v>
      </c>
      <c r="O12772" s="49">
        <v>44602</v>
      </c>
      <c r="P12772" s="50">
        <v>116.23500000000001</v>
      </c>
    </row>
    <row r="12773" spans="4:16" x14ac:dyDescent="0.2">
      <c r="D12773">
        <v>100007707</v>
      </c>
      <c r="E12773" s="49">
        <v>44719</v>
      </c>
      <c r="F12773" t="s">
        <v>8198</v>
      </c>
      <c r="G12773" t="s">
        <v>2706</v>
      </c>
      <c r="H12773">
        <v>9</v>
      </c>
      <c r="I12773">
        <v>59.38</v>
      </c>
      <c r="J12773" s="50">
        <v>534.42000000000007</v>
      </c>
      <c r="K12773" t="s">
        <v>1618</v>
      </c>
      <c r="M12773" t="s">
        <v>1619</v>
      </c>
      <c r="N12773">
        <v>31.34</v>
      </c>
      <c r="O12773" s="49">
        <v>44720</v>
      </c>
      <c r="P12773" s="50">
        <v>240.48900000000003</v>
      </c>
    </row>
    <row r="12774" spans="4:16" x14ac:dyDescent="0.2">
      <c r="D12774">
        <v>100007709</v>
      </c>
      <c r="E12774" s="49">
        <v>44942</v>
      </c>
      <c r="F12774" t="s">
        <v>8199</v>
      </c>
      <c r="G12774" t="s">
        <v>2004</v>
      </c>
      <c r="H12774">
        <v>2</v>
      </c>
      <c r="I12774">
        <v>55.65</v>
      </c>
      <c r="J12774" s="50">
        <v>111.3</v>
      </c>
      <c r="K12774" t="s">
        <v>1618</v>
      </c>
      <c r="M12774" t="s">
        <v>1627</v>
      </c>
      <c r="N12774">
        <v>29.37</v>
      </c>
      <c r="O12774" s="49">
        <v>44945</v>
      </c>
      <c r="P12774" s="50">
        <v>50.085000000000001</v>
      </c>
    </row>
    <row r="12775" spans="4:16" x14ac:dyDescent="0.2">
      <c r="D12775">
        <v>100007709</v>
      </c>
      <c r="E12775" s="49">
        <v>44711</v>
      </c>
      <c r="F12775" t="s">
        <v>8199</v>
      </c>
      <c r="G12775" t="s">
        <v>1953</v>
      </c>
      <c r="H12775">
        <v>8</v>
      </c>
      <c r="I12775">
        <v>78.2</v>
      </c>
      <c r="J12775" s="50">
        <v>625.6</v>
      </c>
      <c r="K12775" t="s">
        <v>1618</v>
      </c>
      <c r="M12775" t="s">
        <v>1629</v>
      </c>
      <c r="N12775">
        <v>41.27</v>
      </c>
      <c r="O12775" s="49">
        <v>44716</v>
      </c>
      <c r="P12775" s="50">
        <v>281.52000000000004</v>
      </c>
    </row>
    <row r="12776" spans="4:16" x14ac:dyDescent="0.2">
      <c r="D12776">
        <v>100007710</v>
      </c>
      <c r="E12776" s="49">
        <v>45344</v>
      </c>
      <c r="F12776" t="s">
        <v>8200</v>
      </c>
      <c r="G12776" t="s">
        <v>2380</v>
      </c>
      <c r="H12776">
        <v>1</v>
      </c>
      <c r="I12776">
        <v>50.74</v>
      </c>
      <c r="J12776" s="50">
        <v>50.74</v>
      </c>
      <c r="K12776" t="s">
        <v>1618</v>
      </c>
      <c r="M12776" t="s">
        <v>1621</v>
      </c>
      <c r="N12776">
        <v>26.78</v>
      </c>
      <c r="O12776" s="49">
        <v>45346</v>
      </c>
      <c r="P12776" s="50">
        <v>22.833000000000002</v>
      </c>
    </row>
    <row r="12777" spans="4:16" x14ac:dyDescent="0.2">
      <c r="D12777">
        <v>100007711</v>
      </c>
      <c r="E12777" s="49">
        <v>45010</v>
      </c>
      <c r="F12777" t="s">
        <v>8201</v>
      </c>
      <c r="G12777" t="s">
        <v>2628</v>
      </c>
      <c r="H12777">
        <v>9</v>
      </c>
      <c r="I12777">
        <v>34.020000000000003</v>
      </c>
      <c r="J12777" s="50">
        <v>306.18</v>
      </c>
      <c r="K12777" t="s">
        <v>1618</v>
      </c>
      <c r="M12777" t="s">
        <v>1619</v>
      </c>
      <c r="N12777">
        <v>17.95</v>
      </c>
      <c r="O12777" s="49">
        <v>45013</v>
      </c>
      <c r="P12777" s="50">
        <v>137.78100000000001</v>
      </c>
    </row>
    <row r="12778" spans="4:16" x14ac:dyDescent="0.2">
      <c r="D12778">
        <v>100007713</v>
      </c>
      <c r="E12778" s="49">
        <v>45286</v>
      </c>
      <c r="F12778" t="s">
        <v>8202</v>
      </c>
      <c r="G12778" t="s">
        <v>2017</v>
      </c>
      <c r="H12778">
        <v>4</v>
      </c>
      <c r="I12778">
        <v>106.34</v>
      </c>
      <c r="J12778" s="50">
        <v>425.36</v>
      </c>
      <c r="K12778" t="s">
        <v>1632</v>
      </c>
      <c r="M12778" t="s">
        <v>1619</v>
      </c>
      <c r="N12778">
        <v>56.12</v>
      </c>
      <c r="O12778" s="49">
        <v>45288</v>
      </c>
      <c r="P12778" s="50">
        <v>191.41200000000001</v>
      </c>
    </row>
    <row r="12779" spans="4:16" x14ac:dyDescent="0.2">
      <c r="D12779">
        <v>100007713</v>
      </c>
      <c r="E12779" s="49">
        <v>44487</v>
      </c>
      <c r="F12779" t="s">
        <v>8202</v>
      </c>
      <c r="G12779" t="s">
        <v>1744</v>
      </c>
      <c r="H12779">
        <v>2</v>
      </c>
      <c r="I12779">
        <v>112.83</v>
      </c>
      <c r="J12779" s="50">
        <v>225.66</v>
      </c>
      <c r="K12779" t="s">
        <v>1632</v>
      </c>
      <c r="M12779" t="s">
        <v>1619</v>
      </c>
      <c r="N12779">
        <v>59.55</v>
      </c>
      <c r="O12779" s="49">
        <v>44491</v>
      </c>
      <c r="P12779" s="50">
        <v>101.547</v>
      </c>
    </row>
    <row r="12780" spans="4:16" x14ac:dyDescent="0.2">
      <c r="D12780">
        <v>100007713</v>
      </c>
      <c r="E12780" s="49">
        <v>44496</v>
      </c>
      <c r="F12780" t="s">
        <v>8202</v>
      </c>
      <c r="G12780" t="s">
        <v>2302</v>
      </c>
      <c r="H12780">
        <v>9</v>
      </c>
      <c r="I12780">
        <v>23.36</v>
      </c>
      <c r="J12780" s="50">
        <v>210.24</v>
      </c>
      <c r="K12780" t="s">
        <v>1632</v>
      </c>
      <c r="M12780" t="s">
        <v>1627</v>
      </c>
      <c r="N12780">
        <v>12.33</v>
      </c>
      <c r="O12780" s="49">
        <v>44499</v>
      </c>
      <c r="P12780" s="50">
        <v>94.608000000000004</v>
      </c>
    </row>
    <row r="12781" spans="4:16" x14ac:dyDescent="0.2">
      <c r="D12781">
        <v>100007713</v>
      </c>
      <c r="E12781" s="49">
        <v>44569</v>
      </c>
      <c r="F12781" t="s">
        <v>8202</v>
      </c>
      <c r="G12781" t="s">
        <v>1916</v>
      </c>
      <c r="H12781">
        <v>7</v>
      </c>
      <c r="I12781">
        <v>44.89</v>
      </c>
      <c r="J12781" s="50">
        <v>314.23</v>
      </c>
      <c r="K12781" t="s">
        <v>1632</v>
      </c>
      <c r="M12781" t="s">
        <v>1627</v>
      </c>
      <c r="N12781">
        <v>23.69</v>
      </c>
      <c r="O12781" s="49">
        <v>44573</v>
      </c>
      <c r="P12781" s="50">
        <v>141.40350000000001</v>
      </c>
    </row>
    <row r="12782" spans="4:16" x14ac:dyDescent="0.2">
      <c r="D12782">
        <v>100007713</v>
      </c>
      <c r="E12782" s="49">
        <v>45496</v>
      </c>
      <c r="F12782" t="s">
        <v>8202</v>
      </c>
      <c r="G12782" t="s">
        <v>2375</v>
      </c>
      <c r="H12782">
        <v>1</v>
      </c>
      <c r="I12782">
        <v>48.84</v>
      </c>
      <c r="J12782" s="50">
        <v>48.84</v>
      </c>
      <c r="K12782" t="s">
        <v>1632</v>
      </c>
      <c r="M12782" t="s">
        <v>1627</v>
      </c>
      <c r="N12782">
        <v>25.78</v>
      </c>
      <c r="O12782" s="49">
        <v>45498</v>
      </c>
      <c r="P12782" s="50">
        <v>21.978000000000002</v>
      </c>
    </row>
    <row r="12783" spans="4:16" x14ac:dyDescent="0.2">
      <c r="D12783">
        <v>100007713</v>
      </c>
      <c r="E12783" s="49">
        <v>44698</v>
      </c>
      <c r="F12783" t="s">
        <v>8202</v>
      </c>
      <c r="G12783" t="s">
        <v>2447</v>
      </c>
      <c r="H12783">
        <v>4</v>
      </c>
      <c r="I12783">
        <v>50.27</v>
      </c>
      <c r="J12783" s="50">
        <v>201.08</v>
      </c>
      <c r="K12783" t="s">
        <v>1632</v>
      </c>
      <c r="M12783" t="s">
        <v>1629</v>
      </c>
      <c r="N12783">
        <v>26.53</v>
      </c>
      <c r="O12783" s="49">
        <v>44701</v>
      </c>
      <c r="P12783" s="50">
        <v>90.486000000000004</v>
      </c>
    </row>
    <row r="12784" spans="4:16" x14ac:dyDescent="0.2">
      <c r="D12784">
        <v>100007713</v>
      </c>
      <c r="E12784" s="49">
        <v>44250</v>
      </c>
      <c r="F12784" t="s">
        <v>8202</v>
      </c>
      <c r="G12784" t="s">
        <v>1701</v>
      </c>
      <c r="H12784">
        <v>6</v>
      </c>
      <c r="I12784">
        <v>52</v>
      </c>
      <c r="J12784" s="50">
        <v>312</v>
      </c>
      <c r="K12784" t="s">
        <v>1632</v>
      </c>
      <c r="M12784" t="s">
        <v>1627</v>
      </c>
      <c r="N12784">
        <v>27.44</v>
      </c>
      <c r="O12784" s="49">
        <v>44254</v>
      </c>
      <c r="P12784" s="50">
        <v>140.4</v>
      </c>
    </row>
    <row r="12785" spans="4:16" x14ac:dyDescent="0.2">
      <c r="D12785">
        <v>100007715</v>
      </c>
      <c r="E12785" s="49">
        <v>44938</v>
      </c>
      <c r="F12785" t="s">
        <v>8203</v>
      </c>
      <c r="G12785" t="s">
        <v>3135</v>
      </c>
      <c r="H12785">
        <v>7</v>
      </c>
      <c r="I12785">
        <v>69.39</v>
      </c>
      <c r="J12785" s="50">
        <v>485.73</v>
      </c>
      <c r="K12785" t="s">
        <v>1618</v>
      </c>
      <c r="M12785" t="s">
        <v>1627</v>
      </c>
      <c r="N12785">
        <v>36.619999999999997</v>
      </c>
      <c r="O12785" s="49">
        <v>44939</v>
      </c>
      <c r="P12785" s="50">
        <v>218.57850000000002</v>
      </c>
    </row>
    <row r="12786" spans="4:16" x14ac:dyDescent="0.2">
      <c r="D12786">
        <v>100007716</v>
      </c>
      <c r="E12786" s="49">
        <v>44268</v>
      </c>
      <c r="F12786" t="s">
        <v>8204</v>
      </c>
      <c r="G12786" t="s">
        <v>1736</v>
      </c>
      <c r="H12786">
        <v>10</v>
      </c>
      <c r="I12786">
        <v>61.7</v>
      </c>
      <c r="J12786" s="50">
        <v>617</v>
      </c>
      <c r="K12786" t="s">
        <v>1618</v>
      </c>
      <c r="L12786" t="s">
        <v>4536</v>
      </c>
      <c r="M12786" t="s">
        <v>1629</v>
      </c>
      <c r="N12786">
        <v>32.56</v>
      </c>
      <c r="O12786" s="49">
        <v>44271</v>
      </c>
      <c r="P12786" s="50">
        <v>277.65000000000003</v>
      </c>
    </row>
    <row r="12787" spans="4:16" x14ac:dyDescent="0.2">
      <c r="D12787">
        <v>100007716</v>
      </c>
      <c r="E12787" s="49">
        <v>44966</v>
      </c>
      <c r="F12787" t="s">
        <v>8204</v>
      </c>
      <c r="G12787" t="s">
        <v>1928</v>
      </c>
      <c r="H12787">
        <v>8</v>
      </c>
      <c r="I12787">
        <v>19.399999999999999</v>
      </c>
      <c r="J12787" s="50">
        <v>155.19999999999999</v>
      </c>
      <c r="K12787" t="s">
        <v>1618</v>
      </c>
      <c r="L12787" t="s">
        <v>4536</v>
      </c>
      <c r="M12787" t="s">
        <v>1621</v>
      </c>
      <c r="N12787">
        <v>10.24</v>
      </c>
      <c r="O12787" s="49">
        <v>44968</v>
      </c>
      <c r="P12787" s="50">
        <v>69.84</v>
      </c>
    </row>
    <row r="12788" spans="4:16" x14ac:dyDescent="0.2">
      <c r="D12788">
        <v>100007716</v>
      </c>
      <c r="E12788" s="49">
        <v>44530</v>
      </c>
      <c r="F12788" t="s">
        <v>8204</v>
      </c>
      <c r="G12788" t="s">
        <v>1969</v>
      </c>
      <c r="H12788">
        <v>6</v>
      </c>
      <c r="I12788">
        <v>43.88</v>
      </c>
      <c r="J12788" s="50">
        <v>263.27999999999997</v>
      </c>
      <c r="K12788" t="s">
        <v>1618</v>
      </c>
      <c r="L12788" t="s">
        <v>4536</v>
      </c>
      <c r="M12788" t="s">
        <v>1629</v>
      </c>
      <c r="N12788">
        <v>23.16</v>
      </c>
      <c r="O12788" s="49">
        <v>44534</v>
      </c>
      <c r="P12788" s="50">
        <v>118.47599999999998</v>
      </c>
    </row>
    <row r="12789" spans="4:16" x14ac:dyDescent="0.2">
      <c r="D12789">
        <v>100007717</v>
      </c>
      <c r="E12789" s="49">
        <v>44537</v>
      </c>
      <c r="F12789" t="s">
        <v>8205</v>
      </c>
      <c r="G12789" t="s">
        <v>1856</v>
      </c>
      <c r="H12789">
        <v>10</v>
      </c>
      <c r="I12789">
        <v>47.32</v>
      </c>
      <c r="J12789" s="50">
        <v>473.2</v>
      </c>
      <c r="K12789" t="s">
        <v>1618</v>
      </c>
      <c r="M12789" t="s">
        <v>1627</v>
      </c>
      <c r="N12789">
        <v>24.97</v>
      </c>
      <c r="O12789" s="49">
        <v>44540</v>
      </c>
      <c r="P12789" s="50">
        <v>212.94</v>
      </c>
    </row>
    <row r="12790" spans="4:16" x14ac:dyDescent="0.2">
      <c r="D12790">
        <v>100007719</v>
      </c>
      <c r="E12790" s="49">
        <v>44888</v>
      </c>
      <c r="F12790" t="s">
        <v>8206</v>
      </c>
      <c r="G12790" t="s">
        <v>1916</v>
      </c>
      <c r="H12790">
        <v>3</v>
      </c>
      <c r="I12790">
        <v>81.31</v>
      </c>
      <c r="J12790" s="50">
        <v>243.93</v>
      </c>
      <c r="K12790" t="s">
        <v>1618</v>
      </c>
      <c r="L12790" t="s">
        <v>2342</v>
      </c>
      <c r="M12790" t="s">
        <v>1627</v>
      </c>
      <c r="N12790">
        <v>42.91</v>
      </c>
      <c r="O12790" s="49">
        <v>44892</v>
      </c>
      <c r="P12790" s="50">
        <v>109.7685</v>
      </c>
    </row>
    <row r="12791" spans="4:16" x14ac:dyDescent="0.2">
      <c r="D12791">
        <v>100007721</v>
      </c>
      <c r="E12791" s="49">
        <v>44691</v>
      </c>
      <c r="F12791" t="s">
        <v>2726</v>
      </c>
      <c r="G12791" t="s">
        <v>1866</v>
      </c>
      <c r="H12791">
        <v>8</v>
      </c>
      <c r="I12791">
        <v>30.41</v>
      </c>
      <c r="J12791" s="50">
        <v>243.28</v>
      </c>
      <c r="K12791" t="s">
        <v>1632</v>
      </c>
      <c r="L12791" t="s">
        <v>8207</v>
      </c>
      <c r="M12791" t="s">
        <v>1621</v>
      </c>
      <c r="N12791">
        <v>16.05</v>
      </c>
      <c r="O12791" s="49">
        <v>44694</v>
      </c>
      <c r="P12791" s="50">
        <v>109.476</v>
      </c>
    </row>
    <row r="12792" spans="4:16" x14ac:dyDescent="0.2">
      <c r="D12792">
        <v>100007721</v>
      </c>
      <c r="E12792" s="49">
        <v>45608</v>
      </c>
      <c r="F12792" t="s">
        <v>2726</v>
      </c>
      <c r="G12792" t="s">
        <v>1985</v>
      </c>
      <c r="H12792">
        <v>3</v>
      </c>
      <c r="I12792">
        <v>39.1</v>
      </c>
      <c r="J12792" s="50">
        <v>117.3</v>
      </c>
      <c r="K12792" t="s">
        <v>1632</v>
      </c>
      <c r="L12792" t="s">
        <v>8207</v>
      </c>
      <c r="M12792" t="s">
        <v>1627</v>
      </c>
      <c r="N12792">
        <v>20.64</v>
      </c>
      <c r="O12792" s="49">
        <v>45613</v>
      </c>
      <c r="P12792" s="50">
        <v>52.784999999999997</v>
      </c>
    </row>
    <row r="12793" spans="4:16" x14ac:dyDescent="0.2">
      <c r="D12793">
        <v>100007727</v>
      </c>
      <c r="E12793" s="49">
        <v>45348</v>
      </c>
      <c r="F12793" t="s">
        <v>7400</v>
      </c>
      <c r="G12793" t="s">
        <v>1691</v>
      </c>
      <c r="H12793">
        <v>5</v>
      </c>
      <c r="I12793">
        <v>28.41</v>
      </c>
      <c r="J12793" s="50">
        <v>142.05000000000001</v>
      </c>
      <c r="K12793" t="s">
        <v>1618</v>
      </c>
      <c r="M12793" t="s">
        <v>1629</v>
      </c>
      <c r="N12793">
        <v>14.99</v>
      </c>
      <c r="O12793" s="49">
        <v>45353</v>
      </c>
      <c r="P12793" s="50">
        <v>63.922500000000007</v>
      </c>
    </row>
    <row r="12794" spans="4:16" x14ac:dyDescent="0.2">
      <c r="D12794">
        <v>100007727</v>
      </c>
      <c r="E12794" s="49">
        <v>45518</v>
      </c>
      <c r="F12794" t="s">
        <v>7400</v>
      </c>
      <c r="G12794" t="s">
        <v>1882</v>
      </c>
      <c r="H12794">
        <v>3</v>
      </c>
      <c r="I12794">
        <v>57.1</v>
      </c>
      <c r="J12794" s="50">
        <v>171.3</v>
      </c>
      <c r="K12794" t="s">
        <v>1618</v>
      </c>
      <c r="M12794" t="s">
        <v>1629</v>
      </c>
      <c r="N12794">
        <v>30.14</v>
      </c>
      <c r="O12794" s="49">
        <v>45520</v>
      </c>
      <c r="P12794" s="50">
        <v>77.085000000000008</v>
      </c>
    </row>
    <row r="12795" spans="4:16" x14ac:dyDescent="0.2">
      <c r="D12795">
        <v>100007727</v>
      </c>
      <c r="E12795" s="49">
        <v>45489</v>
      </c>
      <c r="F12795" t="s">
        <v>7400</v>
      </c>
      <c r="G12795" t="s">
        <v>1647</v>
      </c>
      <c r="H12795">
        <v>10</v>
      </c>
      <c r="I12795">
        <v>55.26</v>
      </c>
      <c r="J12795" s="50">
        <v>552.6</v>
      </c>
      <c r="K12795" t="s">
        <v>1618</v>
      </c>
      <c r="M12795" t="s">
        <v>1624</v>
      </c>
      <c r="N12795">
        <v>29.16</v>
      </c>
      <c r="O12795" s="49">
        <v>45491</v>
      </c>
      <c r="P12795" s="50">
        <v>248.67000000000002</v>
      </c>
    </row>
    <row r="12796" spans="4:16" x14ac:dyDescent="0.2">
      <c r="D12796">
        <v>100007728</v>
      </c>
      <c r="E12796" s="49">
        <v>44426</v>
      </c>
      <c r="F12796" t="s">
        <v>8208</v>
      </c>
      <c r="G12796" t="s">
        <v>1728</v>
      </c>
      <c r="H12796">
        <v>4</v>
      </c>
      <c r="I12796">
        <v>101.38</v>
      </c>
      <c r="J12796" s="50">
        <v>405.52</v>
      </c>
      <c r="K12796" t="s">
        <v>1618</v>
      </c>
      <c r="M12796" t="s">
        <v>1627</v>
      </c>
      <c r="N12796">
        <v>53.51</v>
      </c>
      <c r="O12796" s="49">
        <v>44430</v>
      </c>
      <c r="P12796" s="50">
        <v>182.48400000000001</v>
      </c>
    </row>
    <row r="12797" spans="4:16" x14ac:dyDescent="0.2">
      <c r="D12797">
        <v>100007728</v>
      </c>
      <c r="E12797" s="49">
        <v>45168</v>
      </c>
      <c r="F12797" t="s">
        <v>8208</v>
      </c>
      <c r="G12797" t="s">
        <v>1738</v>
      </c>
      <c r="H12797">
        <v>7</v>
      </c>
      <c r="I12797">
        <v>28.49</v>
      </c>
      <c r="J12797" s="50">
        <v>199.43</v>
      </c>
      <c r="K12797" t="s">
        <v>1618</v>
      </c>
      <c r="M12797" t="s">
        <v>1627</v>
      </c>
      <c r="N12797">
        <v>15.04</v>
      </c>
      <c r="O12797" s="49">
        <v>45171</v>
      </c>
      <c r="P12797" s="50">
        <v>89.743500000000012</v>
      </c>
    </row>
    <row r="12798" spans="4:16" x14ac:dyDescent="0.2">
      <c r="D12798">
        <v>100007728</v>
      </c>
      <c r="E12798" s="49">
        <v>45314</v>
      </c>
      <c r="F12798" t="s">
        <v>8208</v>
      </c>
      <c r="G12798" t="s">
        <v>2301</v>
      </c>
      <c r="H12798">
        <v>2</v>
      </c>
      <c r="I12798">
        <v>106.9</v>
      </c>
      <c r="J12798" s="50">
        <v>213.8</v>
      </c>
      <c r="K12798" t="s">
        <v>1618</v>
      </c>
      <c r="M12798" t="s">
        <v>1627</v>
      </c>
      <c r="N12798">
        <v>56.42</v>
      </c>
      <c r="O12798" s="49">
        <v>45317</v>
      </c>
      <c r="P12798" s="50">
        <v>96.210000000000008</v>
      </c>
    </row>
    <row r="12799" spans="4:16" x14ac:dyDescent="0.2">
      <c r="D12799">
        <v>100007729</v>
      </c>
      <c r="E12799" s="49">
        <v>44985</v>
      </c>
      <c r="F12799" t="s">
        <v>8209</v>
      </c>
      <c r="G12799" t="s">
        <v>1885</v>
      </c>
      <c r="H12799">
        <v>2</v>
      </c>
      <c r="I12799">
        <v>50.17</v>
      </c>
      <c r="J12799" s="50">
        <v>100.34</v>
      </c>
      <c r="K12799" t="s">
        <v>1618</v>
      </c>
      <c r="L12799" t="s">
        <v>5692</v>
      </c>
      <c r="M12799" t="s">
        <v>1627</v>
      </c>
      <c r="N12799">
        <v>26.48</v>
      </c>
      <c r="O12799" s="49">
        <v>44988</v>
      </c>
      <c r="P12799" s="50">
        <v>45.153000000000006</v>
      </c>
    </row>
    <row r="12800" spans="4:16" x14ac:dyDescent="0.2">
      <c r="D12800">
        <v>100007729</v>
      </c>
      <c r="E12800" s="49">
        <v>45300</v>
      </c>
      <c r="F12800" t="s">
        <v>8209</v>
      </c>
      <c r="G12800" t="s">
        <v>1756</v>
      </c>
      <c r="H12800">
        <v>3</v>
      </c>
      <c r="I12800">
        <v>106.91</v>
      </c>
      <c r="J12800" s="50">
        <v>320.73</v>
      </c>
      <c r="K12800" t="s">
        <v>1618</v>
      </c>
      <c r="L12800" t="s">
        <v>5692</v>
      </c>
      <c r="M12800" t="s">
        <v>1629</v>
      </c>
      <c r="N12800">
        <v>56.42</v>
      </c>
      <c r="O12800" s="49">
        <v>45305</v>
      </c>
      <c r="P12800" s="50">
        <v>144.32850000000002</v>
      </c>
    </row>
    <row r="12801" spans="4:16" x14ac:dyDescent="0.2">
      <c r="D12801">
        <v>100007729</v>
      </c>
      <c r="E12801" s="49">
        <v>44832</v>
      </c>
      <c r="F12801" t="s">
        <v>8209</v>
      </c>
      <c r="G12801" t="s">
        <v>1827</v>
      </c>
      <c r="H12801">
        <v>3</v>
      </c>
      <c r="I12801">
        <v>70.319999999999993</v>
      </c>
      <c r="J12801" s="50">
        <v>210.96</v>
      </c>
      <c r="K12801" t="s">
        <v>1618</v>
      </c>
      <c r="L12801" t="s">
        <v>5692</v>
      </c>
      <c r="M12801" t="s">
        <v>1619</v>
      </c>
      <c r="N12801">
        <v>37.11</v>
      </c>
      <c r="O12801" s="49">
        <v>44835</v>
      </c>
      <c r="P12801" s="50">
        <v>94.932000000000002</v>
      </c>
    </row>
    <row r="12802" spans="4:16" x14ac:dyDescent="0.2">
      <c r="D12802">
        <v>100007729</v>
      </c>
      <c r="E12802" s="49">
        <v>45648</v>
      </c>
      <c r="F12802" t="s">
        <v>8209</v>
      </c>
      <c r="G12802" t="s">
        <v>2063</v>
      </c>
      <c r="H12802">
        <v>2</v>
      </c>
      <c r="I12802">
        <v>89</v>
      </c>
      <c r="J12802" s="50">
        <v>178</v>
      </c>
      <c r="K12802" t="s">
        <v>1618</v>
      </c>
      <c r="L12802" t="s">
        <v>5692</v>
      </c>
      <c r="M12802" t="s">
        <v>1619</v>
      </c>
      <c r="N12802">
        <v>46.97</v>
      </c>
      <c r="O12802" s="49">
        <v>45651</v>
      </c>
      <c r="P12802" s="50">
        <v>80.100000000000009</v>
      </c>
    </row>
    <row r="12803" spans="4:16" x14ac:dyDescent="0.2">
      <c r="D12803">
        <v>100007729</v>
      </c>
      <c r="E12803" s="49">
        <v>45374</v>
      </c>
      <c r="F12803" t="s">
        <v>8209</v>
      </c>
      <c r="G12803" t="s">
        <v>2378</v>
      </c>
      <c r="H12803">
        <v>4</v>
      </c>
      <c r="I12803">
        <v>97.51</v>
      </c>
      <c r="J12803" s="50">
        <v>390.04</v>
      </c>
      <c r="K12803" t="s">
        <v>1618</v>
      </c>
      <c r="L12803" t="s">
        <v>5692</v>
      </c>
      <c r="M12803" t="s">
        <v>1629</v>
      </c>
      <c r="N12803">
        <v>51.46</v>
      </c>
      <c r="O12803" s="49">
        <v>45378</v>
      </c>
      <c r="P12803" s="50">
        <v>175.518</v>
      </c>
    </row>
    <row r="12804" spans="4:16" x14ac:dyDescent="0.2">
      <c r="D12804">
        <v>100007730</v>
      </c>
      <c r="E12804" s="49">
        <v>44208</v>
      </c>
      <c r="F12804" t="s">
        <v>7688</v>
      </c>
      <c r="G12804" t="s">
        <v>3075</v>
      </c>
      <c r="H12804">
        <v>1</v>
      </c>
      <c r="I12804">
        <v>66.58</v>
      </c>
      <c r="J12804" s="50">
        <v>66.58</v>
      </c>
      <c r="K12804" t="s">
        <v>1618</v>
      </c>
      <c r="M12804" t="s">
        <v>1621</v>
      </c>
      <c r="N12804">
        <v>35.14</v>
      </c>
      <c r="O12804" s="49">
        <v>44213</v>
      </c>
      <c r="P12804" s="50">
        <v>29.960999999999999</v>
      </c>
    </row>
    <row r="12805" spans="4:16" x14ac:dyDescent="0.2">
      <c r="D12805">
        <v>100007731</v>
      </c>
      <c r="E12805" s="49">
        <v>44430</v>
      </c>
      <c r="F12805" t="s">
        <v>3913</v>
      </c>
      <c r="G12805" t="s">
        <v>1937</v>
      </c>
      <c r="H12805">
        <v>4</v>
      </c>
      <c r="I12805">
        <v>44.8</v>
      </c>
      <c r="J12805" s="50">
        <v>179.2</v>
      </c>
      <c r="K12805" t="s">
        <v>1618</v>
      </c>
      <c r="L12805" t="s">
        <v>4446</v>
      </c>
      <c r="M12805" t="s">
        <v>1624</v>
      </c>
      <c r="N12805">
        <v>23.64</v>
      </c>
      <c r="O12805" s="49">
        <v>44431</v>
      </c>
      <c r="P12805" s="50">
        <v>80.64</v>
      </c>
    </row>
    <row r="12806" spans="4:16" x14ac:dyDescent="0.2">
      <c r="D12806">
        <v>100007731</v>
      </c>
      <c r="E12806" s="49">
        <v>45411</v>
      </c>
      <c r="F12806" t="s">
        <v>3913</v>
      </c>
      <c r="G12806" t="s">
        <v>1762</v>
      </c>
      <c r="H12806">
        <v>5</v>
      </c>
      <c r="I12806">
        <v>89.69</v>
      </c>
      <c r="J12806" s="50">
        <v>448.45</v>
      </c>
      <c r="K12806" t="s">
        <v>1618</v>
      </c>
      <c r="L12806" t="s">
        <v>4446</v>
      </c>
      <c r="M12806" t="s">
        <v>1619</v>
      </c>
      <c r="N12806">
        <v>47.34</v>
      </c>
      <c r="O12806" s="49">
        <v>45412</v>
      </c>
      <c r="P12806" s="50">
        <v>201.80250000000001</v>
      </c>
    </row>
    <row r="12807" spans="4:16" x14ac:dyDescent="0.2">
      <c r="D12807">
        <v>100007731</v>
      </c>
      <c r="E12807" s="49">
        <v>45575</v>
      </c>
      <c r="F12807" t="s">
        <v>3913</v>
      </c>
      <c r="G12807" t="s">
        <v>1823</v>
      </c>
      <c r="H12807">
        <v>1</v>
      </c>
      <c r="I12807">
        <v>71.680000000000007</v>
      </c>
      <c r="J12807" s="50">
        <v>71.680000000000007</v>
      </c>
      <c r="K12807" t="s">
        <v>1618</v>
      </c>
      <c r="L12807" t="s">
        <v>4446</v>
      </c>
      <c r="M12807" t="s">
        <v>1629</v>
      </c>
      <c r="N12807">
        <v>37.83</v>
      </c>
      <c r="O12807" s="49">
        <v>45579</v>
      </c>
      <c r="P12807" s="50">
        <v>32.256000000000007</v>
      </c>
    </row>
    <row r="12808" spans="4:16" x14ac:dyDescent="0.2">
      <c r="D12808">
        <v>100007733</v>
      </c>
      <c r="E12808" s="49">
        <v>44401</v>
      </c>
      <c r="F12808" t="s">
        <v>8210</v>
      </c>
      <c r="G12808" t="s">
        <v>1707</v>
      </c>
      <c r="H12808">
        <v>7</v>
      </c>
      <c r="I12808">
        <v>97.42</v>
      </c>
      <c r="J12808" s="50">
        <v>681.94</v>
      </c>
      <c r="K12808" t="s">
        <v>1632</v>
      </c>
      <c r="L12808" t="s">
        <v>8211</v>
      </c>
      <c r="M12808" t="s">
        <v>1629</v>
      </c>
      <c r="N12808">
        <v>51.42</v>
      </c>
      <c r="O12808" s="49">
        <v>44402</v>
      </c>
      <c r="P12808" s="50">
        <v>306.87300000000005</v>
      </c>
    </row>
    <row r="12809" spans="4:16" x14ac:dyDescent="0.2">
      <c r="D12809">
        <v>100007733</v>
      </c>
      <c r="E12809" s="49">
        <v>45085</v>
      </c>
      <c r="F12809" t="s">
        <v>8210</v>
      </c>
      <c r="G12809" t="s">
        <v>1944</v>
      </c>
      <c r="H12809">
        <v>5</v>
      </c>
      <c r="I12809">
        <v>106.63</v>
      </c>
      <c r="J12809" s="50">
        <v>533.15</v>
      </c>
      <c r="K12809" t="s">
        <v>1632</v>
      </c>
      <c r="L12809" t="s">
        <v>8211</v>
      </c>
      <c r="M12809" t="s">
        <v>1621</v>
      </c>
      <c r="N12809">
        <v>56.28</v>
      </c>
      <c r="O12809" s="49">
        <v>45088</v>
      </c>
      <c r="P12809" s="50">
        <v>239.91749999999999</v>
      </c>
    </row>
    <row r="12810" spans="4:16" x14ac:dyDescent="0.2">
      <c r="D12810">
        <v>100007733</v>
      </c>
      <c r="E12810" s="49">
        <v>44222</v>
      </c>
      <c r="F12810" t="s">
        <v>8210</v>
      </c>
      <c r="G12810" t="s">
        <v>1785</v>
      </c>
      <c r="H12810">
        <v>4</v>
      </c>
      <c r="I12810">
        <v>93.44</v>
      </c>
      <c r="J12810" s="50">
        <v>373.76</v>
      </c>
      <c r="K12810" t="s">
        <v>1632</v>
      </c>
      <c r="L12810" t="s">
        <v>8211</v>
      </c>
      <c r="M12810" t="s">
        <v>1621</v>
      </c>
      <c r="N12810">
        <v>49.32</v>
      </c>
      <c r="O12810" s="49">
        <v>44225</v>
      </c>
      <c r="P12810" s="50">
        <v>168.19200000000001</v>
      </c>
    </row>
    <row r="12811" spans="4:16" x14ac:dyDescent="0.2">
      <c r="D12811">
        <v>100007733</v>
      </c>
      <c r="E12811" s="49">
        <v>45491</v>
      </c>
      <c r="F12811" t="s">
        <v>8210</v>
      </c>
      <c r="G12811" t="s">
        <v>2416</v>
      </c>
      <c r="H12811">
        <v>10</v>
      </c>
      <c r="I12811">
        <v>57.48</v>
      </c>
      <c r="J12811" s="50">
        <v>574.79999999999995</v>
      </c>
      <c r="K12811" t="s">
        <v>1632</v>
      </c>
      <c r="L12811" t="s">
        <v>8211</v>
      </c>
      <c r="M12811" t="s">
        <v>1624</v>
      </c>
      <c r="N12811">
        <v>30.34</v>
      </c>
      <c r="O12811" s="49">
        <v>45494</v>
      </c>
      <c r="P12811" s="50">
        <v>258.65999999999997</v>
      </c>
    </row>
    <row r="12812" spans="4:16" x14ac:dyDescent="0.2">
      <c r="D12812">
        <v>100007733</v>
      </c>
      <c r="E12812" s="49">
        <v>44759</v>
      </c>
      <c r="F12812" t="s">
        <v>8210</v>
      </c>
      <c r="G12812" t="s">
        <v>1838</v>
      </c>
      <c r="H12812">
        <v>10</v>
      </c>
      <c r="I12812">
        <v>80.38</v>
      </c>
      <c r="J12812" s="50">
        <v>803.8</v>
      </c>
      <c r="K12812" t="s">
        <v>1632</v>
      </c>
      <c r="L12812" t="s">
        <v>8211</v>
      </c>
      <c r="M12812" t="s">
        <v>1629</v>
      </c>
      <c r="N12812">
        <v>42.42</v>
      </c>
      <c r="O12812" s="49">
        <v>44761</v>
      </c>
      <c r="P12812" s="50">
        <v>361.71</v>
      </c>
    </row>
    <row r="12813" spans="4:16" x14ac:dyDescent="0.2">
      <c r="D12813">
        <v>100007733</v>
      </c>
      <c r="E12813" s="49">
        <v>44721</v>
      </c>
      <c r="F12813" t="s">
        <v>8210</v>
      </c>
      <c r="G12813" t="s">
        <v>1719</v>
      </c>
      <c r="H12813">
        <v>7</v>
      </c>
      <c r="I12813">
        <v>117.52</v>
      </c>
      <c r="J12813" s="50">
        <v>822.64</v>
      </c>
      <c r="K12813" t="s">
        <v>1632</v>
      </c>
      <c r="L12813" t="s">
        <v>8211</v>
      </c>
      <c r="M12813" t="s">
        <v>1624</v>
      </c>
      <c r="N12813">
        <v>62.02</v>
      </c>
      <c r="O12813" s="49">
        <v>44725</v>
      </c>
      <c r="P12813" s="50">
        <v>370.18799999999999</v>
      </c>
    </row>
    <row r="12814" spans="4:16" x14ac:dyDescent="0.2">
      <c r="D12814">
        <v>100007733</v>
      </c>
      <c r="E12814" s="49">
        <v>45576</v>
      </c>
      <c r="F12814" t="s">
        <v>8210</v>
      </c>
      <c r="G12814" t="s">
        <v>2078</v>
      </c>
      <c r="H12814">
        <v>4</v>
      </c>
      <c r="I12814">
        <v>118.04</v>
      </c>
      <c r="J12814" s="50">
        <v>472.16</v>
      </c>
      <c r="K12814" t="s">
        <v>1632</v>
      </c>
      <c r="L12814" t="s">
        <v>8211</v>
      </c>
      <c r="M12814" t="s">
        <v>1621</v>
      </c>
      <c r="N12814">
        <v>62.3</v>
      </c>
      <c r="O12814" s="49">
        <v>45578</v>
      </c>
      <c r="P12814" s="50">
        <v>212.47200000000001</v>
      </c>
    </row>
    <row r="12815" spans="4:16" x14ac:dyDescent="0.2">
      <c r="D12815">
        <v>100007733</v>
      </c>
      <c r="E12815" s="49">
        <v>44934</v>
      </c>
      <c r="F12815" t="s">
        <v>8210</v>
      </c>
      <c r="G12815" t="s">
        <v>1815</v>
      </c>
      <c r="H12815">
        <v>5</v>
      </c>
      <c r="I12815">
        <v>78.2</v>
      </c>
      <c r="J12815" s="50">
        <v>391</v>
      </c>
      <c r="K12815" t="s">
        <v>1632</v>
      </c>
      <c r="L12815" t="s">
        <v>8211</v>
      </c>
      <c r="M12815" t="s">
        <v>1627</v>
      </c>
      <c r="N12815">
        <v>41.27</v>
      </c>
      <c r="O12815" s="49">
        <v>44938</v>
      </c>
      <c r="P12815" s="50">
        <v>175.95000000000002</v>
      </c>
    </row>
    <row r="12816" spans="4:16" x14ac:dyDescent="0.2">
      <c r="D12816">
        <v>100007733</v>
      </c>
      <c r="E12816" s="49">
        <v>45115</v>
      </c>
      <c r="F12816" t="s">
        <v>8210</v>
      </c>
      <c r="G12816" t="s">
        <v>2116</v>
      </c>
      <c r="H12816">
        <v>9</v>
      </c>
      <c r="I12816">
        <v>77.540000000000006</v>
      </c>
      <c r="J12816" s="50">
        <v>697.86</v>
      </c>
      <c r="K12816" t="s">
        <v>1632</v>
      </c>
      <c r="L12816" t="s">
        <v>8211</v>
      </c>
      <c r="M12816" t="s">
        <v>1619</v>
      </c>
      <c r="N12816">
        <v>40.92</v>
      </c>
      <c r="O12816" s="49">
        <v>45118</v>
      </c>
      <c r="P12816" s="50">
        <v>314.03700000000003</v>
      </c>
    </row>
    <row r="12817" spans="4:16" x14ac:dyDescent="0.2">
      <c r="D12817">
        <v>100007733</v>
      </c>
      <c r="E12817" s="49">
        <v>45011</v>
      </c>
      <c r="F12817" t="s">
        <v>8210</v>
      </c>
      <c r="G12817" t="s">
        <v>1823</v>
      </c>
      <c r="H12817">
        <v>1</v>
      </c>
      <c r="I12817">
        <v>52.59</v>
      </c>
      <c r="J12817" s="50">
        <v>52.59</v>
      </c>
      <c r="K12817" t="s">
        <v>1632</v>
      </c>
      <c r="L12817" t="s">
        <v>8211</v>
      </c>
      <c r="M12817" t="s">
        <v>1621</v>
      </c>
      <c r="N12817">
        <v>27.76</v>
      </c>
      <c r="O12817" s="49">
        <v>45012</v>
      </c>
      <c r="P12817" s="50">
        <v>23.665500000000002</v>
      </c>
    </row>
    <row r="12818" spans="4:16" x14ac:dyDescent="0.2">
      <c r="D12818">
        <v>100007734</v>
      </c>
      <c r="E12818" s="49">
        <v>44827</v>
      </c>
      <c r="F12818" t="s">
        <v>8212</v>
      </c>
      <c r="G12818" t="s">
        <v>2023</v>
      </c>
      <c r="H12818">
        <v>2</v>
      </c>
      <c r="I12818">
        <v>28.63</v>
      </c>
      <c r="J12818" s="50">
        <v>57.26</v>
      </c>
      <c r="K12818" t="s">
        <v>1632</v>
      </c>
      <c r="L12818" t="s">
        <v>8213</v>
      </c>
      <c r="M12818" t="s">
        <v>1624</v>
      </c>
      <c r="N12818">
        <v>15.11</v>
      </c>
      <c r="O12818" s="49">
        <v>44828</v>
      </c>
      <c r="P12818" s="50">
        <v>25.766999999999999</v>
      </c>
    </row>
    <row r="12819" spans="4:16" x14ac:dyDescent="0.2">
      <c r="D12819">
        <v>100007734</v>
      </c>
      <c r="E12819" s="49">
        <v>44301</v>
      </c>
      <c r="F12819" t="s">
        <v>8212</v>
      </c>
      <c r="G12819" t="s">
        <v>2269</v>
      </c>
      <c r="H12819">
        <v>3</v>
      </c>
      <c r="I12819">
        <v>45.55</v>
      </c>
      <c r="J12819" s="50">
        <v>136.65</v>
      </c>
      <c r="K12819" t="s">
        <v>1632</v>
      </c>
      <c r="L12819" t="s">
        <v>8213</v>
      </c>
      <c r="M12819" t="s">
        <v>1619</v>
      </c>
      <c r="N12819">
        <v>24.04</v>
      </c>
      <c r="O12819" s="49">
        <v>44304</v>
      </c>
      <c r="P12819" s="50">
        <v>61.492500000000007</v>
      </c>
    </row>
    <row r="12820" spans="4:16" x14ac:dyDescent="0.2">
      <c r="D12820">
        <v>100007734</v>
      </c>
      <c r="E12820" s="49">
        <v>44711</v>
      </c>
      <c r="F12820" t="s">
        <v>8212</v>
      </c>
      <c r="G12820" t="s">
        <v>2343</v>
      </c>
      <c r="H12820">
        <v>5</v>
      </c>
      <c r="I12820">
        <v>69.650000000000006</v>
      </c>
      <c r="J12820" s="50">
        <v>348.25</v>
      </c>
      <c r="K12820" t="s">
        <v>1632</v>
      </c>
      <c r="L12820" t="s">
        <v>8213</v>
      </c>
      <c r="M12820" t="s">
        <v>1621</v>
      </c>
      <c r="N12820">
        <v>36.76</v>
      </c>
      <c r="O12820" s="49">
        <v>44712</v>
      </c>
      <c r="P12820" s="50">
        <v>156.71250000000001</v>
      </c>
    </row>
    <row r="12821" spans="4:16" x14ac:dyDescent="0.2">
      <c r="D12821">
        <v>100007735</v>
      </c>
      <c r="E12821" s="49">
        <v>45203</v>
      </c>
      <c r="F12821" t="s">
        <v>8214</v>
      </c>
      <c r="G12821" t="s">
        <v>2116</v>
      </c>
      <c r="H12821">
        <v>8</v>
      </c>
      <c r="I12821">
        <v>77.099999999999994</v>
      </c>
      <c r="J12821" s="50">
        <v>616.79999999999995</v>
      </c>
      <c r="K12821" t="s">
        <v>1632</v>
      </c>
      <c r="M12821" t="s">
        <v>1621</v>
      </c>
      <c r="N12821">
        <v>40.69</v>
      </c>
      <c r="O12821" s="49">
        <v>45205</v>
      </c>
      <c r="P12821" s="50">
        <v>277.56</v>
      </c>
    </row>
    <row r="12822" spans="4:16" x14ac:dyDescent="0.2">
      <c r="D12822">
        <v>100007736</v>
      </c>
      <c r="E12822" s="49">
        <v>45356</v>
      </c>
      <c r="F12822" t="s">
        <v>8215</v>
      </c>
      <c r="G12822" t="s">
        <v>1987</v>
      </c>
      <c r="H12822">
        <v>8</v>
      </c>
      <c r="I12822">
        <v>49.08</v>
      </c>
      <c r="J12822" s="50">
        <v>392.64</v>
      </c>
      <c r="K12822" t="s">
        <v>1618</v>
      </c>
      <c r="M12822" t="s">
        <v>1621</v>
      </c>
      <c r="N12822">
        <v>25.9</v>
      </c>
      <c r="O12822" s="49">
        <v>45358</v>
      </c>
      <c r="P12822" s="50">
        <v>176.68799999999999</v>
      </c>
    </row>
    <row r="12823" spans="4:16" x14ac:dyDescent="0.2">
      <c r="D12823">
        <v>100007736</v>
      </c>
      <c r="E12823" s="49">
        <v>45549</v>
      </c>
      <c r="F12823" t="s">
        <v>8215</v>
      </c>
      <c r="G12823" t="s">
        <v>1866</v>
      </c>
      <c r="H12823">
        <v>9</v>
      </c>
      <c r="I12823">
        <v>80.78</v>
      </c>
      <c r="J12823" s="50">
        <v>727.02</v>
      </c>
      <c r="K12823" t="s">
        <v>1618</v>
      </c>
      <c r="M12823" t="s">
        <v>1627</v>
      </c>
      <c r="N12823">
        <v>42.63</v>
      </c>
      <c r="O12823" s="49">
        <v>45551</v>
      </c>
      <c r="P12823" s="50">
        <v>327.15899999999999</v>
      </c>
    </row>
    <row r="12824" spans="4:16" x14ac:dyDescent="0.2">
      <c r="D12824">
        <v>100007736</v>
      </c>
      <c r="E12824" s="49">
        <v>44430</v>
      </c>
      <c r="F12824" t="s">
        <v>8215</v>
      </c>
      <c r="G12824" t="s">
        <v>1723</v>
      </c>
      <c r="H12824">
        <v>8</v>
      </c>
      <c r="I12824">
        <v>90.13</v>
      </c>
      <c r="J12824" s="50">
        <v>721.04</v>
      </c>
      <c r="K12824" t="s">
        <v>1618</v>
      </c>
      <c r="M12824" t="s">
        <v>1627</v>
      </c>
      <c r="N12824">
        <v>47.57</v>
      </c>
      <c r="O12824" s="49">
        <v>44431</v>
      </c>
      <c r="P12824" s="50">
        <v>324.46800000000002</v>
      </c>
    </row>
    <row r="12825" spans="4:16" x14ac:dyDescent="0.2">
      <c r="D12825">
        <v>100007736</v>
      </c>
      <c r="E12825" s="49">
        <v>45360</v>
      </c>
      <c r="F12825" t="s">
        <v>8215</v>
      </c>
      <c r="G12825" t="s">
        <v>1950</v>
      </c>
      <c r="H12825">
        <v>6</v>
      </c>
      <c r="I12825">
        <v>14.52</v>
      </c>
      <c r="J12825" s="50">
        <v>87.12</v>
      </c>
      <c r="K12825" t="s">
        <v>1618</v>
      </c>
      <c r="M12825" t="s">
        <v>1621</v>
      </c>
      <c r="N12825">
        <v>7.66</v>
      </c>
      <c r="O12825" s="49">
        <v>45361</v>
      </c>
      <c r="P12825" s="50">
        <v>39.204000000000001</v>
      </c>
    </row>
    <row r="12826" spans="4:16" x14ac:dyDescent="0.2">
      <c r="D12826">
        <v>100007737</v>
      </c>
      <c r="E12826" s="49">
        <v>45585</v>
      </c>
      <c r="F12826" t="s">
        <v>8216</v>
      </c>
      <c r="G12826" t="s">
        <v>1710</v>
      </c>
      <c r="H12826">
        <v>3</v>
      </c>
      <c r="I12826">
        <v>83.97</v>
      </c>
      <c r="J12826" s="50">
        <v>251.91</v>
      </c>
      <c r="K12826" t="s">
        <v>1632</v>
      </c>
      <c r="L12826" t="s">
        <v>2446</v>
      </c>
      <c r="M12826" t="s">
        <v>1627</v>
      </c>
      <c r="N12826">
        <v>44.32</v>
      </c>
      <c r="O12826" s="49">
        <v>45586</v>
      </c>
      <c r="P12826" s="50">
        <v>113.3595</v>
      </c>
    </row>
    <row r="12827" spans="4:16" x14ac:dyDescent="0.2">
      <c r="D12827">
        <v>100007737</v>
      </c>
      <c r="E12827" s="49">
        <v>44587</v>
      </c>
      <c r="F12827" t="s">
        <v>8216</v>
      </c>
      <c r="G12827" t="s">
        <v>2192</v>
      </c>
      <c r="H12827">
        <v>4</v>
      </c>
      <c r="I12827">
        <v>71.260000000000005</v>
      </c>
      <c r="J12827" s="50">
        <v>285.04000000000002</v>
      </c>
      <c r="K12827" t="s">
        <v>1632</v>
      </c>
      <c r="L12827" t="s">
        <v>2446</v>
      </c>
      <c r="M12827" t="s">
        <v>1627</v>
      </c>
      <c r="N12827">
        <v>37.61</v>
      </c>
      <c r="O12827" s="49">
        <v>44589</v>
      </c>
      <c r="P12827" s="50">
        <v>128.268</v>
      </c>
    </row>
    <row r="12828" spans="4:16" x14ac:dyDescent="0.2">
      <c r="D12828">
        <v>100007739</v>
      </c>
      <c r="E12828" s="49">
        <v>45347</v>
      </c>
      <c r="F12828" t="s">
        <v>8217</v>
      </c>
      <c r="G12828" t="s">
        <v>1743</v>
      </c>
      <c r="H12828">
        <v>2</v>
      </c>
      <c r="I12828">
        <v>109.77</v>
      </c>
      <c r="J12828" s="50">
        <v>219.54</v>
      </c>
      <c r="K12828" t="s">
        <v>1632</v>
      </c>
      <c r="M12828" t="s">
        <v>1619</v>
      </c>
      <c r="N12828">
        <v>57.93</v>
      </c>
      <c r="O12828" s="49">
        <v>45351</v>
      </c>
      <c r="P12828" s="50">
        <v>98.792999999999992</v>
      </c>
    </row>
    <row r="12829" spans="4:16" x14ac:dyDescent="0.2">
      <c r="D12829">
        <v>100007739</v>
      </c>
      <c r="E12829" s="49">
        <v>44777</v>
      </c>
      <c r="F12829" t="s">
        <v>8217</v>
      </c>
      <c r="G12829" t="s">
        <v>2198</v>
      </c>
      <c r="H12829">
        <v>2</v>
      </c>
      <c r="I12829">
        <v>69.25</v>
      </c>
      <c r="J12829" s="50">
        <v>138.5</v>
      </c>
      <c r="K12829" t="s">
        <v>1632</v>
      </c>
      <c r="M12829" t="s">
        <v>1619</v>
      </c>
      <c r="N12829">
        <v>36.549999999999997</v>
      </c>
      <c r="O12829" s="49">
        <v>44780</v>
      </c>
      <c r="P12829" s="50">
        <v>62.325000000000003</v>
      </c>
    </row>
    <row r="12830" spans="4:16" x14ac:dyDescent="0.2">
      <c r="D12830">
        <v>100007739</v>
      </c>
      <c r="E12830" s="49">
        <v>45031</v>
      </c>
      <c r="F12830" t="s">
        <v>8217</v>
      </c>
      <c r="G12830" t="s">
        <v>1874</v>
      </c>
      <c r="H12830">
        <v>9</v>
      </c>
      <c r="I12830">
        <v>51.9</v>
      </c>
      <c r="J12830" s="50">
        <v>467.1</v>
      </c>
      <c r="K12830" t="s">
        <v>1632</v>
      </c>
      <c r="M12830" t="s">
        <v>1619</v>
      </c>
      <c r="N12830">
        <v>27.39</v>
      </c>
      <c r="O12830" s="49">
        <v>45033</v>
      </c>
      <c r="P12830" s="50">
        <v>210.19500000000002</v>
      </c>
    </row>
    <row r="12831" spans="4:16" x14ac:dyDescent="0.2">
      <c r="D12831">
        <v>100007741</v>
      </c>
      <c r="E12831" s="49">
        <v>45291</v>
      </c>
      <c r="F12831" t="s">
        <v>8218</v>
      </c>
      <c r="G12831" t="s">
        <v>1969</v>
      </c>
      <c r="H12831">
        <v>8</v>
      </c>
      <c r="I12831">
        <v>46.57</v>
      </c>
      <c r="J12831" s="50">
        <v>372.56</v>
      </c>
      <c r="K12831" t="s">
        <v>1618</v>
      </c>
      <c r="M12831" t="s">
        <v>1621</v>
      </c>
      <c r="N12831">
        <v>24.58</v>
      </c>
      <c r="O12831" s="49">
        <v>45292</v>
      </c>
      <c r="P12831" s="50">
        <v>167.65200000000002</v>
      </c>
    </row>
    <row r="12832" spans="4:16" x14ac:dyDescent="0.2">
      <c r="D12832">
        <v>100007742</v>
      </c>
      <c r="E12832" s="49">
        <v>44221</v>
      </c>
      <c r="F12832" t="s">
        <v>8219</v>
      </c>
      <c r="G12832" t="s">
        <v>2628</v>
      </c>
      <c r="H12832">
        <v>6</v>
      </c>
      <c r="I12832">
        <v>73.88</v>
      </c>
      <c r="J12832" s="50">
        <v>443.28</v>
      </c>
      <c r="K12832" t="s">
        <v>1632</v>
      </c>
      <c r="L12832" t="s">
        <v>3489</v>
      </c>
      <c r="M12832" t="s">
        <v>1624</v>
      </c>
      <c r="N12832">
        <v>38.99</v>
      </c>
      <c r="O12832" s="49">
        <v>44226</v>
      </c>
      <c r="P12832" s="50">
        <v>199.476</v>
      </c>
    </row>
    <row r="12833" spans="4:16" x14ac:dyDescent="0.2">
      <c r="D12833">
        <v>100007742</v>
      </c>
      <c r="E12833" s="49">
        <v>45470</v>
      </c>
      <c r="F12833" t="s">
        <v>8219</v>
      </c>
      <c r="G12833" t="s">
        <v>2217</v>
      </c>
      <c r="H12833">
        <v>5</v>
      </c>
      <c r="I12833">
        <v>52.03</v>
      </c>
      <c r="J12833" s="50">
        <v>260.14999999999998</v>
      </c>
      <c r="K12833" t="s">
        <v>1632</v>
      </c>
      <c r="L12833" t="s">
        <v>3489</v>
      </c>
      <c r="M12833" t="s">
        <v>1619</v>
      </c>
      <c r="N12833">
        <v>27.46</v>
      </c>
      <c r="O12833" s="49">
        <v>45473</v>
      </c>
      <c r="P12833" s="50">
        <v>117.0675</v>
      </c>
    </row>
    <row r="12834" spans="4:16" x14ac:dyDescent="0.2">
      <c r="D12834">
        <v>100007743</v>
      </c>
      <c r="E12834" s="49">
        <v>44367</v>
      </c>
      <c r="F12834" t="s">
        <v>8220</v>
      </c>
      <c r="G12834" t="s">
        <v>2023</v>
      </c>
      <c r="H12834">
        <v>1</v>
      </c>
      <c r="I12834">
        <v>48.97</v>
      </c>
      <c r="J12834" s="50">
        <v>48.97</v>
      </c>
      <c r="K12834" t="s">
        <v>1618</v>
      </c>
      <c r="M12834" t="s">
        <v>1629</v>
      </c>
      <c r="N12834">
        <v>25.85</v>
      </c>
      <c r="O12834" s="49">
        <v>44372</v>
      </c>
      <c r="P12834" s="50">
        <v>22.0365</v>
      </c>
    </row>
    <row r="12835" spans="4:16" x14ac:dyDescent="0.2">
      <c r="D12835">
        <v>100007743</v>
      </c>
      <c r="E12835" s="49">
        <v>44525</v>
      </c>
      <c r="F12835" t="s">
        <v>8220</v>
      </c>
      <c r="G12835" t="s">
        <v>1782</v>
      </c>
      <c r="H12835">
        <v>2</v>
      </c>
      <c r="I12835">
        <v>83.59</v>
      </c>
      <c r="J12835" s="50">
        <v>167.18</v>
      </c>
      <c r="K12835" t="s">
        <v>1618</v>
      </c>
      <c r="M12835" t="s">
        <v>1627</v>
      </c>
      <c r="N12835">
        <v>44.12</v>
      </c>
      <c r="O12835" s="49">
        <v>44526</v>
      </c>
      <c r="P12835" s="50">
        <v>75.231000000000009</v>
      </c>
    </row>
    <row r="12836" spans="4:16" x14ac:dyDescent="0.2">
      <c r="D12836">
        <v>100007744</v>
      </c>
      <c r="E12836" s="49">
        <v>44725</v>
      </c>
      <c r="F12836" t="s">
        <v>8221</v>
      </c>
      <c r="G12836" t="s">
        <v>1767</v>
      </c>
      <c r="H12836">
        <v>2</v>
      </c>
      <c r="I12836">
        <v>64.98</v>
      </c>
      <c r="J12836" s="50">
        <v>129.96</v>
      </c>
      <c r="K12836" t="s">
        <v>1618</v>
      </c>
      <c r="M12836" t="s">
        <v>1629</v>
      </c>
      <c r="N12836">
        <v>34.29</v>
      </c>
      <c r="O12836" s="49">
        <v>44727</v>
      </c>
      <c r="P12836" s="50">
        <v>58.482000000000006</v>
      </c>
    </row>
    <row r="12837" spans="4:16" x14ac:dyDescent="0.2">
      <c r="D12837">
        <v>100007744</v>
      </c>
      <c r="E12837" s="49">
        <v>45238</v>
      </c>
      <c r="F12837" t="s">
        <v>8221</v>
      </c>
      <c r="G12837" t="s">
        <v>2230</v>
      </c>
      <c r="H12837">
        <v>10</v>
      </c>
      <c r="I12837">
        <v>103.25</v>
      </c>
      <c r="J12837" s="50">
        <v>1032.5</v>
      </c>
      <c r="K12837" t="s">
        <v>1618</v>
      </c>
      <c r="M12837" t="s">
        <v>1627</v>
      </c>
      <c r="N12837">
        <v>54.49</v>
      </c>
      <c r="O12837" s="49">
        <v>45242</v>
      </c>
      <c r="P12837" s="50">
        <v>464.625</v>
      </c>
    </row>
    <row r="12838" spans="4:16" x14ac:dyDescent="0.2">
      <c r="D12838">
        <v>100007744</v>
      </c>
      <c r="E12838" s="49">
        <v>44858</v>
      </c>
      <c r="F12838" t="s">
        <v>8221</v>
      </c>
      <c r="G12838" t="s">
        <v>2050</v>
      </c>
      <c r="H12838">
        <v>9</v>
      </c>
      <c r="I12838">
        <v>65.41</v>
      </c>
      <c r="J12838" s="50">
        <v>588.68999999999994</v>
      </c>
      <c r="K12838" t="s">
        <v>1618</v>
      </c>
      <c r="M12838" t="s">
        <v>1624</v>
      </c>
      <c r="N12838">
        <v>34.520000000000003</v>
      </c>
      <c r="O12838" s="49">
        <v>44861</v>
      </c>
      <c r="P12838" s="50">
        <v>264.91049999999996</v>
      </c>
    </row>
    <row r="12839" spans="4:16" x14ac:dyDescent="0.2">
      <c r="D12839">
        <v>100007744</v>
      </c>
      <c r="E12839" s="49">
        <v>44770</v>
      </c>
      <c r="F12839" t="s">
        <v>8221</v>
      </c>
      <c r="G12839" t="s">
        <v>2204</v>
      </c>
      <c r="H12839">
        <v>1</v>
      </c>
      <c r="I12839">
        <v>99.59</v>
      </c>
      <c r="J12839" s="50">
        <v>99.59</v>
      </c>
      <c r="K12839" t="s">
        <v>1618</v>
      </c>
      <c r="M12839" t="s">
        <v>1624</v>
      </c>
      <c r="N12839">
        <v>52.56</v>
      </c>
      <c r="O12839" s="49">
        <v>44774</v>
      </c>
      <c r="P12839" s="50">
        <v>44.8155</v>
      </c>
    </row>
    <row r="12840" spans="4:16" x14ac:dyDescent="0.2">
      <c r="D12840">
        <v>100007744</v>
      </c>
      <c r="E12840" s="49">
        <v>45481</v>
      </c>
      <c r="F12840" t="s">
        <v>8221</v>
      </c>
      <c r="G12840" t="s">
        <v>2079</v>
      </c>
      <c r="H12840">
        <v>7</v>
      </c>
      <c r="I12840">
        <v>71.16</v>
      </c>
      <c r="J12840" s="50">
        <v>498.12</v>
      </c>
      <c r="K12840" t="s">
        <v>1618</v>
      </c>
      <c r="M12840" t="s">
        <v>1621</v>
      </c>
      <c r="N12840">
        <v>37.56</v>
      </c>
      <c r="O12840" s="49">
        <v>45482</v>
      </c>
      <c r="P12840" s="50">
        <v>224.154</v>
      </c>
    </row>
    <row r="12841" spans="4:16" x14ac:dyDescent="0.2">
      <c r="D12841">
        <v>100007744</v>
      </c>
      <c r="E12841" s="49">
        <v>45191</v>
      </c>
      <c r="F12841" t="s">
        <v>8221</v>
      </c>
      <c r="G12841" t="s">
        <v>1617</v>
      </c>
      <c r="H12841">
        <v>1</v>
      </c>
      <c r="I12841">
        <v>46.76</v>
      </c>
      <c r="J12841" s="50">
        <v>46.76</v>
      </c>
      <c r="K12841" t="s">
        <v>1618</v>
      </c>
      <c r="M12841" t="s">
        <v>1619</v>
      </c>
      <c r="N12841">
        <v>24.68</v>
      </c>
      <c r="O12841" s="49">
        <v>45196</v>
      </c>
      <c r="P12841" s="50">
        <v>21.041999999999998</v>
      </c>
    </row>
    <row r="12842" spans="4:16" x14ac:dyDescent="0.2">
      <c r="D12842">
        <v>100007745</v>
      </c>
      <c r="E12842" s="49">
        <v>44371</v>
      </c>
      <c r="F12842" t="s">
        <v>8222</v>
      </c>
      <c r="G12842" t="s">
        <v>1661</v>
      </c>
      <c r="H12842">
        <v>3</v>
      </c>
      <c r="I12842">
        <v>106.14</v>
      </c>
      <c r="J12842" s="50">
        <v>318.42</v>
      </c>
      <c r="K12842" t="s">
        <v>1618</v>
      </c>
      <c r="M12842" t="s">
        <v>1627</v>
      </c>
      <c r="N12842">
        <v>56.02</v>
      </c>
      <c r="O12842" s="49">
        <v>44372</v>
      </c>
      <c r="P12842" s="50">
        <v>143.28900000000002</v>
      </c>
    </row>
    <row r="12843" spans="4:16" x14ac:dyDescent="0.2">
      <c r="D12843">
        <v>100007747</v>
      </c>
      <c r="E12843" s="49">
        <v>45267</v>
      </c>
      <c r="F12843" t="s">
        <v>8223</v>
      </c>
      <c r="G12843" t="s">
        <v>2071</v>
      </c>
      <c r="H12843">
        <v>2</v>
      </c>
      <c r="I12843">
        <v>93.22</v>
      </c>
      <c r="J12843" s="50">
        <v>186.44</v>
      </c>
      <c r="K12843" t="s">
        <v>1618</v>
      </c>
      <c r="M12843" t="s">
        <v>1627</v>
      </c>
      <c r="N12843">
        <v>49.2</v>
      </c>
      <c r="O12843" s="49">
        <v>45269</v>
      </c>
      <c r="P12843" s="50">
        <v>83.897999999999996</v>
      </c>
    </row>
    <row r="12844" spans="4:16" x14ac:dyDescent="0.2">
      <c r="D12844">
        <v>100007748</v>
      </c>
      <c r="E12844" s="49">
        <v>44469</v>
      </c>
      <c r="F12844" t="s">
        <v>8224</v>
      </c>
      <c r="G12844" t="s">
        <v>2447</v>
      </c>
      <c r="H12844">
        <v>9</v>
      </c>
      <c r="I12844">
        <v>111.64</v>
      </c>
      <c r="J12844" s="50">
        <v>1004.76</v>
      </c>
      <c r="K12844" t="s">
        <v>1618</v>
      </c>
      <c r="M12844" t="s">
        <v>1629</v>
      </c>
      <c r="N12844">
        <v>58.92</v>
      </c>
      <c r="O12844" s="49">
        <v>44473</v>
      </c>
      <c r="P12844" s="50">
        <v>452.142</v>
      </c>
    </row>
    <row r="12845" spans="4:16" x14ac:dyDescent="0.2">
      <c r="D12845">
        <v>100007748</v>
      </c>
      <c r="E12845" s="49">
        <v>44482</v>
      </c>
      <c r="F12845" t="s">
        <v>8224</v>
      </c>
      <c r="G12845" t="s">
        <v>1762</v>
      </c>
      <c r="H12845">
        <v>2</v>
      </c>
      <c r="I12845">
        <v>48.15</v>
      </c>
      <c r="J12845" s="50">
        <v>96.3</v>
      </c>
      <c r="K12845" t="s">
        <v>1618</v>
      </c>
      <c r="M12845" t="s">
        <v>1619</v>
      </c>
      <c r="N12845">
        <v>25.41</v>
      </c>
      <c r="O12845" s="49">
        <v>44483</v>
      </c>
      <c r="P12845" s="50">
        <v>43.335000000000001</v>
      </c>
    </row>
    <row r="12846" spans="4:16" x14ac:dyDescent="0.2">
      <c r="D12846">
        <v>100007748</v>
      </c>
      <c r="E12846" s="49">
        <v>44664</v>
      </c>
      <c r="F12846" t="s">
        <v>8224</v>
      </c>
      <c r="G12846" t="s">
        <v>1838</v>
      </c>
      <c r="H12846">
        <v>4</v>
      </c>
      <c r="I12846">
        <v>73.290000000000006</v>
      </c>
      <c r="J12846" s="50">
        <v>293.16000000000003</v>
      </c>
      <c r="K12846" t="s">
        <v>1618</v>
      </c>
      <c r="M12846" t="s">
        <v>1619</v>
      </c>
      <c r="N12846">
        <v>38.68</v>
      </c>
      <c r="O12846" s="49">
        <v>44666</v>
      </c>
      <c r="P12846" s="50">
        <v>131.92200000000003</v>
      </c>
    </row>
    <row r="12847" spans="4:16" x14ac:dyDescent="0.2">
      <c r="D12847">
        <v>100007749</v>
      </c>
      <c r="E12847" s="49">
        <v>45354</v>
      </c>
      <c r="F12847" t="s">
        <v>8225</v>
      </c>
      <c r="G12847" t="s">
        <v>1722</v>
      </c>
      <c r="H12847">
        <v>3</v>
      </c>
      <c r="I12847">
        <v>66.77</v>
      </c>
      <c r="J12847" s="50">
        <v>200.31</v>
      </c>
      <c r="K12847" t="s">
        <v>1618</v>
      </c>
      <c r="M12847" t="s">
        <v>1629</v>
      </c>
      <c r="N12847">
        <v>35.24</v>
      </c>
      <c r="O12847" s="49">
        <v>45356</v>
      </c>
      <c r="P12847" s="50">
        <v>90.139499999999998</v>
      </c>
    </row>
    <row r="12848" spans="4:16" x14ac:dyDescent="0.2">
      <c r="D12848">
        <v>100007749</v>
      </c>
      <c r="E12848" s="49">
        <v>45171</v>
      </c>
      <c r="F12848" t="s">
        <v>8225</v>
      </c>
      <c r="G12848" t="s">
        <v>2375</v>
      </c>
      <c r="H12848">
        <v>6</v>
      </c>
      <c r="I12848">
        <v>61.71</v>
      </c>
      <c r="J12848" s="50">
        <v>370.26</v>
      </c>
      <c r="K12848" t="s">
        <v>1618</v>
      </c>
      <c r="M12848" t="s">
        <v>1624</v>
      </c>
      <c r="N12848">
        <v>32.57</v>
      </c>
      <c r="O12848" s="49">
        <v>45175</v>
      </c>
      <c r="P12848" s="50">
        <v>166.61699999999999</v>
      </c>
    </row>
    <row r="12849" spans="4:16" x14ac:dyDescent="0.2">
      <c r="D12849">
        <v>100007750</v>
      </c>
      <c r="E12849" s="49">
        <v>44319</v>
      </c>
      <c r="F12849" t="s">
        <v>8226</v>
      </c>
      <c r="G12849" t="s">
        <v>1895</v>
      </c>
      <c r="H12849">
        <v>1</v>
      </c>
      <c r="I12849">
        <v>52.68</v>
      </c>
      <c r="J12849" s="50">
        <v>52.68</v>
      </c>
      <c r="K12849" t="s">
        <v>1632</v>
      </c>
      <c r="M12849" t="s">
        <v>1627</v>
      </c>
      <c r="N12849">
        <v>27.8</v>
      </c>
      <c r="O12849" s="49">
        <v>44321</v>
      </c>
      <c r="P12849" s="50">
        <v>23.706</v>
      </c>
    </row>
    <row r="12850" spans="4:16" x14ac:dyDescent="0.2">
      <c r="D12850">
        <v>100007750</v>
      </c>
      <c r="E12850" s="49">
        <v>44633</v>
      </c>
      <c r="F12850" t="s">
        <v>8226</v>
      </c>
      <c r="G12850" t="s">
        <v>1760</v>
      </c>
      <c r="H12850">
        <v>1</v>
      </c>
      <c r="I12850">
        <v>15.33</v>
      </c>
      <c r="J12850" s="50">
        <v>15.33</v>
      </c>
      <c r="K12850" t="s">
        <v>1632</v>
      </c>
      <c r="M12850" t="s">
        <v>1621</v>
      </c>
      <c r="N12850">
        <v>8.09</v>
      </c>
      <c r="O12850" s="49">
        <v>44635</v>
      </c>
      <c r="P12850" s="50">
        <v>6.8985000000000003</v>
      </c>
    </row>
    <row r="12851" spans="4:16" x14ac:dyDescent="0.2">
      <c r="D12851">
        <v>100007750</v>
      </c>
      <c r="E12851" s="49">
        <v>44752</v>
      </c>
      <c r="F12851" t="s">
        <v>8226</v>
      </c>
      <c r="G12851" t="s">
        <v>1712</v>
      </c>
      <c r="H12851">
        <v>7</v>
      </c>
      <c r="I12851">
        <v>30.78</v>
      </c>
      <c r="J12851" s="50">
        <v>215.46</v>
      </c>
      <c r="K12851" t="s">
        <v>1632</v>
      </c>
      <c r="M12851" t="s">
        <v>1621</v>
      </c>
      <c r="N12851">
        <v>16.239999999999998</v>
      </c>
      <c r="O12851" s="49">
        <v>44756</v>
      </c>
      <c r="P12851" s="50">
        <v>96.957000000000008</v>
      </c>
    </row>
    <row r="12852" spans="4:16" x14ac:dyDescent="0.2">
      <c r="D12852">
        <v>100007751</v>
      </c>
      <c r="E12852" s="49">
        <v>44854</v>
      </c>
      <c r="F12852" t="s">
        <v>4383</v>
      </c>
      <c r="G12852" t="s">
        <v>1675</v>
      </c>
      <c r="H12852">
        <v>6</v>
      </c>
      <c r="I12852">
        <v>48.62</v>
      </c>
      <c r="J12852" s="50">
        <v>291.72000000000003</v>
      </c>
      <c r="K12852" t="s">
        <v>1632</v>
      </c>
      <c r="M12852" t="s">
        <v>1627</v>
      </c>
      <c r="N12852">
        <v>25.66</v>
      </c>
      <c r="O12852" s="49">
        <v>44858</v>
      </c>
      <c r="P12852" s="50">
        <v>131.27400000000003</v>
      </c>
    </row>
    <row r="12853" spans="4:16" x14ac:dyDescent="0.2">
      <c r="D12853">
        <v>100007751</v>
      </c>
      <c r="E12853" s="49">
        <v>45069</v>
      </c>
      <c r="F12853" t="s">
        <v>4383</v>
      </c>
      <c r="G12853" t="s">
        <v>1794</v>
      </c>
      <c r="H12853">
        <v>1</v>
      </c>
      <c r="I12853">
        <v>80.709999999999994</v>
      </c>
      <c r="J12853" s="50">
        <v>80.709999999999994</v>
      </c>
      <c r="K12853" t="s">
        <v>1632</v>
      </c>
      <c r="M12853" t="s">
        <v>1629</v>
      </c>
      <c r="N12853">
        <v>42.6</v>
      </c>
      <c r="O12853" s="49">
        <v>45072</v>
      </c>
      <c r="P12853" s="50">
        <v>36.319499999999998</v>
      </c>
    </row>
    <row r="12854" spans="4:16" x14ac:dyDescent="0.2">
      <c r="D12854">
        <v>100007751</v>
      </c>
      <c r="E12854" s="49">
        <v>44381</v>
      </c>
      <c r="F12854" t="s">
        <v>4383</v>
      </c>
      <c r="G12854" t="s">
        <v>2079</v>
      </c>
      <c r="H12854">
        <v>5</v>
      </c>
      <c r="I12854">
        <v>23.58</v>
      </c>
      <c r="J12854" s="50">
        <v>117.9</v>
      </c>
      <c r="K12854" t="s">
        <v>1632</v>
      </c>
      <c r="M12854" t="s">
        <v>1619</v>
      </c>
      <c r="N12854">
        <v>12.44</v>
      </c>
      <c r="O12854" s="49">
        <v>44386</v>
      </c>
      <c r="P12854" s="50">
        <v>53.055000000000007</v>
      </c>
    </row>
    <row r="12855" spans="4:16" x14ac:dyDescent="0.2">
      <c r="D12855">
        <v>100007751</v>
      </c>
      <c r="E12855" s="49">
        <v>44360</v>
      </c>
      <c r="F12855" t="s">
        <v>4383</v>
      </c>
      <c r="G12855" t="s">
        <v>1781</v>
      </c>
      <c r="H12855">
        <v>6</v>
      </c>
      <c r="I12855">
        <v>46.21</v>
      </c>
      <c r="J12855" s="50">
        <v>277.26</v>
      </c>
      <c r="K12855" t="s">
        <v>1632</v>
      </c>
      <c r="M12855" t="s">
        <v>1629</v>
      </c>
      <c r="N12855">
        <v>24.39</v>
      </c>
      <c r="O12855" s="49">
        <v>44365</v>
      </c>
      <c r="P12855" s="50">
        <v>124.767</v>
      </c>
    </row>
    <row r="12856" spans="4:16" x14ac:dyDescent="0.2">
      <c r="D12856">
        <v>100007751</v>
      </c>
      <c r="E12856" s="49">
        <v>45633</v>
      </c>
      <c r="F12856" t="s">
        <v>4383</v>
      </c>
      <c r="G12856" t="s">
        <v>1641</v>
      </c>
      <c r="H12856">
        <v>10</v>
      </c>
      <c r="I12856">
        <v>77.739999999999995</v>
      </c>
      <c r="J12856" s="50">
        <v>777.4</v>
      </c>
      <c r="K12856" t="s">
        <v>1632</v>
      </c>
      <c r="M12856" t="s">
        <v>1627</v>
      </c>
      <c r="N12856">
        <v>41.03</v>
      </c>
      <c r="O12856" s="49">
        <v>45636</v>
      </c>
      <c r="P12856" s="50">
        <v>349.83</v>
      </c>
    </row>
    <row r="12857" spans="4:16" x14ac:dyDescent="0.2">
      <c r="D12857">
        <v>100007751</v>
      </c>
      <c r="E12857" s="49">
        <v>45458</v>
      </c>
      <c r="F12857" t="s">
        <v>4383</v>
      </c>
      <c r="G12857" t="s">
        <v>1882</v>
      </c>
      <c r="H12857">
        <v>10</v>
      </c>
      <c r="I12857">
        <v>63.02</v>
      </c>
      <c r="J12857" s="50">
        <v>630.20000000000005</v>
      </c>
      <c r="K12857" t="s">
        <v>1632</v>
      </c>
      <c r="M12857" t="s">
        <v>1619</v>
      </c>
      <c r="N12857">
        <v>33.26</v>
      </c>
      <c r="O12857" s="49">
        <v>45460</v>
      </c>
      <c r="P12857" s="50">
        <v>283.59000000000003</v>
      </c>
    </row>
    <row r="12858" spans="4:16" x14ac:dyDescent="0.2">
      <c r="D12858">
        <v>100007751</v>
      </c>
      <c r="E12858" s="49">
        <v>45482</v>
      </c>
      <c r="F12858" t="s">
        <v>4383</v>
      </c>
      <c r="G12858" t="s">
        <v>2378</v>
      </c>
      <c r="H12858">
        <v>7</v>
      </c>
      <c r="I12858">
        <v>61.73</v>
      </c>
      <c r="J12858" s="50">
        <v>432.11</v>
      </c>
      <c r="K12858" t="s">
        <v>1632</v>
      </c>
      <c r="M12858" t="s">
        <v>1627</v>
      </c>
      <c r="N12858">
        <v>32.58</v>
      </c>
      <c r="O12858" s="49">
        <v>45487</v>
      </c>
      <c r="P12858" s="50">
        <v>194.4495</v>
      </c>
    </row>
    <row r="12859" spans="4:16" x14ac:dyDescent="0.2">
      <c r="D12859">
        <v>100007751</v>
      </c>
      <c r="E12859" s="49">
        <v>44782</v>
      </c>
      <c r="F12859" t="s">
        <v>4383</v>
      </c>
      <c r="G12859" t="s">
        <v>2343</v>
      </c>
      <c r="H12859">
        <v>8</v>
      </c>
      <c r="I12859">
        <v>110.99</v>
      </c>
      <c r="J12859" s="50">
        <v>887.92</v>
      </c>
      <c r="K12859" t="s">
        <v>1632</v>
      </c>
      <c r="M12859" t="s">
        <v>1619</v>
      </c>
      <c r="N12859">
        <v>58.58</v>
      </c>
      <c r="O12859" s="49">
        <v>44786</v>
      </c>
      <c r="P12859" s="50">
        <v>399.56399999999996</v>
      </c>
    </row>
    <row r="12860" spans="4:16" x14ac:dyDescent="0.2">
      <c r="D12860">
        <v>100007752</v>
      </c>
      <c r="E12860" s="49">
        <v>45620</v>
      </c>
      <c r="F12860" t="s">
        <v>8227</v>
      </c>
      <c r="G12860" t="s">
        <v>1797</v>
      </c>
      <c r="H12860">
        <v>4</v>
      </c>
      <c r="I12860">
        <v>111.01</v>
      </c>
      <c r="J12860" s="50">
        <v>444.04</v>
      </c>
      <c r="K12860" t="s">
        <v>1618</v>
      </c>
      <c r="M12860" t="s">
        <v>1627</v>
      </c>
      <c r="N12860">
        <v>58.59</v>
      </c>
      <c r="O12860" s="49">
        <v>45624</v>
      </c>
      <c r="P12860" s="50">
        <v>199.81800000000001</v>
      </c>
    </row>
    <row r="12861" spans="4:16" x14ac:dyDescent="0.2">
      <c r="D12861">
        <v>100007753</v>
      </c>
      <c r="E12861" s="49">
        <v>45464</v>
      </c>
      <c r="F12861" t="s">
        <v>8228</v>
      </c>
      <c r="G12861" t="s">
        <v>2357</v>
      </c>
      <c r="H12861">
        <v>2</v>
      </c>
      <c r="I12861">
        <v>38.22</v>
      </c>
      <c r="J12861" s="50">
        <v>76.44</v>
      </c>
      <c r="K12861" t="s">
        <v>1618</v>
      </c>
      <c r="L12861" t="s">
        <v>8229</v>
      </c>
      <c r="M12861" t="s">
        <v>1619</v>
      </c>
      <c r="N12861">
        <v>20.170000000000002</v>
      </c>
      <c r="O12861" s="49">
        <v>45467</v>
      </c>
      <c r="P12861" s="50">
        <v>34.398000000000003</v>
      </c>
    </row>
    <row r="12862" spans="4:16" x14ac:dyDescent="0.2">
      <c r="D12862">
        <v>100007755</v>
      </c>
      <c r="E12862" s="49">
        <v>44379</v>
      </c>
      <c r="F12862" t="s">
        <v>8230</v>
      </c>
      <c r="G12862" t="s">
        <v>2174</v>
      </c>
      <c r="H12862">
        <v>4</v>
      </c>
      <c r="I12862">
        <v>19.489999999999998</v>
      </c>
      <c r="J12862" s="50">
        <v>77.959999999999994</v>
      </c>
      <c r="K12862" t="s">
        <v>1618</v>
      </c>
      <c r="M12862" t="s">
        <v>1621</v>
      </c>
      <c r="N12862">
        <v>10.29</v>
      </c>
      <c r="O12862" s="49">
        <v>44382</v>
      </c>
      <c r="P12862" s="50">
        <v>35.082000000000001</v>
      </c>
    </row>
    <row r="12863" spans="4:16" x14ac:dyDescent="0.2">
      <c r="D12863">
        <v>100007755</v>
      </c>
      <c r="E12863" s="49">
        <v>44790</v>
      </c>
      <c r="F12863" t="s">
        <v>8230</v>
      </c>
      <c r="G12863" t="s">
        <v>1658</v>
      </c>
      <c r="H12863">
        <v>2</v>
      </c>
      <c r="I12863">
        <v>49.14</v>
      </c>
      <c r="J12863" s="50">
        <v>98.28</v>
      </c>
      <c r="K12863" t="s">
        <v>1618</v>
      </c>
      <c r="M12863" t="s">
        <v>1627</v>
      </c>
      <c r="N12863">
        <v>25.93</v>
      </c>
      <c r="O12863" s="49">
        <v>44791</v>
      </c>
      <c r="P12863" s="50">
        <v>44.225999999999999</v>
      </c>
    </row>
    <row r="12864" spans="4:16" x14ac:dyDescent="0.2">
      <c r="D12864">
        <v>100007756</v>
      </c>
      <c r="E12864" s="49">
        <v>45629</v>
      </c>
      <c r="F12864" t="s">
        <v>8231</v>
      </c>
      <c r="G12864" t="s">
        <v>1717</v>
      </c>
      <c r="H12864">
        <v>10</v>
      </c>
      <c r="I12864">
        <v>26.48</v>
      </c>
      <c r="J12864" s="50">
        <v>264.8</v>
      </c>
      <c r="K12864" t="s">
        <v>1618</v>
      </c>
      <c r="M12864" t="s">
        <v>1629</v>
      </c>
      <c r="N12864">
        <v>13.98</v>
      </c>
      <c r="O12864" s="49">
        <v>45632</v>
      </c>
      <c r="P12864" s="50">
        <v>119.16000000000001</v>
      </c>
    </row>
    <row r="12865" spans="4:16" x14ac:dyDescent="0.2">
      <c r="D12865">
        <v>100007756</v>
      </c>
      <c r="E12865" s="49">
        <v>45023</v>
      </c>
      <c r="F12865" t="s">
        <v>8231</v>
      </c>
      <c r="G12865" t="s">
        <v>1866</v>
      </c>
      <c r="H12865">
        <v>6</v>
      </c>
      <c r="I12865">
        <v>47.81</v>
      </c>
      <c r="J12865" s="50">
        <v>286.86</v>
      </c>
      <c r="K12865" t="s">
        <v>1618</v>
      </c>
      <c r="M12865" t="s">
        <v>1619</v>
      </c>
      <c r="N12865">
        <v>25.23</v>
      </c>
      <c r="O12865" s="49">
        <v>45024</v>
      </c>
      <c r="P12865" s="50">
        <v>129.08700000000002</v>
      </c>
    </row>
    <row r="12866" spans="4:16" x14ac:dyDescent="0.2">
      <c r="D12866">
        <v>100007756</v>
      </c>
      <c r="E12866" s="49">
        <v>45595</v>
      </c>
      <c r="F12866" t="s">
        <v>8231</v>
      </c>
      <c r="G12866" t="s">
        <v>1990</v>
      </c>
      <c r="H12866">
        <v>3</v>
      </c>
      <c r="I12866">
        <v>75.42</v>
      </c>
      <c r="J12866" s="50">
        <v>226.26</v>
      </c>
      <c r="K12866" t="s">
        <v>1618</v>
      </c>
      <c r="M12866" t="s">
        <v>1629</v>
      </c>
      <c r="N12866">
        <v>39.799999999999997</v>
      </c>
      <c r="O12866" s="49">
        <v>45597</v>
      </c>
      <c r="P12866" s="50">
        <v>101.81699999999999</v>
      </c>
    </row>
    <row r="12867" spans="4:16" x14ac:dyDescent="0.2">
      <c r="D12867">
        <v>100007756</v>
      </c>
      <c r="E12867" s="49">
        <v>45202</v>
      </c>
      <c r="F12867" t="s">
        <v>8231</v>
      </c>
      <c r="G12867" t="s">
        <v>2111</v>
      </c>
      <c r="H12867">
        <v>8</v>
      </c>
      <c r="I12867">
        <v>98.67</v>
      </c>
      <c r="J12867" s="50">
        <v>789.36</v>
      </c>
      <c r="K12867" t="s">
        <v>1618</v>
      </c>
      <c r="M12867" t="s">
        <v>1629</v>
      </c>
      <c r="N12867">
        <v>52.08</v>
      </c>
      <c r="O12867" s="49">
        <v>45203</v>
      </c>
      <c r="P12867" s="50">
        <v>355.21199999999999</v>
      </c>
    </row>
    <row r="12868" spans="4:16" x14ac:dyDescent="0.2">
      <c r="D12868">
        <v>100007756</v>
      </c>
      <c r="E12868" s="49">
        <v>44306</v>
      </c>
      <c r="F12868" t="s">
        <v>8231</v>
      </c>
      <c r="G12868" t="s">
        <v>1953</v>
      </c>
      <c r="H12868">
        <v>7</v>
      </c>
      <c r="I12868">
        <v>86.03</v>
      </c>
      <c r="J12868" s="50">
        <v>602.21</v>
      </c>
      <c r="K12868" t="s">
        <v>1618</v>
      </c>
      <c r="M12868" t="s">
        <v>1619</v>
      </c>
      <c r="N12868">
        <v>45.4</v>
      </c>
      <c r="O12868" s="49">
        <v>44307</v>
      </c>
      <c r="P12868" s="50">
        <v>270.99450000000002</v>
      </c>
    </row>
    <row r="12869" spans="4:16" x14ac:dyDescent="0.2">
      <c r="D12869">
        <v>100007757</v>
      </c>
      <c r="E12869" s="49">
        <v>45398</v>
      </c>
      <c r="F12869" t="s">
        <v>8232</v>
      </c>
      <c r="G12869" t="s">
        <v>1652</v>
      </c>
      <c r="H12869">
        <v>3</v>
      </c>
      <c r="I12869">
        <v>116.02</v>
      </c>
      <c r="J12869" s="50">
        <v>348.06</v>
      </c>
      <c r="K12869" t="s">
        <v>1618</v>
      </c>
      <c r="M12869" t="s">
        <v>1619</v>
      </c>
      <c r="N12869">
        <v>61.23</v>
      </c>
      <c r="O12869" s="49">
        <v>45400</v>
      </c>
      <c r="P12869" s="50">
        <v>156.62700000000001</v>
      </c>
    </row>
    <row r="12870" spans="4:16" x14ac:dyDescent="0.2">
      <c r="D12870">
        <v>100007758</v>
      </c>
      <c r="E12870" s="49">
        <v>45104</v>
      </c>
      <c r="F12870" t="s">
        <v>8233</v>
      </c>
      <c r="G12870" t="s">
        <v>1859</v>
      </c>
      <c r="H12870">
        <v>2</v>
      </c>
      <c r="I12870">
        <v>46.62</v>
      </c>
      <c r="J12870" s="50">
        <v>93.24</v>
      </c>
      <c r="K12870" t="s">
        <v>1618</v>
      </c>
      <c r="L12870" t="s">
        <v>7374</v>
      </c>
      <c r="M12870" t="s">
        <v>1621</v>
      </c>
      <c r="N12870">
        <v>24.6</v>
      </c>
      <c r="O12870" s="49">
        <v>45107</v>
      </c>
      <c r="P12870" s="50">
        <v>41.957999999999998</v>
      </c>
    </row>
    <row r="12871" spans="4:16" x14ac:dyDescent="0.2">
      <c r="D12871">
        <v>100007758</v>
      </c>
      <c r="E12871" s="49">
        <v>44958</v>
      </c>
      <c r="F12871" t="s">
        <v>8233</v>
      </c>
      <c r="G12871" t="s">
        <v>2063</v>
      </c>
      <c r="H12871">
        <v>7</v>
      </c>
      <c r="I12871">
        <v>93.8</v>
      </c>
      <c r="J12871" s="50">
        <v>656.6</v>
      </c>
      <c r="K12871" t="s">
        <v>1618</v>
      </c>
      <c r="L12871" t="s">
        <v>7374</v>
      </c>
      <c r="M12871" t="s">
        <v>1627</v>
      </c>
      <c r="N12871">
        <v>49.51</v>
      </c>
      <c r="O12871" s="49">
        <v>44963</v>
      </c>
      <c r="P12871" s="50">
        <v>295.47000000000003</v>
      </c>
    </row>
    <row r="12872" spans="4:16" x14ac:dyDescent="0.2">
      <c r="D12872">
        <v>100007759</v>
      </c>
      <c r="E12872" s="49">
        <v>45103</v>
      </c>
      <c r="F12872" t="s">
        <v>8234</v>
      </c>
      <c r="G12872" t="s">
        <v>2692</v>
      </c>
      <c r="H12872">
        <v>6</v>
      </c>
      <c r="I12872">
        <v>65.680000000000007</v>
      </c>
      <c r="J12872" s="50">
        <v>394.08</v>
      </c>
      <c r="K12872" t="s">
        <v>1618</v>
      </c>
      <c r="M12872" t="s">
        <v>1629</v>
      </c>
      <c r="N12872">
        <v>34.659999999999997</v>
      </c>
      <c r="O12872" s="49">
        <v>45105</v>
      </c>
      <c r="P12872" s="50">
        <v>177.33599999999998</v>
      </c>
    </row>
    <row r="12873" spans="4:16" x14ac:dyDescent="0.2">
      <c r="D12873">
        <v>100007759</v>
      </c>
      <c r="E12873" s="49">
        <v>45090</v>
      </c>
      <c r="F12873" t="s">
        <v>8234</v>
      </c>
      <c r="G12873" t="s">
        <v>2261</v>
      </c>
      <c r="H12873">
        <v>6</v>
      </c>
      <c r="I12873">
        <v>32.64</v>
      </c>
      <c r="J12873" s="50">
        <v>195.84</v>
      </c>
      <c r="K12873" t="s">
        <v>1618</v>
      </c>
      <c r="M12873" t="s">
        <v>1619</v>
      </c>
      <c r="N12873">
        <v>17.23</v>
      </c>
      <c r="O12873" s="49">
        <v>45091</v>
      </c>
      <c r="P12873" s="50">
        <v>88.128</v>
      </c>
    </row>
    <row r="12874" spans="4:16" x14ac:dyDescent="0.2">
      <c r="D12874">
        <v>100007760</v>
      </c>
      <c r="E12874" s="49">
        <v>44965</v>
      </c>
      <c r="F12874" t="s">
        <v>8235</v>
      </c>
      <c r="G12874" t="s">
        <v>1737</v>
      </c>
      <c r="H12874">
        <v>6</v>
      </c>
      <c r="I12874">
        <v>110.42</v>
      </c>
      <c r="J12874" s="50">
        <v>662.52</v>
      </c>
      <c r="K12874" t="s">
        <v>1618</v>
      </c>
      <c r="L12874" t="s">
        <v>2446</v>
      </c>
      <c r="M12874" t="s">
        <v>1619</v>
      </c>
      <c r="N12874">
        <v>58.28</v>
      </c>
      <c r="O12874" s="49">
        <v>44967</v>
      </c>
      <c r="P12874" s="50">
        <v>298.13400000000001</v>
      </c>
    </row>
    <row r="12875" spans="4:16" x14ac:dyDescent="0.2">
      <c r="D12875">
        <v>100007761</v>
      </c>
      <c r="E12875" s="49">
        <v>44831</v>
      </c>
      <c r="F12875" t="s">
        <v>8236</v>
      </c>
      <c r="G12875" t="s">
        <v>1929</v>
      </c>
      <c r="H12875">
        <v>7</v>
      </c>
      <c r="I12875">
        <v>65.150000000000006</v>
      </c>
      <c r="J12875" s="50">
        <v>456.05000000000013</v>
      </c>
      <c r="K12875" t="s">
        <v>1632</v>
      </c>
      <c r="M12875" t="s">
        <v>1629</v>
      </c>
      <c r="N12875">
        <v>34.380000000000003</v>
      </c>
      <c r="O12875" s="49">
        <v>44835</v>
      </c>
      <c r="P12875" s="50">
        <v>205.22250000000005</v>
      </c>
    </row>
    <row r="12876" spans="4:16" x14ac:dyDescent="0.2">
      <c r="D12876">
        <v>100007761</v>
      </c>
      <c r="E12876" s="49">
        <v>44908</v>
      </c>
      <c r="F12876" t="s">
        <v>8236</v>
      </c>
      <c r="G12876" t="s">
        <v>1697</v>
      </c>
      <c r="H12876">
        <v>6</v>
      </c>
      <c r="I12876">
        <v>25</v>
      </c>
      <c r="J12876" s="50">
        <v>150</v>
      </c>
      <c r="K12876" t="s">
        <v>1632</v>
      </c>
      <c r="M12876" t="s">
        <v>1629</v>
      </c>
      <c r="N12876">
        <v>13.19</v>
      </c>
      <c r="O12876" s="49">
        <v>44913</v>
      </c>
      <c r="P12876" s="50">
        <v>67.5</v>
      </c>
    </row>
    <row r="12877" spans="4:16" x14ac:dyDescent="0.2">
      <c r="D12877">
        <v>100007761</v>
      </c>
      <c r="E12877" s="49">
        <v>44529</v>
      </c>
      <c r="F12877" t="s">
        <v>8236</v>
      </c>
      <c r="G12877" t="s">
        <v>1639</v>
      </c>
      <c r="H12877">
        <v>3</v>
      </c>
      <c r="I12877">
        <v>25.48</v>
      </c>
      <c r="J12877" s="50">
        <v>76.44</v>
      </c>
      <c r="K12877" t="s">
        <v>1632</v>
      </c>
      <c r="M12877" t="s">
        <v>1627</v>
      </c>
      <c r="N12877">
        <v>13.45</v>
      </c>
      <c r="O12877" s="49">
        <v>44534</v>
      </c>
      <c r="P12877" s="50">
        <v>34.398000000000003</v>
      </c>
    </row>
    <row r="12878" spans="4:16" x14ac:dyDescent="0.2">
      <c r="D12878">
        <v>100007762</v>
      </c>
      <c r="E12878" s="49">
        <v>44902</v>
      </c>
      <c r="F12878" t="s">
        <v>8237</v>
      </c>
      <c r="G12878" t="s">
        <v>1647</v>
      </c>
      <c r="H12878">
        <v>4</v>
      </c>
      <c r="I12878">
        <v>76.69</v>
      </c>
      <c r="J12878" s="50">
        <v>306.76</v>
      </c>
      <c r="K12878" t="s">
        <v>1632</v>
      </c>
      <c r="L12878" t="s">
        <v>7757</v>
      </c>
      <c r="M12878" t="s">
        <v>1629</v>
      </c>
      <c r="N12878">
        <v>40.47</v>
      </c>
      <c r="O12878" s="49">
        <v>44903</v>
      </c>
      <c r="P12878" s="50">
        <v>138.042</v>
      </c>
    </row>
    <row r="12879" spans="4:16" x14ac:dyDescent="0.2">
      <c r="D12879">
        <v>100007762</v>
      </c>
      <c r="E12879" s="49">
        <v>45206</v>
      </c>
      <c r="F12879" t="s">
        <v>8237</v>
      </c>
      <c r="G12879" t="s">
        <v>2121</v>
      </c>
      <c r="H12879">
        <v>9</v>
      </c>
      <c r="I12879">
        <v>49.24</v>
      </c>
      <c r="J12879" s="50">
        <v>443.16</v>
      </c>
      <c r="K12879" t="s">
        <v>1632</v>
      </c>
      <c r="L12879" t="s">
        <v>7757</v>
      </c>
      <c r="M12879" t="s">
        <v>1627</v>
      </c>
      <c r="N12879">
        <v>25.99</v>
      </c>
      <c r="O12879" s="49">
        <v>45210</v>
      </c>
      <c r="P12879" s="50">
        <v>199.42200000000003</v>
      </c>
    </row>
    <row r="12880" spans="4:16" x14ac:dyDescent="0.2">
      <c r="D12880">
        <v>100007762</v>
      </c>
      <c r="E12880" s="49">
        <v>45328</v>
      </c>
      <c r="F12880" t="s">
        <v>8237</v>
      </c>
      <c r="G12880" t="s">
        <v>3075</v>
      </c>
      <c r="H12880">
        <v>7</v>
      </c>
      <c r="I12880">
        <v>118.36</v>
      </c>
      <c r="J12880" s="50">
        <v>828.52</v>
      </c>
      <c r="K12880" t="s">
        <v>1632</v>
      </c>
      <c r="L12880" t="s">
        <v>7757</v>
      </c>
      <c r="M12880" t="s">
        <v>1624</v>
      </c>
      <c r="N12880">
        <v>62.47</v>
      </c>
      <c r="O12880" s="49">
        <v>45330</v>
      </c>
      <c r="P12880" s="50">
        <v>372.834</v>
      </c>
    </row>
    <row r="12881" spans="4:16" x14ac:dyDescent="0.2">
      <c r="D12881">
        <v>100007764</v>
      </c>
      <c r="E12881" s="49">
        <v>45300</v>
      </c>
      <c r="F12881" t="s">
        <v>8238</v>
      </c>
      <c r="G12881" t="s">
        <v>1770</v>
      </c>
      <c r="H12881">
        <v>7</v>
      </c>
      <c r="I12881">
        <v>98.37</v>
      </c>
      <c r="J12881" s="50">
        <v>688.59</v>
      </c>
      <c r="K12881" t="s">
        <v>1618</v>
      </c>
      <c r="M12881" t="s">
        <v>1629</v>
      </c>
      <c r="N12881">
        <v>51.92</v>
      </c>
      <c r="O12881" s="49">
        <v>45302</v>
      </c>
      <c r="P12881" s="50">
        <v>309.8655</v>
      </c>
    </row>
    <row r="12882" spans="4:16" x14ac:dyDescent="0.2">
      <c r="D12882">
        <v>100007765</v>
      </c>
      <c r="E12882" s="49">
        <v>44625</v>
      </c>
      <c r="F12882" t="s">
        <v>8239</v>
      </c>
      <c r="G12882" t="s">
        <v>1636</v>
      </c>
      <c r="H12882">
        <v>6</v>
      </c>
      <c r="I12882">
        <v>47.68</v>
      </c>
      <c r="J12882" s="50">
        <v>286.08</v>
      </c>
      <c r="K12882" t="s">
        <v>1618</v>
      </c>
      <c r="M12882" t="s">
        <v>1624</v>
      </c>
      <c r="N12882">
        <v>25.16</v>
      </c>
      <c r="O12882" s="49">
        <v>44628</v>
      </c>
      <c r="P12882" s="50">
        <v>128.73599999999999</v>
      </c>
    </row>
    <row r="12883" spans="4:16" x14ac:dyDescent="0.2">
      <c r="D12883">
        <v>100007766</v>
      </c>
      <c r="E12883" s="49">
        <v>44875</v>
      </c>
      <c r="F12883" t="s">
        <v>8240</v>
      </c>
      <c r="G12883" t="s">
        <v>1671</v>
      </c>
      <c r="H12883">
        <v>7</v>
      </c>
      <c r="I12883">
        <v>39.32</v>
      </c>
      <c r="J12883" s="50">
        <v>275.24</v>
      </c>
      <c r="K12883" t="s">
        <v>1618</v>
      </c>
      <c r="L12883" t="s">
        <v>4751</v>
      </c>
      <c r="M12883" t="s">
        <v>1627</v>
      </c>
      <c r="N12883">
        <v>20.75</v>
      </c>
      <c r="O12883" s="49">
        <v>44879</v>
      </c>
      <c r="P12883" s="50">
        <v>123.858</v>
      </c>
    </row>
    <row r="12884" spans="4:16" x14ac:dyDescent="0.2">
      <c r="D12884">
        <v>100007766</v>
      </c>
      <c r="E12884" s="49">
        <v>45123</v>
      </c>
      <c r="F12884" t="s">
        <v>8240</v>
      </c>
      <c r="G12884" t="s">
        <v>2698</v>
      </c>
      <c r="H12884">
        <v>5</v>
      </c>
      <c r="I12884">
        <v>48.14</v>
      </c>
      <c r="J12884" s="50">
        <v>240.7</v>
      </c>
      <c r="K12884" t="s">
        <v>1618</v>
      </c>
      <c r="L12884" t="s">
        <v>4751</v>
      </c>
      <c r="M12884" t="s">
        <v>1629</v>
      </c>
      <c r="N12884">
        <v>25.41</v>
      </c>
      <c r="O12884" s="49">
        <v>45126</v>
      </c>
      <c r="P12884" s="50">
        <v>108.315</v>
      </c>
    </row>
    <row r="12885" spans="4:16" x14ac:dyDescent="0.2">
      <c r="D12885">
        <v>100007767</v>
      </c>
      <c r="E12885" s="49">
        <v>44820</v>
      </c>
      <c r="F12885" t="s">
        <v>8241</v>
      </c>
      <c r="G12885" t="s">
        <v>1748</v>
      </c>
      <c r="H12885">
        <v>1</v>
      </c>
      <c r="I12885">
        <v>22.88</v>
      </c>
      <c r="J12885" s="50">
        <v>22.88</v>
      </c>
      <c r="K12885" t="s">
        <v>1632</v>
      </c>
      <c r="M12885" t="s">
        <v>1627</v>
      </c>
      <c r="N12885">
        <v>12.08</v>
      </c>
      <c r="O12885" s="49">
        <v>44824</v>
      </c>
      <c r="P12885" s="50">
        <v>10.295999999999999</v>
      </c>
    </row>
    <row r="12886" spans="4:16" x14ac:dyDescent="0.2">
      <c r="D12886">
        <v>100007767</v>
      </c>
      <c r="E12886" s="49">
        <v>45642</v>
      </c>
      <c r="F12886" t="s">
        <v>8241</v>
      </c>
      <c r="G12886" t="s">
        <v>2207</v>
      </c>
      <c r="H12886">
        <v>4</v>
      </c>
      <c r="I12886">
        <v>91.54</v>
      </c>
      <c r="J12886" s="50">
        <v>366.16</v>
      </c>
      <c r="K12886" t="s">
        <v>1632</v>
      </c>
      <c r="M12886" t="s">
        <v>1629</v>
      </c>
      <c r="N12886">
        <v>48.31</v>
      </c>
      <c r="O12886" s="49">
        <v>45643</v>
      </c>
      <c r="P12886" s="50">
        <v>164.77200000000002</v>
      </c>
    </row>
    <row r="12887" spans="4:16" x14ac:dyDescent="0.2">
      <c r="D12887">
        <v>100007768</v>
      </c>
      <c r="E12887" s="49">
        <v>44468</v>
      </c>
      <c r="F12887" t="s">
        <v>8242</v>
      </c>
      <c r="G12887" t="s">
        <v>1733</v>
      </c>
      <c r="H12887">
        <v>7</v>
      </c>
      <c r="I12887">
        <v>58.57</v>
      </c>
      <c r="J12887" s="50">
        <v>409.99</v>
      </c>
      <c r="K12887" t="s">
        <v>1618</v>
      </c>
      <c r="M12887" t="s">
        <v>1621</v>
      </c>
      <c r="N12887">
        <v>30.91</v>
      </c>
      <c r="O12887" s="49">
        <v>44470</v>
      </c>
      <c r="P12887" s="50">
        <v>184.49550000000002</v>
      </c>
    </row>
    <row r="12888" spans="4:16" x14ac:dyDescent="0.2">
      <c r="D12888">
        <v>100007768</v>
      </c>
      <c r="E12888" s="49">
        <v>45359</v>
      </c>
      <c r="F12888" t="s">
        <v>8242</v>
      </c>
      <c r="G12888" t="s">
        <v>1647</v>
      </c>
      <c r="H12888">
        <v>5</v>
      </c>
      <c r="I12888">
        <v>96.39</v>
      </c>
      <c r="J12888" s="50">
        <v>481.95</v>
      </c>
      <c r="K12888" t="s">
        <v>1618</v>
      </c>
      <c r="M12888" t="s">
        <v>1624</v>
      </c>
      <c r="N12888">
        <v>50.87</v>
      </c>
      <c r="O12888" s="49">
        <v>45364</v>
      </c>
      <c r="P12888" s="50">
        <v>216.8775</v>
      </c>
    </row>
    <row r="12889" spans="4:16" x14ac:dyDescent="0.2">
      <c r="D12889">
        <v>100007768</v>
      </c>
      <c r="E12889" s="49">
        <v>44636</v>
      </c>
      <c r="F12889" t="s">
        <v>8242</v>
      </c>
      <c r="G12889" t="s">
        <v>2766</v>
      </c>
      <c r="H12889">
        <v>4</v>
      </c>
      <c r="I12889">
        <v>46.61</v>
      </c>
      <c r="J12889" s="50">
        <v>186.44</v>
      </c>
      <c r="K12889" t="s">
        <v>1618</v>
      </c>
      <c r="M12889" t="s">
        <v>1624</v>
      </c>
      <c r="N12889">
        <v>24.6</v>
      </c>
      <c r="O12889" s="49">
        <v>44637</v>
      </c>
      <c r="P12889" s="50">
        <v>83.897999999999996</v>
      </c>
    </row>
    <row r="12890" spans="4:16" x14ac:dyDescent="0.2">
      <c r="D12890">
        <v>100007768</v>
      </c>
      <c r="E12890" s="49">
        <v>44525</v>
      </c>
      <c r="F12890" t="s">
        <v>8242</v>
      </c>
      <c r="G12890" t="s">
        <v>1702</v>
      </c>
      <c r="H12890">
        <v>8</v>
      </c>
      <c r="I12890">
        <v>84.9</v>
      </c>
      <c r="J12890" s="50">
        <v>679.2</v>
      </c>
      <c r="K12890" t="s">
        <v>1618</v>
      </c>
      <c r="M12890" t="s">
        <v>1619</v>
      </c>
      <c r="N12890">
        <v>44.81</v>
      </c>
      <c r="O12890" s="49">
        <v>44527</v>
      </c>
      <c r="P12890" s="50">
        <v>305.64000000000004</v>
      </c>
    </row>
    <row r="12891" spans="4:16" x14ac:dyDescent="0.2">
      <c r="D12891">
        <v>100007768</v>
      </c>
      <c r="E12891" s="49">
        <v>44968</v>
      </c>
      <c r="F12891" t="s">
        <v>8242</v>
      </c>
      <c r="G12891" t="s">
        <v>1890</v>
      </c>
      <c r="H12891">
        <v>1</v>
      </c>
      <c r="I12891">
        <v>113.67</v>
      </c>
      <c r="J12891" s="50">
        <v>113.67</v>
      </c>
      <c r="K12891" t="s">
        <v>1618</v>
      </c>
      <c r="M12891" t="s">
        <v>1619</v>
      </c>
      <c r="N12891">
        <v>59.99</v>
      </c>
      <c r="O12891" s="49">
        <v>44969</v>
      </c>
      <c r="P12891" s="50">
        <v>51.151499999999999</v>
      </c>
    </row>
    <row r="12892" spans="4:16" x14ac:dyDescent="0.2">
      <c r="D12892">
        <v>100007768</v>
      </c>
      <c r="E12892" s="49">
        <v>44883</v>
      </c>
      <c r="F12892" t="s">
        <v>8242</v>
      </c>
      <c r="G12892" t="s">
        <v>2090</v>
      </c>
      <c r="H12892">
        <v>6</v>
      </c>
      <c r="I12892">
        <v>113.45</v>
      </c>
      <c r="J12892" s="50">
        <v>680.7</v>
      </c>
      <c r="K12892" t="s">
        <v>1618</v>
      </c>
      <c r="M12892" t="s">
        <v>1629</v>
      </c>
      <c r="N12892">
        <v>59.88</v>
      </c>
      <c r="O12892" s="49">
        <v>44887</v>
      </c>
      <c r="P12892" s="50">
        <v>306.31500000000005</v>
      </c>
    </row>
    <row r="12893" spans="4:16" x14ac:dyDescent="0.2">
      <c r="D12893">
        <v>100007770</v>
      </c>
      <c r="E12893" s="49">
        <v>44543</v>
      </c>
      <c r="F12893" t="s">
        <v>8243</v>
      </c>
      <c r="G12893" t="s">
        <v>1789</v>
      </c>
      <c r="H12893">
        <v>10</v>
      </c>
      <c r="I12893">
        <v>77.28</v>
      </c>
      <c r="J12893" s="50">
        <v>772.8</v>
      </c>
      <c r="K12893" t="s">
        <v>1618</v>
      </c>
      <c r="M12893" t="s">
        <v>1619</v>
      </c>
      <c r="N12893">
        <v>40.79</v>
      </c>
      <c r="O12893" s="49">
        <v>44546</v>
      </c>
      <c r="P12893" s="50">
        <v>347.76</v>
      </c>
    </row>
    <row r="12894" spans="4:16" x14ac:dyDescent="0.2">
      <c r="D12894">
        <v>100007770</v>
      </c>
      <c r="E12894" s="49">
        <v>44572</v>
      </c>
      <c r="F12894" t="s">
        <v>8243</v>
      </c>
      <c r="G12894" t="s">
        <v>2418</v>
      </c>
      <c r="H12894">
        <v>7</v>
      </c>
      <c r="I12894">
        <v>54.88</v>
      </c>
      <c r="J12894" s="50">
        <v>384.16</v>
      </c>
      <c r="K12894" t="s">
        <v>1618</v>
      </c>
      <c r="M12894" t="s">
        <v>1624</v>
      </c>
      <c r="N12894">
        <v>28.96</v>
      </c>
      <c r="O12894" s="49">
        <v>44577</v>
      </c>
      <c r="P12894" s="50">
        <v>172.87200000000001</v>
      </c>
    </row>
    <row r="12895" spans="4:16" x14ac:dyDescent="0.2">
      <c r="D12895">
        <v>100007771</v>
      </c>
      <c r="E12895" s="49">
        <v>44522</v>
      </c>
      <c r="F12895" t="s">
        <v>3521</v>
      </c>
      <c r="G12895" t="s">
        <v>1880</v>
      </c>
      <c r="H12895">
        <v>7</v>
      </c>
      <c r="I12895">
        <v>92.01</v>
      </c>
      <c r="J12895" s="50">
        <v>644.07000000000005</v>
      </c>
      <c r="K12895" t="s">
        <v>1632</v>
      </c>
      <c r="M12895" t="s">
        <v>1629</v>
      </c>
      <c r="N12895">
        <v>48.56</v>
      </c>
      <c r="O12895" s="49">
        <v>44524</v>
      </c>
      <c r="P12895" s="50">
        <v>289.83150000000001</v>
      </c>
    </row>
    <row r="12896" spans="4:16" x14ac:dyDescent="0.2">
      <c r="D12896">
        <v>100007772</v>
      </c>
      <c r="E12896" s="49">
        <v>44838</v>
      </c>
      <c r="F12896" t="s">
        <v>8244</v>
      </c>
      <c r="G12896" t="s">
        <v>1777</v>
      </c>
      <c r="H12896">
        <v>10</v>
      </c>
      <c r="I12896">
        <v>115.54</v>
      </c>
      <c r="J12896" s="50">
        <v>1155.4000000000001</v>
      </c>
      <c r="K12896" t="s">
        <v>1618</v>
      </c>
      <c r="L12896" t="s">
        <v>2699</v>
      </c>
      <c r="M12896" t="s">
        <v>1624</v>
      </c>
      <c r="N12896">
        <v>60.98</v>
      </c>
      <c r="O12896" s="49">
        <v>44839</v>
      </c>
      <c r="P12896" s="50">
        <v>519.93000000000006</v>
      </c>
    </row>
    <row r="12897" spans="4:16" x14ac:dyDescent="0.2">
      <c r="D12897">
        <v>100007772</v>
      </c>
      <c r="E12897" s="49">
        <v>45534</v>
      </c>
      <c r="F12897" t="s">
        <v>8244</v>
      </c>
      <c r="G12897" t="s">
        <v>1631</v>
      </c>
      <c r="H12897">
        <v>3</v>
      </c>
      <c r="I12897">
        <v>22.31</v>
      </c>
      <c r="J12897" s="50">
        <v>66.929999999999993</v>
      </c>
      <c r="K12897" t="s">
        <v>1618</v>
      </c>
      <c r="L12897" t="s">
        <v>2699</v>
      </c>
      <c r="M12897" t="s">
        <v>1621</v>
      </c>
      <c r="N12897">
        <v>11.77</v>
      </c>
      <c r="O12897" s="49">
        <v>45539</v>
      </c>
      <c r="P12897" s="50">
        <v>30.118499999999997</v>
      </c>
    </row>
    <row r="12898" spans="4:16" x14ac:dyDescent="0.2">
      <c r="D12898">
        <v>100007772</v>
      </c>
      <c r="E12898" s="49">
        <v>44471</v>
      </c>
      <c r="F12898" t="s">
        <v>8244</v>
      </c>
      <c r="G12898" t="s">
        <v>1971</v>
      </c>
      <c r="H12898">
        <v>3</v>
      </c>
      <c r="I12898">
        <v>114.97</v>
      </c>
      <c r="J12898" s="50">
        <v>344.91</v>
      </c>
      <c r="K12898" t="s">
        <v>1618</v>
      </c>
      <c r="L12898" t="s">
        <v>2699</v>
      </c>
      <c r="M12898" t="s">
        <v>1624</v>
      </c>
      <c r="N12898">
        <v>60.68</v>
      </c>
      <c r="O12898" s="49">
        <v>44476</v>
      </c>
      <c r="P12898" s="50">
        <v>155.20950000000002</v>
      </c>
    </row>
    <row r="12899" spans="4:16" x14ac:dyDescent="0.2">
      <c r="D12899">
        <v>100007772</v>
      </c>
      <c r="E12899" s="49">
        <v>44675</v>
      </c>
      <c r="F12899" t="s">
        <v>8244</v>
      </c>
      <c r="G12899" t="s">
        <v>1724</v>
      </c>
      <c r="H12899">
        <v>6</v>
      </c>
      <c r="I12899">
        <v>102.01</v>
      </c>
      <c r="J12899" s="50">
        <v>612.06000000000006</v>
      </c>
      <c r="K12899" t="s">
        <v>1618</v>
      </c>
      <c r="L12899" t="s">
        <v>2699</v>
      </c>
      <c r="M12899" t="s">
        <v>1629</v>
      </c>
      <c r="N12899">
        <v>53.84</v>
      </c>
      <c r="O12899" s="49">
        <v>44676</v>
      </c>
      <c r="P12899" s="50">
        <v>275.42700000000002</v>
      </c>
    </row>
    <row r="12900" spans="4:16" x14ac:dyDescent="0.2">
      <c r="D12900">
        <v>100007773</v>
      </c>
      <c r="E12900" s="49">
        <v>44650</v>
      </c>
      <c r="F12900" t="s">
        <v>8245</v>
      </c>
      <c r="G12900" t="s">
        <v>1944</v>
      </c>
      <c r="H12900">
        <v>5</v>
      </c>
      <c r="I12900">
        <v>37.200000000000003</v>
      </c>
      <c r="J12900" s="50">
        <v>186</v>
      </c>
      <c r="K12900" t="s">
        <v>1618</v>
      </c>
      <c r="M12900" t="s">
        <v>1619</v>
      </c>
      <c r="N12900">
        <v>19.63</v>
      </c>
      <c r="O12900" s="49">
        <v>44652</v>
      </c>
      <c r="P12900" s="50">
        <v>83.7</v>
      </c>
    </row>
    <row r="12901" spans="4:16" x14ac:dyDescent="0.2">
      <c r="D12901">
        <v>100007774</v>
      </c>
      <c r="E12901" s="49">
        <v>45649</v>
      </c>
      <c r="F12901" t="s">
        <v>8246</v>
      </c>
      <c r="G12901" t="s">
        <v>1872</v>
      </c>
      <c r="H12901">
        <v>4</v>
      </c>
      <c r="I12901">
        <v>68.62</v>
      </c>
      <c r="J12901" s="50">
        <v>274.48</v>
      </c>
      <c r="K12901" t="s">
        <v>1632</v>
      </c>
      <c r="M12901" t="s">
        <v>1624</v>
      </c>
      <c r="N12901">
        <v>36.22</v>
      </c>
      <c r="O12901" s="49">
        <v>45654</v>
      </c>
      <c r="P12901" s="50">
        <v>123.51600000000001</v>
      </c>
    </row>
    <row r="12902" spans="4:16" x14ac:dyDescent="0.2">
      <c r="D12902">
        <v>100007775</v>
      </c>
      <c r="E12902" s="49">
        <v>44303</v>
      </c>
      <c r="F12902" t="s">
        <v>8247</v>
      </c>
      <c r="G12902" t="s">
        <v>2331</v>
      </c>
      <c r="H12902">
        <v>4</v>
      </c>
      <c r="I12902">
        <v>50.29</v>
      </c>
      <c r="J12902" s="50">
        <v>201.16</v>
      </c>
      <c r="K12902" t="s">
        <v>1632</v>
      </c>
      <c r="L12902" t="s">
        <v>2572</v>
      </c>
      <c r="M12902" t="s">
        <v>1621</v>
      </c>
      <c r="N12902">
        <v>26.54</v>
      </c>
      <c r="O12902" s="49">
        <v>44305</v>
      </c>
      <c r="P12902" s="50">
        <v>90.522000000000006</v>
      </c>
    </row>
    <row r="12903" spans="4:16" x14ac:dyDescent="0.2">
      <c r="D12903">
        <v>100007775</v>
      </c>
      <c r="E12903" s="49">
        <v>44787</v>
      </c>
      <c r="F12903" t="s">
        <v>8247</v>
      </c>
      <c r="G12903" t="s">
        <v>2330</v>
      </c>
      <c r="H12903">
        <v>5</v>
      </c>
      <c r="I12903">
        <v>34.020000000000003</v>
      </c>
      <c r="J12903" s="50">
        <v>170.1</v>
      </c>
      <c r="K12903" t="s">
        <v>1632</v>
      </c>
      <c r="L12903" t="s">
        <v>2572</v>
      </c>
      <c r="M12903" t="s">
        <v>1629</v>
      </c>
      <c r="N12903">
        <v>17.95</v>
      </c>
      <c r="O12903" s="49">
        <v>44788</v>
      </c>
      <c r="P12903" s="50">
        <v>76.545000000000002</v>
      </c>
    </row>
    <row r="12904" spans="4:16" x14ac:dyDescent="0.2">
      <c r="D12904">
        <v>100007775</v>
      </c>
      <c r="E12904" s="49">
        <v>44661</v>
      </c>
      <c r="F12904" t="s">
        <v>8247</v>
      </c>
      <c r="G12904" t="s">
        <v>1795</v>
      </c>
      <c r="H12904">
        <v>7</v>
      </c>
      <c r="I12904">
        <v>44</v>
      </c>
      <c r="J12904" s="50">
        <v>308</v>
      </c>
      <c r="K12904" t="s">
        <v>1632</v>
      </c>
      <c r="L12904" t="s">
        <v>2572</v>
      </c>
      <c r="M12904" t="s">
        <v>1619</v>
      </c>
      <c r="N12904">
        <v>23.22</v>
      </c>
      <c r="O12904" s="49">
        <v>44664</v>
      </c>
      <c r="P12904" s="50">
        <v>138.6</v>
      </c>
    </row>
    <row r="12905" spans="4:16" x14ac:dyDescent="0.2">
      <c r="D12905">
        <v>100007775</v>
      </c>
      <c r="E12905" s="49">
        <v>44672</v>
      </c>
      <c r="F12905" t="s">
        <v>8247</v>
      </c>
      <c r="G12905" t="s">
        <v>1693</v>
      </c>
      <c r="H12905">
        <v>6</v>
      </c>
      <c r="I12905">
        <v>102.65</v>
      </c>
      <c r="J12905" s="50">
        <v>615.90000000000009</v>
      </c>
      <c r="K12905" t="s">
        <v>1632</v>
      </c>
      <c r="L12905" t="s">
        <v>2572</v>
      </c>
      <c r="M12905" t="s">
        <v>1621</v>
      </c>
      <c r="N12905">
        <v>54.18</v>
      </c>
      <c r="O12905" s="49">
        <v>44673</v>
      </c>
      <c r="P12905" s="50">
        <v>277.15500000000003</v>
      </c>
    </row>
    <row r="12906" spans="4:16" x14ac:dyDescent="0.2">
      <c r="D12906">
        <v>100007776</v>
      </c>
      <c r="E12906" s="49">
        <v>45525</v>
      </c>
      <c r="F12906" t="s">
        <v>8248</v>
      </c>
      <c r="G12906" t="s">
        <v>1623</v>
      </c>
      <c r="H12906">
        <v>10</v>
      </c>
      <c r="I12906">
        <v>61.88</v>
      </c>
      <c r="J12906" s="50">
        <v>618.80000000000007</v>
      </c>
      <c r="K12906" t="s">
        <v>1618</v>
      </c>
      <c r="M12906" t="s">
        <v>1624</v>
      </c>
      <c r="N12906">
        <v>32.659999999999997</v>
      </c>
      <c r="O12906" s="49">
        <v>45526</v>
      </c>
      <c r="P12906" s="50">
        <v>278.46000000000004</v>
      </c>
    </row>
    <row r="12907" spans="4:16" x14ac:dyDescent="0.2">
      <c r="D12907">
        <v>100007776</v>
      </c>
      <c r="E12907" s="49">
        <v>44516</v>
      </c>
      <c r="F12907" t="s">
        <v>8248</v>
      </c>
      <c r="G12907" t="s">
        <v>1742</v>
      </c>
      <c r="H12907">
        <v>8</v>
      </c>
      <c r="I12907">
        <v>10.45</v>
      </c>
      <c r="J12907" s="50">
        <v>83.6</v>
      </c>
      <c r="K12907" t="s">
        <v>1618</v>
      </c>
      <c r="M12907" t="s">
        <v>1627</v>
      </c>
      <c r="N12907">
        <v>5.52</v>
      </c>
      <c r="O12907" s="49">
        <v>44519</v>
      </c>
      <c r="P12907" s="50">
        <v>37.619999999999997</v>
      </c>
    </row>
    <row r="12908" spans="4:16" x14ac:dyDescent="0.2">
      <c r="D12908">
        <v>100007776</v>
      </c>
      <c r="E12908" s="49">
        <v>44959</v>
      </c>
      <c r="F12908" t="s">
        <v>8248</v>
      </c>
      <c r="G12908" t="s">
        <v>2003</v>
      </c>
      <c r="H12908">
        <v>7</v>
      </c>
      <c r="I12908">
        <v>13.37</v>
      </c>
      <c r="J12908" s="50">
        <v>93.589999999999989</v>
      </c>
      <c r="K12908" t="s">
        <v>1618</v>
      </c>
      <c r="M12908" t="s">
        <v>1624</v>
      </c>
      <c r="N12908">
        <v>7.06</v>
      </c>
      <c r="O12908" s="49">
        <v>44960</v>
      </c>
      <c r="P12908" s="50">
        <v>42.115499999999997</v>
      </c>
    </row>
    <row r="12909" spans="4:16" x14ac:dyDescent="0.2">
      <c r="D12909">
        <v>100007778</v>
      </c>
      <c r="E12909" s="49">
        <v>44547</v>
      </c>
      <c r="F12909" t="s">
        <v>8249</v>
      </c>
      <c r="G12909" t="s">
        <v>2416</v>
      </c>
      <c r="H12909">
        <v>7</v>
      </c>
      <c r="I12909">
        <v>113.72</v>
      </c>
      <c r="J12909" s="50">
        <v>796.04</v>
      </c>
      <c r="K12909" t="s">
        <v>1618</v>
      </c>
      <c r="M12909" t="s">
        <v>1619</v>
      </c>
      <c r="N12909">
        <v>60.02</v>
      </c>
      <c r="O12909" s="49">
        <v>44549</v>
      </c>
      <c r="P12909" s="50">
        <v>358.21800000000002</v>
      </c>
    </row>
    <row r="12910" spans="4:16" x14ac:dyDescent="0.2">
      <c r="D12910">
        <v>100007779</v>
      </c>
      <c r="E12910" s="49">
        <v>45207</v>
      </c>
      <c r="F12910" t="s">
        <v>8250</v>
      </c>
      <c r="G12910" t="s">
        <v>1737</v>
      </c>
      <c r="H12910">
        <v>5</v>
      </c>
      <c r="I12910">
        <v>50.7</v>
      </c>
      <c r="J12910" s="50">
        <v>253.5</v>
      </c>
      <c r="K12910" t="s">
        <v>1618</v>
      </c>
      <c r="L12910" t="s">
        <v>4910</v>
      </c>
      <c r="M12910" t="s">
        <v>1627</v>
      </c>
      <c r="N12910">
        <v>26.76</v>
      </c>
      <c r="O12910" s="49">
        <v>45208</v>
      </c>
      <c r="P12910" s="50">
        <v>114.075</v>
      </c>
    </row>
    <row r="12911" spans="4:16" x14ac:dyDescent="0.2">
      <c r="D12911">
        <v>100007779</v>
      </c>
      <c r="E12911" s="49">
        <v>45374</v>
      </c>
      <c r="F12911" t="s">
        <v>8250</v>
      </c>
      <c r="G12911" t="s">
        <v>2431</v>
      </c>
      <c r="H12911">
        <v>2</v>
      </c>
      <c r="I12911">
        <v>58.23</v>
      </c>
      <c r="J12911" s="50">
        <v>116.46</v>
      </c>
      <c r="K12911" t="s">
        <v>1618</v>
      </c>
      <c r="L12911" t="s">
        <v>4910</v>
      </c>
      <c r="M12911" t="s">
        <v>1624</v>
      </c>
      <c r="N12911">
        <v>30.73</v>
      </c>
      <c r="O12911" s="49">
        <v>45378</v>
      </c>
      <c r="P12911" s="50">
        <v>52.406999999999996</v>
      </c>
    </row>
    <row r="12912" spans="4:16" x14ac:dyDescent="0.2">
      <c r="D12912">
        <v>100007779</v>
      </c>
      <c r="E12912" s="49">
        <v>44864</v>
      </c>
      <c r="F12912" t="s">
        <v>8250</v>
      </c>
      <c r="G12912" t="s">
        <v>2099</v>
      </c>
      <c r="H12912">
        <v>8</v>
      </c>
      <c r="I12912">
        <v>15.55</v>
      </c>
      <c r="J12912" s="50">
        <v>124.4</v>
      </c>
      <c r="K12912" t="s">
        <v>1618</v>
      </c>
      <c r="L12912" t="s">
        <v>4910</v>
      </c>
      <c r="M12912" t="s">
        <v>1624</v>
      </c>
      <c r="N12912">
        <v>8.2100000000000009</v>
      </c>
      <c r="O12912" s="49">
        <v>44869</v>
      </c>
      <c r="P12912" s="50">
        <v>55.980000000000004</v>
      </c>
    </row>
    <row r="12913" spans="4:16" x14ac:dyDescent="0.2">
      <c r="D12913">
        <v>100007779</v>
      </c>
      <c r="E12913" s="49">
        <v>44495</v>
      </c>
      <c r="F12913" t="s">
        <v>8250</v>
      </c>
      <c r="G12913" t="s">
        <v>1937</v>
      </c>
      <c r="H12913">
        <v>9</v>
      </c>
      <c r="I12913">
        <v>65.3</v>
      </c>
      <c r="J12913" s="50">
        <v>587.69999999999993</v>
      </c>
      <c r="K12913" t="s">
        <v>1618</v>
      </c>
      <c r="L12913" t="s">
        <v>4910</v>
      </c>
      <c r="M12913" t="s">
        <v>1629</v>
      </c>
      <c r="N12913">
        <v>34.46</v>
      </c>
      <c r="O12913" s="49">
        <v>44498</v>
      </c>
      <c r="P12913" s="50">
        <v>264.46499999999997</v>
      </c>
    </row>
    <row r="12914" spans="4:16" x14ac:dyDescent="0.2">
      <c r="D12914">
        <v>100007779</v>
      </c>
      <c r="E12914" s="49">
        <v>44769</v>
      </c>
      <c r="F12914" t="s">
        <v>8250</v>
      </c>
      <c r="G12914" t="s">
        <v>1874</v>
      </c>
      <c r="H12914">
        <v>4</v>
      </c>
      <c r="I12914">
        <v>72.900000000000006</v>
      </c>
      <c r="J12914" s="50">
        <v>291.60000000000002</v>
      </c>
      <c r="K12914" t="s">
        <v>1618</v>
      </c>
      <c r="L12914" t="s">
        <v>4910</v>
      </c>
      <c r="M12914" t="s">
        <v>1629</v>
      </c>
      <c r="N12914">
        <v>38.47</v>
      </c>
      <c r="O12914" s="49">
        <v>44773</v>
      </c>
      <c r="P12914" s="50">
        <v>131.22000000000003</v>
      </c>
    </row>
    <row r="12915" spans="4:16" x14ac:dyDescent="0.2">
      <c r="D12915">
        <v>100007781</v>
      </c>
      <c r="E12915" s="49">
        <v>45477</v>
      </c>
      <c r="F12915" t="s">
        <v>8251</v>
      </c>
      <c r="G12915" t="s">
        <v>1928</v>
      </c>
      <c r="H12915">
        <v>10</v>
      </c>
      <c r="I12915">
        <v>107.94</v>
      </c>
      <c r="J12915" s="50">
        <v>1079.4000000000001</v>
      </c>
      <c r="K12915" t="s">
        <v>1632</v>
      </c>
      <c r="M12915" t="s">
        <v>1629</v>
      </c>
      <c r="N12915">
        <v>56.97</v>
      </c>
      <c r="O12915" s="49">
        <v>45482</v>
      </c>
      <c r="P12915" s="50">
        <v>485.73000000000008</v>
      </c>
    </row>
    <row r="12916" spans="4:16" x14ac:dyDescent="0.2">
      <c r="D12916">
        <v>100007781</v>
      </c>
      <c r="E12916" s="49">
        <v>45468</v>
      </c>
      <c r="F12916" t="s">
        <v>8251</v>
      </c>
      <c r="G12916" t="s">
        <v>2330</v>
      </c>
      <c r="H12916">
        <v>10</v>
      </c>
      <c r="I12916">
        <v>60.46</v>
      </c>
      <c r="J12916" s="50">
        <v>604.6</v>
      </c>
      <c r="K12916" t="s">
        <v>1632</v>
      </c>
      <c r="M12916" t="s">
        <v>1621</v>
      </c>
      <c r="N12916">
        <v>31.91</v>
      </c>
      <c r="O12916" s="49">
        <v>45470</v>
      </c>
      <c r="P12916" s="50">
        <v>272.07</v>
      </c>
    </row>
    <row r="12917" spans="4:16" x14ac:dyDescent="0.2">
      <c r="D12917">
        <v>100007781</v>
      </c>
      <c r="E12917" s="49">
        <v>44566</v>
      </c>
      <c r="F12917" t="s">
        <v>8251</v>
      </c>
      <c r="G12917" t="s">
        <v>2343</v>
      </c>
      <c r="H12917">
        <v>9</v>
      </c>
      <c r="I12917">
        <v>69.66</v>
      </c>
      <c r="J12917" s="50">
        <v>626.93999999999994</v>
      </c>
      <c r="K12917" t="s">
        <v>1632</v>
      </c>
      <c r="M12917" t="s">
        <v>1621</v>
      </c>
      <c r="N12917">
        <v>36.76</v>
      </c>
      <c r="O12917" s="49">
        <v>44571</v>
      </c>
      <c r="P12917" s="50">
        <v>282.12299999999999</v>
      </c>
    </row>
    <row r="12918" spans="4:16" x14ac:dyDescent="0.2">
      <c r="D12918">
        <v>100007781</v>
      </c>
      <c r="E12918" s="49">
        <v>45374</v>
      </c>
      <c r="F12918" t="s">
        <v>8251</v>
      </c>
      <c r="G12918" t="s">
        <v>2163</v>
      </c>
      <c r="H12918">
        <v>9</v>
      </c>
      <c r="I12918">
        <v>36.619999999999997</v>
      </c>
      <c r="J12918" s="50">
        <v>329.58</v>
      </c>
      <c r="K12918" t="s">
        <v>1632</v>
      </c>
      <c r="M12918" t="s">
        <v>1621</v>
      </c>
      <c r="N12918">
        <v>19.329999999999998</v>
      </c>
      <c r="O12918" s="49">
        <v>45379</v>
      </c>
      <c r="P12918" s="50">
        <v>148.31100000000001</v>
      </c>
    </row>
    <row r="12919" spans="4:16" x14ac:dyDescent="0.2">
      <c r="D12919">
        <v>100007781</v>
      </c>
      <c r="E12919" s="49">
        <v>45563</v>
      </c>
      <c r="F12919" t="s">
        <v>8251</v>
      </c>
      <c r="G12919" t="s">
        <v>2278</v>
      </c>
      <c r="H12919">
        <v>6</v>
      </c>
      <c r="I12919">
        <v>21.93</v>
      </c>
      <c r="J12919" s="50">
        <v>131.58000000000001</v>
      </c>
      <c r="K12919" t="s">
        <v>1632</v>
      </c>
      <c r="M12919" t="s">
        <v>1624</v>
      </c>
      <c r="N12919">
        <v>11.57</v>
      </c>
      <c r="O12919" s="49">
        <v>45564</v>
      </c>
      <c r="P12919" s="50">
        <v>59.211000000000006</v>
      </c>
    </row>
    <row r="12920" spans="4:16" x14ac:dyDescent="0.2">
      <c r="D12920">
        <v>100007781</v>
      </c>
      <c r="E12920" s="49">
        <v>44219</v>
      </c>
      <c r="F12920" t="s">
        <v>8251</v>
      </c>
      <c r="G12920" t="s">
        <v>1893</v>
      </c>
      <c r="H12920">
        <v>10</v>
      </c>
      <c r="I12920">
        <v>20.59</v>
      </c>
      <c r="J12920" s="50">
        <v>205.9</v>
      </c>
      <c r="K12920" t="s">
        <v>1632</v>
      </c>
      <c r="M12920" t="s">
        <v>1624</v>
      </c>
      <c r="N12920">
        <v>10.87</v>
      </c>
      <c r="O12920" s="49">
        <v>44224</v>
      </c>
      <c r="P12920" s="50">
        <v>92.655000000000001</v>
      </c>
    </row>
    <row r="12921" spans="4:16" x14ac:dyDescent="0.2">
      <c r="D12921">
        <v>100007783</v>
      </c>
      <c r="E12921" s="49">
        <v>45601</v>
      </c>
      <c r="F12921" t="s">
        <v>8252</v>
      </c>
      <c r="G12921" t="s">
        <v>2151</v>
      </c>
      <c r="H12921">
        <v>6</v>
      </c>
      <c r="I12921">
        <v>24.41</v>
      </c>
      <c r="J12921" s="50">
        <v>146.46</v>
      </c>
      <c r="K12921" t="s">
        <v>1618</v>
      </c>
      <c r="M12921" t="s">
        <v>1621</v>
      </c>
      <c r="N12921">
        <v>12.88</v>
      </c>
      <c r="O12921" s="49">
        <v>45602</v>
      </c>
      <c r="P12921" s="50">
        <v>65.907000000000011</v>
      </c>
    </row>
    <row r="12922" spans="4:16" x14ac:dyDescent="0.2">
      <c r="D12922">
        <v>100007784</v>
      </c>
      <c r="E12922" s="49">
        <v>44219</v>
      </c>
      <c r="F12922" t="s">
        <v>8253</v>
      </c>
      <c r="G12922" t="s">
        <v>2762</v>
      </c>
      <c r="H12922">
        <v>3</v>
      </c>
      <c r="I12922">
        <v>36.950000000000003</v>
      </c>
      <c r="J12922" s="50">
        <v>110.85</v>
      </c>
      <c r="K12922" t="s">
        <v>1618</v>
      </c>
      <c r="M12922" t="s">
        <v>1624</v>
      </c>
      <c r="N12922">
        <v>19.5</v>
      </c>
      <c r="O12922" s="49">
        <v>44223</v>
      </c>
      <c r="P12922" s="50">
        <v>49.8825</v>
      </c>
    </row>
    <row r="12923" spans="4:16" x14ac:dyDescent="0.2">
      <c r="D12923">
        <v>100007785</v>
      </c>
      <c r="E12923" s="49">
        <v>44471</v>
      </c>
      <c r="F12923" t="s">
        <v>8254</v>
      </c>
      <c r="G12923" t="s">
        <v>2416</v>
      </c>
      <c r="H12923">
        <v>7</v>
      </c>
      <c r="I12923">
        <v>93.72</v>
      </c>
      <c r="J12923" s="50">
        <v>656.04</v>
      </c>
      <c r="K12923" t="s">
        <v>1632</v>
      </c>
      <c r="L12923" t="s">
        <v>3300</v>
      </c>
      <c r="M12923" t="s">
        <v>1627</v>
      </c>
      <c r="N12923">
        <v>49.46</v>
      </c>
      <c r="O12923" s="49">
        <v>44474</v>
      </c>
      <c r="P12923" s="50">
        <v>295.21800000000002</v>
      </c>
    </row>
    <row r="12924" spans="4:16" x14ac:dyDescent="0.2">
      <c r="D12924">
        <v>100007786</v>
      </c>
      <c r="E12924" s="49">
        <v>44415</v>
      </c>
      <c r="F12924" t="s">
        <v>8255</v>
      </c>
      <c r="G12924" t="s">
        <v>2232</v>
      </c>
      <c r="H12924">
        <v>8</v>
      </c>
      <c r="I12924">
        <v>47.36</v>
      </c>
      <c r="J12924" s="50">
        <v>378.88</v>
      </c>
      <c r="K12924" t="s">
        <v>1632</v>
      </c>
      <c r="L12924" t="s">
        <v>5067</v>
      </c>
      <c r="M12924" t="s">
        <v>1627</v>
      </c>
      <c r="N12924">
        <v>25</v>
      </c>
      <c r="O12924" s="49">
        <v>44416</v>
      </c>
      <c r="P12924" s="50">
        <v>170.49600000000001</v>
      </c>
    </row>
    <row r="12925" spans="4:16" x14ac:dyDescent="0.2">
      <c r="D12925">
        <v>100007786</v>
      </c>
      <c r="E12925" s="49">
        <v>44552</v>
      </c>
      <c r="F12925" t="s">
        <v>8255</v>
      </c>
      <c r="G12925" t="s">
        <v>1726</v>
      </c>
      <c r="H12925">
        <v>5</v>
      </c>
      <c r="I12925">
        <v>35.57</v>
      </c>
      <c r="J12925" s="50">
        <v>177.85</v>
      </c>
      <c r="K12925" t="s">
        <v>1632</v>
      </c>
      <c r="L12925" t="s">
        <v>5067</v>
      </c>
      <c r="M12925" t="s">
        <v>1629</v>
      </c>
      <c r="N12925">
        <v>18.77</v>
      </c>
      <c r="O12925" s="49">
        <v>44553</v>
      </c>
      <c r="P12925" s="50">
        <v>80.032499999999999</v>
      </c>
    </row>
    <row r="12926" spans="4:16" x14ac:dyDescent="0.2">
      <c r="D12926">
        <v>100007786</v>
      </c>
      <c r="E12926" s="49">
        <v>44788</v>
      </c>
      <c r="F12926" t="s">
        <v>8255</v>
      </c>
      <c r="G12926" t="s">
        <v>1848</v>
      </c>
      <c r="H12926">
        <v>5</v>
      </c>
      <c r="I12926">
        <v>31.9</v>
      </c>
      <c r="J12926" s="50">
        <v>159.5</v>
      </c>
      <c r="K12926" t="s">
        <v>1632</v>
      </c>
      <c r="L12926" t="s">
        <v>5067</v>
      </c>
      <c r="M12926" t="s">
        <v>1629</v>
      </c>
      <c r="N12926">
        <v>16.84</v>
      </c>
      <c r="O12926" s="49">
        <v>44792</v>
      </c>
      <c r="P12926" s="50">
        <v>71.775000000000006</v>
      </c>
    </row>
    <row r="12927" spans="4:16" x14ac:dyDescent="0.2">
      <c r="D12927">
        <v>100007786</v>
      </c>
      <c r="E12927" s="49">
        <v>45585</v>
      </c>
      <c r="F12927" t="s">
        <v>8255</v>
      </c>
      <c r="G12927" t="s">
        <v>1953</v>
      </c>
      <c r="H12927">
        <v>9</v>
      </c>
      <c r="I12927">
        <v>17.18</v>
      </c>
      <c r="J12927" s="50">
        <v>154.62</v>
      </c>
      <c r="K12927" t="s">
        <v>1632</v>
      </c>
      <c r="L12927" t="s">
        <v>5067</v>
      </c>
      <c r="M12927" t="s">
        <v>1627</v>
      </c>
      <c r="N12927">
        <v>9.07</v>
      </c>
      <c r="O12927" s="49">
        <v>45590</v>
      </c>
      <c r="P12927" s="50">
        <v>69.579000000000008</v>
      </c>
    </row>
    <row r="12928" spans="4:16" x14ac:dyDescent="0.2">
      <c r="D12928">
        <v>100007787</v>
      </c>
      <c r="E12928" s="49">
        <v>45147</v>
      </c>
      <c r="F12928" t="s">
        <v>8256</v>
      </c>
      <c r="G12928" t="s">
        <v>1740</v>
      </c>
      <c r="H12928">
        <v>9</v>
      </c>
      <c r="I12928">
        <v>62.88</v>
      </c>
      <c r="J12928" s="50">
        <v>565.92000000000007</v>
      </c>
      <c r="K12928" t="s">
        <v>1632</v>
      </c>
      <c r="M12928" t="s">
        <v>1621</v>
      </c>
      <c r="N12928">
        <v>33.19</v>
      </c>
      <c r="O12928" s="49">
        <v>45152</v>
      </c>
      <c r="P12928" s="50">
        <v>254.66400000000004</v>
      </c>
    </row>
    <row r="12929" spans="4:16" x14ac:dyDescent="0.2">
      <c r="D12929">
        <v>100007788</v>
      </c>
      <c r="E12929" s="49">
        <v>45218</v>
      </c>
      <c r="F12929" t="s">
        <v>8257</v>
      </c>
      <c r="G12929" t="s">
        <v>1717</v>
      </c>
      <c r="H12929">
        <v>5</v>
      </c>
      <c r="I12929">
        <v>47.94</v>
      </c>
      <c r="J12929" s="50">
        <v>239.7</v>
      </c>
      <c r="K12929" t="s">
        <v>1632</v>
      </c>
      <c r="M12929" t="s">
        <v>1621</v>
      </c>
      <c r="N12929">
        <v>25.3</v>
      </c>
      <c r="O12929" s="49">
        <v>45221</v>
      </c>
      <c r="P12929" s="50">
        <v>107.86499999999999</v>
      </c>
    </row>
    <row r="12930" spans="4:16" x14ac:dyDescent="0.2">
      <c r="D12930">
        <v>100007789</v>
      </c>
      <c r="E12930" s="49">
        <v>44641</v>
      </c>
      <c r="F12930" t="s">
        <v>8258</v>
      </c>
      <c r="G12930" t="s">
        <v>1743</v>
      </c>
      <c r="H12930">
        <v>1</v>
      </c>
      <c r="I12930">
        <v>46.03</v>
      </c>
      <c r="J12930" s="50">
        <v>46.03</v>
      </c>
      <c r="K12930" t="s">
        <v>1632</v>
      </c>
      <c r="M12930" t="s">
        <v>1619</v>
      </c>
      <c r="N12930">
        <v>24.29</v>
      </c>
      <c r="O12930" s="49">
        <v>44645</v>
      </c>
      <c r="P12930" s="50">
        <v>20.7135</v>
      </c>
    </row>
    <row r="12931" spans="4:16" x14ac:dyDescent="0.2">
      <c r="D12931">
        <v>100007789</v>
      </c>
      <c r="E12931" s="49">
        <v>44779</v>
      </c>
      <c r="F12931" t="s">
        <v>8258</v>
      </c>
      <c r="G12931" t="s">
        <v>2581</v>
      </c>
      <c r="H12931">
        <v>5</v>
      </c>
      <c r="I12931">
        <v>53.07</v>
      </c>
      <c r="J12931" s="50">
        <v>265.35000000000002</v>
      </c>
      <c r="K12931" t="s">
        <v>1632</v>
      </c>
      <c r="M12931" t="s">
        <v>1624</v>
      </c>
      <c r="N12931">
        <v>28.01</v>
      </c>
      <c r="O12931" s="49">
        <v>44781</v>
      </c>
      <c r="P12931" s="50">
        <v>119.40750000000001</v>
      </c>
    </row>
    <row r="12932" spans="4:16" x14ac:dyDescent="0.2">
      <c r="D12932">
        <v>100007789</v>
      </c>
      <c r="E12932" s="49">
        <v>45036</v>
      </c>
      <c r="F12932" t="s">
        <v>8258</v>
      </c>
      <c r="G12932" t="s">
        <v>1853</v>
      </c>
      <c r="H12932">
        <v>9</v>
      </c>
      <c r="I12932">
        <v>40.99</v>
      </c>
      <c r="J12932" s="50">
        <v>368.91</v>
      </c>
      <c r="K12932" t="s">
        <v>1632</v>
      </c>
      <c r="M12932" t="s">
        <v>1624</v>
      </c>
      <c r="N12932">
        <v>21.63</v>
      </c>
      <c r="O12932" s="49">
        <v>45041</v>
      </c>
      <c r="P12932" s="50">
        <v>166.0095</v>
      </c>
    </row>
    <row r="12933" spans="4:16" x14ac:dyDescent="0.2">
      <c r="D12933">
        <v>100007789</v>
      </c>
      <c r="E12933" s="49">
        <v>45291</v>
      </c>
      <c r="F12933" t="s">
        <v>8258</v>
      </c>
      <c r="G12933" t="s">
        <v>2416</v>
      </c>
      <c r="H12933">
        <v>2</v>
      </c>
      <c r="I12933">
        <v>45.91</v>
      </c>
      <c r="J12933" s="50">
        <v>91.82</v>
      </c>
      <c r="K12933" t="s">
        <v>1632</v>
      </c>
      <c r="M12933" t="s">
        <v>1627</v>
      </c>
      <c r="N12933">
        <v>24.23</v>
      </c>
      <c r="O12933" s="49">
        <v>45293</v>
      </c>
      <c r="P12933" s="50">
        <v>41.318999999999996</v>
      </c>
    </row>
    <row r="12934" spans="4:16" x14ac:dyDescent="0.2">
      <c r="D12934">
        <v>100007790</v>
      </c>
      <c r="E12934" s="49">
        <v>45441</v>
      </c>
      <c r="F12934" t="s">
        <v>8259</v>
      </c>
      <c r="G12934" t="s">
        <v>2571</v>
      </c>
      <c r="H12934">
        <v>6</v>
      </c>
      <c r="I12934">
        <v>11.21</v>
      </c>
      <c r="J12934" s="50">
        <v>67.260000000000005</v>
      </c>
      <c r="K12934" t="s">
        <v>1618</v>
      </c>
      <c r="M12934" t="s">
        <v>1627</v>
      </c>
      <c r="N12934">
        <v>5.92</v>
      </c>
      <c r="O12934" s="49">
        <v>45443</v>
      </c>
      <c r="P12934" s="50">
        <v>30.267000000000003</v>
      </c>
    </row>
    <row r="12935" spans="4:16" x14ac:dyDescent="0.2">
      <c r="D12935">
        <v>100007790</v>
      </c>
      <c r="E12935" s="49">
        <v>45262</v>
      </c>
      <c r="F12935" t="s">
        <v>8259</v>
      </c>
      <c r="G12935" t="s">
        <v>1789</v>
      </c>
      <c r="H12935">
        <v>7</v>
      </c>
      <c r="I12935">
        <v>51.33</v>
      </c>
      <c r="J12935" s="50">
        <v>359.31</v>
      </c>
      <c r="K12935" t="s">
        <v>1618</v>
      </c>
      <c r="M12935" t="s">
        <v>1624</v>
      </c>
      <c r="N12935">
        <v>27.09</v>
      </c>
      <c r="O12935" s="49">
        <v>45263</v>
      </c>
      <c r="P12935" s="50">
        <v>161.68950000000001</v>
      </c>
    </row>
    <row r="12936" spans="4:16" x14ac:dyDescent="0.2">
      <c r="D12936">
        <v>100007791</v>
      </c>
      <c r="E12936" s="49">
        <v>45198</v>
      </c>
      <c r="F12936" t="s">
        <v>8260</v>
      </c>
      <c r="G12936" t="s">
        <v>2331</v>
      </c>
      <c r="H12936">
        <v>3</v>
      </c>
      <c r="I12936">
        <v>27.27</v>
      </c>
      <c r="J12936" s="50">
        <v>81.81</v>
      </c>
      <c r="K12936" t="s">
        <v>1632</v>
      </c>
      <c r="M12936" t="s">
        <v>1619</v>
      </c>
      <c r="N12936">
        <v>14.39</v>
      </c>
      <c r="O12936" s="49">
        <v>45200</v>
      </c>
      <c r="P12936" s="50">
        <v>36.814500000000002</v>
      </c>
    </row>
    <row r="12937" spans="4:16" x14ac:dyDescent="0.2">
      <c r="D12937">
        <v>100007791</v>
      </c>
      <c r="E12937" s="49">
        <v>44925</v>
      </c>
      <c r="F12937" t="s">
        <v>8260</v>
      </c>
      <c r="G12937" t="s">
        <v>1754</v>
      </c>
      <c r="H12937">
        <v>5</v>
      </c>
      <c r="I12937">
        <v>62.59</v>
      </c>
      <c r="J12937" s="50">
        <v>312.95</v>
      </c>
      <c r="K12937" t="s">
        <v>1632</v>
      </c>
      <c r="M12937" t="s">
        <v>1624</v>
      </c>
      <c r="N12937">
        <v>33.03</v>
      </c>
      <c r="O12937" s="49">
        <v>44930</v>
      </c>
      <c r="P12937" s="50">
        <v>140.82749999999999</v>
      </c>
    </row>
    <row r="12938" spans="4:16" x14ac:dyDescent="0.2">
      <c r="D12938">
        <v>100007791</v>
      </c>
      <c r="E12938" s="49">
        <v>45212</v>
      </c>
      <c r="F12938" t="s">
        <v>8260</v>
      </c>
      <c r="G12938" t="s">
        <v>2416</v>
      </c>
      <c r="H12938">
        <v>4</v>
      </c>
      <c r="I12938">
        <v>46.9</v>
      </c>
      <c r="J12938" s="50">
        <v>187.6</v>
      </c>
      <c r="K12938" t="s">
        <v>1632</v>
      </c>
      <c r="M12938" t="s">
        <v>1621</v>
      </c>
      <c r="N12938">
        <v>24.75</v>
      </c>
      <c r="O12938" s="49">
        <v>45217</v>
      </c>
      <c r="P12938" s="50">
        <v>84.42</v>
      </c>
    </row>
    <row r="12939" spans="4:16" x14ac:dyDescent="0.2">
      <c r="D12939">
        <v>100007793</v>
      </c>
      <c r="E12939" s="49">
        <v>45123</v>
      </c>
      <c r="F12939" t="s">
        <v>8261</v>
      </c>
      <c r="G12939" t="s">
        <v>1701</v>
      </c>
      <c r="H12939">
        <v>7</v>
      </c>
      <c r="I12939">
        <v>75.11</v>
      </c>
      <c r="J12939" s="50">
        <v>525.77</v>
      </c>
      <c r="K12939" t="s">
        <v>1618</v>
      </c>
      <c r="L12939" t="s">
        <v>6802</v>
      </c>
      <c r="M12939" t="s">
        <v>1621</v>
      </c>
      <c r="N12939">
        <v>39.64</v>
      </c>
      <c r="O12939" s="49">
        <v>45125</v>
      </c>
      <c r="P12939" s="50">
        <v>236.59649999999999</v>
      </c>
    </row>
    <row r="12940" spans="4:16" x14ac:dyDescent="0.2">
      <c r="D12940">
        <v>100007794</v>
      </c>
      <c r="E12940" s="49">
        <v>45540</v>
      </c>
      <c r="F12940" t="s">
        <v>8262</v>
      </c>
      <c r="G12940" t="s">
        <v>2387</v>
      </c>
      <c r="H12940">
        <v>9</v>
      </c>
      <c r="I12940">
        <v>32.46</v>
      </c>
      <c r="J12940" s="50">
        <v>292.14</v>
      </c>
      <c r="K12940" t="s">
        <v>1618</v>
      </c>
      <c r="L12940" t="s">
        <v>5273</v>
      </c>
      <c r="M12940" t="s">
        <v>1624</v>
      </c>
      <c r="N12940">
        <v>17.13</v>
      </c>
      <c r="O12940" s="49">
        <v>45543</v>
      </c>
      <c r="P12940" s="50">
        <v>131.46299999999999</v>
      </c>
    </row>
    <row r="12941" spans="4:16" x14ac:dyDescent="0.2">
      <c r="D12941">
        <v>100007795</v>
      </c>
      <c r="E12941" s="49">
        <v>45117</v>
      </c>
      <c r="F12941" t="s">
        <v>4292</v>
      </c>
      <c r="G12941" t="s">
        <v>1730</v>
      </c>
      <c r="H12941">
        <v>5</v>
      </c>
      <c r="I12941">
        <v>104.61</v>
      </c>
      <c r="J12941" s="50">
        <v>523.04999999999995</v>
      </c>
      <c r="K12941" t="s">
        <v>1632</v>
      </c>
      <c r="M12941" t="s">
        <v>1629</v>
      </c>
      <c r="N12941">
        <v>55.21</v>
      </c>
      <c r="O12941" s="49">
        <v>45118</v>
      </c>
      <c r="P12941" s="50">
        <v>235.37249999999997</v>
      </c>
    </row>
    <row r="12942" spans="4:16" x14ac:dyDescent="0.2">
      <c r="D12942">
        <v>100007797</v>
      </c>
      <c r="E12942" s="49">
        <v>44321</v>
      </c>
      <c r="F12942" t="s">
        <v>8263</v>
      </c>
      <c r="G12942" t="s">
        <v>2145</v>
      </c>
      <c r="H12942">
        <v>10</v>
      </c>
      <c r="I12942">
        <v>105.29</v>
      </c>
      <c r="J12942" s="50">
        <v>1052.9000000000001</v>
      </c>
      <c r="K12942" t="s">
        <v>1632</v>
      </c>
      <c r="L12942" t="s">
        <v>5927</v>
      </c>
      <c r="M12942" t="s">
        <v>1629</v>
      </c>
      <c r="N12942">
        <v>55.57</v>
      </c>
      <c r="O12942" s="49">
        <v>44326</v>
      </c>
      <c r="P12942" s="50">
        <v>473.80500000000006</v>
      </c>
    </row>
    <row r="12943" spans="4:16" x14ac:dyDescent="0.2">
      <c r="D12943">
        <v>100007797</v>
      </c>
      <c r="E12943" s="49">
        <v>45248</v>
      </c>
      <c r="F12943" t="s">
        <v>8263</v>
      </c>
      <c r="G12943" t="s">
        <v>1648</v>
      </c>
      <c r="H12943">
        <v>7</v>
      </c>
      <c r="I12943">
        <v>10.55</v>
      </c>
      <c r="J12943" s="50">
        <v>73.850000000000009</v>
      </c>
      <c r="K12943" t="s">
        <v>1632</v>
      </c>
      <c r="L12943" t="s">
        <v>5927</v>
      </c>
      <c r="M12943" t="s">
        <v>1627</v>
      </c>
      <c r="N12943">
        <v>5.57</v>
      </c>
      <c r="O12943" s="49">
        <v>45250</v>
      </c>
      <c r="P12943" s="50">
        <v>33.232500000000002</v>
      </c>
    </row>
    <row r="12944" spans="4:16" x14ac:dyDescent="0.2">
      <c r="D12944">
        <v>100007798</v>
      </c>
      <c r="E12944" s="49">
        <v>45572</v>
      </c>
      <c r="F12944" t="s">
        <v>8264</v>
      </c>
      <c r="G12944" t="s">
        <v>1650</v>
      </c>
      <c r="H12944">
        <v>5</v>
      </c>
      <c r="I12944">
        <v>101.39</v>
      </c>
      <c r="J12944" s="50">
        <v>506.95</v>
      </c>
      <c r="K12944" t="s">
        <v>1618</v>
      </c>
      <c r="L12944" t="s">
        <v>5435</v>
      </c>
      <c r="M12944" t="s">
        <v>1629</v>
      </c>
      <c r="N12944">
        <v>53.51</v>
      </c>
      <c r="O12944" s="49">
        <v>45576</v>
      </c>
      <c r="P12944" s="50">
        <v>228.1275</v>
      </c>
    </row>
    <row r="12945" spans="4:16" x14ac:dyDescent="0.2">
      <c r="D12945">
        <v>100007798</v>
      </c>
      <c r="E12945" s="49">
        <v>44293</v>
      </c>
      <c r="F12945" t="s">
        <v>8264</v>
      </c>
      <c r="G12945" t="s">
        <v>1848</v>
      </c>
      <c r="H12945">
        <v>5</v>
      </c>
      <c r="I12945">
        <v>79.34</v>
      </c>
      <c r="J12945" s="50">
        <v>396.7</v>
      </c>
      <c r="K12945" t="s">
        <v>1618</v>
      </c>
      <c r="L12945" t="s">
        <v>5435</v>
      </c>
      <c r="M12945" t="s">
        <v>1619</v>
      </c>
      <c r="N12945">
        <v>41.87</v>
      </c>
      <c r="O12945" s="49">
        <v>44295</v>
      </c>
      <c r="P12945" s="50">
        <v>178.51499999999999</v>
      </c>
    </row>
    <row r="12946" spans="4:16" x14ac:dyDescent="0.2">
      <c r="D12946">
        <v>100007799</v>
      </c>
      <c r="E12946" s="49">
        <v>45459</v>
      </c>
      <c r="F12946" t="s">
        <v>8265</v>
      </c>
      <c r="G12946" t="s">
        <v>2766</v>
      </c>
      <c r="H12946">
        <v>4</v>
      </c>
      <c r="I12946">
        <v>72.400000000000006</v>
      </c>
      <c r="J12946" s="50">
        <v>289.60000000000002</v>
      </c>
      <c r="K12946" t="s">
        <v>1632</v>
      </c>
      <c r="L12946" t="s">
        <v>3826</v>
      </c>
      <c r="M12946" t="s">
        <v>1621</v>
      </c>
      <c r="N12946">
        <v>38.21</v>
      </c>
      <c r="O12946" s="49">
        <v>45464</v>
      </c>
      <c r="P12946" s="50">
        <v>130.32000000000002</v>
      </c>
    </row>
    <row r="12947" spans="4:16" x14ac:dyDescent="0.2">
      <c r="D12947">
        <v>100007799</v>
      </c>
      <c r="E12947" s="49">
        <v>44219</v>
      </c>
      <c r="F12947" t="s">
        <v>8265</v>
      </c>
      <c r="G12947" t="s">
        <v>1712</v>
      </c>
      <c r="H12947">
        <v>9</v>
      </c>
      <c r="I12947">
        <v>115.29</v>
      </c>
      <c r="J12947" s="50">
        <v>1037.6099999999999</v>
      </c>
      <c r="K12947" t="s">
        <v>1632</v>
      </c>
      <c r="L12947" t="s">
        <v>3826</v>
      </c>
      <c r="M12947" t="s">
        <v>1624</v>
      </c>
      <c r="N12947">
        <v>60.85</v>
      </c>
      <c r="O12947" s="49">
        <v>44220</v>
      </c>
      <c r="P12947" s="50">
        <v>466.92449999999997</v>
      </c>
    </row>
    <row r="12948" spans="4:16" x14ac:dyDescent="0.2">
      <c r="D12948">
        <v>100007800</v>
      </c>
      <c r="E12948" s="49">
        <v>44358</v>
      </c>
      <c r="F12948" t="s">
        <v>8266</v>
      </c>
      <c r="G12948" t="s">
        <v>1785</v>
      </c>
      <c r="H12948">
        <v>8</v>
      </c>
      <c r="I12948">
        <v>69.45</v>
      </c>
      <c r="J12948" s="50">
        <v>555.6</v>
      </c>
      <c r="K12948" t="s">
        <v>1632</v>
      </c>
      <c r="M12948" t="s">
        <v>1627</v>
      </c>
      <c r="N12948">
        <v>36.65</v>
      </c>
      <c r="O12948" s="49">
        <v>44360</v>
      </c>
      <c r="P12948" s="50">
        <v>250.02</v>
      </c>
    </row>
    <row r="12949" spans="4:16" x14ac:dyDescent="0.2">
      <c r="D12949">
        <v>100007801</v>
      </c>
      <c r="E12949" s="49">
        <v>44718</v>
      </c>
      <c r="F12949" t="s">
        <v>8267</v>
      </c>
      <c r="G12949" t="s">
        <v>1760</v>
      </c>
      <c r="H12949">
        <v>4</v>
      </c>
      <c r="I12949">
        <v>108.24</v>
      </c>
      <c r="J12949" s="50">
        <v>432.96</v>
      </c>
      <c r="K12949" t="s">
        <v>1632</v>
      </c>
      <c r="M12949" t="s">
        <v>1619</v>
      </c>
      <c r="N12949">
        <v>57.13</v>
      </c>
      <c r="O12949" s="49">
        <v>44720</v>
      </c>
      <c r="P12949" s="50">
        <v>194.83199999999999</v>
      </c>
    </row>
    <row r="12950" spans="4:16" x14ac:dyDescent="0.2">
      <c r="D12950">
        <v>100007801</v>
      </c>
      <c r="E12950" s="49">
        <v>45443</v>
      </c>
      <c r="F12950" t="s">
        <v>8267</v>
      </c>
      <c r="G12950" t="s">
        <v>1661</v>
      </c>
      <c r="H12950">
        <v>8</v>
      </c>
      <c r="I12950">
        <v>79.39</v>
      </c>
      <c r="J12950" s="50">
        <v>635.12</v>
      </c>
      <c r="K12950" t="s">
        <v>1632</v>
      </c>
      <c r="M12950" t="s">
        <v>1619</v>
      </c>
      <c r="N12950">
        <v>41.9</v>
      </c>
      <c r="O12950" s="49">
        <v>45447</v>
      </c>
      <c r="P12950" s="50">
        <v>285.80400000000003</v>
      </c>
    </row>
    <row r="12951" spans="4:16" x14ac:dyDescent="0.2">
      <c r="D12951">
        <v>100007802</v>
      </c>
      <c r="E12951" s="49">
        <v>45181</v>
      </c>
      <c r="F12951" t="s">
        <v>8268</v>
      </c>
      <c r="G12951" t="s">
        <v>1902</v>
      </c>
      <c r="H12951">
        <v>4</v>
      </c>
      <c r="I12951">
        <v>13.7</v>
      </c>
      <c r="J12951" s="50">
        <v>54.8</v>
      </c>
      <c r="K12951" t="s">
        <v>1618</v>
      </c>
      <c r="M12951" t="s">
        <v>1627</v>
      </c>
      <c r="N12951">
        <v>7.23</v>
      </c>
      <c r="O12951" s="49">
        <v>45186</v>
      </c>
      <c r="P12951" s="50">
        <v>24.66</v>
      </c>
    </row>
    <row r="12952" spans="4:16" x14ac:dyDescent="0.2">
      <c r="D12952">
        <v>100007804</v>
      </c>
      <c r="E12952" s="49">
        <v>44742</v>
      </c>
      <c r="F12952" t="s">
        <v>4528</v>
      </c>
      <c r="G12952" t="s">
        <v>1648</v>
      </c>
      <c r="H12952">
        <v>7</v>
      </c>
      <c r="I12952">
        <v>111.27</v>
      </c>
      <c r="J12952" s="50">
        <v>778.89</v>
      </c>
      <c r="K12952" t="s">
        <v>1632</v>
      </c>
      <c r="M12952" t="s">
        <v>1621</v>
      </c>
      <c r="N12952">
        <v>58.73</v>
      </c>
      <c r="O12952" s="49">
        <v>44744</v>
      </c>
      <c r="P12952" s="50">
        <v>350.50049999999999</v>
      </c>
    </row>
    <row r="12953" spans="4:16" x14ac:dyDescent="0.2">
      <c r="D12953">
        <v>100007804</v>
      </c>
      <c r="E12953" s="49">
        <v>45475</v>
      </c>
      <c r="F12953" t="s">
        <v>4528</v>
      </c>
      <c r="G12953" t="s">
        <v>2733</v>
      </c>
      <c r="H12953">
        <v>10</v>
      </c>
      <c r="I12953">
        <v>76.150000000000006</v>
      </c>
      <c r="J12953" s="50">
        <v>761.5</v>
      </c>
      <c r="K12953" t="s">
        <v>1632</v>
      </c>
      <c r="M12953" t="s">
        <v>1621</v>
      </c>
      <c r="N12953">
        <v>40.19</v>
      </c>
      <c r="O12953" s="49">
        <v>45478</v>
      </c>
      <c r="P12953" s="50">
        <v>342.67500000000001</v>
      </c>
    </row>
    <row r="12954" spans="4:16" x14ac:dyDescent="0.2">
      <c r="D12954">
        <v>100007805</v>
      </c>
      <c r="E12954" s="49">
        <v>44683</v>
      </c>
      <c r="F12954" t="s">
        <v>8269</v>
      </c>
      <c r="G12954" t="s">
        <v>1932</v>
      </c>
      <c r="H12954">
        <v>6</v>
      </c>
      <c r="I12954">
        <v>55.64</v>
      </c>
      <c r="J12954" s="50">
        <v>333.84</v>
      </c>
      <c r="K12954" t="s">
        <v>1618</v>
      </c>
      <c r="M12954" t="s">
        <v>1629</v>
      </c>
      <c r="N12954">
        <v>29.37</v>
      </c>
      <c r="O12954" s="49">
        <v>44684</v>
      </c>
      <c r="P12954" s="50">
        <v>150.22799999999998</v>
      </c>
    </row>
    <row r="12955" spans="4:16" x14ac:dyDescent="0.2">
      <c r="D12955">
        <v>100007805</v>
      </c>
      <c r="E12955" s="49">
        <v>45210</v>
      </c>
      <c r="F12955" t="s">
        <v>8269</v>
      </c>
      <c r="G12955" t="s">
        <v>2039</v>
      </c>
      <c r="H12955">
        <v>7</v>
      </c>
      <c r="I12955">
        <v>47.4</v>
      </c>
      <c r="J12955" s="50">
        <v>331.8</v>
      </c>
      <c r="K12955" t="s">
        <v>1618</v>
      </c>
      <c r="M12955" t="s">
        <v>1627</v>
      </c>
      <c r="N12955">
        <v>25.02</v>
      </c>
      <c r="O12955" s="49">
        <v>45215</v>
      </c>
      <c r="P12955" s="50">
        <v>149.31</v>
      </c>
    </row>
    <row r="12956" spans="4:16" x14ac:dyDescent="0.2">
      <c r="D12956">
        <v>100007805</v>
      </c>
      <c r="E12956" s="49">
        <v>44463</v>
      </c>
      <c r="F12956" t="s">
        <v>8269</v>
      </c>
      <c r="G12956" t="s">
        <v>2420</v>
      </c>
      <c r="H12956">
        <v>2</v>
      </c>
      <c r="I12956">
        <v>95.75</v>
      </c>
      <c r="J12956" s="50">
        <v>191.5</v>
      </c>
      <c r="K12956" t="s">
        <v>1618</v>
      </c>
      <c r="M12956" t="s">
        <v>1621</v>
      </c>
      <c r="N12956">
        <v>50.53</v>
      </c>
      <c r="O12956" s="49">
        <v>44466</v>
      </c>
      <c r="P12956" s="50">
        <v>86.174999999999997</v>
      </c>
    </row>
    <row r="12957" spans="4:16" x14ac:dyDescent="0.2">
      <c r="D12957">
        <v>100007805</v>
      </c>
      <c r="E12957" s="49">
        <v>45603</v>
      </c>
      <c r="F12957" t="s">
        <v>8269</v>
      </c>
      <c r="G12957" t="s">
        <v>2202</v>
      </c>
      <c r="H12957">
        <v>3</v>
      </c>
      <c r="I12957">
        <v>98.86</v>
      </c>
      <c r="J12957" s="50">
        <v>296.58</v>
      </c>
      <c r="K12957" t="s">
        <v>1618</v>
      </c>
      <c r="M12957" t="s">
        <v>1624</v>
      </c>
      <c r="N12957">
        <v>52.18</v>
      </c>
      <c r="O12957" s="49">
        <v>45606</v>
      </c>
      <c r="P12957" s="50">
        <v>133.46099999999998</v>
      </c>
    </row>
    <row r="12958" spans="4:16" x14ac:dyDescent="0.2">
      <c r="D12958">
        <v>100007806</v>
      </c>
      <c r="E12958" s="49">
        <v>44383</v>
      </c>
      <c r="F12958" t="s">
        <v>8270</v>
      </c>
      <c r="G12958" t="s">
        <v>1634</v>
      </c>
      <c r="H12958">
        <v>9</v>
      </c>
      <c r="I12958">
        <v>46.04</v>
      </c>
      <c r="J12958" s="50">
        <v>414.36</v>
      </c>
      <c r="K12958" t="s">
        <v>1618</v>
      </c>
      <c r="M12958" t="s">
        <v>1619</v>
      </c>
      <c r="N12958">
        <v>24.3</v>
      </c>
      <c r="O12958" s="49">
        <v>44385</v>
      </c>
      <c r="P12958" s="50">
        <v>186.46200000000002</v>
      </c>
    </row>
    <row r="12959" spans="4:16" x14ac:dyDescent="0.2">
      <c r="D12959">
        <v>100007806</v>
      </c>
      <c r="E12959" s="49">
        <v>44312</v>
      </c>
      <c r="F12959" t="s">
        <v>8270</v>
      </c>
      <c r="G12959" t="s">
        <v>1857</v>
      </c>
      <c r="H12959">
        <v>2</v>
      </c>
      <c r="I12959">
        <v>37.15</v>
      </c>
      <c r="J12959" s="50">
        <v>74.3</v>
      </c>
      <c r="K12959" t="s">
        <v>1618</v>
      </c>
      <c r="M12959" t="s">
        <v>1621</v>
      </c>
      <c r="N12959">
        <v>19.61</v>
      </c>
      <c r="O12959" s="49">
        <v>44315</v>
      </c>
      <c r="P12959" s="50">
        <v>33.435000000000002</v>
      </c>
    </row>
    <row r="12960" spans="4:16" x14ac:dyDescent="0.2">
      <c r="D12960">
        <v>100007807</v>
      </c>
      <c r="E12960" s="49">
        <v>45296</v>
      </c>
      <c r="F12960" t="s">
        <v>8271</v>
      </c>
      <c r="G12960" t="s">
        <v>1666</v>
      </c>
      <c r="H12960">
        <v>8</v>
      </c>
      <c r="I12960">
        <v>116.99</v>
      </c>
      <c r="J12960" s="50">
        <v>935.92</v>
      </c>
      <c r="K12960" t="s">
        <v>1632</v>
      </c>
      <c r="L12960" t="s">
        <v>1991</v>
      </c>
      <c r="M12960" t="s">
        <v>1619</v>
      </c>
      <c r="N12960">
        <v>61.74</v>
      </c>
      <c r="O12960" s="49">
        <v>45299</v>
      </c>
      <c r="P12960" s="50">
        <v>421.16399999999999</v>
      </c>
    </row>
    <row r="12961" spans="4:16" x14ac:dyDescent="0.2">
      <c r="D12961">
        <v>100007807</v>
      </c>
      <c r="E12961" s="49">
        <v>45145</v>
      </c>
      <c r="F12961" t="s">
        <v>8271</v>
      </c>
      <c r="G12961" t="s">
        <v>1742</v>
      </c>
      <c r="H12961">
        <v>10</v>
      </c>
      <c r="I12961">
        <v>36.11</v>
      </c>
      <c r="J12961" s="50">
        <v>361.1</v>
      </c>
      <c r="K12961" t="s">
        <v>1632</v>
      </c>
      <c r="L12961" t="s">
        <v>1991</v>
      </c>
      <c r="M12961" t="s">
        <v>1621</v>
      </c>
      <c r="N12961">
        <v>19.059999999999999</v>
      </c>
      <c r="O12961" s="49">
        <v>45149</v>
      </c>
      <c r="P12961" s="50">
        <v>162.495</v>
      </c>
    </row>
    <row r="12962" spans="4:16" x14ac:dyDescent="0.2">
      <c r="D12962">
        <v>100007807</v>
      </c>
      <c r="E12962" s="49">
        <v>45420</v>
      </c>
      <c r="F12962" t="s">
        <v>8271</v>
      </c>
      <c r="G12962" t="s">
        <v>1637</v>
      </c>
      <c r="H12962">
        <v>9</v>
      </c>
      <c r="I12962">
        <v>99.67</v>
      </c>
      <c r="J12962" s="50">
        <v>897.03</v>
      </c>
      <c r="K12962" t="s">
        <v>1632</v>
      </c>
      <c r="L12962" t="s">
        <v>1991</v>
      </c>
      <c r="M12962" t="s">
        <v>1627</v>
      </c>
      <c r="N12962">
        <v>52.6</v>
      </c>
      <c r="O12962" s="49">
        <v>45421</v>
      </c>
      <c r="P12962" s="50">
        <v>403.6635</v>
      </c>
    </row>
    <row r="12963" spans="4:16" x14ac:dyDescent="0.2">
      <c r="D12963">
        <v>100007807</v>
      </c>
      <c r="E12963" s="49">
        <v>45184</v>
      </c>
      <c r="F12963" t="s">
        <v>8271</v>
      </c>
      <c r="G12963" t="s">
        <v>2378</v>
      </c>
      <c r="H12963">
        <v>2</v>
      </c>
      <c r="I12963">
        <v>65.45</v>
      </c>
      <c r="J12963" s="50">
        <v>130.9</v>
      </c>
      <c r="K12963" t="s">
        <v>1632</v>
      </c>
      <c r="L12963" t="s">
        <v>1991</v>
      </c>
      <c r="M12963" t="s">
        <v>1629</v>
      </c>
      <c r="N12963">
        <v>34.54</v>
      </c>
      <c r="O12963" s="49">
        <v>45187</v>
      </c>
      <c r="P12963" s="50">
        <v>58.905000000000001</v>
      </c>
    </row>
    <row r="12964" spans="4:16" x14ac:dyDescent="0.2">
      <c r="D12964">
        <v>100007807</v>
      </c>
      <c r="E12964" s="49">
        <v>45518</v>
      </c>
      <c r="F12964" t="s">
        <v>8271</v>
      </c>
      <c r="G12964" t="s">
        <v>1628</v>
      </c>
      <c r="H12964">
        <v>5</v>
      </c>
      <c r="I12964">
        <v>37.130000000000003</v>
      </c>
      <c r="J12964" s="50">
        <v>185.65</v>
      </c>
      <c r="K12964" t="s">
        <v>1632</v>
      </c>
      <c r="L12964" t="s">
        <v>1991</v>
      </c>
      <c r="M12964" t="s">
        <v>1621</v>
      </c>
      <c r="N12964">
        <v>19.600000000000001</v>
      </c>
      <c r="O12964" s="49">
        <v>45520</v>
      </c>
      <c r="P12964" s="50">
        <v>83.542500000000004</v>
      </c>
    </row>
    <row r="12965" spans="4:16" x14ac:dyDescent="0.2">
      <c r="D12965">
        <v>100007808</v>
      </c>
      <c r="E12965" s="49">
        <v>45097</v>
      </c>
      <c r="F12965" t="s">
        <v>6036</v>
      </c>
      <c r="G12965" t="s">
        <v>2003</v>
      </c>
      <c r="H12965">
        <v>5</v>
      </c>
      <c r="I12965">
        <v>82.41</v>
      </c>
      <c r="J12965" s="50">
        <v>412.05</v>
      </c>
      <c r="K12965" t="s">
        <v>1618</v>
      </c>
      <c r="M12965" t="s">
        <v>1619</v>
      </c>
      <c r="N12965">
        <v>43.49</v>
      </c>
      <c r="O12965" s="49">
        <v>45101</v>
      </c>
      <c r="P12965" s="50">
        <v>185.42250000000001</v>
      </c>
    </row>
    <row r="12966" spans="4:16" x14ac:dyDescent="0.2">
      <c r="D12966">
        <v>100007809</v>
      </c>
      <c r="E12966" s="49">
        <v>44824</v>
      </c>
      <c r="F12966" t="s">
        <v>8272</v>
      </c>
      <c r="G12966" t="s">
        <v>1623</v>
      </c>
      <c r="H12966">
        <v>2</v>
      </c>
      <c r="I12966">
        <v>64.3</v>
      </c>
      <c r="J12966" s="50">
        <v>128.6</v>
      </c>
      <c r="K12966" t="s">
        <v>1618</v>
      </c>
      <c r="M12966" t="s">
        <v>1621</v>
      </c>
      <c r="N12966">
        <v>33.94</v>
      </c>
      <c r="O12966" s="49">
        <v>44826</v>
      </c>
      <c r="P12966" s="50">
        <v>57.87</v>
      </c>
    </row>
    <row r="12967" spans="4:16" x14ac:dyDescent="0.2">
      <c r="D12967">
        <v>100007809</v>
      </c>
      <c r="E12967" s="49">
        <v>44490</v>
      </c>
      <c r="F12967" t="s">
        <v>8272</v>
      </c>
      <c r="G12967" t="s">
        <v>2048</v>
      </c>
      <c r="H12967">
        <v>10</v>
      </c>
      <c r="I12967">
        <v>53.5</v>
      </c>
      <c r="J12967" s="50">
        <v>535</v>
      </c>
      <c r="K12967" t="s">
        <v>1618</v>
      </c>
      <c r="M12967" t="s">
        <v>1619</v>
      </c>
      <c r="N12967">
        <v>28.24</v>
      </c>
      <c r="O12967" s="49">
        <v>44494</v>
      </c>
      <c r="P12967" s="50">
        <v>240.75</v>
      </c>
    </row>
    <row r="12968" spans="4:16" x14ac:dyDescent="0.2">
      <c r="D12968">
        <v>100007810</v>
      </c>
      <c r="E12968" s="49">
        <v>45197</v>
      </c>
      <c r="F12968" t="s">
        <v>8273</v>
      </c>
      <c r="G12968" t="s">
        <v>2766</v>
      </c>
      <c r="H12968">
        <v>2</v>
      </c>
      <c r="I12968">
        <v>14.05</v>
      </c>
      <c r="J12968" s="50">
        <v>28.1</v>
      </c>
      <c r="K12968" t="s">
        <v>1618</v>
      </c>
      <c r="M12968" t="s">
        <v>1621</v>
      </c>
      <c r="N12968">
        <v>7.42</v>
      </c>
      <c r="O12968" s="49">
        <v>45201</v>
      </c>
      <c r="P12968" s="50">
        <v>12.645000000000001</v>
      </c>
    </row>
    <row r="12969" spans="4:16" x14ac:dyDescent="0.2">
      <c r="D12969">
        <v>100007811</v>
      </c>
      <c r="E12969" s="49">
        <v>44427</v>
      </c>
      <c r="F12969" t="s">
        <v>8274</v>
      </c>
      <c r="G12969" t="s">
        <v>1631</v>
      </c>
      <c r="H12969">
        <v>7</v>
      </c>
      <c r="I12969">
        <v>77.92</v>
      </c>
      <c r="J12969" s="50">
        <v>545.44000000000005</v>
      </c>
      <c r="K12969" t="s">
        <v>1618</v>
      </c>
      <c r="M12969" t="s">
        <v>1619</v>
      </c>
      <c r="N12969">
        <v>41.12</v>
      </c>
      <c r="O12969" s="49">
        <v>44428</v>
      </c>
      <c r="P12969" s="50">
        <v>245.44800000000004</v>
      </c>
    </row>
    <row r="12970" spans="4:16" x14ac:dyDescent="0.2">
      <c r="D12970">
        <v>100007811</v>
      </c>
      <c r="E12970" s="49">
        <v>44577</v>
      </c>
      <c r="F12970" t="s">
        <v>8274</v>
      </c>
      <c r="G12970" t="s">
        <v>2084</v>
      </c>
      <c r="H12970">
        <v>2</v>
      </c>
      <c r="I12970">
        <v>92.56</v>
      </c>
      <c r="J12970" s="50">
        <v>185.12</v>
      </c>
      <c r="K12970" t="s">
        <v>1618</v>
      </c>
      <c r="M12970" t="s">
        <v>1629</v>
      </c>
      <c r="N12970">
        <v>48.85</v>
      </c>
      <c r="O12970" s="49">
        <v>44580</v>
      </c>
      <c r="P12970" s="50">
        <v>83.304000000000002</v>
      </c>
    </row>
    <row r="12971" spans="4:16" x14ac:dyDescent="0.2">
      <c r="D12971">
        <v>100007813</v>
      </c>
      <c r="E12971" s="49">
        <v>44567</v>
      </c>
      <c r="F12971" t="s">
        <v>8275</v>
      </c>
      <c r="G12971" t="s">
        <v>2447</v>
      </c>
      <c r="H12971">
        <v>4</v>
      </c>
      <c r="I12971">
        <v>63.14</v>
      </c>
      <c r="J12971" s="50">
        <v>252.56</v>
      </c>
      <c r="K12971" t="s">
        <v>1618</v>
      </c>
      <c r="L12971" t="s">
        <v>8276</v>
      </c>
      <c r="M12971" t="s">
        <v>1621</v>
      </c>
      <c r="N12971">
        <v>33.32</v>
      </c>
      <c r="O12971" s="49">
        <v>44568</v>
      </c>
      <c r="P12971" s="50">
        <v>113.652</v>
      </c>
    </row>
    <row r="12972" spans="4:16" x14ac:dyDescent="0.2">
      <c r="D12972">
        <v>100007813</v>
      </c>
      <c r="E12972" s="49">
        <v>45303</v>
      </c>
      <c r="F12972" t="s">
        <v>8275</v>
      </c>
      <c r="G12972" t="s">
        <v>1631</v>
      </c>
      <c r="H12972">
        <v>2</v>
      </c>
      <c r="I12972">
        <v>59.1</v>
      </c>
      <c r="J12972" s="50">
        <v>118.2</v>
      </c>
      <c r="K12972" t="s">
        <v>1618</v>
      </c>
      <c r="L12972" t="s">
        <v>8276</v>
      </c>
      <c r="M12972" t="s">
        <v>1624</v>
      </c>
      <c r="N12972">
        <v>31.19</v>
      </c>
      <c r="O12972" s="49">
        <v>45304</v>
      </c>
      <c r="P12972" s="50">
        <v>53.190000000000005</v>
      </c>
    </row>
    <row r="12973" spans="4:16" x14ac:dyDescent="0.2">
      <c r="D12973">
        <v>100007813</v>
      </c>
      <c r="E12973" s="49">
        <v>45592</v>
      </c>
      <c r="F12973" t="s">
        <v>8275</v>
      </c>
      <c r="G12973" t="s">
        <v>1953</v>
      </c>
      <c r="H12973">
        <v>2</v>
      </c>
      <c r="I12973">
        <v>18.45</v>
      </c>
      <c r="J12973" s="50">
        <v>36.9</v>
      </c>
      <c r="K12973" t="s">
        <v>1618</v>
      </c>
      <c r="L12973" t="s">
        <v>8276</v>
      </c>
      <c r="M12973" t="s">
        <v>1627</v>
      </c>
      <c r="N12973">
        <v>9.74</v>
      </c>
      <c r="O12973" s="49">
        <v>45593</v>
      </c>
      <c r="P12973" s="50">
        <v>16.605</v>
      </c>
    </row>
    <row r="12974" spans="4:16" x14ac:dyDescent="0.2">
      <c r="D12974">
        <v>100007813</v>
      </c>
      <c r="E12974" s="49">
        <v>44373</v>
      </c>
      <c r="F12974" t="s">
        <v>8275</v>
      </c>
      <c r="G12974" t="s">
        <v>2161</v>
      </c>
      <c r="H12974">
        <v>8</v>
      </c>
      <c r="I12974">
        <v>81.75</v>
      </c>
      <c r="J12974" s="50">
        <v>654</v>
      </c>
      <c r="K12974" t="s">
        <v>1618</v>
      </c>
      <c r="L12974" t="s">
        <v>8276</v>
      </c>
      <c r="M12974" t="s">
        <v>1629</v>
      </c>
      <c r="N12974">
        <v>43.15</v>
      </c>
      <c r="O12974" s="49">
        <v>44374</v>
      </c>
      <c r="P12974" s="50">
        <v>294.3</v>
      </c>
    </row>
    <row r="12975" spans="4:16" x14ac:dyDescent="0.2">
      <c r="D12975">
        <v>100007813</v>
      </c>
      <c r="E12975" s="49">
        <v>44904</v>
      </c>
      <c r="F12975" t="s">
        <v>8275</v>
      </c>
      <c r="G12975" t="s">
        <v>2116</v>
      </c>
      <c r="H12975">
        <v>3</v>
      </c>
      <c r="I12975">
        <v>62.17</v>
      </c>
      <c r="J12975" s="50">
        <v>186.51</v>
      </c>
      <c r="K12975" t="s">
        <v>1618</v>
      </c>
      <c r="L12975" t="s">
        <v>8276</v>
      </c>
      <c r="M12975" t="s">
        <v>1619</v>
      </c>
      <c r="N12975">
        <v>32.81</v>
      </c>
      <c r="O12975" s="49">
        <v>44906</v>
      </c>
      <c r="P12975" s="50">
        <v>83.929500000000004</v>
      </c>
    </row>
    <row r="12976" spans="4:16" x14ac:dyDescent="0.2">
      <c r="D12976">
        <v>100007814</v>
      </c>
      <c r="E12976" s="49">
        <v>44924</v>
      </c>
      <c r="F12976" t="s">
        <v>3998</v>
      </c>
      <c r="G12976" t="s">
        <v>2063</v>
      </c>
      <c r="H12976">
        <v>3</v>
      </c>
      <c r="I12976">
        <v>22.91</v>
      </c>
      <c r="J12976" s="50">
        <v>68.73</v>
      </c>
      <c r="K12976" t="s">
        <v>1632</v>
      </c>
      <c r="L12976" t="s">
        <v>8277</v>
      </c>
      <c r="M12976" t="s">
        <v>1624</v>
      </c>
      <c r="N12976">
        <v>12.09</v>
      </c>
      <c r="O12976" s="49">
        <v>44929</v>
      </c>
      <c r="P12976" s="50">
        <v>30.928500000000003</v>
      </c>
    </row>
    <row r="12977" spans="4:16" x14ac:dyDescent="0.2">
      <c r="D12977">
        <v>100007816</v>
      </c>
      <c r="E12977" s="49">
        <v>44306</v>
      </c>
      <c r="F12977" t="s">
        <v>8278</v>
      </c>
      <c r="G12977" t="s">
        <v>2633</v>
      </c>
      <c r="H12977">
        <v>10</v>
      </c>
      <c r="I12977">
        <v>65.3</v>
      </c>
      <c r="J12977" s="50">
        <v>653</v>
      </c>
      <c r="K12977" t="s">
        <v>1618</v>
      </c>
      <c r="L12977" t="s">
        <v>3658</v>
      </c>
      <c r="M12977" t="s">
        <v>1619</v>
      </c>
      <c r="N12977">
        <v>34.46</v>
      </c>
      <c r="O12977" s="49">
        <v>44309</v>
      </c>
      <c r="P12977" s="50">
        <v>293.85000000000002</v>
      </c>
    </row>
    <row r="12978" spans="4:16" x14ac:dyDescent="0.2">
      <c r="D12978">
        <v>100007817</v>
      </c>
      <c r="E12978" s="49">
        <v>45407</v>
      </c>
      <c r="F12978" t="s">
        <v>8279</v>
      </c>
      <c r="G12978" t="s">
        <v>2065</v>
      </c>
      <c r="H12978">
        <v>10</v>
      </c>
      <c r="I12978">
        <v>65.91</v>
      </c>
      <c r="J12978" s="50">
        <v>659.09999999999991</v>
      </c>
      <c r="K12978" t="s">
        <v>1618</v>
      </c>
      <c r="M12978" t="s">
        <v>1627</v>
      </c>
      <c r="N12978">
        <v>34.79</v>
      </c>
      <c r="O12978" s="49">
        <v>45412</v>
      </c>
      <c r="P12978" s="50">
        <v>296.59499999999997</v>
      </c>
    </row>
    <row r="12979" spans="4:16" x14ac:dyDescent="0.2">
      <c r="D12979">
        <v>100007818</v>
      </c>
      <c r="E12979" s="49">
        <v>45183</v>
      </c>
      <c r="F12979" t="s">
        <v>8280</v>
      </c>
      <c r="G12979" t="s">
        <v>1715</v>
      </c>
      <c r="H12979">
        <v>7</v>
      </c>
      <c r="I12979">
        <v>102.76</v>
      </c>
      <c r="J12979" s="50">
        <v>719.32</v>
      </c>
      <c r="K12979" t="s">
        <v>1632</v>
      </c>
      <c r="M12979" t="s">
        <v>1621</v>
      </c>
      <c r="N12979">
        <v>54.23</v>
      </c>
      <c r="O12979" s="49">
        <v>45188</v>
      </c>
      <c r="P12979" s="50">
        <v>323.69400000000002</v>
      </c>
    </row>
    <row r="12980" spans="4:16" x14ac:dyDescent="0.2">
      <c r="D12980">
        <v>100007819</v>
      </c>
      <c r="E12980" s="49">
        <v>44301</v>
      </c>
      <c r="F12980" t="s">
        <v>8281</v>
      </c>
      <c r="G12980" t="s">
        <v>2465</v>
      </c>
      <c r="H12980">
        <v>3</v>
      </c>
      <c r="I12980">
        <v>78.209999999999994</v>
      </c>
      <c r="J12980" s="50">
        <v>234.63</v>
      </c>
      <c r="K12980" t="s">
        <v>1632</v>
      </c>
      <c r="M12980" t="s">
        <v>1627</v>
      </c>
      <c r="N12980">
        <v>41.28</v>
      </c>
      <c r="O12980" s="49">
        <v>44305</v>
      </c>
      <c r="P12980" s="50">
        <v>105.5835</v>
      </c>
    </row>
    <row r="12981" spans="4:16" x14ac:dyDescent="0.2">
      <c r="D12981">
        <v>100007819</v>
      </c>
      <c r="E12981" s="49">
        <v>45518</v>
      </c>
      <c r="F12981" t="s">
        <v>8281</v>
      </c>
      <c r="G12981" t="s">
        <v>2263</v>
      </c>
      <c r="H12981">
        <v>1</v>
      </c>
      <c r="I12981">
        <v>93.86</v>
      </c>
      <c r="J12981" s="50">
        <v>93.86</v>
      </c>
      <c r="K12981" t="s">
        <v>1632</v>
      </c>
      <c r="M12981" t="s">
        <v>1621</v>
      </c>
      <c r="N12981">
        <v>49.54</v>
      </c>
      <c r="O12981" s="49">
        <v>45520</v>
      </c>
      <c r="P12981" s="50">
        <v>42.237000000000002</v>
      </c>
    </row>
    <row r="12982" spans="4:16" x14ac:dyDescent="0.2">
      <c r="D12982">
        <v>100007821</v>
      </c>
      <c r="E12982" s="49">
        <v>45466</v>
      </c>
      <c r="F12982" t="s">
        <v>4634</v>
      </c>
      <c r="G12982" t="s">
        <v>1928</v>
      </c>
      <c r="H12982">
        <v>6</v>
      </c>
      <c r="I12982">
        <v>54.39</v>
      </c>
      <c r="J12982" s="50">
        <v>326.33999999999997</v>
      </c>
      <c r="K12982" t="s">
        <v>1618</v>
      </c>
      <c r="L12982" t="s">
        <v>8282</v>
      </c>
      <c r="M12982" t="s">
        <v>1627</v>
      </c>
      <c r="N12982">
        <v>28.71</v>
      </c>
      <c r="O12982" s="49">
        <v>45468</v>
      </c>
      <c r="P12982" s="50">
        <v>146.85299999999998</v>
      </c>
    </row>
    <row r="12983" spans="4:16" x14ac:dyDescent="0.2">
      <c r="D12983">
        <v>100007821</v>
      </c>
      <c r="E12983" s="49">
        <v>44488</v>
      </c>
      <c r="F12983" t="s">
        <v>4634</v>
      </c>
      <c r="G12983" t="s">
        <v>1781</v>
      </c>
      <c r="H12983">
        <v>6</v>
      </c>
      <c r="I12983">
        <v>41.91</v>
      </c>
      <c r="J12983" s="50">
        <v>251.46</v>
      </c>
      <c r="K12983" t="s">
        <v>1618</v>
      </c>
      <c r="L12983" t="s">
        <v>8282</v>
      </c>
      <c r="M12983" t="s">
        <v>1624</v>
      </c>
      <c r="N12983">
        <v>22.12</v>
      </c>
      <c r="O12983" s="49">
        <v>44493</v>
      </c>
      <c r="P12983" s="50">
        <v>113.15700000000001</v>
      </c>
    </row>
    <row r="12984" spans="4:16" x14ac:dyDescent="0.2">
      <c r="D12984">
        <v>100007821</v>
      </c>
      <c r="E12984" s="49">
        <v>45143</v>
      </c>
      <c r="F12984" t="s">
        <v>4634</v>
      </c>
      <c r="G12984" t="s">
        <v>2005</v>
      </c>
      <c r="H12984">
        <v>5</v>
      </c>
      <c r="I12984">
        <v>13.54</v>
      </c>
      <c r="J12984" s="50">
        <v>67.699999999999989</v>
      </c>
      <c r="K12984" t="s">
        <v>1618</v>
      </c>
      <c r="L12984" t="s">
        <v>8282</v>
      </c>
      <c r="M12984" t="s">
        <v>1619</v>
      </c>
      <c r="N12984">
        <v>7.15</v>
      </c>
      <c r="O12984" s="49">
        <v>45144</v>
      </c>
      <c r="P12984" s="50">
        <v>30.464999999999996</v>
      </c>
    </row>
    <row r="12985" spans="4:16" x14ac:dyDescent="0.2">
      <c r="D12985">
        <v>100007821</v>
      </c>
      <c r="E12985" s="49">
        <v>45518</v>
      </c>
      <c r="F12985" t="s">
        <v>4634</v>
      </c>
      <c r="G12985" t="s">
        <v>1617</v>
      </c>
      <c r="H12985">
        <v>8</v>
      </c>
      <c r="I12985">
        <v>117.34</v>
      </c>
      <c r="J12985" s="50">
        <v>938.72</v>
      </c>
      <c r="K12985" t="s">
        <v>1618</v>
      </c>
      <c r="L12985" t="s">
        <v>8282</v>
      </c>
      <c r="M12985" t="s">
        <v>1629</v>
      </c>
      <c r="N12985">
        <v>61.93</v>
      </c>
      <c r="O12985" s="49">
        <v>45519</v>
      </c>
      <c r="P12985" s="50">
        <v>422.42400000000004</v>
      </c>
    </row>
    <row r="12986" spans="4:16" x14ac:dyDescent="0.2">
      <c r="D12986">
        <v>100007822</v>
      </c>
      <c r="E12986" s="49">
        <v>45051</v>
      </c>
      <c r="F12986" t="s">
        <v>8283</v>
      </c>
      <c r="G12986" t="s">
        <v>1801</v>
      </c>
      <c r="H12986">
        <v>5</v>
      </c>
      <c r="I12986">
        <v>26.52</v>
      </c>
      <c r="J12986" s="50">
        <v>132.6</v>
      </c>
      <c r="K12986" t="s">
        <v>1632</v>
      </c>
      <c r="L12986" t="s">
        <v>8284</v>
      </c>
      <c r="M12986" t="s">
        <v>1621</v>
      </c>
      <c r="N12986">
        <v>14</v>
      </c>
      <c r="O12986" s="49">
        <v>45054</v>
      </c>
      <c r="P12986" s="50">
        <v>59.67</v>
      </c>
    </row>
    <row r="12987" spans="4:16" x14ac:dyDescent="0.2">
      <c r="D12987">
        <v>100007823</v>
      </c>
      <c r="E12987" s="49">
        <v>45645</v>
      </c>
      <c r="F12987" t="s">
        <v>8285</v>
      </c>
      <c r="G12987" t="s">
        <v>1828</v>
      </c>
      <c r="H12987">
        <v>10</v>
      </c>
      <c r="I12987">
        <v>52.6</v>
      </c>
      <c r="J12987" s="50">
        <v>526</v>
      </c>
      <c r="K12987" t="s">
        <v>1632</v>
      </c>
      <c r="L12987" t="s">
        <v>8286</v>
      </c>
      <c r="M12987" t="s">
        <v>1629</v>
      </c>
      <c r="N12987">
        <v>27.76</v>
      </c>
      <c r="O12987" s="49">
        <v>45649</v>
      </c>
      <c r="P12987" s="50">
        <v>236.70000000000002</v>
      </c>
    </row>
    <row r="12988" spans="4:16" x14ac:dyDescent="0.2">
      <c r="D12988">
        <v>100007824</v>
      </c>
      <c r="E12988" s="49">
        <v>44599</v>
      </c>
      <c r="F12988" t="s">
        <v>8287</v>
      </c>
      <c r="G12988" t="s">
        <v>1766</v>
      </c>
      <c r="H12988">
        <v>3</v>
      </c>
      <c r="I12988">
        <v>78.02</v>
      </c>
      <c r="J12988" s="50">
        <v>234.06</v>
      </c>
      <c r="K12988" t="s">
        <v>1618</v>
      </c>
      <c r="M12988" t="s">
        <v>1624</v>
      </c>
      <c r="N12988">
        <v>41.18</v>
      </c>
      <c r="O12988" s="49">
        <v>44602</v>
      </c>
      <c r="P12988" s="50">
        <v>105.327</v>
      </c>
    </row>
    <row r="12989" spans="4:16" x14ac:dyDescent="0.2">
      <c r="D12989">
        <v>100007824</v>
      </c>
      <c r="E12989" s="49">
        <v>44418</v>
      </c>
      <c r="F12989" t="s">
        <v>8287</v>
      </c>
      <c r="G12989" t="s">
        <v>1797</v>
      </c>
      <c r="H12989">
        <v>2</v>
      </c>
      <c r="I12989">
        <v>54.86</v>
      </c>
      <c r="J12989" s="50">
        <v>109.72</v>
      </c>
      <c r="K12989" t="s">
        <v>1618</v>
      </c>
      <c r="M12989" t="s">
        <v>1624</v>
      </c>
      <c r="N12989">
        <v>28.95</v>
      </c>
      <c r="O12989" s="49">
        <v>44420</v>
      </c>
      <c r="P12989" s="50">
        <v>49.374000000000002</v>
      </c>
    </row>
    <row r="12990" spans="4:16" x14ac:dyDescent="0.2">
      <c r="D12990">
        <v>100007825</v>
      </c>
      <c r="E12990" s="49">
        <v>45251</v>
      </c>
      <c r="F12990" t="s">
        <v>8288</v>
      </c>
      <c r="G12990" t="s">
        <v>1651</v>
      </c>
      <c r="H12990">
        <v>4</v>
      </c>
      <c r="I12990">
        <v>25.67</v>
      </c>
      <c r="J12990" s="50">
        <v>102.68</v>
      </c>
      <c r="K12990" t="s">
        <v>1618</v>
      </c>
      <c r="L12990" t="s">
        <v>3883</v>
      </c>
      <c r="M12990" t="s">
        <v>1629</v>
      </c>
      <c r="N12990">
        <v>13.55</v>
      </c>
      <c r="O12990" s="49">
        <v>45253</v>
      </c>
      <c r="P12990" s="50">
        <v>46.206000000000003</v>
      </c>
    </row>
    <row r="12991" spans="4:16" x14ac:dyDescent="0.2">
      <c r="D12991">
        <v>100007826</v>
      </c>
      <c r="E12991" s="49">
        <v>45002</v>
      </c>
      <c r="F12991" t="s">
        <v>8289</v>
      </c>
      <c r="G12991" t="s">
        <v>2255</v>
      </c>
      <c r="H12991">
        <v>3</v>
      </c>
      <c r="I12991">
        <v>78.260000000000005</v>
      </c>
      <c r="J12991" s="50">
        <v>234.78</v>
      </c>
      <c r="K12991" t="s">
        <v>1618</v>
      </c>
      <c r="M12991" t="s">
        <v>1621</v>
      </c>
      <c r="N12991">
        <v>41.3</v>
      </c>
      <c r="O12991" s="49">
        <v>45007</v>
      </c>
      <c r="P12991" s="50">
        <v>105.651</v>
      </c>
    </row>
    <row r="12992" spans="4:16" x14ac:dyDescent="0.2">
      <c r="D12992">
        <v>100007827</v>
      </c>
      <c r="E12992" s="49">
        <v>44754</v>
      </c>
      <c r="F12992" t="s">
        <v>8290</v>
      </c>
      <c r="G12992" t="s">
        <v>2024</v>
      </c>
      <c r="H12992">
        <v>10</v>
      </c>
      <c r="I12992">
        <v>84.5</v>
      </c>
      <c r="J12992" s="50">
        <v>845</v>
      </c>
      <c r="K12992" t="s">
        <v>1618</v>
      </c>
      <c r="M12992" t="s">
        <v>1619</v>
      </c>
      <c r="N12992">
        <v>44.6</v>
      </c>
      <c r="O12992" s="49">
        <v>44759</v>
      </c>
      <c r="P12992" s="50">
        <v>380.25</v>
      </c>
    </row>
    <row r="12993" spans="4:16" x14ac:dyDescent="0.2">
      <c r="D12993">
        <v>100007828</v>
      </c>
      <c r="E12993" s="49">
        <v>45126</v>
      </c>
      <c r="F12993" t="s">
        <v>8291</v>
      </c>
      <c r="G12993" t="s">
        <v>2145</v>
      </c>
      <c r="H12993">
        <v>4</v>
      </c>
      <c r="I12993">
        <v>26.15</v>
      </c>
      <c r="J12993" s="50">
        <v>104.6</v>
      </c>
      <c r="K12993" t="s">
        <v>1618</v>
      </c>
      <c r="M12993" t="s">
        <v>1627</v>
      </c>
      <c r="N12993">
        <v>13.8</v>
      </c>
      <c r="O12993" s="49">
        <v>45130</v>
      </c>
      <c r="P12993" s="50">
        <v>47.07</v>
      </c>
    </row>
    <row r="12994" spans="4:16" x14ac:dyDescent="0.2">
      <c r="D12994">
        <v>100007828</v>
      </c>
      <c r="E12994" s="49">
        <v>44898</v>
      </c>
      <c r="F12994" t="s">
        <v>8291</v>
      </c>
      <c r="G12994" t="s">
        <v>2182</v>
      </c>
      <c r="H12994">
        <v>6</v>
      </c>
      <c r="I12994">
        <v>20.12</v>
      </c>
      <c r="J12994" s="50">
        <v>120.72</v>
      </c>
      <c r="K12994" t="s">
        <v>1618</v>
      </c>
      <c r="M12994" t="s">
        <v>1619</v>
      </c>
      <c r="N12994">
        <v>10.62</v>
      </c>
      <c r="O12994" s="49">
        <v>44899</v>
      </c>
      <c r="P12994" s="50">
        <v>54.323999999999998</v>
      </c>
    </row>
    <row r="12995" spans="4:16" x14ac:dyDescent="0.2">
      <c r="D12995">
        <v>100007828</v>
      </c>
      <c r="E12995" s="49">
        <v>44369</v>
      </c>
      <c r="F12995" t="s">
        <v>8291</v>
      </c>
      <c r="G12995" t="s">
        <v>2145</v>
      </c>
      <c r="H12995">
        <v>1</v>
      </c>
      <c r="I12995">
        <v>29.91</v>
      </c>
      <c r="J12995" s="50">
        <v>29.91</v>
      </c>
      <c r="K12995" t="s">
        <v>1618</v>
      </c>
      <c r="M12995" t="s">
        <v>1621</v>
      </c>
      <c r="N12995">
        <v>15.79</v>
      </c>
      <c r="O12995" s="49">
        <v>44373</v>
      </c>
      <c r="P12995" s="50">
        <v>13.4595</v>
      </c>
    </row>
    <row r="12996" spans="4:16" x14ac:dyDescent="0.2">
      <c r="D12996">
        <v>100007829</v>
      </c>
      <c r="E12996" s="49">
        <v>44763</v>
      </c>
      <c r="F12996" t="s">
        <v>8292</v>
      </c>
      <c r="G12996" t="s">
        <v>1727</v>
      </c>
      <c r="H12996">
        <v>8</v>
      </c>
      <c r="I12996">
        <v>63.56</v>
      </c>
      <c r="J12996" s="50">
        <v>508.48</v>
      </c>
      <c r="K12996" t="s">
        <v>1632</v>
      </c>
      <c r="M12996" t="s">
        <v>1629</v>
      </c>
      <c r="N12996">
        <v>33.549999999999997</v>
      </c>
      <c r="O12996" s="49">
        <v>44767</v>
      </c>
      <c r="P12996" s="50">
        <v>228.816</v>
      </c>
    </row>
    <row r="12997" spans="4:16" x14ac:dyDescent="0.2">
      <c r="D12997">
        <v>100007829</v>
      </c>
      <c r="E12997" s="49">
        <v>44899</v>
      </c>
      <c r="F12997" t="s">
        <v>8292</v>
      </c>
      <c r="G12997" t="s">
        <v>1918</v>
      </c>
      <c r="H12997">
        <v>2</v>
      </c>
      <c r="I12997">
        <v>38.9</v>
      </c>
      <c r="J12997" s="50">
        <v>77.8</v>
      </c>
      <c r="K12997" t="s">
        <v>1632</v>
      </c>
      <c r="M12997" t="s">
        <v>1624</v>
      </c>
      <c r="N12997">
        <v>20.53</v>
      </c>
      <c r="O12997" s="49">
        <v>44903</v>
      </c>
      <c r="P12997" s="50">
        <v>35.01</v>
      </c>
    </row>
    <row r="12998" spans="4:16" x14ac:dyDescent="0.2">
      <c r="D12998">
        <v>100007829</v>
      </c>
      <c r="E12998" s="49">
        <v>44499</v>
      </c>
      <c r="F12998" t="s">
        <v>8292</v>
      </c>
      <c r="G12998" t="s">
        <v>1846</v>
      </c>
      <c r="H12998">
        <v>6</v>
      </c>
      <c r="I12998">
        <v>44.39</v>
      </c>
      <c r="J12998" s="50">
        <v>266.33999999999997</v>
      </c>
      <c r="K12998" t="s">
        <v>1632</v>
      </c>
      <c r="M12998" t="s">
        <v>1629</v>
      </c>
      <c r="N12998">
        <v>23.43</v>
      </c>
      <c r="O12998" s="49">
        <v>44503</v>
      </c>
      <c r="P12998" s="50">
        <v>119.85299999999999</v>
      </c>
    </row>
    <row r="12999" spans="4:16" x14ac:dyDescent="0.2">
      <c r="D12999">
        <v>100007829</v>
      </c>
      <c r="E12999" s="49">
        <v>44232</v>
      </c>
      <c r="F12999" t="s">
        <v>8292</v>
      </c>
      <c r="G12999" t="s">
        <v>1831</v>
      </c>
      <c r="H12999">
        <v>9</v>
      </c>
      <c r="I12999">
        <v>72.209999999999994</v>
      </c>
      <c r="J12999" s="50">
        <v>649.89</v>
      </c>
      <c r="K12999" t="s">
        <v>1632</v>
      </c>
      <c r="M12999" t="s">
        <v>1627</v>
      </c>
      <c r="N12999">
        <v>38.11</v>
      </c>
      <c r="O12999" s="49">
        <v>44233</v>
      </c>
      <c r="P12999" s="50">
        <v>292.45049999999998</v>
      </c>
    </row>
    <row r="13000" spans="4:16" x14ac:dyDescent="0.2">
      <c r="D13000">
        <v>100007829</v>
      </c>
      <c r="E13000" s="49">
        <v>45193</v>
      </c>
      <c r="F13000" t="s">
        <v>8292</v>
      </c>
      <c r="G13000" t="s">
        <v>2033</v>
      </c>
      <c r="H13000">
        <v>8</v>
      </c>
      <c r="I13000">
        <v>100.46</v>
      </c>
      <c r="J13000" s="50">
        <v>803.68</v>
      </c>
      <c r="K13000" t="s">
        <v>1632</v>
      </c>
      <c r="M13000" t="s">
        <v>1627</v>
      </c>
      <c r="N13000">
        <v>53.02</v>
      </c>
      <c r="O13000" s="49">
        <v>45194</v>
      </c>
      <c r="P13000" s="50">
        <v>361.65600000000001</v>
      </c>
    </row>
    <row r="13001" spans="4:16" x14ac:dyDescent="0.2">
      <c r="D13001">
        <v>100007829</v>
      </c>
      <c r="E13001" s="49">
        <v>45499</v>
      </c>
      <c r="F13001" t="s">
        <v>8292</v>
      </c>
      <c r="G13001" t="s">
        <v>2204</v>
      </c>
      <c r="H13001">
        <v>4</v>
      </c>
      <c r="I13001">
        <v>117.28</v>
      </c>
      <c r="J13001" s="50">
        <v>469.12</v>
      </c>
      <c r="K13001" t="s">
        <v>1632</v>
      </c>
      <c r="M13001" t="s">
        <v>1621</v>
      </c>
      <c r="N13001">
        <v>61.9</v>
      </c>
      <c r="O13001" s="49">
        <v>45501</v>
      </c>
      <c r="P13001" s="50">
        <v>211.10400000000001</v>
      </c>
    </row>
    <row r="13002" spans="4:16" x14ac:dyDescent="0.2">
      <c r="D13002">
        <v>100007829</v>
      </c>
      <c r="E13002" s="49">
        <v>45399</v>
      </c>
      <c r="F13002" t="s">
        <v>8292</v>
      </c>
      <c r="G13002" t="s">
        <v>2240</v>
      </c>
      <c r="H13002">
        <v>3</v>
      </c>
      <c r="I13002">
        <v>87.77</v>
      </c>
      <c r="J13002" s="50">
        <v>263.31</v>
      </c>
      <c r="K13002" t="s">
        <v>1632</v>
      </c>
      <c r="M13002" t="s">
        <v>1619</v>
      </c>
      <c r="N13002">
        <v>46.32</v>
      </c>
      <c r="O13002" s="49">
        <v>45403</v>
      </c>
      <c r="P13002" s="50">
        <v>118.48950000000001</v>
      </c>
    </row>
    <row r="13003" spans="4:16" x14ac:dyDescent="0.2">
      <c r="D13003">
        <v>100007830</v>
      </c>
      <c r="E13003" s="49">
        <v>45092</v>
      </c>
      <c r="F13003" t="s">
        <v>8293</v>
      </c>
      <c r="G13003" t="s">
        <v>1645</v>
      </c>
      <c r="H13003">
        <v>3</v>
      </c>
      <c r="I13003">
        <v>107.77</v>
      </c>
      <c r="J13003" s="50">
        <v>323.31</v>
      </c>
      <c r="K13003" t="s">
        <v>1632</v>
      </c>
      <c r="M13003" t="s">
        <v>1619</v>
      </c>
      <c r="N13003">
        <v>56.88</v>
      </c>
      <c r="O13003" s="49">
        <v>45096</v>
      </c>
      <c r="P13003" s="50">
        <v>145.48949999999999</v>
      </c>
    </row>
    <row r="13004" spans="4:16" x14ac:dyDescent="0.2">
      <c r="D13004">
        <v>100007830</v>
      </c>
      <c r="E13004" s="49">
        <v>44720</v>
      </c>
      <c r="F13004" t="s">
        <v>8293</v>
      </c>
      <c r="G13004" t="s">
        <v>1671</v>
      </c>
      <c r="H13004">
        <v>3</v>
      </c>
      <c r="I13004">
        <v>107.97</v>
      </c>
      <c r="J13004" s="50">
        <v>323.91000000000003</v>
      </c>
      <c r="K13004" t="s">
        <v>1632</v>
      </c>
      <c r="M13004" t="s">
        <v>1619</v>
      </c>
      <c r="N13004">
        <v>56.98</v>
      </c>
      <c r="O13004" s="49">
        <v>44725</v>
      </c>
      <c r="P13004" s="50">
        <v>145.7595</v>
      </c>
    </row>
    <row r="13005" spans="4:16" x14ac:dyDescent="0.2">
      <c r="D13005">
        <v>100007830</v>
      </c>
      <c r="E13005" s="49">
        <v>44746</v>
      </c>
      <c r="F13005" t="s">
        <v>8293</v>
      </c>
      <c r="G13005" t="s">
        <v>1842</v>
      </c>
      <c r="H13005">
        <v>3</v>
      </c>
      <c r="I13005">
        <v>69.040000000000006</v>
      </c>
      <c r="J13005" s="50">
        <v>207.12</v>
      </c>
      <c r="K13005" t="s">
        <v>1632</v>
      </c>
      <c r="M13005" t="s">
        <v>1629</v>
      </c>
      <c r="N13005">
        <v>36.44</v>
      </c>
      <c r="O13005" s="49">
        <v>44751</v>
      </c>
      <c r="P13005" s="50">
        <v>93.204000000000008</v>
      </c>
    </row>
    <row r="13006" spans="4:16" x14ac:dyDescent="0.2">
      <c r="D13006">
        <v>100007831</v>
      </c>
      <c r="E13006" s="49">
        <v>45119</v>
      </c>
      <c r="F13006" t="s">
        <v>8294</v>
      </c>
      <c r="G13006" t="s">
        <v>2306</v>
      </c>
      <c r="H13006">
        <v>4</v>
      </c>
      <c r="I13006">
        <v>53.92</v>
      </c>
      <c r="J13006" s="50">
        <v>215.68</v>
      </c>
      <c r="K13006" t="s">
        <v>1632</v>
      </c>
      <c r="M13006" t="s">
        <v>1619</v>
      </c>
      <c r="N13006">
        <v>28.46</v>
      </c>
      <c r="O13006" s="49">
        <v>45124</v>
      </c>
      <c r="P13006" s="50">
        <v>97.056000000000012</v>
      </c>
    </row>
    <row r="13007" spans="4:16" x14ac:dyDescent="0.2">
      <c r="D13007">
        <v>100007832</v>
      </c>
      <c r="E13007" s="49">
        <v>45538</v>
      </c>
      <c r="F13007" t="s">
        <v>8295</v>
      </c>
      <c r="G13007" t="s">
        <v>2263</v>
      </c>
      <c r="H13007">
        <v>10</v>
      </c>
      <c r="I13007">
        <v>82.24</v>
      </c>
      <c r="J13007" s="50">
        <v>822.4</v>
      </c>
      <c r="K13007" t="s">
        <v>1618</v>
      </c>
      <c r="M13007" t="s">
        <v>1624</v>
      </c>
      <c r="N13007">
        <v>43.4</v>
      </c>
      <c r="O13007" s="49">
        <v>45542</v>
      </c>
      <c r="P13007" s="50">
        <v>370.08</v>
      </c>
    </row>
    <row r="13008" spans="4:16" x14ac:dyDescent="0.2">
      <c r="D13008">
        <v>100007833</v>
      </c>
      <c r="E13008" s="49">
        <v>45000</v>
      </c>
      <c r="F13008" t="s">
        <v>8296</v>
      </c>
      <c r="G13008" t="s">
        <v>1805</v>
      </c>
      <c r="H13008">
        <v>8</v>
      </c>
      <c r="I13008">
        <v>87.27</v>
      </c>
      <c r="J13008" s="50">
        <v>698.16</v>
      </c>
      <c r="K13008" t="s">
        <v>1618</v>
      </c>
      <c r="M13008" t="s">
        <v>1621</v>
      </c>
      <c r="N13008">
        <v>46.06</v>
      </c>
      <c r="O13008" s="49">
        <v>45005</v>
      </c>
      <c r="P13008" s="50">
        <v>314.17199999999997</v>
      </c>
    </row>
    <row r="13009" spans="4:16" x14ac:dyDescent="0.2">
      <c r="D13009">
        <v>100007834</v>
      </c>
      <c r="E13009" s="49">
        <v>44355</v>
      </c>
      <c r="F13009" t="s">
        <v>8297</v>
      </c>
      <c r="G13009" t="s">
        <v>2613</v>
      </c>
      <c r="H13009">
        <v>10</v>
      </c>
      <c r="I13009">
        <v>101.44</v>
      </c>
      <c r="J13009" s="50">
        <v>1014.4</v>
      </c>
      <c r="K13009" t="s">
        <v>1618</v>
      </c>
      <c r="L13009" t="s">
        <v>3380</v>
      </c>
      <c r="M13009" t="s">
        <v>1624</v>
      </c>
      <c r="N13009">
        <v>53.54</v>
      </c>
      <c r="O13009" s="49">
        <v>44357</v>
      </c>
      <c r="P13009" s="50">
        <v>456.48</v>
      </c>
    </row>
    <row r="13010" spans="4:16" x14ac:dyDescent="0.2">
      <c r="D13010">
        <v>100007834</v>
      </c>
      <c r="E13010" s="49">
        <v>45318</v>
      </c>
      <c r="F13010" t="s">
        <v>8297</v>
      </c>
      <c r="G13010" t="s">
        <v>2447</v>
      </c>
      <c r="H13010">
        <v>4</v>
      </c>
      <c r="I13010">
        <v>50.26</v>
      </c>
      <c r="J13010" s="50">
        <v>201.04</v>
      </c>
      <c r="K13010" t="s">
        <v>1618</v>
      </c>
      <c r="L13010" t="s">
        <v>3380</v>
      </c>
      <c r="M13010" t="s">
        <v>1629</v>
      </c>
      <c r="N13010">
        <v>26.53</v>
      </c>
      <c r="O13010" s="49">
        <v>45322</v>
      </c>
      <c r="P13010" s="50">
        <v>90.468000000000004</v>
      </c>
    </row>
    <row r="13011" spans="4:16" x14ac:dyDescent="0.2">
      <c r="D13011">
        <v>100007834</v>
      </c>
      <c r="E13011" s="49">
        <v>44714</v>
      </c>
      <c r="F13011" t="s">
        <v>8297</v>
      </c>
      <c r="G13011" t="s">
        <v>1785</v>
      </c>
      <c r="H13011">
        <v>9</v>
      </c>
      <c r="I13011">
        <v>80.040000000000006</v>
      </c>
      <c r="J13011" s="50">
        <v>720.36</v>
      </c>
      <c r="K13011" t="s">
        <v>1618</v>
      </c>
      <c r="L13011" t="s">
        <v>3380</v>
      </c>
      <c r="M13011" t="s">
        <v>1627</v>
      </c>
      <c r="N13011">
        <v>42.24</v>
      </c>
      <c r="O13011" s="49">
        <v>44717</v>
      </c>
      <c r="P13011" s="50">
        <v>324.16200000000003</v>
      </c>
    </row>
    <row r="13012" spans="4:16" x14ac:dyDescent="0.2">
      <c r="D13012">
        <v>100007836</v>
      </c>
      <c r="E13012" s="49">
        <v>45630</v>
      </c>
      <c r="F13012" t="s">
        <v>8298</v>
      </c>
      <c r="G13012" t="s">
        <v>1950</v>
      </c>
      <c r="H13012">
        <v>5</v>
      </c>
      <c r="I13012">
        <v>37.32</v>
      </c>
      <c r="J13012" s="50">
        <v>186.6</v>
      </c>
      <c r="K13012" t="s">
        <v>1618</v>
      </c>
      <c r="M13012" t="s">
        <v>1627</v>
      </c>
      <c r="N13012">
        <v>19.7</v>
      </c>
      <c r="O13012" s="49">
        <v>45631</v>
      </c>
      <c r="P13012" s="50">
        <v>83.97</v>
      </c>
    </row>
    <row r="13013" spans="4:16" x14ac:dyDescent="0.2">
      <c r="D13013">
        <v>100007837</v>
      </c>
      <c r="E13013" s="49">
        <v>45270</v>
      </c>
      <c r="F13013" t="s">
        <v>8299</v>
      </c>
      <c r="G13013" t="s">
        <v>1719</v>
      </c>
      <c r="H13013">
        <v>1</v>
      </c>
      <c r="I13013">
        <v>35.630000000000003</v>
      </c>
      <c r="J13013" s="50">
        <v>35.630000000000003</v>
      </c>
      <c r="K13013" t="s">
        <v>1632</v>
      </c>
      <c r="M13013" t="s">
        <v>1621</v>
      </c>
      <c r="N13013">
        <v>18.8</v>
      </c>
      <c r="O13013" s="49">
        <v>45275</v>
      </c>
      <c r="P13013" s="50">
        <v>16.0335</v>
      </c>
    </row>
    <row r="13014" spans="4:16" x14ac:dyDescent="0.2">
      <c r="D13014">
        <v>100007838</v>
      </c>
      <c r="E13014" s="49">
        <v>44503</v>
      </c>
      <c r="F13014" t="s">
        <v>8300</v>
      </c>
      <c r="G13014" t="s">
        <v>1674</v>
      </c>
      <c r="H13014">
        <v>9</v>
      </c>
      <c r="I13014">
        <v>112.24</v>
      </c>
      <c r="J13014" s="50">
        <v>1010.16</v>
      </c>
      <c r="K13014" t="s">
        <v>1632</v>
      </c>
      <c r="M13014" t="s">
        <v>1621</v>
      </c>
      <c r="N13014">
        <v>59.24</v>
      </c>
      <c r="O13014" s="49">
        <v>44507</v>
      </c>
      <c r="P13014" s="50">
        <v>454.572</v>
      </c>
    </row>
    <row r="13015" spans="4:16" x14ac:dyDescent="0.2">
      <c r="D13015">
        <v>100007838</v>
      </c>
      <c r="E13015" s="49">
        <v>45196</v>
      </c>
      <c r="F13015" t="s">
        <v>8300</v>
      </c>
      <c r="G13015" t="s">
        <v>2019</v>
      </c>
      <c r="H13015">
        <v>9</v>
      </c>
      <c r="I13015">
        <v>13.25</v>
      </c>
      <c r="J13015" s="50">
        <v>119.25</v>
      </c>
      <c r="K13015" t="s">
        <v>1632</v>
      </c>
      <c r="M13015" t="s">
        <v>1619</v>
      </c>
      <c r="N13015">
        <v>6.99</v>
      </c>
      <c r="O13015" s="49">
        <v>45200</v>
      </c>
      <c r="P13015" s="50">
        <v>53.662500000000001</v>
      </c>
    </row>
    <row r="13016" spans="4:16" x14ac:dyDescent="0.2">
      <c r="D13016">
        <v>100007841</v>
      </c>
      <c r="E13016" s="49">
        <v>44839</v>
      </c>
      <c r="F13016" t="s">
        <v>8301</v>
      </c>
      <c r="G13016" t="s">
        <v>1815</v>
      </c>
      <c r="H13016">
        <v>9</v>
      </c>
      <c r="I13016">
        <v>22.88</v>
      </c>
      <c r="J13016" s="50">
        <v>205.92</v>
      </c>
      <c r="K13016" t="s">
        <v>1618</v>
      </c>
      <c r="M13016" t="s">
        <v>1621</v>
      </c>
      <c r="N13016">
        <v>12.08</v>
      </c>
      <c r="O13016" s="49">
        <v>44840</v>
      </c>
      <c r="P13016" s="50">
        <v>92.664000000000001</v>
      </c>
    </row>
    <row r="13017" spans="4:16" x14ac:dyDescent="0.2">
      <c r="D13017">
        <v>100007841</v>
      </c>
      <c r="E13017" s="49">
        <v>44513</v>
      </c>
      <c r="F13017" t="s">
        <v>8301</v>
      </c>
      <c r="G13017" t="s">
        <v>2074</v>
      </c>
      <c r="H13017">
        <v>4</v>
      </c>
      <c r="I13017">
        <v>49.38</v>
      </c>
      <c r="J13017" s="50">
        <v>197.52</v>
      </c>
      <c r="K13017" t="s">
        <v>1618</v>
      </c>
      <c r="M13017" t="s">
        <v>1619</v>
      </c>
      <c r="N13017">
        <v>26.06</v>
      </c>
      <c r="O13017" s="49">
        <v>44518</v>
      </c>
      <c r="P13017" s="50">
        <v>88.884</v>
      </c>
    </row>
    <row r="13018" spans="4:16" x14ac:dyDescent="0.2">
      <c r="D13018">
        <v>100007841</v>
      </c>
      <c r="E13018" s="49">
        <v>45001</v>
      </c>
      <c r="F13018" t="s">
        <v>8301</v>
      </c>
      <c r="G13018" t="s">
        <v>2378</v>
      </c>
      <c r="H13018">
        <v>6</v>
      </c>
      <c r="I13018">
        <v>111.62</v>
      </c>
      <c r="J13018" s="50">
        <v>669.72</v>
      </c>
      <c r="K13018" t="s">
        <v>1618</v>
      </c>
      <c r="M13018" t="s">
        <v>1624</v>
      </c>
      <c r="N13018">
        <v>58.91</v>
      </c>
      <c r="O13018" s="49">
        <v>45003</v>
      </c>
      <c r="P13018" s="50">
        <v>301.37400000000002</v>
      </c>
    </row>
    <row r="13019" spans="4:16" x14ac:dyDescent="0.2">
      <c r="D13019">
        <v>100007841</v>
      </c>
      <c r="E13019" s="49">
        <v>45485</v>
      </c>
      <c r="F13019" t="s">
        <v>8301</v>
      </c>
      <c r="G13019" t="s">
        <v>1695</v>
      </c>
      <c r="H13019">
        <v>9</v>
      </c>
      <c r="I13019">
        <v>82.06</v>
      </c>
      <c r="J13019" s="50">
        <v>738.54</v>
      </c>
      <c r="K13019" t="s">
        <v>1618</v>
      </c>
      <c r="M13019" t="s">
        <v>1621</v>
      </c>
      <c r="N13019">
        <v>43.31</v>
      </c>
      <c r="O13019" s="49">
        <v>45489</v>
      </c>
      <c r="P13019" s="50">
        <v>332.34300000000002</v>
      </c>
    </row>
    <row r="13020" spans="4:16" x14ac:dyDescent="0.2">
      <c r="D13020">
        <v>100007841</v>
      </c>
      <c r="E13020" s="49">
        <v>45150</v>
      </c>
      <c r="F13020" t="s">
        <v>8301</v>
      </c>
      <c r="G13020" t="s">
        <v>2063</v>
      </c>
      <c r="H13020">
        <v>3</v>
      </c>
      <c r="I13020">
        <v>37.89</v>
      </c>
      <c r="J13020" s="50">
        <v>113.67</v>
      </c>
      <c r="K13020" t="s">
        <v>1618</v>
      </c>
      <c r="M13020" t="s">
        <v>1619</v>
      </c>
      <c r="N13020">
        <v>20</v>
      </c>
      <c r="O13020" s="49">
        <v>45154</v>
      </c>
      <c r="P13020" s="50">
        <v>51.151499999999999</v>
      </c>
    </row>
    <row r="13021" spans="4:16" x14ac:dyDescent="0.2">
      <c r="D13021">
        <v>100007841</v>
      </c>
      <c r="E13021" s="49">
        <v>44713</v>
      </c>
      <c r="F13021" t="s">
        <v>8301</v>
      </c>
      <c r="G13021" t="s">
        <v>2418</v>
      </c>
      <c r="H13021">
        <v>2</v>
      </c>
      <c r="I13021">
        <v>97.14</v>
      </c>
      <c r="J13021" s="50">
        <v>194.28</v>
      </c>
      <c r="K13021" t="s">
        <v>1618</v>
      </c>
      <c r="M13021" t="s">
        <v>1621</v>
      </c>
      <c r="N13021">
        <v>51.27</v>
      </c>
      <c r="O13021" s="49">
        <v>44714</v>
      </c>
      <c r="P13021" s="50">
        <v>87.426000000000002</v>
      </c>
    </row>
    <row r="13022" spans="4:16" x14ac:dyDescent="0.2">
      <c r="D13022">
        <v>100007841</v>
      </c>
      <c r="E13022" s="49">
        <v>45535</v>
      </c>
      <c r="F13022" t="s">
        <v>8301</v>
      </c>
      <c r="G13022" t="s">
        <v>1880</v>
      </c>
      <c r="H13022">
        <v>3</v>
      </c>
      <c r="I13022">
        <v>101.89</v>
      </c>
      <c r="J13022" s="50">
        <v>305.67</v>
      </c>
      <c r="K13022" t="s">
        <v>1618</v>
      </c>
      <c r="M13022" t="s">
        <v>1619</v>
      </c>
      <c r="N13022">
        <v>53.77</v>
      </c>
      <c r="O13022" s="49">
        <v>45536</v>
      </c>
      <c r="P13022" s="50">
        <v>137.5515</v>
      </c>
    </row>
    <row r="13023" spans="4:16" x14ac:dyDescent="0.2">
      <c r="D13023">
        <v>100007842</v>
      </c>
      <c r="E13023" s="49">
        <v>45324</v>
      </c>
      <c r="F13023" t="s">
        <v>8302</v>
      </c>
      <c r="G13023" t="s">
        <v>2269</v>
      </c>
      <c r="H13023">
        <v>1</v>
      </c>
      <c r="I13023">
        <v>95.82</v>
      </c>
      <c r="J13023" s="50">
        <v>95.82</v>
      </c>
      <c r="K13023" t="s">
        <v>1632</v>
      </c>
      <c r="L13023" t="s">
        <v>3536</v>
      </c>
      <c r="M13023" t="s">
        <v>1619</v>
      </c>
      <c r="N13023">
        <v>50.57</v>
      </c>
      <c r="O13023" s="49">
        <v>45327</v>
      </c>
      <c r="P13023" s="50">
        <v>43.119</v>
      </c>
    </row>
    <row r="13024" spans="4:16" x14ac:dyDescent="0.2">
      <c r="D13024">
        <v>100007843</v>
      </c>
      <c r="E13024" s="49">
        <v>44378</v>
      </c>
      <c r="F13024" t="s">
        <v>8303</v>
      </c>
      <c r="G13024" t="s">
        <v>1897</v>
      </c>
      <c r="H13024">
        <v>1</v>
      </c>
      <c r="I13024">
        <v>49</v>
      </c>
      <c r="J13024" s="50">
        <v>49</v>
      </c>
      <c r="K13024" t="s">
        <v>1632</v>
      </c>
      <c r="M13024" t="s">
        <v>1629</v>
      </c>
      <c r="N13024">
        <v>25.86</v>
      </c>
      <c r="O13024" s="49">
        <v>44379</v>
      </c>
      <c r="P13024" s="50">
        <v>22.05</v>
      </c>
    </row>
    <row r="13025" spans="4:16" x14ac:dyDescent="0.2">
      <c r="D13025">
        <v>100007843</v>
      </c>
      <c r="E13025" s="49">
        <v>45628</v>
      </c>
      <c r="F13025" t="s">
        <v>8303</v>
      </c>
      <c r="G13025" t="s">
        <v>1720</v>
      </c>
      <c r="H13025">
        <v>4</v>
      </c>
      <c r="I13025">
        <v>86.13</v>
      </c>
      <c r="J13025" s="50">
        <v>344.52</v>
      </c>
      <c r="K13025" t="s">
        <v>1632</v>
      </c>
      <c r="M13025" t="s">
        <v>1627</v>
      </c>
      <c r="N13025">
        <v>45.46</v>
      </c>
      <c r="O13025" s="49">
        <v>45632</v>
      </c>
      <c r="P13025" s="50">
        <v>155.03399999999999</v>
      </c>
    </row>
    <row r="13026" spans="4:16" x14ac:dyDescent="0.2">
      <c r="D13026">
        <v>100007844</v>
      </c>
      <c r="E13026" s="49">
        <v>44457</v>
      </c>
      <c r="F13026" t="s">
        <v>8304</v>
      </c>
      <c r="G13026" t="s">
        <v>1799</v>
      </c>
      <c r="H13026">
        <v>8</v>
      </c>
      <c r="I13026">
        <v>47.31</v>
      </c>
      <c r="J13026" s="50">
        <v>378.48</v>
      </c>
      <c r="K13026" t="s">
        <v>1632</v>
      </c>
      <c r="M13026" t="s">
        <v>1624</v>
      </c>
      <c r="N13026">
        <v>24.97</v>
      </c>
      <c r="O13026" s="49">
        <v>44461</v>
      </c>
      <c r="P13026" s="50">
        <v>170.316</v>
      </c>
    </row>
    <row r="13027" spans="4:16" x14ac:dyDescent="0.2">
      <c r="D13027">
        <v>100007844</v>
      </c>
      <c r="E13027" s="49">
        <v>45276</v>
      </c>
      <c r="F13027" t="s">
        <v>8304</v>
      </c>
      <c r="G13027" t="s">
        <v>2213</v>
      </c>
      <c r="H13027">
        <v>6</v>
      </c>
      <c r="I13027">
        <v>41.46</v>
      </c>
      <c r="J13027" s="50">
        <v>248.76</v>
      </c>
      <c r="K13027" t="s">
        <v>1632</v>
      </c>
      <c r="M13027" t="s">
        <v>1619</v>
      </c>
      <c r="N13027">
        <v>21.88</v>
      </c>
      <c r="O13027" s="49">
        <v>45278</v>
      </c>
      <c r="P13027" s="50">
        <v>111.94199999999999</v>
      </c>
    </row>
    <row r="13028" spans="4:16" x14ac:dyDescent="0.2">
      <c r="D13028">
        <v>100007846</v>
      </c>
      <c r="E13028" s="49">
        <v>44730</v>
      </c>
      <c r="F13028" t="s">
        <v>8305</v>
      </c>
      <c r="G13028" t="s">
        <v>1704</v>
      </c>
      <c r="H13028">
        <v>1</v>
      </c>
      <c r="I13028">
        <v>94.57</v>
      </c>
      <c r="J13028" s="50">
        <v>94.57</v>
      </c>
      <c r="K13028" t="s">
        <v>1618</v>
      </c>
      <c r="M13028" t="s">
        <v>1621</v>
      </c>
      <c r="N13028">
        <v>49.91</v>
      </c>
      <c r="O13028" s="49">
        <v>44735</v>
      </c>
      <c r="P13028" s="50">
        <v>42.5565</v>
      </c>
    </row>
    <row r="13029" spans="4:16" x14ac:dyDescent="0.2">
      <c r="D13029">
        <v>100007846</v>
      </c>
      <c r="E13029" s="49">
        <v>44239</v>
      </c>
      <c r="F13029" t="s">
        <v>8305</v>
      </c>
      <c r="G13029" t="s">
        <v>1857</v>
      </c>
      <c r="H13029">
        <v>4</v>
      </c>
      <c r="I13029">
        <v>95.45</v>
      </c>
      <c r="J13029" s="50">
        <v>381.8</v>
      </c>
      <c r="K13029" t="s">
        <v>1618</v>
      </c>
      <c r="M13029" t="s">
        <v>1629</v>
      </c>
      <c r="N13029">
        <v>50.38</v>
      </c>
      <c r="O13029" s="49">
        <v>44243</v>
      </c>
      <c r="P13029" s="50">
        <v>171.81</v>
      </c>
    </row>
    <row r="13030" spans="4:16" x14ac:dyDescent="0.2">
      <c r="D13030">
        <v>100007847</v>
      </c>
      <c r="E13030" s="49">
        <v>45430</v>
      </c>
      <c r="F13030" t="s">
        <v>8306</v>
      </c>
      <c r="G13030" t="s">
        <v>2232</v>
      </c>
      <c r="H13030">
        <v>4</v>
      </c>
      <c r="I13030">
        <v>10.41</v>
      </c>
      <c r="J13030" s="50">
        <v>41.64</v>
      </c>
      <c r="K13030" t="s">
        <v>1632</v>
      </c>
      <c r="M13030" t="s">
        <v>1621</v>
      </c>
      <c r="N13030">
        <v>5.49</v>
      </c>
      <c r="O13030" s="49">
        <v>45434</v>
      </c>
      <c r="P13030" s="50">
        <v>18.738</v>
      </c>
    </row>
    <row r="13031" spans="4:16" x14ac:dyDescent="0.2">
      <c r="D13031">
        <v>100007849</v>
      </c>
      <c r="E13031" s="49">
        <v>45565</v>
      </c>
      <c r="F13031" t="s">
        <v>8307</v>
      </c>
      <c r="G13031" t="s">
        <v>1738</v>
      </c>
      <c r="H13031">
        <v>3</v>
      </c>
      <c r="I13031">
        <v>113.86</v>
      </c>
      <c r="J13031" s="50">
        <v>341.58</v>
      </c>
      <c r="K13031" t="s">
        <v>1618</v>
      </c>
      <c r="M13031" t="s">
        <v>1619</v>
      </c>
      <c r="N13031">
        <v>60.09</v>
      </c>
      <c r="O13031" s="49">
        <v>45569</v>
      </c>
      <c r="P13031" s="50">
        <v>153.71099999999998</v>
      </c>
    </row>
    <row r="13032" spans="4:16" x14ac:dyDescent="0.2">
      <c r="D13032">
        <v>100007850</v>
      </c>
      <c r="E13032" s="49">
        <v>44670</v>
      </c>
      <c r="F13032" t="s">
        <v>8308</v>
      </c>
      <c r="G13032" t="s">
        <v>1916</v>
      </c>
      <c r="H13032">
        <v>4</v>
      </c>
      <c r="I13032">
        <v>62.25</v>
      </c>
      <c r="J13032" s="50">
        <v>249</v>
      </c>
      <c r="K13032" t="s">
        <v>1632</v>
      </c>
      <c r="L13032" t="s">
        <v>2546</v>
      </c>
      <c r="M13032" t="s">
        <v>1621</v>
      </c>
      <c r="N13032">
        <v>32.85</v>
      </c>
      <c r="O13032" s="49">
        <v>44675</v>
      </c>
      <c r="P13032" s="50">
        <v>112.05</v>
      </c>
    </row>
    <row r="13033" spans="4:16" x14ac:dyDescent="0.2">
      <c r="D13033">
        <v>100007850</v>
      </c>
      <c r="E13033" s="49">
        <v>45216</v>
      </c>
      <c r="F13033" t="s">
        <v>8308</v>
      </c>
      <c r="G13033" t="s">
        <v>1939</v>
      </c>
      <c r="H13033">
        <v>1</v>
      </c>
      <c r="I13033">
        <v>29.05</v>
      </c>
      <c r="J13033" s="50">
        <v>29.05</v>
      </c>
      <c r="K13033" t="s">
        <v>1632</v>
      </c>
      <c r="L13033" t="s">
        <v>2546</v>
      </c>
      <c r="M13033" t="s">
        <v>1627</v>
      </c>
      <c r="N13033">
        <v>15.33</v>
      </c>
      <c r="O13033" s="49">
        <v>45217</v>
      </c>
      <c r="P13033" s="50">
        <v>13.0725</v>
      </c>
    </row>
    <row r="13034" spans="4:16" x14ac:dyDescent="0.2">
      <c r="D13034">
        <v>100007851</v>
      </c>
      <c r="E13034" s="49">
        <v>45247</v>
      </c>
      <c r="F13034" t="s">
        <v>8309</v>
      </c>
      <c r="G13034" t="s">
        <v>1670</v>
      </c>
      <c r="H13034">
        <v>6</v>
      </c>
      <c r="I13034">
        <v>56.88</v>
      </c>
      <c r="J13034" s="50">
        <v>341.28</v>
      </c>
      <c r="K13034" t="s">
        <v>1618</v>
      </c>
      <c r="M13034" t="s">
        <v>1619</v>
      </c>
      <c r="N13034">
        <v>30.02</v>
      </c>
      <c r="O13034" s="49">
        <v>45251</v>
      </c>
      <c r="P13034" s="50">
        <v>153.57599999999999</v>
      </c>
    </row>
    <row r="13035" spans="4:16" x14ac:dyDescent="0.2">
      <c r="D13035">
        <v>100007851</v>
      </c>
      <c r="E13035" s="49">
        <v>44858</v>
      </c>
      <c r="F13035" t="s">
        <v>8309</v>
      </c>
      <c r="G13035" t="s">
        <v>2063</v>
      </c>
      <c r="H13035">
        <v>7</v>
      </c>
      <c r="I13035">
        <v>109</v>
      </c>
      <c r="J13035" s="50">
        <v>763</v>
      </c>
      <c r="K13035" t="s">
        <v>1618</v>
      </c>
      <c r="M13035" t="s">
        <v>1627</v>
      </c>
      <c r="N13035">
        <v>57.53</v>
      </c>
      <c r="O13035" s="49">
        <v>44863</v>
      </c>
      <c r="P13035" s="50">
        <v>343.35</v>
      </c>
    </row>
    <row r="13036" spans="4:16" x14ac:dyDescent="0.2">
      <c r="D13036">
        <v>100007854</v>
      </c>
      <c r="E13036" s="49">
        <v>45044</v>
      </c>
      <c r="F13036" t="s">
        <v>8310</v>
      </c>
      <c r="G13036" t="s">
        <v>1801</v>
      </c>
      <c r="H13036">
        <v>9</v>
      </c>
      <c r="I13036">
        <v>107.54</v>
      </c>
      <c r="J13036" s="50">
        <v>967.86</v>
      </c>
      <c r="K13036" t="s">
        <v>1632</v>
      </c>
      <c r="M13036" t="s">
        <v>1627</v>
      </c>
      <c r="N13036">
        <v>56.76</v>
      </c>
      <c r="O13036" s="49">
        <v>45049</v>
      </c>
      <c r="P13036" s="50">
        <v>435.53700000000003</v>
      </c>
    </row>
    <row r="13037" spans="4:16" x14ac:dyDescent="0.2">
      <c r="D13037">
        <v>100007854</v>
      </c>
      <c r="E13037" s="49">
        <v>45247</v>
      </c>
      <c r="F13037" t="s">
        <v>8310</v>
      </c>
      <c r="G13037" t="s">
        <v>2050</v>
      </c>
      <c r="H13037">
        <v>8</v>
      </c>
      <c r="I13037">
        <v>39.130000000000003</v>
      </c>
      <c r="J13037" s="50">
        <v>313.04000000000002</v>
      </c>
      <c r="K13037" t="s">
        <v>1632</v>
      </c>
      <c r="M13037" t="s">
        <v>1629</v>
      </c>
      <c r="N13037">
        <v>20.65</v>
      </c>
      <c r="O13037" s="49">
        <v>45250</v>
      </c>
      <c r="P13037" s="50">
        <v>140.86800000000002</v>
      </c>
    </row>
    <row r="13038" spans="4:16" x14ac:dyDescent="0.2">
      <c r="D13038">
        <v>100007854</v>
      </c>
      <c r="E13038" s="49">
        <v>45364</v>
      </c>
      <c r="F13038" t="s">
        <v>8310</v>
      </c>
      <c r="G13038" t="s">
        <v>1720</v>
      </c>
      <c r="H13038">
        <v>1</v>
      </c>
      <c r="I13038">
        <v>84.61</v>
      </c>
      <c r="J13038" s="50">
        <v>84.61</v>
      </c>
      <c r="K13038" t="s">
        <v>1632</v>
      </c>
      <c r="M13038" t="s">
        <v>1621</v>
      </c>
      <c r="N13038">
        <v>44.65</v>
      </c>
      <c r="O13038" s="49">
        <v>45369</v>
      </c>
      <c r="P13038" s="50">
        <v>38.0745</v>
      </c>
    </row>
    <row r="13039" spans="4:16" x14ac:dyDescent="0.2">
      <c r="D13039">
        <v>100007855</v>
      </c>
      <c r="E13039" s="49">
        <v>45357</v>
      </c>
      <c r="F13039" t="s">
        <v>8311</v>
      </c>
      <c r="G13039" t="s">
        <v>2431</v>
      </c>
      <c r="H13039">
        <v>1</v>
      </c>
      <c r="I13039">
        <v>21.53</v>
      </c>
      <c r="J13039" s="50">
        <v>21.53</v>
      </c>
      <c r="K13039" t="s">
        <v>1632</v>
      </c>
      <c r="M13039" t="s">
        <v>1619</v>
      </c>
      <c r="N13039">
        <v>11.36</v>
      </c>
      <c r="O13039" s="49">
        <v>45359</v>
      </c>
      <c r="P13039" s="50">
        <v>9.6885000000000012</v>
      </c>
    </row>
    <row r="13040" spans="4:16" x14ac:dyDescent="0.2">
      <c r="D13040">
        <v>100007855</v>
      </c>
      <c r="E13040" s="49">
        <v>44212</v>
      </c>
      <c r="F13040" t="s">
        <v>8311</v>
      </c>
      <c r="G13040" t="s">
        <v>1857</v>
      </c>
      <c r="H13040">
        <v>10</v>
      </c>
      <c r="I13040">
        <v>57.76</v>
      </c>
      <c r="J13040" s="50">
        <v>577.6</v>
      </c>
      <c r="K13040" t="s">
        <v>1632</v>
      </c>
      <c r="M13040" t="s">
        <v>1621</v>
      </c>
      <c r="N13040">
        <v>30.48</v>
      </c>
      <c r="O13040" s="49">
        <v>44215</v>
      </c>
      <c r="P13040" s="50">
        <v>259.92</v>
      </c>
    </row>
    <row r="13041" spans="4:16" x14ac:dyDescent="0.2">
      <c r="D13041">
        <v>100007855</v>
      </c>
      <c r="E13041" s="49">
        <v>45355</v>
      </c>
      <c r="F13041" t="s">
        <v>8311</v>
      </c>
      <c r="G13041" t="s">
        <v>1890</v>
      </c>
      <c r="H13041">
        <v>1</v>
      </c>
      <c r="I13041">
        <v>93</v>
      </c>
      <c r="J13041" s="50">
        <v>93</v>
      </c>
      <c r="K13041" t="s">
        <v>1632</v>
      </c>
      <c r="M13041" t="s">
        <v>1627</v>
      </c>
      <c r="N13041">
        <v>49.08</v>
      </c>
      <c r="O13041" s="49">
        <v>45360</v>
      </c>
      <c r="P13041" s="50">
        <v>41.85</v>
      </c>
    </row>
    <row r="13042" spans="4:16" x14ac:dyDescent="0.2">
      <c r="D13042">
        <v>100007856</v>
      </c>
      <c r="E13042" s="49">
        <v>44205</v>
      </c>
      <c r="F13042" t="s">
        <v>8312</v>
      </c>
      <c r="G13042" t="s">
        <v>1904</v>
      </c>
      <c r="H13042">
        <v>8</v>
      </c>
      <c r="I13042">
        <v>95.02</v>
      </c>
      <c r="J13042" s="50">
        <v>760.16</v>
      </c>
      <c r="K13042" t="s">
        <v>1618</v>
      </c>
      <c r="M13042" t="s">
        <v>1619</v>
      </c>
      <c r="N13042">
        <v>50.15</v>
      </c>
      <c r="O13042" s="49">
        <v>44209</v>
      </c>
      <c r="P13042" s="50">
        <v>342.072</v>
      </c>
    </row>
    <row r="13043" spans="4:16" x14ac:dyDescent="0.2">
      <c r="D13043">
        <v>100007857</v>
      </c>
      <c r="E13043" s="49">
        <v>44792</v>
      </c>
      <c r="F13043" t="s">
        <v>8313</v>
      </c>
      <c r="G13043" t="s">
        <v>2553</v>
      </c>
      <c r="H13043">
        <v>5</v>
      </c>
      <c r="I13043">
        <v>20.62</v>
      </c>
      <c r="J13043" s="50">
        <v>103.1</v>
      </c>
      <c r="K13043" t="s">
        <v>1632</v>
      </c>
      <c r="M13043" t="s">
        <v>1629</v>
      </c>
      <c r="N13043">
        <v>10.88</v>
      </c>
      <c r="O13043" s="49">
        <v>44794</v>
      </c>
      <c r="P13043" s="50">
        <v>46.394999999999996</v>
      </c>
    </row>
    <row r="13044" spans="4:16" x14ac:dyDescent="0.2">
      <c r="D13044">
        <v>100007857</v>
      </c>
      <c r="E13044" s="49">
        <v>44945</v>
      </c>
      <c r="F13044" t="s">
        <v>8313</v>
      </c>
      <c r="G13044" t="s">
        <v>1885</v>
      </c>
      <c r="H13044">
        <v>10</v>
      </c>
      <c r="I13044">
        <v>11.29</v>
      </c>
      <c r="J13044" s="50">
        <v>112.9</v>
      </c>
      <c r="K13044" t="s">
        <v>1632</v>
      </c>
      <c r="M13044" t="s">
        <v>1627</v>
      </c>
      <c r="N13044">
        <v>5.96</v>
      </c>
      <c r="O13044" s="49">
        <v>44948</v>
      </c>
      <c r="P13044" s="50">
        <v>50.805000000000007</v>
      </c>
    </row>
    <row r="13045" spans="4:16" x14ac:dyDescent="0.2">
      <c r="D13045">
        <v>100007857</v>
      </c>
      <c r="E13045" s="49">
        <v>44856</v>
      </c>
      <c r="F13045" t="s">
        <v>8313</v>
      </c>
      <c r="G13045" t="s">
        <v>1831</v>
      </c>
      <c r="H13045">
        <v>2</v>
      </c>
      <c r="I13045">
        <v>18.38</v>
      </c>
      <c r="J13045" s="50">
        <v>36.76</v>
      </c>
      <c r="K13045" t="s">
        <v>1632</v>
      </c>
      <c r="M13045" t="s">
        <v>1621</v>
      </c>
      <c r="N13045">
        <v>9.6999999999999993</v>
      </c>
      <c r="O13045" s="49">
        <v>44858</v>
      </c>
      <c r="P13045" s="50">
        <v>16.541999999999998</v>
      </c>
    </row>
    <row r="13046" spans="4:16" x14ac:dyDescent="0.2">
      <c r="D13046">
        <v>100007857</v>
      </c>
      <c r="E13046" s="49">
        <v>44827</v>
      </c>
      <c r="F13046" t="s">
        <v>8313</v>
      </c>
      <c r="G13046" t="s">
        <v>2198</v>
      </c>
      <c r="H13046">
        <v>1</v>
      </c>
      <c r="I13046">
        <v>41.59</v>
      </c>
      <c r="J13046" s="50">
        <v>41.59</v>
      </c>
      <c r="K13046" t="s">
        <v>1632</v>
      </c>
      <c r="M13046" t="s">
        <v>1621</v>
      </c>
      <c r="N13046">
        <v>21.95</v>
      </c>
      <c r="O13046" s="49">
        <v>44832</v>
      </c>
      <c r="P13046" s="50">
        <v>18.715500000000002</v>
      </c>
    </row>
    <row r="13047" spans="4:16" x14ac:dyDescent="0.2">
      <c r="D13047">
        <v>100007858</v>
      </c>
      <c r="E13047" s="49">
        <v>44734</v>
      </c>
      <c r="F13047" t="s">
        <v>8314</v>
      </c>
      <c r="G13047" t="s">
        <v>1901</v>
      </c>
      <c r="H13047">
        <v>1</v>
      </c>
      <c r="I13047">
        <v>42.47</v>
      </c>
      <c r="J13047" s="50">
        <v>42.47</v>
      </c>
      <c r="K13047" t="s">
        <v>1618</v>
      </c>
      <c r="M13047" t="s">
        <v>1619</v>
      </c>
      <c r="N13047">
        <v>22.41</v>
      </c>
      <c r="O13047" s="49">
        <v>44735</v>
      </c>
      <c r="P13047" s="50">
        <v>19.111499999999999</v>
      </c>
    </row>
    <row r="13048" spans="4:16" x14ac:dyDescent="0.2">
      <c r="D13048">
        <v>100007858</v>
      </c>
      <c r="E13048" s="49">
        <v>44783</v>
      </c>
      <c r="F13048" t="s">
        <v>8314</v>
      </c>
      <c r="G13048" t="s">
        <v>1985</v>
      </c>
      <c r="H13048">
        <v>5</v>
      </c>
      <c r="I13048">
        <v>65.34</v>
      </c>
      <c r="J13048" s="50">
        <v>326.7</v>
      </c>
      <c r="K13048" t="s">
        <v>1618</v>
      </c>
      <c r="M13048" t="s">
        <v>1624</v>
      </c>
      <c r="N13048">
        <v>34.479999999999997</v>
      </c>
      <c r="O13048" s="49">
        <v>44788</v>
      </c>
      <c r="P13048" s="50">
        <v>147.01499999999999</v>
      </c>
    </row>
    <row r="13049" spans="4:16" x14ac:dyDescent="0.2">
      <c r="D13049">
        <v>100007859</v>
      </c>
      <c r="E13049" s="49">
        <v>44566</v>
      </c>
      <c r="F13049" t="s">
        <v>8315</v>
      </c>
      <c r="G13049" t="s">
        <v>1947</v>
      </c>
      <c r="H13049">
        <v>2</v>
      </c>
      <c r="I13049">
        <v>12.77</v>
      </c>
      <c r="J13049" s="50">
        <v>25.54</v>
      </c>
      <c r="K13049" t="s">
        <v>1618</v>
      </c>
      <c r="M13049" t="s">
        <v>1627</v>
      </c>
      <c r="N13049">
        <v>6.74</v>
      </c>
      <c r="O13049" s="49">
        <v>44571</v>
      </c>
      <c r="P13049" s="50">
        <v>11.493</v>
      </c>
    </row>
    <row r="13050" spans="4:16" x14ac:dyDescent="0.2">
      <c r="D13050">
        <v>100007859</v>
      </c>
      <c r="E13050" s="49">
        <v>44925</v>
      </c>
      <c r="F13050" t="s">
        <v>8315</v>
      </c>
      <c r="G13050" t="s">
        <v>1924</v>
      </c>
      <c r="H13050">
        <v>4</v>
      </c>
      <c r="I13050">
        <v>43.4</v>
      </c>
      <c r="J13050" s="50">
        <v>173.6</v>
      </c>
      <c r="K13050" t="s">
        <v>1618</v>
      </c>
      <c r="M13050" t="s">
        <v>1627</v>
      </c>
      <c r="N13050">
        <v>22.91</v>
      </c>
      <c r="O13050" s="49">
        <v>44930</v>
      </c>
      <c r="P13050" s="50">
        <v>78.12</v>
      </c>
    </row>
    <row r="13051" spans="4:16" x14ac:dyDescent="0.2">
      <c r="D13051">
        <v>100007859</v>
      </c>
      <c r="E13051" s="49">
        <v>45439</v>
      </c>
      <c r="F13051" t="s">
        <v>8315</v>
      </c>
      <c r="G13051" t="s">
        <v>2278</v>
      </c>
      <c r="H13051">
        <v>4</v>
      </c>
      <c r="I13051">
        <v>53.7</v>
      </c>
      <c r="J13051" s="50">
        <v>214.8</v>
      </c>
      <c r="K13051" t="s">
        <v>1618</v>
      </c>
      <c r="M13051" t="s">
        <v>1621</v>
      </c>
      <c r="N13051">
        <v>28.34</v>
      </c>
      <c r="O13051" s="49">
        <v>45442</v>
      </c>
      <c r="P13051" s="50">
        <v>96.660000000000011</v>
      </c>
    </row>
    <row r="13052" spans="4:16" x14ac:dyDescent="0.2">
      <c r="D13052">
        <v>100007860</v>
      </c>
      <c r="E13052" s="49">
        <v>45085</v>
      </c>
      <c r="F13052" t="s">
        <v>8316</v>
      </c>
      <c r="G13052" t="s">
        <v>2121</v>
      </c>
      <c r="H13052">
        <v>7</v>
      </c>
      <c r="I13052">
        <v>89.87</v>
      </c>
      <c r="J13052" s="50">
        <v>629.09</v>
      </c>
      <c r="K13052" t="s">
        <v>1632</v>
      </c>
      <c r="M13052" t="s">
        <v>1619</v>
      </c>
      <c r="N13052">
        <v>47.43</v>
      </c>
      <c r="O13052" s="49">
        <v>45089</v>
      </c>
      <c r="P13052" s="50">
        <v>283.09050000000002</v>
      </c>
    </row>
    <row r="13053" spans="4:16" x14ac:dyDescent="0.2">
      <c r="D13053">
        <v>100007860</v>
      </c>
      <c r="E13053" s="49">
        <v>45469</v>
      </c>
      <c r="F13053" t="s">
        <v>8316</v>
      </c>
      <c r="G13053" t="s">
        <v>2291</v>
      </c>
      <c r="H13053">
        <v>8</v>
      </c>
      <c r="I13053">
        <v>83.75</v>
      </c>
      <c r="J13053" s="50">
        <v>670</v>
      </c>
      <c r="K13053" t="s">
        <v>1632</v>
      </c>
      <c r="M13053" t="s">
        <v>1621</v>
      </c>
      <c r="N13053">
        <v>44.2</v>
      </c>
      <c r="O13053" s="49">
        <v>45471</v>
      </c>
      <c r="P13053" s="50">
        <v>301.5</v>
      </c>
    </row>
    <row r="13054" spans="4:16" x14ac:dyDescent="0.2">
      <c r="D13054">
        <v>100007861</v>
      </c>
      <c r="E13054" s="49">
        <v>44585</v>
      </c>
      <c r="F13054" t="s">
        <v>8317</v>
      </c>
      <c r="G13054" t="s">
        <v>2707</v>
      </c>
      <c r="H13054">
        <v>8</v>
      </c>
      <c r="I13054">
        <v>75.069999999999993</v>
      </c>
      <c r="J13054" s="50">
        <v>600.55999999999995</v>
      </c>
      <c r="K13054" t="s">
        <v>1618</v>
      </c>
      <c r="M13054" t="s">
        <v>1627</v>
      </c>
      <c r="N13054">
        <v>39.619999999999997</v>
      </c>
      <c r="O13054" s="49">
        <v>44589</v>
      </c>
      <c r="P13054" s="50">
        <v>270.25200000000001</v>
      </c>
    </row>
    <row r="13055" spans="4:16" x14ac:dyDescent="0.2">
      <c r="D13055">
        <v>100007861</v>
      </c>
      <c r="E13055" s="49">
        <v>44635</v>
      </c>
      <c r="F13055" t="s">
        <v>8317</v>
      </c>
      <c r="G13055" t="s">
        <v>2431</v>
      </c>
      <c r="H13055">
        <v>10</v>
      </c>
      <c r="I13055">
        <v>110.6</v>
      </c>
      <c r="J13055" s="50">
        <v>1106</v>
      </c>
      <c r="K13055" t="s">
        <v>1618</v>
      </c>
      <c r="M13055" t="s">
        <v>1624</v>
      </c>
      <c r="N13055">
        <v>58.37</v>
      </c>
      <c r="O13055" s="49">
        <v>44637</v>
      </c>
      <c r="P13055" s="50">
        <v>497.7</v>
      </c>
    </row>
    <row r="13056" spans="4:16" x14ac:dyDescent="0.2">
      <c r="D13056">
        <v>100007862</v>
      </c>
      <c r="E13056" s="49">
        <v>44896</v>
      </c>
      <c r="F13056" t="s">
        <v>7754</v>
      </c>
      <c r="G13056" t="s">
        <v>1976</v>
      </c>
      <c r="H13056">
        <v>2</v>
      </c>
      <c r="I13056">
        <v>51.91</v>
      </c>
      <c r="J13056" s="50">
        <v>103.82</v>
      </c>
      <c r="K13056" t="s">
        <v>1618</v>
      </c>
      <c r="M13056" t="s">
        <v>1629</v>
      </c>
      <c r="N13056">
        <v>27.4</v>
      </c>
      <c r="O13056" s="49">
        <v>44900</v>
      </c>
      <c r="P13056" s="50">
        <v>46.719000000000001</v>
      </c>
    </row>
    <row r="13057" spans="4:16" x14ac:dyDescent="0.2">
      <c r="D13057">
        <v>100007863</v>
      </c>
      <c r="E13057" s="49">
        <v>45499</v>
      </c>
      <c r="F13057" t="s">
        <v>8318</v>
      </c>
      <c r="G13057" t="s">
        <v>1901</v>
      </c>
      <c r="H13057">
        <v>1</v>
      </c>
      <c r="I13057">
        <v>43.26</v>
      </c>
      <c r="J13057" s="50">
        <v>43.26</v>
      </c>
      <c r="K13057" t="s">
        <v>1632</v>
      </c>
      <c r="M13057" t="s">
        <v>1629</v>
      </c>
      <c r="N13057">
        <v>22.83</v>
      </c>
      <c r="O13057" s="49">
        <v>45503</v>
      </c>
      <c r="P13057" s="50">
        <v>19.466999999999999</v>
      </c>
    </row>
    <row r="13058" spans="4:16" x14ac:dyDescent="0.2">
      <c r="D13058">
        <v>100007865</v>
      </c>
      <c r="E13058" s="49">
        <v>44993</v>
      </c>
      <c r="F13058" t="s">
        <v>8319</v>
      </c>
      <c r="G13058" t="s">
        <v>2007</v>
      </c>
      <c r="H13058">
        <v>10</v>
      </c>
      <c r="I13058">
        <v>61.64</v>
      </c>
      <c r="J13058" s="50">
        <v>616.4</v>
      </c>
      <c r="K13058" t="s">
        <v>1632</v>
      </c>
      <c r="M13058" t="s">
        <v>1621</v>
      </c>
      <c r="N13058">
        <v>32.53</v>
      </c>
      <c r="O13058" s="49">
        <v>44996</v>
      </c>
      <c r="P13058" s="50">
        <v>277.38</v>
      </c>
    </row>
    <row r="13059" spans="4:16" x14ac:dyDescent="0.2">
      <c r="D13059">
        <v>100007867</v>
      </c>
      <c r="E13059" s="49">
        <v>44995</v>
      </c>
      <c r="F13059" t="s">
        <v>8320</v>
      </c>
      <c r="G13059" t="s">
        <v>2023</v>
      </c>
      <c r="H13059">
        <v>7</v>
      </c>
      <c r="I13059">
        <v>78.2</v>
      </c>
      <c r="J13059" s="50">
        <v>547.4</v>
      </c>
      <c r="K13059" t="s">
        <v>1632</v>
      </c>
      <c r="M13059" t="s">
        <v>1619</v>
      </c>
      <c r="N13059">
        <v>41.27</v>
      </c>
      <c r="O13059" s="49">
        <v>44997</v>
      </c>
      <c r="P13059" s="50">
        <v>246.32999999999998</v>
      </c>
    </row>
    <row r="13060" spans="4:16" x14ac:dyDescent="0.2">
      <c r="D13060">
        <v>100007867</v>
      </c>
      <c r="E13060" s="49">
        <v>45368</v>
      </c>
      <c r="F13060" t="s">
        <v>8320</v>
      </c>
      <c r="G13060" t="s">
        <v>2138</v>
      </c>
      <c r="H13060">
        <v>2</v>
      </c>
      <c r="I13060">
        <v>97.43</v>
      </c>
      <c r="J13060" s="50">
        <v>194.86</v>
      </c>
      <c r="K13060" t="s">
        <v>1632</v>
      </c>
      <c r="M13060" t="s">
        <v>1627</v>
      </c>
      <c r="N13060">
        <v>51.42</v>
      </c>
      <c r="O13060" s="49">
        <v>45369</v>
      </c>
      <c r="P13060" s="50">
        <v>87.687000000000012</v>
      </c>
    </row>
    <row r="13061" spans="4:16" x14ac:dyDescent="0.2">
      <c r="D13061">
        <v>100007867</v>
      </c>
      <c r="E13061" s="49">
        <v>44239</v>
      </c>
      <c r="F13061" t="s">
        <v>8320</v>
      </c>
      <c r="G13061" t="s">
        <v>1655</v>
      </c>
      <c r="H13061">
        <v>8</v>
      </c>
      <c r="I13061">
        <v>115.96</v>
      </c>
      <c r="J13061" s="50">
        <v>927.68</v>
      </c>
      <c r="K13061" t="s">
        <v>1632</v>
      </c>
      <c r="M13061" t="s">
        <v>1619</v>
      </c>
      <c r="N13061">
        <v>61.2</v>
      </c>
      <c r="O13061" s="49">
        <v>44244</v>
      </c>
      <c r="P13061" s="50">
        <v>417.45599999999996</v>
      </c>
    </row>
    <row r="13062" spans="4:16" x14ac:dyDescent="0.2">
      <c r="D13062">
        <v>100007868</v>
      </c>
      <c r="E13062" s="49">
        <v>44547</v>
      </c>
      <c r="F13062" t="s">
        <v>8321</v>
      </c>
      <c r="G13062" t="s">
        <v>2390</v>
      </c>
      <c r="H13062">
        <v>4</v>
      </c>
      <c r="I13062">
        <v>46.18</v>
      </c>
      <c r="J13062" s="50">
        <v>184.72</v>
      </c>
      <c r="K13062" t="s">
        <v>1632</v>
      </c>
      <c r="L13062" t="s">
        <v>2593</v>
      </c>
      <c r="M13062" t="s">
        <v>1627</v>
      </c>
      <c r="N13062">
        <v>24.37</v>
      </c>
      <c r="O13062" s="49">
        <v>44550</v>
      </c>
      <c r="P13062" s="50">
        <v>83.123999999999995</v>
      </c>
    </row>
    <row r="13063" spans="4:16" x14ac:dyDescent="0.2">
      <c r="D13063">
        <v>100007870</v>
      </c>
      <c r="E13063" s="49">
        <v>45072</v>
      </c>
      <c r="F13063" t="s">
        <v>8322</v>
      </c>
      <c r="G13063" t="s">
        <v>1751</v>
      </c>
      <c r="H13063">
        <v>7</v>
      </c>
      <c r="I13063">
        <v>13.87</v>
      </c>
      <c r="J13063" s="50">
        <v>97.089999999999989</v>
      </c>
      <c r="K13063" t="s">
        <v>1618</v>
      </c>
      <c r="M13063" t="s">
        <v>1624</v>
      </c>
      <c r="N13063">
        <v>7.32</v>
      </c>
      <c r="O13063" s="49">
        <v>45075</v>
      </c>
      <c r="P13063" s="50">
        <v>43.690499999999993</v>
      </c>
    </row>
    <row r="13064" spans="4:16" x14ac:dyDescent="0.2">
      <c r="D13064">
        <v>100007872</v>
      </c>
      <c r="E13064" s="49">
        <v>44776</v>
      </c>
      <c r="F13064" t="s">
        <v>8323</v>
      </c>
      <c r="G13064" t="s">
        <v>1777</v>
      </c>
      <c r="H13064">
        <v>8</v>
      </c>
      <c r="I13064">
        <v>68.89</v>
      </c>
      <c r="J13064" s="50">
        <v>551.12</v>
      </c>
      <c r="K13064" t="s">
        <v>1632</v>
      </c>
      <c r="L13064" t="s">
        <v>2010</v>
      </c>
      <c r="M13064" t="s">
        <v>1629</v>
      </c>
      <c r="N13064">
        <v>36.36</v>
      </c>
      <c r="O13064" s="49">
        <v>44778</v>
      </c>
      <c r="P13064" s="50">
        <v>248.00400000000002</v>
      </c>
    </row>
    <row r="13065" spans="4:16" x14ac:dyDescent="0.2">
      <c r="D13065">
        <v>100007872</v>
      </c>
      <c r="E13065" s="49">
        <v>45281</v>
      </c>
      <c r="F13065" t="s">
        <v>8323</v>
      </c>
      <c r="G13065" t="s">
        <v>2447</v>
      </c>
      <c r="H13065">
        <v>8</v>
      </c>
      <c r="I13065">
        <v>93.48</v>
      </c>
      <c r="J13065" s="50">
        <v>747.84</v>
      </c>
      <c r="K13065" t="s">
        <v>1632</v>
      </c>
      <c r="L13065" t="s">
        <v>2010</v>
      </c>
      <c r="M13065" t="s">
        <v>1629</v>
      </c>
      <c r="N13065">
        <v>49.34</v>
      </c>
      <c r="O13065" s="49">
        <v>45283</v>
      </c>
      <c r="P13065" s="50">
        <v>336.52800000000002</v>
      </c>
    </row>
    <row r="13066" spans="4:16" x14ac:dyDescent="0.2">
      <c r="D13066">
        <v>100007873</v>
      </c>
      <c r="E13066" s="49">
        <v>44724</v>
      </c>
      <c r="F13066" t="s">
        <v>8324</v>
      </c>
      <c r="G13066" t="s">
        <v>1639</v>
      </c>
      <c r="H13066">
        <v>9</v>
      </c>
      <c r="I13066">
        <v>109.46</v>
      </c>
      <c r="J13066" s="50">
        <v>985.14</v>
      </c>
      <c r="K13066" t="s">
        <v>1618</v>
      </c>
      <c r="L13066" t="s">
        <v>4253</v>
      </c>
      <c r="M13066" t="s">
        <v>1619</v>
      </c>
      <c r="N13066">
        <v>57.77</v>
      </c>
      <c r="O13066" s="49">
        <v>44728</v>
      </c>
      <c r="P13066" s="50">
        <v>443.31299999999999</v>
      </c>
    </row>
    <row r="13067" spans="4:16" x14ac:dyDescent="0.2">
      <c r="D13067">
        <v>100007873</v>
      </c>
      <c r="E13067" s="49">
        <v>44551</v>
      </c>
      <c r="F13067" t="s">
        <v>8324</v>
      </c>
      <c r="G13067" t="s">
        <v>2628</v>
      </c>
      <c r="H13067">
        <v>2</v>
      </c>
      <c r="I13067">
        <v>88.59</v>
      </c>
      <c r="J13067" s="50">
        <v>177.18</v>
      </c>
      <c r="K13067" t="s">
        <v>1618</v>
      </c>
      <c r="L13067" t="s">
        <v>4253</v>
      </c>
      <c r="M13067" t="s">
        <v>1627</v>
      </c>
      <c r="N13067">
        <v>46.76</v>
      </c>
      <c r="O13067" s="49">
        <v>44553</v>
      </c>
      <c r="P13067" s="50">
        <v>79.731000000000009</v>
      </c>
    </row>
    <row r="13068" spans="4:16" x14ac:dyDescent="0.2">
      <c r="D13068">
        <v>100007873</v>
      </c>
      <c r="E13068" s="49">
        <v>44237</v>
      </c>
      <c r="F13068" t="s">
        <v>8324</v>
      </c>
      <c r="G13068" t="s">
        <v>1671</v>
      </c>
      <c r="H13068">
        <v>2</v>
      </c>
      <c r="I13068">
        <v>104.39</v>
      </c>
      <c r="J13068" s="50">
        <v>208.78</v>
      </c>
      <c r="K13068" t="s">
        <v>1618</v>
      </c>
      <c r="L13068" t="s">
        <v>4253</v>
      </c>
      <c r="M13068" t="s">
        <v>1619</v>
      </c>
      <c r="N13068">
        <v>55.09</v>
      </c>
      <c r="O13068" s="49">
        <v>44240</v>
      </c>
      <c r="P13068" s="50">
        <v>93.951000000000008</v>
      </c>
    </row>
    <row r="13069" spans="4:16" x14ac:dyDescent="0.2">
      <c r="D13069">
        <v>100007873</v>
      </c>
      <c r="E13069" s="49">
        <v>44925</v>
      </c>
      <c r="F13069" t="s">
        <v>8324</v>
      </c>
      <c r="G13069" t="s">
        <v>1733</v>
      </c>
      <c r="H13069">
        <v>3</v>
      </c>
      <c r="I13069">
        <v>42.36</v>
      </c>
      <c r="J13069" s="50">
        <v>127.08</v>
      </c>
      <c r="K13069" t="s">
        <v>1618</v>
      </c>
      <c r="L13069" t="s">
        <v>4253</v>
      </c>
      <c r="M13069" t="s">
        <v>1621</v>
      </c>
      <c r="N13069">
        <v>22.36</v>
      </c>
      <c r="O13069" s="49">
        <v>44927</v>
      </c>
      <c r="P13069" s="50">
        <v>57.186</v>
      </c>
    </row>
    <row r="13070" spans="4:16" x14ac:dyDescent="0.2">
      <c r="D13070">
        <v>100007875</v>
      </c>
      <c r="E13070" s="49">
        <v>44662</v>
      </c>
      <c r="F13070" t="s">
        <v>8325</v>
      </c>
      <c r="G13070" t="s">
        <v>2028</v>
      </c>
      <c r="H13070">
        <v>10</v>
      </c>
      <c r="I13070">
        <v>33.299999999999997</v>
      </c>
      <c r="J13070" s="50">
        <v>333</v>
      </c>
      <c r="K13070" t="s">
        <v>1618</v>
      </c>
      <c r="L13070" t="s">
        <v>7757</v>
      </c>
      <c r="M13070" t="s">
        <v>1619</v>
      </c>
      <c r="N13070">
        <v>17.57</v>
      </c>
      <c r="O13070" s="49">
        <v>44663</v>
      </c>
      <c r="P13070" s="50">
        <v>149.85</v>
      </c>
    </row>
    <row r="13071" spans="4:16" x14ac:dyDescent="0.2">
      <c r="D13071">
        <v>100007875</v>
      </c>
      <c r="E13071" s="49">
        <v>45101</v>
      </c>
      <c r="F13071" t="s">
        <v>8325</v>
      </c>
      <c r="G13071" t="s">
        <v>1897</v>
      </c>
      <c r="H13071">
        <v>7</v>
      </c>
      <c r="I13071">
        <v>102.88</v>
      </c>
      <c r="J13071" s="50">
        <v>720.16</v>
      </c>
      <c r="K13071" t="s">
        <v>1618</v>
      </c>
      <c r="L13071" t="s">
        <v>7757</v>
      </c>
      <c r="M13071" t="s">
        <v>1629</v>
      </c>
      <c r="N13071">
        <v>54.3</v>
      </c>
      <c r="O13071" s="49">
        <v>45104</v>
      </c>
      <c r="P13071" s="50">
        <v>324.072</v>
      </c>
    </row>
    <row r="13072" spans="4:16" x14ac:dyDescent="0.2">
      <c r="D13072">
        <v>100007875</v>
      </c>
      <c r="E13072" s="49">
        <v>44358</v>
      </c>
      <c r="F13072" t="s">
        <v>8325</v>
      </c>
      <c r="G13072" t="s">
        <v>1671</v>
      </c>
      <c r="H13072">
        <v>2</v>
      </c>
      <c r="I13072">
        <v>106.72</v>
      </c>
      <c r="J13072" s="50">
        <v>213.44</v>
      </c>
      <c r="K13072" t="s">
        <v>1618</v>
      </c>
      <c r="L13072" t="s">
        <v>7757</v>
      </c>
      <c r="M13072" t="s">
        <v>1621</v>
      </c>
      <c r="N13072">
        <v>56.32</v>
      </c>
      <c r="O13072" s="49">
        <v>44360</v>
      </c>
      <c r="P13072" s="50">
        <v>96.048000000000002</v>
      </c>
    </row>
    <row r="13073" spans="4:16" x14ac:dyDescent="0.2">
      <c r="D13073">
        <v>100007875</v>
      </c>
      <c r="E13073" s="49">
        <v>45212</v>
      </c>
      <c r="F13073" t="s">
        <v>8325</v>
      </c>
      <c r="G13073" t="s">
        <v>1785</v>
      </c>
      <c r="H13073">
        <v>6</v>
      </c>
      <c r="I13073">
        <v>48.01</v>
      </c>
      <c r="J13073" s="50">
        <v>288.06</v>
      </c>
      <c r="K13073" t="s">
        <v>1618</v>
      </c>
      <c r="L13073" t="s">
        <v>7757</v>
      </c>
      <c r="M13073" t="s">
        <v>1619</v>
      </c>
      <c r="N13073">
        <v>25.34</v>
      </c>
      <c r="O13073" s="49">
        <v>45213</v>
      </c>
      <c r="P13073" s="50">
        <v>129.62700000000001</v>
      </c>
    </row>
    <row r="13074" spans="4:16" x14ac:dyDescent="0.2">
      <c r="D13074">
        <v>100007876</v>
      </c>
      <c r="E13074" s="49">
        <v>45023</v>
      </c>
      <c r="F13074" t="s">
        <v>8326</v>
      </c>
      <c r="G13074" t="s">
        <v>2692</v>
      </c>
      <c r="H13074">
        <v>8</v>
      </c>
      <c r="I13074">
        <v>22.43</v>
      </c>
      <c r="J13074" s="50">
        <v>179.44</v>
      </c>
      <c r="K13074" t="s">
        <v>1632</v>
      </c>
      <c r="M13074" t="s">
        <v>1629</v>
      </c>
      <c r="N13074">
        <v>11.84</v>
      </c>
      <c r="O13074" s="49">
        <v>45024</v>
      </c>
      <c r="P13074" s="50">
        <v>80.748000000000005</v>
      </c>
    </row>
    <row r="13075" spans="4:16" x14ac:dyDescent="0.2">
      <c r="D13075">
        <v>100007877</v>
      </c>
      <c r="E13075" s="49">
        <v>45485</v>
      </c>
      <c r="F13075" t="s">
        <v>8327</v>
      </c>
      <c r="G13075" t="s">
        <v>2130</v>
      </c>
      <c r="H13075">
        <v>9</v>
      </c>
      <c r="I13075">
        <v>22.73</v>
      </c>
      <c r="J13075" s="50">
        <v>204.57</v>
      </c>
      <c r="K13075" t="s">
        <v>1618</v>
      </c>
      <c r="M13075" t="s">
        <v>1619</v>
      </c>
      <c r="N13075">
        <v>12</v>
      </c>
      <c r="O13075" s="49">
        <v>45490</v>
      </c>
      <c r="P13075" s="50">
        <v>92.0565</v>
      </c>
    </row>
    <row r="13076" spans="4:16" x14ac:dyDescent="0.2">
      <c r="D13076">
        <v>100007879</v>
      </c>
      <c r="E13076" s="49">
        <v>44294</v>
      </c>
      <c r="F13076" t="s">
        <v>8328</v>
      </c>
      <c r="G13076" t="s">
        <v>2005</v>
      </c>
      <c r="H13076">
        <v>5</v>
      </c>
      <c r="I13076">
        <v>57.48</v>
      </c>
      <c r="J13076" s="50">
        <v>287.39999999999998</v>
      </c>
      <c r="K13076" t="s">
        <v>1618</v>
      </c>
      <c r="M13076" t="s">
        <v>1619</v>
      </c>
      <c r="N13076">
        <v>30.34</v>
      </c>
      <c r="O13076" s="49">
        <v>44298</v>
      </c>
      <c r="P13076" s="50">
        <v>129.32999999999998</v>
      </c>
    </row>
    <row r="13077" spans="4:16" x14ac:dyDescent="0.2">
      <c r="D13077">
        <v>100007879</v>
      </c>
      <c r="E13077" s="49">
        <v>45179</v>
      </c>
      <c r="F13077" t="s">
        <v>8328</v>
      </c>
      <c r="G13077" t="s">
        <v>1666</v>
      </c>
      <c r="H13077">
        <v>7</v>
      </c>
      <c r="I13077">
        <v>70.05</v>
      </c>
      <c r="J13077" s="50">
        <v>490.35</v>
      </c>
      <c r="K13077" t="s">
        <v>1618</v>
      </c>
      <c r="M13077" t="s">
        <v>1619</v>
      </c>
      <c r="N13077">
        <v>36.97</v>
      </c>
      <c r="O13077" s="49">
        <v>45184</v>
      </c>
      <c r="P13077" s="50">
        <v>220.65750000000003</v>
      </c>
    </row>
    <row r="13078" spans="4:16" x14ac:dyDescent="0.2">
      <c r="D13078">
        <v>100007880</v>
      </c>
      <c r="E13078" s="49">
        <v>44665</v>
      </c>
      <c r="F13078" t="s">
        <v>5057</v>
      </c>
      <c r="G13078" t="s">
        <v>1766</v>
      </c>
      <c r="H13078">
        <v>4</v>
      </c>
      <c r="I13078">
        <v>95</v>
      </c>
      <c r="J13078" s="50">
        <v>380</v>
      </c>
      <c r="K13078" t="s">
        <v>1632</v>
      </c>
      <c r="L13078" t="s">
        <v>2635</v>
      </c>
      <c r="M13078" t="s">
        <v>1627</v>
      </c>
      <c r="N13078">
        <v>50.14</v>
      </c>
      <c r="O13078" s="49">
        <v>44670</v>
      </c>
      <c r="P13078" s="50">
        <v>171</v>
      </c>
    </row>
    <row r="13079" spans="4:16" x14ac:dyDescent="0.2">
      <c r="D13079">
        <v>100007881</v>
      </c>
      <c r="E13079" s="49">
        <v>45158</v>
      </c>
      <c r="F13079" t="s">
        <v>8329</v>
      </c>
      <c r="G13079" t="s">
        <v>1729</v>
      </c>
      <c r="H13079">
        <v>1</v>
      </c>
      <c r="I13079">
        <v>87.68</v>
      </c>
      <c r="J13079" s="50">
        <v>87.68</v>
      </c>
      <c r="K13079" t="s">
        <v>1632</v>
      </c>
      <c r="M13079" t="s">
        <v>1624</v>
      </c>
      <c r="N13079">
        <v>46.28</v>
      </c>
      <c r="O13079" s="49">
        <v>45159</v>
      </c>
      <c r="P13079" s="50">
        <v>39.456000000000003</v>
      </c>
    </row>
    <row r="13080" spans="4:16" x14ac:dyDescent="0.2">
      <c r="D13080">
        <v>100007882</v>
      </c>
      <c r="E13080" s="49">
        <v>45295</v>
      </c>
      <c r="F13080" t="s">
        <v>8330</v>
      </c>
      <c r="G13080" t="s">
        <v>1743</v>
      </c>
      <c r="H13080">
        <v>2</v>
      </c>
      <c r="I13080">
        <v>57.87</v>
      </c>
      <c r="J13080" s="50">
        <v>115.74</v>
      </c>
      <c r="K13080" t="s">
        <v>1632</v>
      </c>
      <c r="L13080" t="s">
        <v>3105</v>
      </c>
      <c r="M13080" t="s">
        <v>1629</v>
      </c>
      <c r="N13080">
        <v>30.54</v>
      </c>
      <c r="O13080" s="49">
        <v>45299</v>
      </c>
      <c r="P13080" s="50">
        <v>52.082999999999998</v>
      </c>
    </row>
    <row r="13081" spans="4:16" x14ac:dyDescent="0.2">
      <c r="D13081">
        <v>100007883</v>
      </c>
      <c r="E13081" s="49">
        <v>44931</v>
      </c>
      <c r="F13081" t="s">
        <v>8331</v>
      </c>
      <c r="G13081" t="s">
        <v>1647</v>
      </c>
      <c r="H13081">
        <v>5</v>
      </c>
      <c r="I13081">
        <v>41.21</v>
      </c>
      <c r="J13081" s="50">
        <v>206.05</v>
      </c>
      <c r="K13081" t="s">
        <v>1618</v>
      </c>
      <c r="M13081" t="s">
        <v>1621</v>
      </c>
      <c r="N13081">
        <v>21.75</v>
      </c>
      <c r="O13081" s="49">
        <v>44934</v>
      </c>
      <c r="P13081" s="50">
        <v>92.722500000000011</v>
      </c>
    </row>
    <row r="13082" spans="4:16" x14ac:dyDescent="0.2">
      <c r="D13082">
        <v>100007884</v>
      </c>
      <c r="E13082" s="49">
        <v>44418</v>
      </c>
      <c r="F13082" t="s">
        <v>8332</v>
      </c>
      <c r="G13082" t="s">
        <v>2480</v>
      </c>
      <c r="H13082">
        <v>7</v>
      </c>
      <c r="I13082">
        <v>46.45</v>
      </c>
      <c r="J13082" s="50">
        <v>325.14999999999998</v>
      </c>
      <c r="K13082" t="s">
        <v>1632</v>
      </c>
      <c r="M13082" t="s">
        <v>1621</v>
      </c>
      <c r="N13082">
        <v>24.52</v>
      </c>
      <c r="O13082" s="49">
        <v>44422</v>
      </c>
      <c r="P13082" s="50">
        <v>146.3175</v>
      </c>
    </row>
    <row r="13083" spans="4:16" x14ac:dyDescent="0.2">
      <c r="D13083">
        <v>100007884</v>
      </c>
      <c r="E13083" s="49">
        <v>44882</v>
      </c>
      <c r="F13083" t="s">
        <v>8332</v>
      </c>
      <c r="G13083" t="s">
        <v>1885</v>
      </c>
      <c r="H13083">
        <v>7</v>
      </c>
      <c r="I13083">
        <v>80.22</v>
      </c>
      <c r="J13083" s="50">
        <v>561.54</v>
      </c>
      <c r="K13083" t="s">
        <v>1632</v>
      </c>
      <c r="M13083" t="s">
        <v>1621</v>
      </c>
      <c r="N13083">
        <v>42.34</v>
      </c>
      <c r="O13083" s="49">
        <v>44884</v>
      </c>
      <c r="P13083" s="50">
        <v>252.69299999999998</v>
      </c>
    </row>
    <row r="13084" spans="4:16" x14ac:dyDescent="0.2">
      <c r="D13084">
        <v>100007884</v>
      </c>
      <c r="E13084" s="49">
        <v>44893</v>
      </c>
      <c r="F13084" t="s">
        <v>8332</v>
      </c>
      <c r="G13084" t="s">
        <v>2079</v>
      </c>
      <c r="H13084">
        <v>5</v>
      </c>
      <c r="I13084">
        <v>80.78</v>
      </c>
      <c r="J13084" s="50">
        <v>403.9</v>
      </c>
      <c r="K13084" t="s">
        <v>1632</v>
      </c>
      <c r="M13084" t="s">
        <v>1624</v>
      </c>
      <c r="N13084">
        <v>42.63</v>
      </c>
      <c r="O13084" s="49">
        <v>44898</v>
      </c>
      <c r="P13084" s="50">
        <v>181.755</v>
      </c>
    </row>
    <row r="13085" spans="4:16" x14ac:dyDescent="0.2">
      <c r="D13085">
        <v>100007886</v>
      </c>
      <c r="E13085" s="49">
        <v>45386</v>
      </c>
      <c r="F13085" t="s">
        <v>8333</v>
      </c>
      <c r="G13085" t="s">
        <v>2465</v>
      </c>
      <c r="H13085">
        <v>10</v>
      </c>
      <c r="I13085">
        <v>27.99</v>
      </c>
      <c r="J13085" s="50">
        <v>279.89999999999998</v>
      </c>
      <c r="K13085" t="s">
        <v>1618</v>
      </c>
      <c r="M13085" t="s">
        <v>1624</v>
      </c>
      <c r="N13085">
        <v>14.77</v>
      </c>
      <c r="O13085" s="49">
        <v>45391</v>
      </c>
      <c r="P13085" s="50">
        <v>125.955</v>
      </c>
    </row>
    <row r="13086" spans="4:16" x14ac:dyDescent="0.2">
      <c r="D13086">
        <v>100007887</v>
      </c>
      <c r="E13086" s="49">
        <v>45528</v>
      </c>
      <c r="F13086" t="s">
        <v>8334</v>
      </c>
      <c r="G13086" t="s">
        <v>2138</v>
      </c>
      <c r="H13086">
        <v>10</v>
      </c>
      <c r="I13086">
        <v>37.75</v>
      </c>
      <c r="J13086" s="50">
        <v>377.5</v>
      </c>
      <c r="K13086" t="s">
        <v>1632</v>
      </c>
      <c r="M13086" t="s">
        <v>1627</v>
      </c>
      <c r="N13086">
        <v>19.920000000000002</v>
      </c>
      <c r="O13086" s="49">
        <v>45530</v>
      </c>
      <c r="P13086" s="50">
        <v>169.875</v>
      </c>
    </row>
    <row r="13087" spans="4:16" x14ac:dyDescent="0.2">
      <c r="D13087">
        <v>100007887</v>
      </c>
      <c r="E13087" s="49">
        <v>44565</v>
      </c>
      <c r="F13087" t="s">
        <v>8334</v>
      </c>
      <c r="G13087" t="s">
        <v>1733</v>
      </c>
      <c r="H13087">
        <v>9</v>
      </c>
      <c r="I13087">
        <v>113.88</v>
      </c>
      <c r="J13087" s="50">
        <v>1024.92</v>
      </c>
      <c r="K13087" t="s">
        <v>1632</v>
      </c>
      <c r="M13087" t="s">
        <v>1624</v>
      </c>
      <c r="N13087">
        <v>60.1</v>
      </c>
      <c r="O13087" s="49">
        <v>44566</v>
      </c>
      <c r="P13087" s="50">
        <v>461.21400000000006</v>
      </c>
    </row>
    <row r="13088" spans="4:16" x14ac:dyDescent="0.2">
      <c r="D13088">
        <v>100007887</v>
      </c>
      <c r="E13088" s="49">
        <v>44894</v>
      </c>
      <c r="F13088" t="s">
        <v>8334</v>
      </c>
      <c r="G13088" t="s">
        <v>1642</v>
      </c>
      <c r="H13088">
        <v>4</v>
      </c>
      <c r="I13088">
        <v>109.12</v>
      </c>
      <c r="J13088" s="50">
        <v>436.48</v>
      </c>
      <c r="K13088" t="s">
        <v>1632</v>
      </c>
      <c r="M13088" t="s">
        <v>1627</v>
      </c>
      <c r="N13088">
        <v>57.59</v>
      </c>
      <c r="O13088" s="49">
        <v>44899</v>
      </c>
      <c r="P13088" s="50">
        <v>196.41600000000003</v>
      </c>
    </row>
    <row r="13089" spans="4:16" x14ac:dyDescent="0.2">
      <c r="D13089">
        <v>100007887</v>
      </c>
      <c r="E13089" s="49">
        <v>44215</v>
      </c>
      <c r="F13089" t="s">
        <v>8334</v>
      </c>
      <c r="G13089" t="s">
        <v>1990</v>
      </c>
      <c r="H13089">
        <v>2</v>
      </c>
      <c r="I13089">
        <v>19.7</v>
      </c>
      <c r="J13089" s="50">
        <v>39.4</v>
      </c>
      <c r="K13089" t="s">
        <v>1632</v>
      </c>
      <c r="M13089" t="s">
        <v>1621</v>
      </c>
      <c r="N13089">
        <v>10.4</v>
      </c>
      <c r="O13089" s="49">
        <v>44218</v>
      </c>
      <c r="P13089" s="50">
        <v>17.73</v>
      </c>
    </row>
    <row r="13090" spans="4:16" x14ac:dyDescent="0.2">
      <c r="D13090">
        <v>100007889</v>
      </c>
      <c r="E13090" s="49">
        <v>45029</v>
      </c>
      <c r="F13090" t="s">
        <v>8335</v>
      </c>
      <c r="G13090" t="s">
        <v>2301</v>
      </c>
      <c r="H13090">
        <v>1</v>
      </c>
      <c r="I13090">
        <v>67.989999999999995</v>
      </c>
      <c r="J13090" s="50">
        <v>67.989999999999995</v>
      </c>
      <c r="K13090" t="s">
        <v>1618</v>
      </c>
      <c r="M13090" t="s">
        <v>1621</v>
      </c>
      <c r="N13090">
        <v>35.880000000000003</v>
      </c>
      <c r="O13090" s="49">
        <v>45034</v>
      </c>
      <c r="P13090" s="50">
        <v>30.595499999999998</v>
      </c>
    </row>
    <row r="13091" spans="4:16" x14ac:dyDescent="0.2">
      <c r="D13091">
        <v>100007890</v>
      </c>
      <c r="E13091" s="49">
        <v>44225</v>
      </c>
      <c r="F13091" t="s">
        <v>8336</v>
      </c>
      <c r="G13091" t="s">
        <v>1941</v>
      </c>
      <c r="H13091">
        <v>1</v>
      </c>
      <c r="I13091">
        <v>33.57</v>
      </c>
      <c r="J13091" s="50">
        <v>33.57</v>
      </c>
      <c r="K13091" t="s">
        <v>1632</v>
      </c>
      <c r="M13091" t="s">
        <v>1629</v>
      </c>
      <c r="N13091">
        <v>17.72</v>
      </c>
      <c r="O13091" s="49">
        <v>44227</v>
      </c>
      <c r="P13091" s="50">
        <v>15.1065</v>
      </c>
    </row>
    <row r="13092" spans="4:16" x14ac:dyDescent="0.2">
      <c r="D13092">
        <v>100007891</v>
      </c>
      <c r="E13092" s="49">
        <v>45063</v>
      </c>
      <c r="F13092" t="s">
        <v>8337</v>
      </c>
      <c r="G13092" t="s">
        <v>1868</v>
      </c>
      <c r="H13092">
        <v>10</v>
      </c>
      <c r="I13092">
        <v>63.62</v>
      </c>
      <c r="J13092" s="50">
        <v>636.19999999999993</v>
      </c>
      <c r="K13092" t="s">
        <v>1632</v>
      </c>
      <c r="L13092" t="s">
        <v>2626</v>
      </c>
      <c r="M13092" t="s">
        <v>1627</v>
      </c>
      <c r="N13092">
        <v>33.58</v>
      </c>
      <c r="O13092" s="49">
        <v>45065</v>
      </c>
      <c r="P13092" s="50">
        <v>286.28999999999996</v>
      </c>
    </row>
    <row r="13093" spans="4:16" x14ac:dyDescent="0.2">
      <c r="D13093">
        <v>100007892</v>
      </c>
      <c r="E13093" s="49">
        <v>44758</v>
      </c>
      <c r="F13093" t="s">
        <v>8338</v>
      </c>
      <c r="G13093" t="s">
        <v>2393</v>
      </c>
      <c r="H13093">
        <v>5</v>
      </c>
      <c r="I13093">
        <v>14.84</v>
      </c>
      <c r="J13093" s="50">
        <v>74.2</v>
      </c>
      <c r="K13093" t="s">
        <v>1632</v>
      </c>
      <c r="M13093" t="s">
        <v>1624</v>
      </c>
      <c r="N13093">
        <v>7.83</v>
      </c>
      <c r="O13093" s="49">
        <v>44762</v>
      </c>
      <c r="P13093" s="50">
        <v>33.39</v>
      </c>
    </row>
    <row r="13094" spans="4:16" x14ac:dyDescent="0.2">
      <c r="D13094">
        <v>100007893</v>
      </c>
      <c r="E13094" s="49">
        <v>44217</v>
      </c>
      <c r="F13094" t="s">
        <v>8339</v>
      </c>
      <c r="G13094" t="s">
        <v>1922</v>
      </c>
      <c r="H13094">
        <v>6</v>
      </c>
      <c r="I13094">
        <v>45.24</v>
      </c>
      <c r="J13094" s="50">
        <v>271.44</v>
      </c>
      <c r="K13094" t="s">
        <v>1632</v>
      </c>
      <c r="M13094" t="s">
        <v>1627</v>
      </c>
      <c r="N13094">
        <v>23.88</v>
      </c>
      <c r="O13094" s="49">
        <v>44220</v>
      </c>
      <c r="P13094" s="50">
        <v>122.148</v>
      </c>
    </row>
    <row r="13095" spans="4:16" x14ac:dyDescent="0.2">
      <c r="D13095">
        <v>100007893</v>
      </c>
      <c r="E13095" s="49">
        <v>45214</v>
      </c>
      <c r="F13095" t="s">
        <v>8339</v>
      </c>
      <c r="G13095" t="s">
        <v>1663</v>
      </c>
      <c r="H13095">
        <v>1</v>
      </c>
      <c r="I13095">
        <v>106.45</v>
      </c>
      <c r="J13095" s="50">
        <v>106.45</v>
      </c>
      <c r="K13095" t="s">
        <v>1632</v>
      </c>
      <c r="M13095" t="s">
        <v>1629</v>
      </c>
      <c r="N13095">
        <v>56.18</v>
      </c>
      <c r="O13095" s="49">
        <v>45219</v>
      </c>
      <c r="P13095" s="50">
        <v>47.902500000000003</v>
      </c>
    </row>
    <row r="13096" spans="4:16" x14ac:dyDescent="0.2">
      <c r="D13096">
        <v>100007893</v>
      </c>
      <c r="E13096" s="49">
        <v>45235</v>
      </c>
      <c r="F13096" t="s">
        <v>8339</v>
      </c>
      <c r="G13096" t="s">
        <v>2571</v>
      </c>
      <c r="H13096">
        <v>1</v>
      </c>
      <c r="I13096">
        <v>109.02</v>
      </c>
      <c r="J13096" s="50">
        <v>109.02</v>
      </c>
      <c r="K13096" t="s">
        <v>1632</v>
      </c>
      <c r="M13096" t="s">
        <v>1619</v>
      </c>
      <c r="N13096">
        <v>57.54</v>
      </c>
      <c r="O13096" s="49">
        <v>45239</v>
      </c>
      <c r="P13096" s="50">
        <v>49.058999999999997</v>
      </c>
    </row>
    <row r="13097" spans="4:16" x14ac:dyDescent="0.2">
      <c r="D13097">
        <v>100007893</v>
      </c>
      <c r="E13097" s="49">
        <v>44907</v>
      </c>
      <c r="F13097" t="s">
        <v>8339</v>
      </c>
      <c r="G13097" t="s">
        <v>1955</v>
      </c>
      <c r="H13097">
        <v>6</v>
      </c>
      <c r="I13097">
        <v>62.2</v>
      </c>
      <c r="J13097" s="50">
        <v>373.2</v>
      </c>
      <c r="K13097" t="s">
        <v>1632</v>
      </c>
      <c r="M13097" t="s">
        <v>1624</v>
      </c>
      <c r="N13097">
        <v>32.83</v>
      </c>
      <c r="O13097" s="49">
        <v>44911</v>
      </c>
      <c r="P13097" s="50">
        <v>167.94</v>
      </c>
    </row>
    <row r="13098" spans="4:16" x14ac:dyDescent="0.2">
      <c r="D13098">
        <v>100007894</v>
      </c>
      <c r="E13098" s="49">
        <v>44368</v>
      </c>
      <c r="F13098" t="s">
        <v>8340</v>
      </c>
      <c r="G13098" t="s">
        <v>1855</v>
      </c>
      <c r="H13098">
        <v>1</v>
      </c>
      <c r="I13098">
        <v>108.92</v>
      </c>
      <c r="J13098" s="50">
        <v>108.92</v>
      </c>
      <c r="K13098" t="s">
        <v>1618</v>
      </c>
      <c r="L13098" t="s">
        <v>7282</v>
      </c>
      <c r="M13098" t="s">
        <v>1629</v>
      </c>
      <c r="N13098">
        <v>57.49</v>
      </c>
      <c r="O13098" s="49">
        <v>44372</v>
      </c>
      <c r="P13098" s="50">
        <v>49.014000000000003</v>
      </c>
    </row>
    <row r="13099" spans="4:16" x14ac:dyDescent="0.2">
      <c r="D13099">
        <v>100007894</v>
      </c>
      <c r="E13099" s="49">
        <v>44951</v>
      </c>
      <c r="F13099" t="s">
        <v>8340</v>
      </c>
      <c r="G13099" t="s">
        <v>2192</v>
      </c>
      <c r="H13099">
        <v>4</v>
      </c>
      <c r="I13099">
        <v>43.02</v>
      </c>
      <c r="J13099" s="50">
        <v>172.08</v>
      </c>
      <c r="K13099" t="s">
        <v>1618</v>
      </c>
      <c r="L13099" t="s">
        <v>7282</v>
      </c>
      <c r="M13099" t="s">
        <v>1624</v>
      </c>
      <c r="N13099">
        <v>22.7</v>
      </c>
      <c r="O13099" s="49">
        <v>44955</v>
      </c>
      <c r="P13099" s="50">
        <v>77.436000000000007</v>
      </c>
    </row>
    <row r="13100" spans="4:16" x14ac:dyDescent="0.2">
      <c r="D13100">
        <v>100007894</v>
      </c>
      <c r="E13100" s="49">
        <v>45498</v>
      </c>
      <c r="F13100" t="s">
        <v>8340</v>
      </c>
      <c r="G13100" t="s">
        <v>1766</v>
      </c>
      <c r="H13100">
        <v>3</v>
      </c>
      <c r="I13100">
        <v>65.260000000000005</v>
      </c>
      <c r="J13100" s="50">
        <v>195.78</v>
      </c>
      <c r="K13100" t="s">
        <v>1618</v>
      </c>
      <c r="L13100" t="s">
        <v>7282</v>
      </c>
      <c r="M13100" t="s">
        <v>1627</v>
      </c>
      <c r="N13100">
        <v>34.44</v>
      </c>
      <c r="O13100" s="49">
        <v>45501</v>
      </c>
      <c r="P13100" s="50">
        <v>88.100999999999999</v>
      </c>
    </row>
    <row r="13101" spans="4:16" x14ac:dyDescent="0.2">
      <c r="D13101">
        <v>100007896</v>
      </c>
      <c r="E13101" s="49">
        <v>44910</v>
      </c>
      <c r="F13101" t="s">
        <v>8341</v>
      </c>
      <c r="G13101" t="s">
        <v>1812</v>
      </c>
      <c r="H13101">
        <v>1</v>
      </c>
      <c r="I13101">
        <v>101.54</v>
      </c>
      <c r="J13101" s="50">
        <v>101.54</v>
      </c>
      <c r="K13101" t="s">
        <v>1618</v>
      </c>
      <c r="M13101" t="s">
        <v>1627</v>
      </c>
      <c r="N13101">
        <v>53.59</v>
      </c>
      <c r="O13101" s="49">
        <v>44911</v>
      </c>
      <c r="P13101" s="50">
        <v>45.693000000000005</v>
      </c>
    </row>
    <row r="13102" spans="4:16" x14ac:dyDescent="0.2">
      <c r="D13102">
        <v>100007896</v>
      </c>
      <c r="E13102" s="49">
        <v>45567</v>
      </c>
      <c r="F13102" t="s">
        <v>8341</v>
      </c>
      <c r="G13102" t="s">
        <v>2357</v>
      </c>
      <c r="H13102">
        <v>4</v>
      </c>
      <c r="I13102">
        <v>40.15</v>
      </c>
      <c r="J13102" s="50">
        <v>160.6</v>
      </c>
      <c r="K13102" t="s">
        <v>1618</v>
      </c>
      <c r="M13102" t="s">
        <v>1619</v>
      </c>
      <c r="N13102">
        <v>21.19</v>
      </c>
      <c r="O13102" s="49">
        <v>45569</v>
      </c>
      <c r="P13102" s="50">
        <v>72.27</v>
      </c>
    </row>
    <row r="13103" spans="4:16" x14ac:dyDescent="0.2">
      <c r="D13103">
        <v>100007898</v>
      </c>
      <c r="E13103" s="49">
        <v>45081</v>
      </c>
      <c r="F13103" t="s">
        <v>8342</v>
      </c>
      <c r="G13103" t="s">
        <v>1948</v>
      </c>
      <c r="H13103">
        <v>3</v>
      </c>
      <c r="I13103">
        <v>107.1</v>
      </c>
      <c r="J13103" s="50">
        <v>321.3</v>
      </c>
      <c r="K13103" t="s">
        <v>1618</v>
      </c>
      <c r="M13103" t="s">
        <v>1629</v>
      </c>
      <c r="N13103">
        <v>56.52</v>
      </c>
      <c r="O13103" s="49">
        <v>45082</v>
      </c>
      <c r="P13103" s="50">
        <v>144.58500000000001</v>
      </c>
    </row>
    <row r="13104" spans="4:16" x14ac:dyDescent="0.2">
      <c r="D13104">
        <v>100007899</v>
      </c>
      <c r="E13104" s="49">
        <v>44472</v>
      </c>
      <c r="F13104" t="s">
        <v>8343</v>
      </c>
      <c r="G13104" t="s">
        <v>2240</v>
      </c>
      <c r="H13104">
        <v>2</v>
      </c>
      <c r="I13104">
        <v>110.04</v>
      </c>
      <c r="J13104" s="50">
        <v>220.08</v>
      </c>
      <c r="K13104" t="s">
        <v>1618</v>
      </c>
      <c r="M13104" t="s">
        <v>1624</v>
      </c>
      <c r="N13104">
        <v>58.08</v>
      </c>
      <c r="O13104" s="49">
        <v>44477</v>
      </c>
      <c r="P13104" s="50">
        <v>99.036000000000001</v>
      </c>
    </row>
    <row r="13105" spans="4:16" x14ac:dyDescent="0.2">
      <c r="D13105">
        <v>100007899</v>
      </c>
      <c r="E13105" s="49">
        <v>45414</v>
      </c>
      <c r="F13105" t="s">
        <v>8343</v>
      </c>
      <c r="G13105" t="s">
        <v>2745</v>
      </c>
      <c r="H13105">
        <v>3</v>
      </c>
      <c r="I13105">
        <v>28.38</v>
      </c>
      <c r="J13105" s="50">
        <v>85.14</v>
      </c>
      <c r="K13105" t="s">
        <v>1618</v>
      </c>
      <c r="M13105" t="s">
        <v>1629</v>
      </c>
      <c r="N13105">
        <v>14.98</v>
      </c>
      <c r="O13105" s="49">
        <v>45418</v>
      </c>
      <c r="P13105" s="50">
        <v>38.313000000000002</v>
      </c>
    </row>
    <row r="13106" spans="4:16" x14ac:dyDescent="0.2">
      <c r="D13106">
        <v>100007899</v>
      </c>
      <c r="E13106" s="49">
        <v>44461</v>
      </c>
      <c r="F13106" t="s">
        <v>8343</v>
      </c>
      <c r="G13106" t="s">
        <v>1686</v>
      </c>
      <c r="H13106">
        <v>8</v>
      </c>
      <c r="I13106">
        <v>85</v>
      </c>
      <c r="J13106" s="50">
        <v>680</v>
      </c>
      <c r="K13106" t="s">
        <v>1618</v>
      </c>
      <c r="M13106" t="s">
        <v>1621</v>
      </c>
      <c r="N13106">
        <v>44.86</v>
      </c>
      <c r="O13106" s="49">
        <v>44462</v>
      </c>
      <c r="P13106" s="50">
        <v>306</v>
      </c>
    </row>
    <row r="13107" spans="4:16" x14ac:dyDescent="0.2">
      <c r="D13107">
        <v>100007900</v>
      </c>
      <c r="E13107" s="49">
        <v>44762</v>
      </c>
      <c r="F13107" t="s">
        <v>8344</v>
      </c>
      <c r="G13107" t="s">
        <v>1646</v>
      </c>
      <c r="H13107">
        <v>3</v>
      </c>
      <c r="I13107">
        <v>107.51</v>
      </c>
      <c r="J13107" s="50">
        <v>322.52999999999997</v>
      </c>
      <c r="K13107" t="s">
        <v>1618</v>
      </c>
      <c r="M13107" t="s">
        <v>1624</v>
      </c>
      <c r="N13107">
        <v>56.74</v>
      </c>
      <c r="O13107" s="49">
        <v>44767</v>
      </c>
      <c r="P13107" s="50">
        <v>145.13849999999999</v>
      </c>
    </row>
    <row r="13108" spans="4:16" x14ac:dyDescent="0.2">
      <c r="D13108">
        <v>100007900</v>
      </c>
      <c r="E13108" s="49">
        <v>44906</v>
      </c>
      <c r="F13108" t="s">
        <v>8344</v>
      </c>
      <c r="G13108" t="s">
        <v>1733</v>
      </c>
      <c r="H13108">
        <v>6</v>
      </c>
      <c r="I13108">
        <v>92.12</v>
      </c>
      <c r="J13108" s="50">
        <v>552.72</v>
      </c>
      <c r="K13108" t="s">
        <v>1618</v>
      </c>
      <c r="M13108" t="s">
        <v>1624</v>
      </c>
      <c r="N13108">
        <v>48.62</v>
      </c>
      <c r="O13108" s="49">
        <v>44910</v>
      </c>
      <c r="P13108" s="50">
        <v>248.72400000000002</v>
      </c>
    </row>
    <row r="13109" spans="4:16" x14ac:dyDescent="0.2">
      <c r="D13109">
        <v>100007901</v>
      </c>
      <c r="E13109" s="49">
        <v>45138</v>
      </c>
      <c r="F13109" t="s">
        <v>8345</v>
      </c>
      <c r="G13109" t="s">
        <v>1900</v>
      </c>
      <c r="H13109">
        <v>2</v>
      </c>
      <c r="I13109">
        <v>10.49</v>
      </c>
      <c r="J13109" s="50">
        <v>20.98</v>
      </c>
      <c r="K13109" t="s">
        <v>1618</v>
      </c>
      <c r="L13109" t="s">
        <v>8346</v>
      </c>
      <c r="M13109" t="s">
        <v>1624</v>
      </c>
      <c r="N13109">
        <v>5.54</v>
      </c>
      <c r="O13109" s="49">
        <v>45140</v>
      </c>
      <c r="P13109" s="50">
        <v>9.4410000000000007</v>
      </c>
    </row>
    <row r="13110" spans="4:16" x14ac:dyDescent="0.2">
      <c r="D13110">
        <v>100007901</v>
      </c>
      <c r="E13110" s="49">
        <v>44353</v>
      </c>
      <c r="F13110" t="s">
        <v>8345</v>
      </c>
      <c r="G13110" t="s">
        <v>2003</v>
      </c>
      <c r="H13110">
        <v>4</v>
      </c>
      <c r="I13110">
        <v>23.68</v>
      </c>
      <c r="J13110" s="50">
        <v>94.72</v>
      </c>
      <c r="K13110" t="s">
        <v>1618</v>
      </c>
      <c r="L13110" t="s">
        <v>8346</v>
      </c>
      <c r="M13110" t="s">
        <v>1621</v>
      </c>
      <c r="N13110">
        <v>12.5</v>
      </c>
      <c r="O13110" s="49">
        <v>44355</v>
      </c>
      <c r="P13110" s="50">
        <v>42.624000000000002</v>
      </c>
    </row>
    <row r="13111" spans="4:16" x14ac:dyDescent="0.2">
      <c r="D13111">
        <v>100007901</v>
      </c>
      <c r="E13111" s="49">
        <v>44232</v>
      </c>
      <c r="F13111" t="s">
        <v>8345</v>
      </c>
      <c r="G13111" t="s">
        <v>2039</v>
      </c>
      <c r="H13111">
        <v>10</v>
      </c>
      <c r="I13111">
        <v>44.55</v>
      </c>
      <c r="J13111" s="50">
        <v>445.5</v>
      </c>
      <c r="K13111" t="s">
        <v>1618</v>
      </c>
      <c r="L13111" t="s">
        <v>8346</v>
      </c>
      <c r="M13111" t="s">
        <v>1627</v>
      </c>
      <c r="N13111">
        <v>23.51</v>
      </c>
      <c r="O13111" s="49">
        <v>44234</v>
      </c>
      <c r="P13111" s="50">
        <v>200.47499999999999</v>
      </c>
    </row>
    <row r="13112" spans="4:16" x14ac:dyDescent="0.2">
      <c r="D13112">
        <v>100007902</v>
      </c>
      <c r="E13112" s="49">
        <v>45286</v>
      </c>
      <c r="F13112" t="s">
        <v>8347</v>
      </c>
      <c r="G13112" t="s">
        <v>1752</v>
      </c>
      <c r="H13112">
        <v>1</v>
      </c>
      <c r="I13112">
        <v>114.6</v>
      </c>
      <c r="J13112" s="50">
        <v>114.6</v>
      </c>
      <c r="K13112" t="s">
        <v>1618</v>
      </c>
      <c r="M13112" t="s">
        <v>1624</v>
      </c>
      <c r="N13112">
        <v>60.48</v>
      </c>
      <c r="O13112" s="49">
        <v>45290</v>
      </c>
      <c r="P13112" s="50">
        <v>51.57</v>
      </c>
    </row>
    <row r="13113" spans="4:16" x14ac:dyDescent="0.2">
      <c r="D13113">
        <v>100007902</v>
      </c>
      <c r="E13113" s="49">
        <v>44233</v>
      </c>
      <c r="F13113" t="s">
        <v>8347</v>
      </c>
      <c r="G13113" t="s">
        <v>2766</v>
      </c>
      <c r="H13113">
        <v>9</v>
      </c>
      <c r="I13113">
        <v>108.99</v>
      </c>
      <c r="J13113" s="50">
        <v>980.91</v>
      </c>
      <c r="K13113" t="s">
        <v>1618</v>
      </c>
      <c r="M13113" t="s">
        <v>1627</v>
      </c>
      <c r="N13113">
        <v>57.52</v>
      </c>
      <c r="O13113" s="49">
        <v>44235</v>
      </c>
      <c r="P13113" s="50">
        <v>441.40949999999998</v>
      </c>
    </row>
    <row r="13114" spans="4:16" x14ac:dyDescent="0.2">
      <c r="D13114">
        <v>100007903</v>
      </c>
      <c r="E13114" s="49">
        <v>45181</v>
      </c>
      <c r="F13114" t="s">
        <v>8348</v>
      </c>
      <c r="G13114" t="s">
        <v>2025</v>
      </c>
      <c r="H13114">
        <v>9</v>
      </c>
      <c r="I13114">
        <v>47.2</v>
      </c>
      <c r="J13114" s="50">
        <v>424.8</v>
      </c>
      <c r="K13114" t="s">
        <v>1618</v>
      </c>
      <c r="L13114" t="s">
        <v>8349</v>
      </c>
      <c r="M13114" t="s">
        <v>1619</v>
      </c>
      <c r="N13114">
        <v>24.91</v>
      </c>
      <c r="O13114" s="49">
        <v>45183</v>
      </c>
      <c r="P13114" s="50">
        <v>191.16</v>
      </c>
    </row>
    <row r="13115" spans="4:16" x14ac:dyDescent="0.2">
      <c r="D13115">
        <v>100007903</v>
      </c>
      <c r="E13115" s="49">
        <v>45567</v>
      </c>
      <c r="F13115" t="s">
        <v>8348</v>
      </c>
      <c r="G13115" t="s">
        <v>1777</v>
      </c>
      <c r="H13115">
        <v>3</v>
      </c>
      <c r="I13115">
        <v>36.950000000000003</v>
      </c>
      <c r="J13115" s="50">
        <v>110.85</v>
      </c>
      <c r="K13115" t="s">
        <v>1618</v>
      </c>
      <c r="L13115" t="s">
        <v>8349</v>
      </c>
      <c r="M13115" t="s">
        <v>1624</v>
      </c>
      <c r="N13115">
        <v>19.5</v>
      </c>
      <c r="O13115" s="49">
        <v>45572</v>
      </c>
      <c r="P13115" s="50">
        <v>49.8825</v>
      </c>
    </row>
    <row r="13116" spans="4:16" x14ac:dyDescent="0.2">
      <c r="D13116">
        <v>100007905</v>
      </c>
      <c r="E13116" s="49">
        <v>45044</v>
      </c>
      <c r="F13116" t="s">
        <v>4782</v>
      </c>
      <c r="G13116" t="s">
        <v>1681</v>
      </c>
      <c r="H13116">
        <v>5</v>
      </c>
      <c r="I13116">
        <v>34.54</v>
      </c>
      <c r="J13116" s="50">
        <v>172.7</v>
      </c>
      <c r="K13116" t="s">
        <v>1618</v>
      </c>
      <c r="M13116" t="s">
        <v>1619</v>
      </c>
      <c r="N13116">
        <v>18.23</v>
      </c>
      <c r="O13116" s="49">
        <v>45047</v>
      </c>
      <c r="P13116" s="50">
        <v>77.715000000000003</v>
      </c>
    </row>
    <row r="13117" spans="4:16" x14ac:dyDescent="0.2">
      <c r="D13117">
        <v>100007908</v>
      </c>
      <c r="E13117" s="49">
        <v>44720</v>
      </c>
      <c r="F13117" t="s">
        <v>8350</v>
      </c>
      <c r="G13117" t="s">
        <v>2161</v>
      </c>
      <c r="H13117">
        <v>5</v>
      </c>
      <c r="I13117">
        <v>55.81</v>
      </c>
      <c r="J13117" s="50">
        <v>279.05</v>
      </c>
      <c r="K13117" t="s">
        <v>1632</v>
      </c>
      <c r="M13117" t="s">
        <v>1624</v>
      </c>
      <c r="N13117">
        <v>29.46</v>
      </c>
      <c r="O13117" s="49">
        <v>44724</v>
      </c>
      <c r="P13117" s="50">
        <v>125.57250000000001</v>
      </c>
    </row>
    <row r="13118" spans="4:16" x14ac:dyDescent="0.2">
      <c r="D13118">
        <v>100007909</v>
      </c>
      <c r="E13118" s="49">
        <v>45316</v>
      </c>
      <c r="F13118" t="s">
        <v>8351</v>
      </c>
      <c r="G13118" t="s">
        <v>1620</v>
      </c>
      <c r="H13118">
        <v>4</v>
      </c>
      <c r="I13118">
        <v>52.58</v>
      </c>
      <c r="J13118" s="50">
        <v>210.32</v>
      </c>
      <c r="K13118" t="s">
        <v>1618</v>
      </c>
      <c r="M13118" t="s">
        <v>1624</v>
      </c>
      <c r="N13118">
        <v>27.75</v>
      </c>
      <c r="O13118" s="49">
        <v>45317</v>
      </c>
      <c r="P13118" s="50">
        <v>94.644000000000005</v>
      </c>
    </row>
    <row r="13119" spans="4:16" x14ac:dyDescent="0.2">
      <c r="D13119">
        <v>100007909</v>
      </c>
      <c r="E13119" s="49">
        <v>44311</v>
      </c>
      <c r="F13119" t="s">
        <v>8351</v>
      </c>
      <c r="G13119" t="s">
        <v>1945</v>
      </c>
      <c r="H13119">
        <v>1</v>
      </c>
      <c r="I13119">
        <v>76.86</v>
      </c>
      <c r="J13119" s="50">
        <v>76.86</v>
      </c>
      <c r="K13119" t="s">
        <v>1618</v>
      </c>
      <c r="M13119" t="s">
        <v>1619</v>
      </c>
      <c r="N13119">
        <v>40.56</v>
      </c>
      <c r="O13119" s="49">
        <v>44313</v>
      </c>
      <c r="P13119" s="50">
        <v>34.587000000000003</v>
      </c>
    </row>
    <row r="13120" spans="4:16" x14ac:dyDescent="0.2">
      <c r="D13120">
        <v>100007910</v>
      </c>
      <c r="E13120" s="49">
        <v>44847</v>
      </c>
      <c r="F13120" t="s">
        <v>5085</v>
      </c>
      <c r="G13120" t="s">
        <v>1855</v>
      </c>
      <c r="H13120">
        <v>6</v>
      </c>
      <c r="I13120">
        <v>82.24</v>
      </c>
      <c r="J13120" s="50">
        <v>493.43999999999988</v>
      </c>
      <c r="K13120" t="s">
        <v>1618</v>
      </c>
      <c r="M13120" t="s">
        <v>1624</v>
      </c>
      <c r="N13120">
        <v>43.4</v>
      </c>
      <c r="O13120" s="49">
        <v>44848</v>
      </c>
      <c r="P13120" s="50">
        <v>222.04799999999994</v>
      </c>
    </row>
    <row r="13121" spans="4:16" x14ac:dyDescent="0.2">
      <c r="D13121">
        <v>100007911</v>
      </c>
      <c r="E13121" s="49">
        <v>44501</v>
      </c>
      <c r="F13121" t="s">
        <v>8352</v>
      </c>
      <c r="G13121" t="s">
        <v>1783</v>
      </c>
      <c r="H13121">
        <v>3</v>
      </c>
      <c r="I13121">
        <v>111.28</v>
      </c>
      <c r="J13121" s="50">
        <v>333.84</v>
      </c>
      <c r="K13121" t="s">
        <v>1632</v>
      </c>
      <c r="L13121" t="s">
        <v>8353</v>
      </c>
      <c r="M13121" t="s">
        <v>1624</v>
      </c>
      <c r="N13121">
        <v>58.73</v>
      </c>
      <c r="O13121" s="49">
        <v>44504</v>
      </c>
      <c r="P13121" s="50">
        <v>150.22799999999998</v>
      </c>
    </row>
    <row r="13122" spans="4:16" x14ac:dyDescent="0.2">
      <c r="D13122">
        <v>100007911</v>
      </c>
      <c r="E13122" s="49">
        <v>44980</v>
      </c>
      <c r="F13122" t="s">
        <v>8352</v>
      </c>
      <c r="G13122" t="s">
        <v>2093</v>
      </c>
      <c r="H13122">
        <v>1</v>
      </c>
      <c r="I13122">
        <v>114.07</v>
      </c>
      <c r="J13122" s="50">
        <v>114.07</v>
      </c>
      <c r="K13122" t="s">
        <v>1632</v>
      </c>
      <c r="L13122" t="s">
        <v>8353</v>
      </c>
      <c r="M13122" t="s">
        <v>1629</v>
      </c>
      <c r="N13122">
        <v>60.2</v>
      </c>
      <c r="O13122" s="49">
        <v>44983</v>
      </c>
      <c r="P13122" s="50">
        <v>51.331499999999998</v>
      </c>
    </row>
    <row r="13123" spans="4:16" x14ac:dyDescent="0.2">
      <c r="D13123">
        <v>100007912</v>
      </c>
      <c r="E13123" s="49">
        <v>44448</v>
      </c>
      <c r="F13123" t="s">
        <v>8354</v>
      </c>
      <c r="G13123" t="s">
        <v>1799</v>
      </c>
      <c r="H13123">
        <v>4</v>
      </c>
      <c r="I13123">
        <v>89.09</v>
      </c>
      <c r="J13123" s="50">
        <v>356.36</v>
      </c>
      <c r="K13123" t="s">
        <v>1618</v>
      </c>
      <c r="M13123" t="s">
        <v>1621</v>
      </c>
      <c r="N13123">
        <v>47.02</v>
      </c>
      <c r="O13123" s="49">
        <v>44453</v>
      </c>
      <c r="P13123" s="50">
        <v>160.36200000000002</v>
      </c>
    </row>
    <row r="13124" spans="4:16" x14ac:dyDescent="0.2">
      <c r="D13124">
        <v>100007912</v>
      </c>
      <c r="E13124" s="49">
        <v>45520</v>
      </c>
      <c r="F13124" t="s">
        <v>8354</v>
      </c>
      <c r="G13124" t="s">
        <v>1770</v>
      </c>
      <c r="H13124">
        <v>3</v>
      </c>
      <c r="I13124">
        <v>76.569999999999993</v>
      </c>
      <c r="J13124" s="50">
        <v>229.71</v>
      </c>
      <c r="K13124" t="s">
        <v>1618</v>
      </c>
      <c r="M13124" t="s">
        <v>1619</v>
      </c>
      <c r="N13124">
        <v>40.409999999999997</v>
      </c>
      <c r="O13124" s="49">
        <v>45524</v>
      </c>
      <c r="P13124" s="50">
        <v>103.3695</v>
      </c>
    </row>
    <row r="13125" spans="4:16" x14ac:dyDescent="0.2">
      <c r="D13125">
        <v>100007912</v>
      </c>
      <c r="E13125" s="49">
        <v>45256</v>
      </c>
      <c r="F13125" t="s">
        <v>8354</v>
      </c>
      <c r="G13125" t="s">
        <v>1664</v>
      </c>
      <c r="H13125">
        <v>8</v>
      </c>
      <c r="I13125">
        <v>75.64</v>
      </c>
      <c r="J13125" s="50">
        <v>605.12</v>
      </c>
      <c r="K13125" t="s">
        <v>1618</v>
      </c>
      <c r="M13125" t="s">
        <v>1629</v>
      </c>
      <c r="N13125">
        <v>39.92</v>
      </c>
      <c r="O13125" s="49">
        <v>45261</v>
      </c>
      <c r="P13125" s="50">
        <v>272.30400000000003</v>
      </c>
    </row>
    <row r="13126" spans="4:16" x14ac:dyDescent="0.2">
      <c r="D13126">
        <v>100007913</v>
      </c>
      <c r="E13126" s="49">
        <v>45532</v>
      </c>
      <c r="F13126" t="s">
        <v>8355</v>
      </c>
      <c r="G13126" t="s">
        <v>2207</v>
      </c>
      <c r="H13126">
        <v>2</v>
      </c>
      <c r="I13126">
        <v>75.760000000000005</v>
      </c>
      <c r="J13126" s="50">
        <v>151.52000000000001</v>
      </c>
      <c r="K13126" t="s">
        <v>1618</v>
      </c>
      <c r="M13126" t="s">
        <v>1624</v>
      </c>
      <c r="N13126">
        <v>39.979999999999997</v>
      </c>
      <c r="O13126" s="49">
        <v>45534</v>
      </c>
      <c r="P13126" s="50">
        <v>68.184000000000012</v>
      </c>
    </row>
    <row r="13127" spans="4:16" x14ac:dyDescent="0.2">
      <c r="D13127">
        <v>100007913</v>
      </c>
      <c r="E13127" s="49">
        <v>45290</v>
      </c>
      <c r="F13127" t="s">
        <v>8355</v>
      </c>
      <c r="G13127" t="s">
        <v>2337</v>
      </c>
      <c r="H13127">
        <v>7</v>
      </c>
      <c r="I13127">
        <v>90.48</v>
      </c>
      <c r="J13127" s="50">
        <v>633.36</v>
      </c>
      <c r="K13127" t="s">
        <v>1618</v>
      </c>
      <c r="M13127" t="s">
        <v>1624</v>
      </c>
      <c r="N13127">
        <v>47.75</v>
      </c>
      <c r="O13127" s="49">
        <v>45293</v>
      </c>
      <c r="P13127" s="50">
        <v>285.012</v>
      </c>
    </row>
    <row r="13128" spans="4:16" x14ac:dyDescent="0.2">
      <c r="D13128">
        <v>100007914</v>
      </c>
      <c r="E13128" s="49">
        <v>45027</v>
      </c>
      <c r="F13128" t="s">
        <v>8356</v>
      </c>
      <c r="G13128" t="s">
        <v>2142</v>
      </c>
      <c r="H13128">
        <v>10</v>
      </c>
      <c r="I13128">
        <v>91.68</v>
      </c>
      <c r="J13128" s="50">
        <v>916.80000000000007</v>
      </c>
      <c r="K13128" t="s">
        <v>1618</v>
      </c>
      <c r="M13128" t="s">
        <v>1629</v>
      </c>
      <c r="N13128">
        <v>48.39</v>
      </c>
      <c r="O13128" s="49">
        <v>45029</v>
      </c>
      <c r="P13128" s="50">
        <v>412.56000000000006</v>
      </c>
    </row>
    <row r="13129" spans="4:16" x14ac:dyDescent="0.2">
      <c r="D13129">
        <v>100007915</v>
      </c>
      <c r="E13129" s="49">
        <v>44277</v>
      </c>
      <c r="F13129" t="s">
        <v>8357</v>
      </c>
      <c r="G13129" t="s">
        <v>2003</v>
      </c>
      <c r="H13129">
        <v>3</v>
      </c>
      <c r="I13129">
        <v>80.790000000000006</v>
      </c>
      <c r="J13129" s="50">
        <v>242.37</v>
      </c>
      <c r="K13129" t="s">
        <v>1618</v>
      </c>
      <c r="M13129" t="s">
        <v>1619</v>
      </c>
      <c r="N13129">
        <v>42.64</v>
      </c>
      <c r="O13129" s="49">
        <v>44281</v>
      </c>
      <c r="P13129" s="50">
        <v>109.0665</v>
      </c>
    </row>
    <row r="13130" spans="4:16" x14ac:dyDescent="0.2">
      <c r="D13130">
        <v>100007915</v>
      </c>
      <c r="E13130" s="49">
        <v>44669</v>
      </c>
      <c r="F13130" t="s">
        <v>8357</v>
      </c>
      <c r="G13130" t="s">
        <v>1699</v>
      </c>
      <c r="H13130">
        <v>5</v>
      </c>
      <c r="I13130">
        <v>13.4</v>
      </c>
      <c r="J13130" s="50">
        <v>67</v>
      </c>
      <c r="K13130" t="s">
        <v>1618</v>
      </c>
      <c r="M13130" t="s">
        <v>1627</v>
      </c>
      <c r="N13130">
        <v>7.07</v>
      </c>
      <c r="O13130" s="49">
        <v>44670</v>
      </c>
      <c r="P13130" s="50">
        <v>30.150000000000002</v>
      </c>
    </row>
    <row r="13131" spans="4:16" x14ac:dyDescent="0.2">
      <c r="D13131">
        <v>100007915</v>
      </c>
      <c r="E13131" s="49">
        <v>44829</v>
      </c>
      <c r="F13131" t="s">
        <v>8357</v>
      </c>
      <c r="G13131" t="s">
        <v>1783</v>
      </c>
      <c r="H13131">
        <v>3</v>
      </c>
      <c r="I13131">
        <v>13.41</v>
      </c>
      <c r="J13131" s="50">
        <v>40.229999999999997</v>
      </c>
      <c r="K13131" t="s">
        <v>1618</v>
      </c>
      <c r="M13131" t="s">
        <v>1627</v>
      </c>
      <c r="N13131">
        <v>7.08</v>
      </c>
      <c r="O13131" s="49">
        <v>44831</v>
      </c>
      <c r="P13131" s="50">
        <v>18.1035</v>
      </c>
    </row>
    <row r="13132" spans="4:16" x14ac:dyDescent="0.2">
      <c r="D13132">
        <v>100007918</v>
      </c>
      <c r="E13132" s="49">
        <v>44356</v>
      </c>
      <c r="F13132" t="s">
        <v>8358</v>
      </c>
      <c r="G13132" t="s">
        <v>1686</v>
      </c>
      <c r="H13132">
        <v>9</v>
      </c>
      <c r="I13132">
        <v>10.15</v>
      </c>
      <c r="J13132" s="50">
        <v>91.350000000000009</v>
      </c>
      <c r="K13132" t="s">
        <v>1632</v>
      </c>
      <c r="M13132" t="s">
        <v>1621</v>
      </c>
      <c r="N13132">
        <v>5.36</v>
      </c>
      <c r="O13132" s="49">
        <v>44359</v>
      </c>
      <c r="P13132" s="50">
        <v>41.107500000000002</v>
      </c>
    </row>
    <row r="13133" spans="4:16" x14ac:dyDescent="0.2">
      <c r="D13133">
        <v>100007918</v>
      </c>
      <c r="E13133" s="49">
        <v>44825</v>
      </c>
      <c r="F13133" t="s">
        <v>8358</v>
      </c>
      <c r="G13133" t="s">
        <v>2412</v>
      </c>
      <c r="H13133">
        <v>6</v>
      </c>
      <c r="I13133">
        <v>61.26</v>
      </c>
      <c r="J13133" s="50">
        <v>367.56</v>
      </c>
      <c r="K13133" t="s">
        <v>1632</v>
      </c>
      <c r="M13133" t="s">
        <v>1627</v>
      </c>
      <c r="N13133">
        <v>32.33</v>
      </c>
      <c r="O13133" s="49">
        <v>44826</v>
      </c>
      <c r="P13133" s="50">
        <v>165.40200000000002</v>
      </c>
    </row>
    <row r="13134" spans="4:16" x14ac:dyDescent="0.2">
      <c r="D13134">
        <v>100007918</v>
      </c>
      <c r="E13134" s="49">
        <v>44414</v>
      </c>
      <c r="F13134" t="s">
        <v>8358</v>
      </c>
      <c r="G13134" t="s">
        <v>2147</v>
      </c>
      <c r="H13134">
        <v>9</v>
      </c>
      <c r="I13134">
        <v>76.739999999999995</v>
      </c>
      <c r="J13134" s="50">
        <v>690.66</v>
      </c>
      <c r="K13134" t="s">
        <v>1632</v>
      </c>
      <c r="M13134" t="s">
        <v>1627</v>
      </c>
      <c r="N13134">
        <v>40.5</v>
      </c>
      <c r="O13134" s="49">
        <v>44415</v>
      </c>
      <c r="P13134" s="50">
        <v>310.79699999999997</v>
      </c>
    </row>
    <row r="13135" spans="4:16" x14ac:dyDescent="0.2">
      <c r="D13135">
        <v>100007918</v>
      </c>
      <c r="E13135" s="49">
        <v>45585</v>
      </c>
      <c r="F13135" t="s">
        <v>8358</v>
      </c>
      <c r="G13135" t="s">
        <v>2147</v>
      </c>
      <c r="H13135">
        <v>3</v>
      </c>
      <c r="I13135">
        <v>63.16</v>
      </c>
      <c r="J13135" s="50">
        <v>189.48</v>
      </c>
      <c r="K13135" t="s">
        <v>1632</v>
      </c>
      <c r="M13135" t="s">
        <v>1624</v>
      </c>
      <c r="N13135">
        <v>33.33</v>
      </c>
      <c r="O13135" s="49">
        <v>45590</v>
      </c>
      <c r="P13135" s="50">
        <v>85.265999999999991</v>
      </c>
    </row>
    <row r="13136" spans="4:16" x14ac:dyDescent="0.2">
      <c r="D13136">
        <v>100007918</v>
      </c>
      <c r="E13136" s="49">
        <v>45502</v>
      </c>
      <c r="F13136" t="s">
        <v>8358</v>
      </c>
      <c r="G13136" t="s">
        <v>1924</v>
      </c>
      <c r="H13136">
        <v>6</v>
      </c>
      <c r="I13136">
        <v>103.82</v>
      </c>
      <c r="J13136" s="50">
        <v>622.91999999999996</v>
      </c>
      <c r="K13136" t="s">
        <v>1632</v>
      </c>
      <c r="M13136" t="s">
        <v>1627</v>
      </c>
      <c r="N13136">
        <v>54.79</v>
      </c>
      <c r="O13136" s="49">
        <v>45504</v>
      </c>
      <c r="P13136" s="50">
        <v>280.31399999999996</v>
      </c>
    </row>
    <row r="13137" spans="4:16" x14ac:dyDescent="0.2">
      <c r="D13137">
        <v>100007919</v>
      </c>
      <c r="E13137" s="49">
        <v>45470</v>
      </c>
      <c r="F13137" t="s">
        <v>8359</v>
      </c>
      <c r="G13137" t="s">
        <v>1948</v>
      </c>
      <c r="H13137">
        <v>9</v>
      </c>
      <c r="I13137">
        <v>82.76</v>
      </c>
      <c r="J13137" s="50">
        <v>744.84</v>
      </c>
      <c r="K13137" t="s">
        <v>1618</v>
      </c>
      <c r="M13137" t="s">
        <v>1621</v>
      </c>
      <c r="N13137">
        <v>43.68</v>
      </c>
      <c r="O13137" s="49">
        <v>45471</v>
      </c>
      <c r="P13137" s="50">
        <v>335.178</v>
      </c>
    </row>
    <row r="13138" spans="4:16" x14ac:dyDescent="0.2">
      <c r="D13138">
        <v>100007920</v>
      </c>
      <c r="E13138" s="49">
        <v>44989</v>
      </c>
      <c r="F13138" t="s">
        <v>8360</v>
      </c>
      <c r="G13138" t="s">
        <v>1730</v>
      </c>
      <c r="H13138">
        <v>1</v>
      </c>
      <c r="I13138">
        <v>112.68</v>
      </c>
      <c r="J13138" s="50">
        <v>112.68</v>
      </c>
      <c r="K13138" t="s">
        <v>1618</v>
      </c>
      <c r="M13138" t="s">
        <v>1619</v>
      </c>
      <c r="N13138">
        <v>59.47</v>
      </c>
      <c r="O13138" s="49">
        <v>44991</v>
      </c>
      <c r="P13138" s="50">
        <v>50.706000000000003</v>
      </c>
    </row>
    <row r="13139" spans="4:16" x14ac:dyDescent="0.2">
      <c r="D13139">
        <v>100007921</v>
      </c>
      <c r="E13139" s="49">
        <v>44569</v>
      </c>
      <c r="F13139" t="s">
        <v>8361</v>
      </c>
      <c r="G13139" t="s">
        <v>2328</v>
      </c>
      <c r="H13139">
        <v>3</v>
      </c>
      <c r="I13139">
        <v>71.900000000000006</v>
      </c>
      <c r="J13139" s="50">
        <v>215.7</v>
      </c>
      <c r="K13139" t="s">
        <v>1618</v>
      </c>
      <c r="M13139" t="s">
        <v>1629</v>
      </c>
      <c r="N13139">
        <v>37.950000000000003</v>
      </c>
      <c r="O13139" s="49">
        <v>44573</v>
      </c>
      <c r="P13139" s="50">
        <v>97.064999999999998</v>
      </c>
    </row>
    <row r="13140" spans="4:16" x14ac:dyDescent="0.2">
      <c r="D13140">
        <v>100007923</v>
      </c>
      <c r="E13140" s="49">
        <v>44837</v>
      </c>
      <c r="F13140" t="s">
        <v>8362</v>
      </c>
      <c r="G13140" t="s">
        <v>1792</v>
      </c>
      <c r="H13140">
        <v>7</v>
      </c>
      <c r="I13140">
        <v>98.99</v>
      </c>
      <c r="J13140" s="50">
        <v>692.93</v>
      </c>
      <c r="K13140" t="s">
        <v>1618</v>
      </c>
      <c r="M13140" t="s">
        <v>1619</v>
      </c>
      <c r="N13140">
        <v>52.24</v>
      </c>
      <c r="O13140" s="49">
        <v>44838</v>
      </c>
      <c r="P13140" s="50">
        <v>311.81849999999997</v>
      </c>
    </row>
    <row r="13141" spans="4:16" x14ac:dyDescent="0.2">
      <c r="D13141">
        <v>100007924</v>
      </c>
      <c r="E13141" s="49">
        <v>45039</v>
      </c>
      <c r="F13141" t="s">
        <v>8363</v>
      </c>
      <c r="G13141" t="s">
        <v>1985</v>
      </c>
      <c r="H13141">
        <v>6</v>
      </c>
      <c r="I13141">
        <v>33.17</v>
      </c>
      <c r="J13141" s="50">
        <v>199.02</v>
      </c>
      <c r="K13141" t="s">
        <v>1618</v>
      </c>
      <c r="M13141" t="s">
        <v>1619</v>
      </c>
      <c r="N13141">
        <v>17.510000000000002</v>
      </c>
      <c r="O13141" s="49">
        <v>45043</v>
      </c>
      <c r="P13141" s="50">
        <v>89.559000000000012</v>
      </c>
    </row>
    <row r="13142" spans="4:16" x14ac:dyDescent="0.2">
      <c r="D13142">
        <v>100007925</v>
      </c>
      <c r="E13142" s="49">
        <v>44484</v>
      </c>
      <c r="F13142" t="s">
        <v>8364</v>
      </c>
      <c r="G13142" t="s">
        <v>1969</v>
      </c>
      <c r="H13142">
        <v>10</v>
      </c>
      <c r="I13142">
        <v>117.84</v>
      </c>
      <c r="J13142" s="50">
        <v>1178.4000000000001</v>
      </c>
      <c r="K13142" t="s">
        <v>1632</v>
      </c>
      <c r="L13142" t="s">
        <v>2684</v>
      </c>
      <c r="M13142" t="s">
        <v>1624</v>
      </c>
      <c r="N13142">
        <v>62.19</v>
      </c>
      <c r="O13142" s="49">
        <v>44488</v>
      </c>
      <c r="P13142" s="50">
        <v>530.28000000000009</v>
      </c>
    </row>
    <row r="13143" spans="4:16" x14ac:dyDescent="0.2">
      <c r="D13143">
        <v>100007925</v>
      </c>
      <c r="E13143" s="49">
        <v>44654</v>
      </c>
      <c r="F13143" t="s">
        <v>8364</v>
      </c>
      <c r="G13143" t="s">
        <v>1955</v>
      </c>
      <c r="H13143">
        <v>7</v>
      </c>
      <c r="I13143">
        <v>114.08</v>
      </c>
      <c r="J13143" s="50">
        <v>798.56</v>
      </c>
      <c r="K13143" t="s">
        <v>1632</v>
      </c>
      <c r="L13143" t="s">
        <v>2684</v>
      </c>
      <c r="M13143" t="s">
        <v>1629</v>
      </c>
      <c r="N13143">
        <v>60.21</v>
      </c>
      <c r="O13143" s="49">
        <v>44656</v>
      </c>
      <c r="P13143" s="50">
        <v>359.35199999999998</v>
      </c>
    </row>
    <row r="13144" spans="4:16" x14ac:dyDescent="0.2">
      <c r="D13144">
        <v>100007929</v>
      </c>
      <c r="E13144" s="49">
        <v>44884</v>
      </c>
      <c r="F13144" t="s">
        <v>8365</v>
      </c>
      <c r="G13144" t="s">
        <v>1740</v>
      </c>
      <c r="H13144">
        <v>6</v>
      </c>
      <c r="I13144">
        <v>108.99</v>
      </c>
      <c r="J13144" s="50">
        <v>653.93999999999994</v>
      </c>
      <c r="K13144" t="s">
        <v>1632</v>
      </c>
      <c r="M13144" t="s">
        <v>1621</v>
      </c>
      <c r="N13144">
        <v>57.52</v>
      </c>
      <c r="O13144" s="49">
        <v>44887</v>
      </c>
      <c r="P13144" s="50">
        <v>294.27299999999997</v>
      </c>
    </row>
    <row r="13145" spans="4:16" x14ac:dyDescent="0.2">
      <c r="D13145">
        <v>100007929</v>
      </c>
      <c r="E13145" s="49">
        <v>45646</v>
      </c>
      <c r="F13145" t="s">
        <v>8365</v>
      </c>
      <c r="G13145" t="s">
        <v>1719</v>
      </c>
      <c r="H13145">
        <v>4</v>
      </c>
      <c r="I13145">
        <v>103.64</v>
      </c>
      <c r="J13145" s="50">
        <v>414.56</v>
      </c>
      <c r="K13145" t="s">
        <v>1632</v>
      </c>
      <c r="M13145" t="s">
        <v>1627</v>
      </c>
      <c r="N13145">
        <v>54.7</v>
      </c>
      <c r="O13145" s="49">
        <v>45651</v>
      </c>
      <c r="P13145" s="50">
        <v>186.55199999999999</v>
      </c>
    </row>
    <row r="13146" spans="4:16" x14ac:dyDescent="0.2">
      <c r="D13146">
        <v>100007929</v>
      </c>
      <c r="E13146" s="49">
        <v>44471</v>
      </c>
      <c r="F13146" t="s">
        <v>8365</v>
      </c>
      <c r="G13146" t="s">
        <v>1623</v>
      </c>
      <c r="H13146">
        <v>4</v>
      </c>
      <c r="I13146">
        <v>26.48</v>
      </c>
      <c r="J13146" s="50">
        <v>105.92</v>
      </c>
      <c r="K13146" t="s">
        <v>1632</v>
      </c>
      <c r="M13146" t="s">
        <v>1627</v>
      </c>
      <c r="N13146">
        <v>13.98</v>
      </c>
      <c r="O13146" s="49">
        <v>44474</v>
      </c>
      <c r="P13146" s="50">
        <v>47.664000000000001</v>
      </c>
    </row>
    <row r="13147" spans="4:16" x14ac:dyDescent="0.2">
      <c r="D13147">
        <v>100007929</v>
      </c>
      <c r="E13147" s="49">
        <v>45540</v>
      </c>
      <c r="F13147" t="s">
        <v>8365</v>
      </c>
      <c r="G13147" t="s">
        <v>1722</v>
      </c>
      <c r="H13147">
        <v>6</v>
      </c>
      <c r="I13147">
        <v>30.71</v>
      </c>
      <c r="J13147" s="50">
        <v>184.26</v>
      </c>
      <c r="K13147" t="s">
        <v>1632</v>
      </c>
      <c r="M13147" t="s">
        <v>1619</v>
      </c>
      <c r="N13147">
        <v>16.21</v>
      </c>
      <c r="O13147" s="49">
        <v>45543</v>
      </c>
      <c r="P13147" s="50">
        <v>82.917000000000002</v>
      </c>
    </row>
    <row r="13148" spans="4:16" x14ac:dyDescent="0.2">
      <c r="D13148">
        <v>100007930</v>
      </c>
      <c r="E13148" s="49">
        <v>45239</v>
      </c>
      <c r="F13148" t="s">
        <v>8366</v>
      </c>
      <c r="G13148" t="s">
        <v>2096</v>
      </c>
      <c r="H13148">
        <v>9</v>
      </c>
      <c r="I13148">
        <v>99.51</v>
      </c>
      <c r="J13148" s="50">
        <v>895.59</v>
      </c>
      <c r="K13148" t="s">
        <v>1618</v>
      </c>
      <c r="M13148" t="s">
        <v>1624</v>
      </c>
      <c r="N13148">
        <v>52.52</v>
      </c>
      <c r="O13148" s="49">
        <v>45241</v>
      </c>
      <c r="P13148" s="50">
        <v>403.01550000000003</v>
      </c>
    </row>
    <row r="13149" spans="4:16" x14ac:dyDescent="0.2">
      <c r="D13149">
        <v>100007930</v>
      </c>
      <c r="E13149" s="49">
        <v>44561</v>
      </c>
      <c r="F13149" t="s">
        <v>8366</v>
      </c>
      <c r="G13149" t="s">
        <v>2099</v>
      </c>
      <c r="H13149">
        <v>8</v>
      </c>
      <c r="I13149">
        <v>42.3</v>
      </c>
      <c r="J13149" s="50">
        <v>338.4</v>
      </c>
      <c r="K13149" t="s">
        <v>1618</v>
      </c>
      <c r="M13149" t="s">
        <v>1624</v>
      </c>
      <c r="N13149">
        <v>22.32</v>
      </c>
      <c r="O13149" s="49">
        <v>44562</v>
      </c>
      <c r="P13149" s="50">
        <v>152.28</v>
      </c>
    </row>
    <row r="13150" spans="4:16" x14ac:dyDescent="0.2">
      <c r="D13150">
        <v>100007930</v>
      </c>
      <c r="E13150" s="49">
        <v>44417</v>
      </c>
      <c r="F13150" t="s">
        <v>8366</v>
      </c>
      <c r="G13150" t="s">
        <v>2142</v>
      </c>
      <c r="H13150">
        <v>2</v>
      </c>
      <c r="I13150">
        <v>30.88</v>
      </c>
      <c r="J13150" s="50">
        <v>61.76</v>
      </c>
      <c r="K13150" t="s">
        <v>1618</v>
      </c>
      <c r="M13150" t="s">
        <v>1619</v>
      </c>
      <c r="N13150">
        <v>16.3</v>
      </c>
      <c r="O13150" s="49">
        <v>44419</v>
      </c>
      <c r="P13150" s="50">
        <v>27.791999999999998</v>
      </c>
    </row>
    <row r="13151" spans="4:16" x14ac:dyDescent="0.2">
      <c r="D13151">
        <v>100007930</v>
      </c>
      <c r="E13151" s="49">
        <v>44954</v>
      </c>
      <c r="F13151" t="s">
        <v>8366</v>
      </c>
      <c r="G13151" t="s">
        <v>2232</v>
      </c>
      <c r="H13151">
        <v>2</v>
      </c>
      <c r="I13151">
        <v>25.75</v>
      </c>
      <c r="J13151" s="50">
        <v>51.5</v>
      </c>
      <c r="K13151" t="s">
        <v>1618</v>
      </c>
      <c r="M13151" t="s">
        <v>1619</v>
      </c>
      <c r="N13151">
        <v>13.59</v>
      </c>
      <c r="O13151" s="49">
        <v>44958</v>
      </c>
      <c r="P13151" s="50">
        <v>23.175000000000001</v>
      </c>
    </row>
    <row r="13152" spans="4:16" x14ac:dyDescent="0.2">
      <c r="D13152">
        <v>100007930</v>
      </c>
      <c r="E13152" s="49">
        <v>44690</v>
      </c>
      <c r="F13152" t="s">
        <v>8366</v>
      </c>
      <c r="G13152" t="s">
        <v>2328</v>
      </c>
      <c r="H13152">
        <v>7</v>
      </c>
      <c r="I13152">
        <v>71.94</v>
      </c>
      <c r="J13152" s="50">
        <v>503.58</v>
      </c>
      <c r="K13152" t="s">
        <v>1618</v>
      </c>
      <c r="M13152" t="s">
        <v>1619</v>
      </c>
      <c r="N13152">
        <v>37.97</v>
      </c>
      <c r="O13152" s="49">
        <v>44691</v>
      </c>
      <c r="P13152" s="50">
        <v>226.61099999999999</v>
      </c>
    </row>
    <row r="13153" spans="4:16" x14ac:dyDescent="0.2">
      <c r="D13153">
        <v>100007931</v>
      </c>
      <c r="E13153" s="49">
        <v>44919</v>
      </c>
      <c r="F13153" t="s">
        <v>8367</v>
      </c>
      <c r="G13153" t="s">
        <v>1893</v>
      </c>
      <c r="H13153">
        <v>4</v>
      </c>
      <c r="I13153">
        <v>117.67</v>
      </c>
      <c r="J13153" s="50">
        <v>470.68</v>
      </c>
      <c r="K13153" t="s">
        <v>1618</v>
      </c>
      <c r="L13153" t="s">
        <v>4578</v>
      </c>
      <c r="M13153" t="s">
        <v>1627</v>
      </c>
      <c r="N13153">
        <v>62.1</v>
      </c>
      <c r="O13153" s="49">
        <v>44924</v>
      </c>
      <c r="P13153" s="50">
        <v>211.80600000000001</v>
      </c>
    </row>
    <row r="13154" spans="4:16" x14ac:dyDescent="0.2">
      <c r="D13154">
        <v>100007932</v>
      </c>
      <c r="E13154" s="49">
        <v>45640</v>
      </c>
      <c r="F13154" t="s">
        <v>8368</v>
      </c>
      <c r="G13154" t="s">
        <v>2581</v>
      </c>
      <c r="H13154">
        <v>6</v>
      </c>
      <c r="I13154">
        <v>60.15</v>
      </c>
      <c r="J13154" s="50">
        <v>360.9</v>
      </c>
      <c r="K13154" t="s">
        <v>1618</v>
      </c>
      <c r="M13154" t="s">
        <v>1624</v>
      </c>
      <c r="N13154">
        <v>31.75</v>
      </c>
      <c r="O13154" s="49">
        <v>45644</v>
      </c>
      <c r="P13154" s="50">
        <v>162.405</v>
      </c>
    </row>
    <row r="13155" spans="4:16" x14ac:dyDescent="0.2">
      <c r="D13155">
        <v>100007932</v>
      </c>
      <c r="E13155" s="49">
        <v>44923</v>
      </c>
      <c r="F13155" t="s">
        <v>8368</v>
      </c>
      <c r="G13155" t="s">
        <v>1985</v>
      </c>
      <c r="H13155">
        <v>10</v>
      </c>
      <c r="I13155">
        <v>93.62</v>
      </c>
      <c r="J13155" s="50">
        <v>936.2</v>
      </c>
      <c r="K13155" t="s">
        <v>1618</v>
      </c>
      <c r="M13155" t="s">
        <v>1619</v>
      </c>
      <c r="N13155">
        <v>49.41</v>
      </c>
      <c r="O13155" s="49">
        <v>44926</v>
      </c>
      <c r="P13155" s="50">
        <v>421.29</v>
      </c>
    </row>
    <row r="13156" spans="4:16" x14ac:dyDescent="0.2">
      <c r="D13156">
        <v>100007932</v>
      </c>
      <c r="E13156" s="49">
        <v>44276</v>
      </c>
      <c r="F13156" t="s">
        <v>8368</v>
      </c>
      <c r="G13156" t="s">
        <v>1789</v>
      </c>
      <c r="H13156">
        <v>1</v>
      </c>
      <c r="I13156">
        <v>35.340000000000003</v>
      </c>
      <c r="J13156" s="50">
        <v>35.340000000000003</v>
      </c>
      <c r="K13156" t="s">
        <v>1618</v>
      </c>
      <c r="M13156" t="s">
        <v>1629</v>
      </c>
      <c r="N13156">
        <v>18.649999999999999</v>
      </c>
      <c r="O13156" s="49">
        <v>44278</v>
      </c>
      <c r="P13156" s="50">
        <v>15.903000000000002</v>
      </c>
    </row>
    <row r="13157" spans="4:16" x14ac:dyDescent="0.2">
      <c r="D13157">
        <v>100007933</v>
      </c>
      <c r="E13157" s="49">
        <v>45566</v>
      </c>
      <c r="F13157" t="s">
        <v>8369</v>
      </c>
      <c r="G13157" t="s">
        <v>2028</v>
      </c>
      <c r="H13157">
        <v>5</v>
      </c>
      <c r="I13157">
        <v>68.37</v>
      </c>
      <c r="J13157" s="50">
        <v>341.85</v>
      </c>
      <c r="K13157" t="s">
        <v>1618</v>
      </c>
      <c r="M13157" t="s">
        <v>1624</v>
      </c>
      <c r="N13157">
        <v>36.08</v>
      </c>
      <c r="O13157" s="49">
        <v>45569</v>
      </c>
      <c r="P13157" s="50">
        <v>153.83250000000001</v>
      </c>
    </row>
    <row r="13158" spans="4:16" x14ac:dyDescent="0.2">
      <c r="D13158">
        <v>100007934</v>
      </c>
      <c r="E13158" s="49">
        <v>45515</v>
      </c>
      <c r="F13158" t="s">
        <v>8370</v>
      </c>
      <c r="G13158" t="s">
        <v>1722</v>
      </c>
      <c r="H13158">
        <v>1</v>
      </c>
      <c r="I13158">
        <v>95.27</v>
      </c>
      <c r="J13158" s="50">
        <v>95.27</v>
      </c>
      <c r="K13158" t="s">
        <v>1632</v>
      </c>
      <c r="L13158" t="s">
        <v>8229</v>
      </c>
      <c r="M13158" t="s">
        <v>1619</v>
      </c>
      <c r="N13158">
        <v>50.28</v>
      </c>
      <c r="O13158" s="49">
        <v>45519</v>
      </c>
      <c r="P13158" s="50">
        <v>42.871499999999997</v>
      </c>
    </row>
    <row r="13159" spans="4:16" x14ac:dyDescent="0.2">
      <c r="D13159">
        <v>100007934</v>
      </c>
      <c r="E13159" s="49">
        <v>44202</v>
      </c>
      <c r="F13159" t="s">
        <v>8370</v>
      </c>
      <c r="G13159" t="s">
        <v>1785</v>
      </c>
      <c r="H13159">
        <v>8</v>
      </c>
      <c r="I13159">
        <v>25.2</v>
      </c>
      <c r="J13159" s="50">
        <v>201.6</v>
      </c>
      <c r="K13159" t="s">
        <v>1632</v>
      </c>
      <c r="L13159" t="s">
        <v>8229</v>
      </c>
      <c r="M13159" t="s">
        <v>1624</v>
      </c>
      <c r="N13159">
        <v>13.3</v>
      </c>
      <c r="O13159" s="49">
        <v>44206</v>
      </c>
      <c r="P13159" s="50">
        <v>90.72</v>
      </c>
    </row>
    <row r="13160" spans="4:16" x14ac:dyDescent="0.2">
      <c r="D13160">
        <v>100007934</v>
      </c>
      <c r="E13160" s="49">
        <v>44533</v>
      </c>
      <c r="F13160" t="s">
        <v>8370</v>
      </c>
      <c r="G13160" t="s">
        <v>1955</v>
      </c>
      <c r="H13160">
        <v>6</v>
      </c>
      <c r="I13160">
        <v>16.22</v>
      </c>
      <c r="J13160" s="50">
        <v>97.32</v>
      </c>
      <c r="K13160" t="s">
        <v>1632</v>
      </c>
      <c r="L13160" t="s">
        <v>8229</v>
      </c>
      <c r="M13160" t="s">
        <v>1621</v>
      </c>
      <c r="N13160">
        <v>8.56</v>
      </c>
      <c r="O13160" s="49">
        <v>44535</v>
      </c>
      <c r="P13160" s="50">
        <v>43.793999999999997</v>
      </c>
    </row>
    <row r="13161" spans="4:16" x14ac:dyDescent="0.2">
      <c r="D13161">
        <v>100007934</v>
      </c>
      <c r="E13161" s="49">
        <v>45146</v>
      </c>
      <c r="F13161" t="s">
        <v>8370</v>
      </c>
      <c r="G13161" t="s">
        <v>2158</v>
      </c>
      <c r="H13161">
        <v>7</v>
      </c>
      <c r="I13161">
        <v>14.92</v>
      </c>
      <c r="J13161" s="50">
        <v>104.44</v>
      </c>
      <c r="K13161" t="s">
        <v>1632</v>
      </c>
      <c r="L13161" t="s">
        <v>8229</v>
      </c>
      <c r="M13161" t="s">
        <v>1619</v>
      </c>
      <c r="N13161">
        <v>7.87</v>
      </c>
      <c r="O13161" s="49">
        <v>45151</v>
      </c>
      <c r="P13161" s="50">
        <v>46.997999999999998</v>
      </c>
    </row>
    <row r="13162" spans="4:16" x14ac:dyDescent="0.2">
      <c r="D13162">
        <v>100007934</v>
      </c>
      <c r="E13162" s="49">
        <v>44363</v>
      </c>
      <c r="F13162" t="s">
        <v>8370</v>
      </c>
      <c r="G13162" t="s">
        <v>1812</v>
      </c>
      <c r="H13162">
        <v>4</v>
      </c>
      <c r="I13162">
        <v>105.53</v>
      </c>
      <c r="J13162" s="50">
        <v>422.12</v>
      </c>
      <c r="K13162" t="s">
        <v>1632</v>
      </c>
      <c r="L13162" t="s">
        <v>8229</v>
      </c>
      <c r="M13162" t="s">
        <v>1619</v>
      </c>
      <c r="N13162">
        <v>55.7</v>
      </c>
      <c r="O13162" s="49">
        <v>44367</v>
      </c>
      <c r="P13162" s="50">
        <v>189.95400000000001</v>
      </c>
    </row>
    <row r="13163" spans="4:16" x14ac:dyDescent="0.2">
      <c r="D13163">
        <v>100007934</v>
      </c>
      <c r="E13163" s="49">
        <v>44401</v>
      </c>
      <c r="F13163" t="s">
        <v>8370</v>
      </c>
      <c r="G13163" t="s">
        <v>1722</v>
      </c>
      <c r="H13163">
        <v>7</v>
      </c>
      <c r="I13163">
        <v>55.54</v>
      </c>
      <c r="J13163" s="50">
        <v>388.78</v>
      </c>
      <c r="K13163" t="s">
        <v>1632</v>
      </c>
      <c r="L13163" t="s">
        <v>8229</v>
      </c>
      <c r="M13163" t="s">
        <v>1621</v>
      </c>
      <c r="N13163">
        <v>29.31</v>
      </c>
      <c r="O13163" s="49">
        <v>44405</v>
      </c>
      <c r="P13163" s="50">
        <v>174.95099999999999</v>
      </c>
    </row>
    <row r="13164" spans="4:16" x14ac:dyDescent="0.2">
      <c r="D13164">
        <v>100007934</v>
      </c>
      <c r="E13164" s="49">
        <v>45162</v>
      </c>
      <c r="F13164" t="s">
        <v>8370</v>
      </c>
      <c r="G13164" t="s">
        <v>2232</v>
      </c>
      <c r="H13164">
        <v>9</v>
      </c>
      <c r="I13164">
        <v>14.94</v>
      </c>
      <c r="J13164" s="50">
        <v>134.46</v>
      </c>
      <c r="K13164" t="s">
        <v>1632</v>
      </c>
      <c r="L13164" t="s">
        <v>8229</v>
      </c>
      <c r="M13164" t="s">
        <v>1619</v>
      </c>
      <c r="N13164">
        <v>7.88</v>
      </c>
      <c r="O13164" s="49">
        <v>45165</v>
      </c>
      <c r="P13164" s="50">
        <v>60.507000000000005</v>
      </c>
    </row>
    <row r="13165" spans="4:16" x14ac:dyDescent="0.2">
      <c r="D13165">
        <v>100007934</v>
      </c>
      <c r="E13165" s="49">
        <v>45360</v>
      </c>
      <c r="F13165" t="s">
        <v>8370</v>
      </c>
      <c r="G13165" t="s">
        <v>2130</v>
      </c>
      <c r="H13165">
        <v>2</v>
      </c>
      <c r="I13165">
        <v>73.61</v>
      </c>
      <c r="J13165" s="50">
        <v>147.22</v>
      </c>
      <c r="K13165" t="s">
        <v>1632</v>
      </c>
      <c r="L13165" t="s">
        <v>8229</v>
      </c>
      <c r="M13165" t="s">
        <v>1621</v>
      </c>
      <c r="N13165">
        <v>38.85</v>
      </c>
      <c r="O13165" s="49">
        <v>45364</v>
      </c>
      <c r="P13165" s="50">
        <v>66.248999999999995</v>
      </c>
    </row>
    <row r="13166" spans="4:16" x14ac:dyDescent="0.2">
      <c r="D13166">
        <v>100007934</v>
      </c>
      <c r="E13166" s="49">
        <v>44752</v>
      </c>
      <c r="F13166" t="s">
        <v>8370</v>
      </c>
      <c r="G13166" t="s">
        <v>1856</v>
      </c>
      <c r="H13166">
        <v>6</v>
      </c>
      <c r="I13166">
        <v>11.81</v>
      </c>
      <c r="J13166" s="50">
        <v>70.86</v>
      </c>
      <c r="K13166" t="s">
        <v>1632</v>
      </c>
      <c r="L13166" t="s">
        <v>8229</v>
      </c>
      <c r="M13166" t="s">
        <v>1619</v>
      </c>
      <c r="N13166">
        <v>6.23</v>
      </c>
      <c r="O13166" s="49">
        <v>44755</v>
      </c>
      <c r="P13166" s="50">
        <v>31.887</v>
      </c>
    </row>
    <row r="13167" spans="4:16" x14ac:dyDescent="0.2">
      <c r="D13167">
        <v>100007934</v>
      </c>
      <c r="E13167" s="49">
        <v>44436</v>
      </c>
      <c r="F13167" t="s">
        <v>8370</v>
      </c>
      <c r="G13167" t="s">
        <v>1670</v>
      </c>
      <c r="H13167">
        <v>7</v>
      </c>
      <c r="I13167">
        <v>77.89</v>
      </c>
      <c r="J13167" s="50">
        <v>545.23</v>
      </c>
      <c r="K13167" t="s">
        <v>1632</v>
      </c>
      <c r="L13167" t="s">
        <v>8229</v>
      </c>
      <c r="M13167" t="s">
        <v>1619</v>
      </c>
      <c r="N13167">
        <v>41.11</v>
      </c>
      <c r="O13167" s="49">
        <v>44437</v>
      </c>
      <c r="P13167" s="50">
        <v>245.35350000000003</v>
      </c>
    </row>
    <row r="13168" spans="4:16" x14ac:dyDescent="0.2">
      <c r="D13168">
        <v>100007934</v>
      </c>
      <c r="E13168" s="49">
        <v>45364</v>
      </c>
      <c r="F13168" t="s">
        <v>8370</v>
      </c>
      <c r="G13168" t="s">
        <v>1650</v>
      </c>
      <c r="H13168">
        <v>4</v>
      </c>
      <c r="I13168">
        <v>77.3</v>
      </c>
      <c r="J13168" s="50">
        <v>309.2</v>
      </c>
      <c r="K13168" t="s">
        <v>1632</v>
      </c>
      <c r="L13168" t="s">
        <v>8229</v>
      </c>
      <c r="M13168" t="s">
        <v>1629</v>
      </c>
      <c r="N13168">
        <v>40.799999999999997</v>
      </c>
      <c r="O13168" s="49">
        <v>45368</v>
      </c>
      <c r="P13168" s="50">
        <v>139.13999999999999</v>
      </c>
    </row>
    <row r="13169" spans="4:16" x14ac:dyDescent="0.2">
      <c r="D13169">
        <v>100007934</v>
      </c>
      <c r="E13169" s="49">
        <v>44389</v>
      </c>
      <c r="F13169" t="s">
        <v>8370</v>
      </c>
      <c r="G13169" t="s">
        <v>2436</v>
      </c>
      <c r="H13169">
        <v>10</v>
      </c>
      <c r="I13169">
        <v>108.8</v>
      </c>
      <c r="J13169" s="50">
        <v>1088</v>
      </c>
      <c r="K13169" t="s">
        <v>1632</v>
      </c>
      <c r="L13169" t="s">
        <v>8229</v>
      </c>
      <c r="M13169" t="s">
        <v>1621</v>
      </c>
      <c r="N13169">
        <v>57.42</v>
      </c>
      <c r="O13169" s="49">
        <v>44392</v>
      </c>
      <c r="P13169" s="50">
        <v>489.6</v>
      </c>
    </row>
    <row r="13170" spans="4:16" x14ac:dyDescent="0.2">
      <c r="D13170">
        <v>100007934</v>
      </c>
      <c r="E13170" s="49">
        <v>45469</v>
      </c>
      <c r="F13170" t="s">
        <v>8370</v>
      </c>
      <c r="G13170" t="s">
        <v>2074</v>
      </c>
      <c r="H13170">
        <v>1</v>
      </c>
      <c r="I13170">
        <v>42.81</v>
      </c>
      <c r="J13170" s="50">
        <v>42.81</v>
      </c>
      <c r="K13170" t="s">
        <v>1632</v>
      </c>
      <c r="L13170" t="s">
        <v>8229</v>
      </c>
      <c r="M13170" t="s">
        <v>1619</v>
      </c>
      <c r="N13170">
        <v>22.59</v>
      </c>
      <c r="O13170" s="49">
        <v>45470</v>
      </c>
      <c r="P13170" s="50">
        <v>19.264500000000002</v>
      </c>
    </row>
    <row r="13171" spans="4:16" x14ac:dyDescent="0.2">
      <c r="D13171">
        <v>100007934</v>
      </c>
      <c r="E13171" s="49">
        <v>44577</v>
      </c>
      <c r="F13171" t="s">
        <v>8370</v>
      </c>
      <c r="G13171" t="s">
        <v>2065</v>
      </c>
      <c r="H13171">
        <v>7</v>
      </c>
      <c r="I13171">
        <v>63.36</v>
      </c>
      <c r="J13171" s="50">
        <v>443.52</v>
      </c>
      <c r="K13171" t="s">
        <v>1632</v>
      </c>
      <c r="L13171" t="s">
        <v>8229</v>
      </c>
      <c r="M13171" t="s">
        <v>1619</v>
      </c>
      <c r="N13171">
        <v>33.44</v>
      </c>
      <c r="O13171" s="49">
        <v>44581</v>
      </c>
      <c r="P13171" s="50">
        <v>199.584</v>
      </c>
    </row>
    <row r="13172" spans="4:16" x14ac:dyDescent="0.2">
      <c r="D13172">
        <v>100007935</v>
      </c>
      <c r="E13172" s="49">
        <v>44992</v>
      </c>
      <c r="F13172" t="s">
        <v>8371</v>
      </c>
      <c r="G13172" t="s">
        <v>1690</v>
      </c>
      <c r="H13172">
        <v>6</v>
      </c>
      <c r="I13172">
        <v>85.79</v>
      </c>
      <c r="J13172" s="50">
        <v>514.74</v>
      </c>
      <c r="K13172" t="s">
        <v>1618</v>
      </c>
      <c r="M13172" t="s">
        <v>1624</v>
      </c>
      <c r="N13172">
        <v>45.28</v>
      </c>
      <c r="O13172" s="49">
        <v>44996</v>
      </c>
      <c r="P13172" s="50">
        <v>231.63300000000001</v>
      </c>
    </row>
    <row r="13173" spans="4:16" x14ac:dyDescent="0.2">
      <c r="D13173">
        <v>100007936</v>
      </c>
      <c r="E13173" s="49">
        <v>45267</v>
      </c>
      <c r="F13173" t="s">
        <v>8372</v>
      </c>
      <c r="G13173" t="s">
        <v>1982</v>
      </c>
      <c r="H13173">
        <v>10</v>
      </c>
      <c r="I13173">
        <v>41.73</v>
      </c>
      <c r="J13173" s="50">
        <v>417.3</v>
      </c>
      <c r="K13173" t="s">
        <v>1618</v>
      </c>
      <c r="M13173" t="s">
        <v>1621</v>
      </c>
      <c r="N13173">
        <v>22.02</v>
      </c>
      <c r="O13173" s="49">
        <v>45269</v>
      </c>
      <c r="P13173" s="50">
        <v>187.785</v>
      </c>
    </row>
    <row r="13174" spans="4:16" x14ac:dyDescent="0.2">
      <c r="D13174">
        <v>100007937</v>
      </c>
      <c r="E13174" s="49">
        <v>45558</v>
      </c>
      <c r="F13174" t="s">
        <v>5298</v>
      </c>
      <c r="G13174" t="s">
        <v>1855</v>
      </c>
      <c r="H13174">
        <v>9</v>
      </c>
      <c r="I13174">
        <v>31.42</v>
      </c>
      <c r="J13174" s="50">
        <v>282.77999999999997</v>
      </c>
      <c r="K13174" t="s">
        <v>1632</v>
      </c>
      <c r="M13174" t="s">
        <v>1627</v>
      </c>
      <c r="N13174">
        <v>16.579999999999998</v>
      </c>
      <c r="O13174" s="49">
        <v>45561</v>
      </c>
      <c r="P13174" s="50">
        <v>127.25099999999999</v>
      </c>
    </row>
    <row r="13175" spans="4:16" x14ac:dyDescent="0.2">
      <c r="D13175">
        <v>100007937</v>
      </c>
      <c r="E13175" s="49">
        <v>44318</v>
      </c>
      <c r="F13175" t="s">
        <v>5298</v>
      </c>
      <c r="G13175" t="s">
        <v>2161</v>
      </c>
      <c r="H13175">
        <v>4</v>
      </c>
      <c r="I13175">
        <v>30.48</v>
      </c>
      <c r="J13175" s="50">
        <v>121.92</v>
      </c>
      <c r="K13175" t="s">
        <v>1632</v>
      </c>
      <c r="M13175" t="s">
        <v>1621</v>
      </c>
      <c r="N13175">
        <v>16.09</v>
      </c>
      <c r="O13175" s="49">
        <v>44320</v>
      </c>
      <c r="P13175" s="50">
        <v>54.864000000000004</v>
      </c>
    </row>
    <row r="13176" spans="4:16" x14ac:dyDescent="0.2">
      <c r="D13176">
        <v>100007938</v>
      </c>
      <c r="E13176" s="49">
        <v>44211</v>
      </c>
      <c r="F13176" t="s">
        <v>8373</v>
      </c>
      <c r="G13176" t="s">
        <v>1802</v>
      </c>
      <c r="H13176">
        <v>10</v>
      </c>
      <c r="I13176">
        <v>82.17</v>
      </c>
      <c r="J13176" s="50">
        <v>821.7</v>
      </c>
      <c r="K13176" t="s">
        <v>1618</v>
      </c>
      <c r="M13176" t="s">
        <v>1619</v>
      </c>
      <c r="N13176">
        <v>43.37</v>
      </c>
      <c r="O13176" s="49">
        <v>44213</v>
      </c>
      <c r="P13176" s="50">
        <v>369.76500000000004</v>
      </c>
    </row>
    <row r="13177" spans="4:16" x14ac:dyDescent="0.2">
      <c r="D13177">
        <v>100007939</v>
      </c>
      <c r="E13177" s="49">
        <v>44440</v>
      </c>
      <c r="F13177" t="s">
        <v>8374</v>
      </c>
      <c r="G13177" t="s">
        <v>1794</v>
      </c>
      <c r="H13177">
        <v>8</v>
      </c>
      <c r="I13177">
        <v>48.57</v>
      </c>
      <c r="J13177" s="50">
        <v>388.56</v>
      </c>
      <c r="K13177" t="s">
        <v>1618</v>
      </c>
      <c r="M13177" t="s">
        <v>1624</v>
      </c>
      <c r="N13177">
        <v>25.63</v>
      </c>
      <c r="O13177" s="49">
        <v>44444</v>
      </c>
      <c r="P13177" s="50">
        <v>174.852</v>
      </c>
    </row>
    <row r="13178" spans="4:16" x14ac:dyDescent="0.2">
      <c r="D13178">
        <v>100007940</v>
      </c>
      <c r="E13178" s="49">
        <v>44259</v>
      </c>
      <c r="F13178" t="s">
        <v>8375</v>
      </c>
      <c r="G13178" t="s">
        <v>2005</v>
      </c>
      <c r="H13178">
        <v>8</v>
      </c>
      <c r="I13178">
        <v>72.790000000000006</v>
      </c>
      <c r="J13178" s="50">
        <v>582.32000000000005</v>
      </c>
      <c r="K13178" t="s">
        <v>1618</v>
      </c>
      <c r="L13178" t="s">
        <v>5138</v>
      </c>
      <c r="M13178" t="s">
        <v>1624</v>
      </c>
      <c r="N13178">
        <v>38.42</v>
      </c>
      <c r="O13178" s="49">
        <v>44264</v>
      </c>
      <c r="P13178" s="50">
        <v>262.04400000000004</v>
      </c>
    </row>
    <row r="13179" spans="4:16" x14ac:dyDescent="0.2">
      <c r="D13179">
        <v>100007940</v>
      </c>
      <c r="E13179" s="49">
        <v>45638</v>
      </c>
      <c r="F13179" t="s">
        <v>8375</v>
      </c>
      <c r="G13179" t="s">
        <v>1781</v>
      </c>
      <c r="H13179">
        <v>5</v>
      </c>
      <c r="I13179">
        <v>101.44</v>
      </c>
      <c r="J13179" s="50">
        <v>507.2</v>
      </c>
      <c r="K13179" t="s">
        <v>1618</v>
      </c>
      <c r="L13179" t="s">
        <v>5138</v>
      </c>
      <c r="M13179" t="s">
        <v>1627</v>
      </c>
      <c r="N13179">
        <v>53.54</v>
      </c>
      <c r="O13179" s="49">
        <v>45643</v>
      </c>
      <c r="P13179" s="50">
        <v>228.24</v>
      </c>
    </row>
    <row r="13180" spans="4:16" x14ac:dyDescent="0.2">
      <c r="D13180">
        <v>100007940</v>
      </c>
      <c r="E13180" s="49">
        <v>44949</v>
      </c>
      <c r="F13180" t="s">
        <v>8375</v>
      </c>
      <c r="G13180" t="s">
        <v>1958</v>
      </c>
      <c r="H13180">
        <v>7</v>
      </c>
      <c r="I13180">
        <v>32.81</v>
      </c>
      <c r="J13180" s="50">
        <v>229.67</v>
      </c>
      <c r="K13180" t="s">
        <v>1618</v>
      </c>
      <c r="L13180" t="s">
        <v>5138</v>
      </c>
      <c r="M13180" t="s">
        <v>1627</v>
      </c>
      <c r="N13180">
        <v>17.32</v>
      </c>
      <c r="O13180" s="49">
        <v>44950</v>
      </c>
      <c r="P13180" s="50">
        <v>103.3515</v>
      </c>
    </row>
    <row r="13181" spans="4:16" x14ac:dyDescent="0.2">
      <c r="D13181">
        <v>100007940</v>
      </c>
      <c r="E13181" s="49">
        <v>45270</v>
      </c>
      <c r="F13181" t="s">
        <v>8375</v>
      </c>
      <c r="G13181" t="s">
        <v>1985</v>
      </c>
      <c r="H13181">
        <v>1</v>
      </c>
      <c r="I13181">
        <v>70.87</v>
      </c>
      <c r="J13181" s="50">
        <v>70.87</v>
      </c>
      <c r="K13181" t="s">
        <v>1618</v>
      </c>
      <c r="L13181" t="s">
        <v>5138</v>
      </c>
      <c r="M13181" t="s">
        <v>1627</v>
      </c>
      <c r="N13181">
        <v>37.4</v>
      </c>
      <c r="O13181" s="49">
        <v>45271</v>
      </c>
      <c r="P13181" s="50">
        <v>31.891500000000004</v>
      </c>
    </row>
    <row r="13182" spans="4:16" x14ac:dyDescent="0.2">
      <c r="D13182">
        <v>100007940</v>
      </c>
      <c r="E13182" s="49">
        <v>45563</v>
      </c>
      <c r="F13182" t="s">
        <v>8375</v>
      </c>
      <c r="G13182" t="s">
        <v>1663</v>
      </c>
      <c r="H13182">
        <v>2</v>
      </c>
      <c r="I13182">
        <v>114.54</v>
      </c>
      <c r="J13182" s="50">
        <v>229.08</v>
      </c>
      <c r="K13182" t="s">
        <v>1618</v>
      </c>
      <c r="L13182" t="s">
        <v>5138</v>
      </c>
      <c r="M13182" t="s">
        <v>1619</v>
      </c>
      <c r="N13182">
        <v>60.45</v>
      </c>
      <c r="O13182" s="49">
        <v>45564</v>
      </c>
      <c r="P13182" s="50">
        <v>103.08600000000001</v>
      </c>
    </row>
    <row r="13183" spans="4:16" x14ac:dyDescent="0.2">
      <c r="D13183">
        <v>100007940</v>
      </c>
      <c r="E13183" s="49">
        <v>44336</v>
      </c>
      <c r="F13183" t="s">
        <v>8375</v>
      </c>
      <c r="G13183" t="s">
        <v>1882</v>
      </c>
      <c r="H13183">
        <v>1</v>
      </c>
      <c r="I13183">
        <v>96.93</v>
      </c>
      <c r="J13183" s="50">
        <v>96.93</v>
      </c>
      <c r="K13183" t="s">
        <v>1618</v>
      </c>
      <c r="L13183" t="s">
        <v>5138</v>
      </c>
      <c r="M13183" t="s">
        <v>1627</v>
      </c>
      <c r="N13183">
        <v>51.16</v>
      </c>
      <c r="O13183" s="49">
        <v>44340</v>
      </c>
      <c r="P13183" s="50">
        <v>43.618500000000004</v>
      </c>
    </row>
    <row r="13184" spans="4:16" x14ac:dyDescent="0.2">
      <c r="D13184">
        <v>100007941</v>
      </c>
      <c r="E13184" s="49">
        <v>44942</v>
      </c>
      <c r="F13184" t="s">
        <v>8376</v>
      </c>
      <c r="G13184" t="s">
        <v>2112</v>
      </c>
      <c r="H13184">
        <v>8</v>
      </c>
      <c r="I13184">
        <v>104.28</v>
      </c>
      <c r="J13184" s="50">
        <v>834.24</v>
      </c>
      <c r="K13184" t="s">
        <v>1618</v>
      </c>
      <c r="L13184" t="s">
        <v>4416</v>
      </c>
      <c r="M13184" t="s">
        <v>1624</v>
      </c>
      <c r="N13184">
        <v>55.04</v>
      </c>
      <c r="O13184" s="49">
        <v>44943</v>
      </c>
      <c r="P13184" s="50">
        <v>375.40800000000002</v>
      </c>
    </row>
    <row r="13185" spans="4:16" x14ac:dyDescent="0.2">
      <c r="D13185">
        <v>100007942</v>
      </c>
      <c r="E13185" s="49">
        <v>45193</v>
      </c>
      <c r="F13185" t="s">
        <v>8377</v>
      </c>
      <c r="G13185" t="s">
        <v>2745</v>
      </c>
      <c r="H13185">
        <v>7</v>
      </c>
      <c r="I13185">
        <v>55.97</v>
      </c>
      <c r="J13185" s="50">
        <v>391.79</v>
      </c>
      <c r="K13185" t="s">
        <v>1632</v>
      </c>
      <c r="L13185" t="s">
        <v>1905</v>
      </c>
      <c r="M13185" t="s">
        <v>1629</v>
      </c>
      <c r="N13185">
        <v>29.54</v>
      </c>
      <c r="O13185" s="49">
        <v>45195</v>
      </c>
      <c r="P13185" s="50">
        <v>176.30550000000002</v>
      </c>
    </row>
    <row r="13186" spans="4:16" x14ac:dyDescent="0.2">
      <c r="D13186">
        <v>100007942</v>
      </c>
      <c r="E13186" s="49">
        <v>44481</v>
      </c>
      <c r="F13186" t="s">
        <v>8377</v>
      </c>
      <c r="G13186" t="s">
        <v>1736</v>
      </c>
      <c r="H13186">
        <v>5</v>
      </c>
      <c r="I13186">
        <v>67.92</v>
      </c>
      <c r="J13186" s="50">
        <v>339.6</v>
      </c>
      <c r="K13186" t="s">
        <v>1632</v>
      </c>
      <c r="L13186" t="s">
        <v>1905</v>
      </c>
      <c r="M13186" t="s">
        <v>1624</v>
      </c>
      <c r="N13186">
        <v>35.85</v>
      </c>
      <c r="O13186" s="49">
        <v>44486</v>
      </c>
      <c r="P13186" s="50">
        <v>152.82000000000002</v>
      </c>
    </row>
    <row r="13187" spans="4:16" x14ac:dyDescent="0.2">
      <c r="D13187">
        <v>100007943</v>
      </c>
      <c r="E13187" s="49">
        <v>45580</v>
      </c>
      <c r="F13187" t="s">
        <v>8378</v>
      </c>
      <c r="G13187" t="s">
        <v>2151</v>
      </c>
      <c r="H13187">
        <v>5</v>
      </c>
      <c r="I13187">
        <v>10.19</v>
      </c>
      <c r="J13187" s="50">
        <v>50.95</v>
      </c>
      <c r="K13187" t="s">
        <v>1618</v>
      </c>
      <c r="L13187" t="s">
        <v>3162</v>
      </c>
      <c r="M13187" t="s">
        <v>1624</v>
      </c>
      <c r="N13187">
        <v>5.38</v>
      </c>
      <c r="O13187" s="49">
        <v>45583</v>
      </c>
      <c r="P13187" s="50">
        <v>22.927500000000002</v>
      </c>
    </row>
    <row r="13188" spans="4:16" x14ac:dyDescent="0.2">
      <c r="D13188">
        <v>100007943</v>
      </c>
      <c r="E13188" s="49">
        <v>44229</v>
      </c>
      <c r="F13188" t="s">
        <v>8378</v>
      </c>
      <c r="G13188" t="s">
        <v>1758</v>
      </c>
      <c r="H13188">
        <v>10</v>
      </c>
      <c r="I13188">
        <v>31.53</v>
      </c>
      <c r="J13188" s="50">
        <v>315.3</v>
      </c>
      <c r="K13188" t="s">
        <v>1618</v>
      </c>
      <c r="L13188" t="s">
        <v>3162</v>
      </c>
      <c r="M13188" t="s">
        <v>1621</v>
      </c>
      <c r="N13188">
        <v>16.64</v>
      </c>
      <c r="O13188" s="49">
        <v>44231</v>
      </c>
      <c r="P13188" s="50">
        <v>141.88500000000002</v>
      </c>
    </row>
    <row r="13189" spans="4:16" x14ac:dyDescent="0.2">
      <c r="D13189">
        <v>100007943</v>
      </c>
      <c r="E13189" s="49">
        <v>44597</v>
      </c>
      <c r="F13189" t="s">
        <v>8378</v>
      </c>
      <c r="G13189" t="s">
        <v>2485</v>
      </c>
      <c r="H13189">
        <v>3</v>
      </c>
      <c r="I13189">
        <v>33.15</v>
      </c>
      <c r="J13189" s="50">
        <v>99.449999999999989</v>
      </c>
      <c r="K13189" t="s">
        <v>1618</v>
      </c>
      <c r="L13189" t="s">
        <v>3162</v>
      </c>
      <c r="M13189" t="s">
        <v>1627</v>
      </c>
      <c r="N13189">
        <v>17.5</v>
      </c>
      <c r="O13189" s="49">
        <v>44601</v>
      </c>
      <c r="P13189" s="50">
        <v>44.752499999999998</v>
      </c>
    </row>
    <row r="13190" spans="4:16" x14ac:dyDescent="0.2">
      <c r="D13190">
        <v>100007944</v>
      </c>
      <c r="E13190" s="49">
        <v>45158</v>
      </c>
      <c r="F13190" t="s">
        <v>2744</v>
      </c>
      <c r="G13190" t="s">
        <v>1739</v>
      </c>
      <c r="H13190">
        <v>6</v>
      </c>
      <c r="I13190">
        <v>10.3</v>
      </c>
      <c r="J13190" s="50">
        <v>61.8</v>
      </c>
      <c r="K13190" t="s">
        <v>1632</v>
      </c>
      <c r="M13190" t="s">
        <v>1627</v>
      </c>
      <c r="N13190">
        <v>5.44</v>
      </c>
      <c r="O13190" s="49">
        <v>45160</v>
      </c>
      <c r="P13190" s="50">
        <v>27.81</v>
      </c>
    </row>
    <row r="13191" spans="4:16" x14ac:dyDescent="0.2">
      <c r="D13191">
        <v>100007944</v>
      </c>
      <c r="E13191" s="49">
        <v>45137</v>
      </c>
      <c r="F13191" t="s">
        <v>2744</v>
      </c>
      <c r="G13191" t="s">
        <v>2460</v>
      </c>
      <c r="H13191">
        <v>1</v>
      </c>
      <c r="I13191">
        <v>10.33</v>
      </c>
      <c r="J13191" s="50">
        <v>10.33</v>
      </c>
      <c r="K13191" t="s">
        <v>1632</v>
      </c>
      <c r="M13191" t="s">
        <v>1621</v>
      </c>
      <c r="N13191">
        <v>5.45</v>
      </c>
      <c r="O13191" s="49">
        <v>45140</v>
      </c>
      <c r="P13191" s="50">
        <v>4.6485000000000003</v>
      </c>
    </row>
    <row r="13192" spans="4:16" x14ac:dyDescent="0.2">
      <c r="D13192">
        <v>100007945</v>
      </c>
      <c r="E13192" s="49">
        <v>45387</v>
      </c>
      <c r="F13192" t="s">
        <v>8379</v>
      </c>
      <c r="G13192" t="s">
        <v>2101</v>
      </c>
      <c r="H13192">
        <v>10</v>
      </c>
      <c r="I13192">
        <v>92.56</v>
      </c>
      <c r="J13192" s="50">
        <v>925.6</v>
      </c>
      <c r="K13192" t="s">
        <v>1632</v>
      </c>
      <c r="M13192" t="s">
        <v>1619</v>
      </c>
      <c r="N13192">
        <v>48.85</v>
      </c>
      <c r="O13192" s="49">
        <v>45392</v>
      </c>
      <c r="P13192" s="50">
        <v>416.52000000000004</v>
      </c>
    </row>
    <row r="13193" spans="4:16" x14ac:dyDescent="0.2">
      <c r="D13193">
        <v>100007945</v>
      </c>
      <c r="E13193" s="49">
        <v>45515</v>
      </c>
      <c r="F13193" t="s">
        <v>8379</v>
      </c>
      <c r="G13193" t="s">
        <v>1895</v>
      </c>
      <c r="H13193">
        <v>5</v>
      </c>
      <c r="I13193">
        <v>53.88</v>
      </c>
      <c r="J13193" s="50">
        <v>269.39999999999998</v>
      </c>
      <c r="K13193" t="s">
        <v>1632</v>
      </c>
      <c r="M13193" t="s">
        <v>1629</v>
      </c>
      <c r="N13193">
        <v>28.44</v>
      </c>
      <c r="O13193" s="49">
        <v>45520</v>
      </c>
      <c r="P13193" s="50">
        <v>121.22999999999999</v>
      </c>
    </row>
    <row r="13194" spans="4:16" x14ac:dyDescent="0.2">
      <c r="D13194">
        <v>100007945</v>
      </c>
      <c r="E13194" s="49">
        <v>44544</v>
      </c>
      <c r="F13194" t="s">
        <v>8379</v>
      </c>
      <c r="G13194" t="s">
        <v>1719</v>
      </c>
      <c r="H13194">
        <v>9</v>
      </c>
      <c r="I13194">
        <v>22.19</v>
      </c>
      <c r="J13194" s="50">
        <v>199.71</v>
      </c>
      <c r="K13194" t="s">
        <v>1632</v>
      </c>
      <c r="M13194" t="s">
        <v>1619</v>
      </c>
      <c r="N13194">
        <v>11.71</v>
      </c>
      <c r="O13194" s="49">
        <v>44546</v>
      </c>
      <c r="P13194" s="50">
        <v>89.869500000000002</v>
      </c>
    </row>
    <row r="13195" spans="4:16" x14ac:dyDescent="0.2">
      <c r="D13195">
        <v>100007945</v>
      </c>
      <c r="E13195" s="49">
        <v>44255</v>
      </c>
      <c r="F13195" t="s">
        <v>8379</v>
      </c>
      <c r="G13195" t="s">
        <v>1859</v>
      </c>
      <c r="H13195">
        <v>6</v>
      </c>
      <c r="I13195">
        <v>11.52</v>
      </c>
      <c r="J13195" s="50">
        <v>69.12</v>
      </c>
      <c r="K13195" t="s">
        <v>1632</v>
      </c>
      <c r="M13195" t="s">
        <v>1619</v>
      </c>
      <c r="N13195">
        <v>6.08</v>
      </c>
      <c r="O13195" s="49">
        <v>44258</v>
      </c>
      <c r="P13195" s="50">
        <v>31.104000000000003</v>
      </c>
    </row>
    <row r="13196" spans="4:16" x14ac:dyDescent="0.2">
      <c r="D13196">
        <v>100007947</v>
      </c>
      <c r="E13196" s="49">
        <v>45656</v>
      </c>
      <c r="F13196" t="s">
        <v>3517</v>
      </c>
      <c r="G13196" t="s">
        <v>2005</v>
      </c>
      <c r="H13196">
        <v>7</v>
      </c>
      <c r="I13196">
        <v>94.2</v>
      </c>
      <c r="J13196" s="50">
        <v>659.4</v>
      </c>
      <c r="K13196" t="s">
        <v>1618</v>
      </c>
      <c r="M13196" t="s">
        <v>1629</v>
      </c>
      <c r="N13196">
        <v>49.72</v>
      </c>
      <c r="O13196" s="49">
        <v>45660</v>
      </c>
      <c r="P13196" s="50">
        <v>296.73</v>
      </c>
    </row>
    <row r="13197" spans="4:16" x14ac:dyDescent="0.2">
      <c r="D13197">
        <v>100007947</v>
      </c>
      <c r="E13197" s="49">
        <v>44406</v>
      </c>
      <c r="F13197" t="s">
        <v>3517</v>
      </c>
      <c r="G13197" t="s">
        <v>1842</v>
      </c>
      <c r="H13197">
        <v>7</v>
      </c>
      <c r="I13197">
        <v>44.42</v>
      </c>
      <c r="J13197" s="50">
        <v>310.94</v>
      </c>
      <c r="K13197" t="s">
        <v>1618</v>
      </c>
      <c r="M13197" t="s">
        <v>1624</v>
      </c>
      <c r="N13197">
        <v>23.44</v>
      </c>
      <c r="O13197" s="49">
        <v>44409</v>
      </c>
      <c r="P13197" s="50">
        <v>139.923</v>
      </c>
    </row>
    <row r="13198" spans="4:16" x14ac:dyDescent="0.2">
      <c r="D13198">
        <v>100007947</v>
      </c>
      <c r="E13198" s="49">
        <v>45253</v>
      </c>
      <c r="F13198" t="s">
        <v>3517</v>
      </c>
      <c r="G13198" t="s">
        <v>1738</v>
      </c>
      <c r="H13198">
        <v>9</v>
      </c>
      <c r="I13198">
        <v>44.67</v>
      </c>
      <c r="J13198" s="50">
        <v>402.03</v>
      </c>
      <c r="K13198" t="s">
        <v>1618</v>
      </c>
      <c r="M13198" t="s">
        <v>1619</v>
      </c>
      <c r="N13198">
        <v>23.58</v>
      </c>
      <c r="O13198" s="49">
        <v>45258</v>
      </c>
      <c r="P13198" s="50">
        <v>180.9135</v>
      </c>
    </row>
    <row r="13199" spans="4:16" x14ac:dyDescent="0.2">
      <c r="D13199">
        <v>100007948</v>
      </c>
      <c r="E13199" s="49">
        <v>44907</v>
      </c>
      <c r="F13199" t="s">
        <v>8380</v>
      </c>
      <c r="G13199" t="s">
        <v>2766</v>
      </c>
      <c r="H13199">
        <v>1</v>
      </c>
      <c r="I13199">
        <v>33.409999999999997</v>
      </c>
      <c r="J13199" s="50">
        <v>33.409999999999997</v>
      </c>
      <c r="K13199" t="s">
        <v>1632</v>
      </c>
      <c r="M13199" t="s">
        <v>1619</v>
      </c>
      <c r="N13199">
        <v>17.63</v>
      </c>
      <c r="O13199" s="49">
        <v>44912</v>
      </c>
      <c r="P13199" s="50">
        <v>15.0345</v>
      </c>
    </row>
    <row r="13200" spans="4:16" x14ac:dyDescent="0.2">
      <c r="D13200">
        <v>100007948</v>
      </c>
      <c r="E13200" s="49">
        <v>44804</v>
      </c>
      <c r="F13200" t="s">
        <v>8380</v>
      </c>
      <c r="G13200" t="s">
        <v>2485</v>
      </c>
      <c r="H13200">
        <v>5</v>
      </c>
      <c r="I13200">
        <v>92.19</v>
      </c>
      <c r="J13200" s="50">
        <v>460.95</v>
      </c>
      <c r="K13200" t="s">
        <v>1632</v>
      </c>
      <c r="M13200" t="s">
        <v>1619</v>
      </c>
      <c r="N13200">
        <v>48.66</v>
      </c>
      <c r="O13200" s="49">
        <v>44806</v>
      </c>
      <c r="P13200" s="50">
        <v>207.42750000000001</v>
      </c>
    </row>
    <row r="13201" spans="4:16" x14ac:dyDescent="0.2">
      <c r="D13201">
        <v>100007948</v>
      </c>
      <c r="E13201" s="49">
        <v>45044</v>
      </c>
      <c r="F13201" t="s">
        <v>8380</v>
      </c>
      <c r="G13201" t="s">
        <v>1690</v>
      </c>
      <c r="H13201">
        <v>6</v>
      </c>
      <c r="I13201">
        <v>93.4</v>
      </c>
      <c r="J13201" s="50">
        <v>560.40000000000009</v>
      </c>
      <c r="K13201" t="s">
        <v>1632</v>
      </c>
      <c r="M13201" t="s">
        <v>1627</v>
      </c>
      <c r="N13201">
        <v>49.29</v>
      </c>
      <c r="O13201" s="49">
        <v>45047</v>
      </c>
      <c r="P13201" s="50">
        <v>252.18000000000004</v>
      </c>
    </row>
    <row r="13202" spans="4:16" x14ac:dyDescent="0.2">
      <c r="D13202">
        <v>100007950</v>
      </c>
      <c r="E13202" s="49">
        <v>45273</v>
      </c>
      <c r="F13202" t="s">
        <v>8381</v>
      </c>
      <c r="G13202" t="s">
        <v>1697</v>
      </c>
      <c r="H13202">
        <v>1</v>
      </c>
      <c r="I13202">
        <v>114.69</v>
      </c>
      <c r="J13202" s="50">
        <v>114.69</v>
      </c>
      <c r="K13202" t="s">
        <v>1618</v>
      </c>
      <c r="M13202" t="s">
        <v>1619</v>
      </c>
      <c r="N13202">
        <v>60.53</v>
      </c>
      <c r="O13202" s="49">
        <v>45274</v>
      </c>
      <c r="P13202" s="50">
        <v>51.610500000000002</v>
      </c>
    </row>
    <row r="13203" spans="4:16" x14ac:dyDescent="0.2">
      <c r="D13203">
        <v>100007952</v>
      </c>
      <c r="E13203" s="49">
        <v>44369</v>
      </c>
      <c r="F13203" t="s">
        <v>8382</v>
      </c>
      <c r="G13203" t="s">
        <v>1707</v>
      </c>
      <c r="H13203">
        <v>8</v>
      </c>
      <c r="I13203">
        <v>40.39</v>
      </c>
      <c r="J13203" s="50">
        <v>323.12</v>
      </c>
      <c r="K13203" t="s">
        <v>1632</v>
      </c>
      <c r="M13203" t="s">
        <v>1619</v>
      </c>
      <c r="N13203">
        <v>21.32</v>
      </c>
      <c r="O13203" s="49">
        <v>44374</v>
      </c>
      <c r="P13203" s="50">
        <v>145.404</v>
      </c>
    </row>
    <row r="13204" spans="4:16" x14ac:dyDescent="0.2">
      <c r="D13204">
        <v>100007954</v>
      </c>
      <c r="E13204" s="49">
        <v>45428</v>
      </c>
      <c r="F13204" t="s">
        <v>8383</v>
      </c>
      <c r="G13204" t="s">
        <v>2514</v>
      </c>
      <c r="H13204">
        <v>6</v>
      </c>
      <c r="I13204">
        <v>116.59</v>
      </c>
      <c r="J13204" s="50">
        <v>699.54</v>
      </c>
      <c r="K13204" t="s">
        <v>1618</v>
      </c>
      <c r="L13204" t="s">
        <v>8384</v>
      </c>
      <c r="M13204" t="s">
        <v>1624</v>
      </c>
      <c r="N13204">
        <v>61.53</v>
      </c>
      <c r="O13204" s="49">
        <v>45429</v>
      </c>
      <c r="P13204" s="50">
        <v>314.79300000000001</v>
      </c>
    </row>
    <row r="13205" spans="4:16" x14ac:dyDescent="0.2">
      <c r="D13205">
        <v>100007955</v>
      </c>
      <c r="E13205" s="49">
        <v>45352</v>
      </c>
      <c r="F13205" t="s">
        <v>8385</v>
      </c>
      <c r="G13205" t="s">
        <v>2057</v>
      </c>
      <c r="H13205">
        <v>4</v>
      </c>
      <c r="I13205">
        <v>19.88</v>
      </c>
      <c r="J13205" s="50">
        <v>79.52</v>
      </c>
      <c r="K13205" t="s">
        <v>1632</v>
      </c>
      <c r="M13205" t="s">
        <v>1624</v>
      </c>
      <c r="N13205">
        <v>10.49</v>
      </c>
      <c r="O13205" s="49">
        <v>45354</v>
      </c>
      <c r="P13205" s="50">
        <v>35.783999999999999</v>
      </c>
    </row>
    <row r="13206" spans="4:16" x14ac:dyDescent="0.2">
      <c r="D13206">
        <v>100007956</v>
      </c>
      <c r="E13206" s="49">
        <v>45084</v>
      </c>
      <c r="F13206" t="s">
        <v>8386</v>
      </c>
      <c r="G13206" t="s">
        <v>2745</v>
      </c>
      <c r="H13206">
        <v>4</v>
      </c>
      <c r="I13206">
        <v>55.1</v>
      </c>
      <c r="J13206" s="50">
        <v>220.4</v>
      </c>
      <c r="K13206" t="s">
        <v>1632</v>
      </c>
      <c r="M13206" t="s">
        <v>1619</v>
      </c>
      <c r="N13206">
        <v>29.08</v>
      </c>
      <c r="O13206" s="49">
        <v>45085</v>
      </c>
      <c r="P13206" s="50">
        <v>99.18</v>
      </c>
    </row>
    <row r="13207" spans="4:16" x14ac:dyDescent="0.2">
      <c r="D13207">
        <v>100007956</v>
      </c>
      <c r="E13207" s="49">
        <v>44230</v>
      </c>
      <c r="F13207" t="s">
        <v>8386</v>
      </c>
      <c r="G13207" t="s">
        <v>2427</v>
      </c>
      <c r="H13207">
        <v>3</v>
      </c>
      <c r="I13207">
        <v>46.41</v>
      </c>
      <c r="J13207" s="50">
        <v>139.22999999999999</v>
      </c>
      <c r="K13207" t="s">
        <v>1632</v>
      </c>
      <c r="M13207" t="s">
        <v>1624</v>
      </c>
      <c r="N13207">
        <v>24.49</v>
      </c>
      <c r="O13207" s="49">
        <v>44234</v>
      </c>
      <c r="P13207" s="50">
        <v>62.653499999999994</v>
      </c>
    </row>
    <row r="13208" spans="4:16" x14ac:dyDescent="0.2">
      <c r="D13208">
        <v>100007956</v>
      </c>
      <c r="E13208" s="49">
        <v>45242</v>
      </c>
      <c r="F13208" t="s">
        <v>8386</v>
      </c>
      <c r="G13208" t="s">
        <v>2412</v>
      </c>
      <c r="H13208">
        <v>7</v>
      </c>
      <c r="I13208">
        <v>97.45</v>
      </c>
      <c r="J13208" s="50">
        <v>682.15</v>
      </c>
      <c r="K13208" t="s">
        <v>1632</v>
      </c>
      <c r="M13208" t="s">
        <v>1629</v>
      </c>
      <c r="N13208">
        <v>51.43</v>
      </c>
      <c r="O13208" s="49">
        <v>45247</v>
      </c>
      <c r="P13208" s="50">
        <v>306.96749999999997</v>
      </c>
    </row>
    <row r="13209" spans="4:16" x14ac:dyDescent="0.2">
      <c r="D13209">
        <v>100007956</v>
      </c>
      <c r="E13209" s="49">
        <v>44485</v>
      </c>
      <c r="F13209" t="s">
        <v>8386</v>
      </c>
      <c r="G13209" t="s">
        <v>1669</v>
      </c>
      <c r="H13209">
        <v>5</v>
      </c>
      <c r="I13209">
        <v>88.41</v>
      </c>
      <c r="J13209" s="50">
        <v>442.05</v>
      </c>
      <c r="K13209" t="s">
        <v>1632</v>
      </c>
      <c r="M13209" t="s">
        <v>1621</v>
      </c>
      <c r="N13209">
        <v>46.66</v>
      </c>
      <c r="O13209" s="49">
        <v>44486</v>
      </c>
      <c r="P13209" s="50">
        <v>198.92250000000001</v>
      </c>
    </row>
    <row r="13210" spans="4:16" x14ac:dyDescent="0.2">
      <c r="D13210">
        <v>100007956</v>
      </c>
      <c r="E13210" s="49">
        <v>44586</v>
      </c>
      <c r="F13210" t="s">
        <v>8386</v>
      </c>
      <c r="G13210" t="s">
        <v>1916</v>
      </c>
      <c r="H13210">
        <v>4</v>
      </c>
      <c r="I13210">
        <v>15.22</v>
      </c>
      <c r="J13210" s="50">
        <v>60.88</v>
      </c>
      <c r="K13210" t="s">
        <v>1632</v>
      </c>
      <c r="M13210" t="s">
        <v>1621</v>
      </c>
      <c r="N13210">
        <v>8.0299999999999994</v>
      </c>
      <c r="O13210" s="49">
        <v>44587</v>
      </c>
      <c r="P13210" s="50">
        <v>27.396000000000001</v>
      </c>
    </row>
    <row r="13211" spans="4:16" x14ac:dyDescent="0.2">
      <c r="D13211">
        <v>100007956</v>
      </c>
      <c r="E13211" s="49">
        <v>44267</v>
      </c>
      <c r="F13211" t="s">
        <v>8386</v>
      </c>
      <c r="G13211" t="s">
        <v>2060</v>
      </c>
      <c r="H13211">
        <v>2</v>
      </c>
      <c r="I13211">
        <v>100.46</v>
      </c>
      <c r="J13211" s="50">
        <v>200.92</v>
      </c>
      <c r="K13211" t="s">
        <v>1632</v>
      </c>
      <c r="M13211" t="s">
        <v>1624</v>
      </c>
      <c r="N13211">
        <v>53.02</v>
      </c>
      <c r="O13211" s="49">
        <v>44268</v>
      </c>
      <c r="P13211" s="50">
        <v>90.414000000000001</v>
      </c>
    </row>
    <row r="13212" spans="4:16" x14ac:dyDescent="0.2">
      <c r="D13212">
        <v>100007957</v>
      </c>
      <c r="E13212" s="49">
        <v>45573</v>
      </c>
      <c r="F13212" t="s">
        <v>8387</v>
      </c>
      <c r="G13212" t="s">
        <v>1641</v>
      </c>
      <c r="H13212">
        <v>8</v>
      </c>
      <c r="I13212">
        <v>111.62</v>
      </c>
      <c r="J13212" s="50">
        <v>892.96</v>
      </c>
      <c r="K13212" t="s">
        <v>1618</v>
      </c>
      <c r="M13212" t="s">
        <v>1621</v>
      </c>
      <c r="N13212">
        <v>58.91</v>
      </c>
      <c r="O13212" s="49">
        <v>45578</v>
      </c>
      <c r="P13212" s="50">
        <v>401.83200000000005</v>
      </c>
    </row>
    <row r="13213" spans="4:16" x14ac:dyDescent="0.2">
      <c r="D13213">
        <v>100007957</v>
      </c>
      <c r="E13213" s="49">
        <v>45475</v>
      </c>
      <c r="F13213" t="s">
        <v>8387</v>
      </c>
      <c r="G13213" t="s">
        <v>1904</v>
      </c>
      <c r="H13213">
        <v>10</v>
      </c>
      <c r="I13213">
        <v>90.02</v>
      </c>
      <c r="J13213" s="50">
        <v>900.19999999999993</v>
      </c>
      <c r="K13213" t="s">
        <v>1618</v>
      </c>
      <c r="M13213" t="s">
        <v>1624</v>
      </c>
      <c r="N13213">
        <v>47.51</v>
      </c>
      <c r="O13213" s="49">
        <v>45478</v>
      </c>
      <c r="P13213" s="50">
        <v>405.09</v>
      </c>
    </row>
    <row r="13214" spans="4:16" x14ac:dyDescent="0.2">
      <c r="D13214">
        <v>100007957</v>
      </c>
      <c r="E13214" s="49">
        <v>44430</v>
      </c>
      <c r="F13214" t="s">
        <v>8387</v>
      </c>
      <c r="G13214" t="s">
        <v>2111</v>
      </c>
      <c r="H13214">
        <v>1</v>
      </c>
      <c r="I13214">
        <v>60.39</v>
      </c>
      <c r="J13214" s="50">
        <v>60.39</v>
      </c>
      <c r="K13214" t="s">
        <v>1618</v>
      </c>
      <c r="M13214" t="s">
        <v>1624</v>
      </c>
      <c r="N13214">
        <v>31.87</v>
      </c>
      <c r="O13214" s="49">
        <v>44435</v>
      </c>
      <c r="P13214" s="50">
        <v>27.1755</v>
      </c>
    </row>
    <row r="13215" spans="4:16" x14ac:dyDescent="0.2">
      <c r="D13215">
        <v>100007957</v>
      </c>
      <c r="E13215" s="49">
        <v>45479</v>
      </c>
      <c r="F13215" t="s">
        <v>8387</v>
      </c>
      <c r="G13215" t="s">
        <v>1639</v>
      </c>
      <c r="H13215">
        <v>2</v>
      </c>
      <c r="I13215">
        <v>119.52</v>
      </c>
      <c r="J13215" s="50">
        <v>239.04</v>
      </c>
      <c r="K13215" t="s">
        <v>1618</v>
      </c>
      <c r="M13215" t="s">
        <v>1627</v>
      </c>
      <c r="N13215">
        <v>63.08</v>
      </c>
      <c r="O13215" s="49">
        <v>45484</v>
      </c>
      <c r="P13215" s="50">
        <v>107.568</v>
      </c>
    </row>
    <row r="13216" spans="4:16" x14ac:dyDescent="0.2">
      <c r="D13216">
        <v>100007958</v>
      </c>
      <c r="E13216" s="49">
        <v>45083</v>
      </c>
      <c r="F13216" t="s">
        <v>8388</v>
      </c>
      <c r="G13216" t="s">
        <v>2068</v>
      </c>
      <c r="H13216">
        <v>8</v>
      </c>
      <c r="I13216">
        <v>31.49</v>
      </c>
      <c r="J13216" s="50">
        <v>251.92</v>
      </c>
      <c r="K13216" t="s">
        <v>1632</v>
      </c>
      <c r="L13216" t="s">
        <v>7105</v>
      </c>
      <c r="M13216" t="s">
        <v>1627</v>
      </c>
      <c r="N13216">
        <v>16.62</v>
      </c>
      <c r="O13216" s="49">
        <v>45088</v>
      </c>
      <c r="P13216" s="50">
        <v>113.36399999999999</v>
      </c>
    </row>
    <row r="13217" spans="4:16" x14ac:dyDescent="0.2">
      <c r="D13217">
        <v>100007958</v>
      </c>
      <c r="E13217" s="49">
        <v>45109</v>
      </c>
      <c r="F13217" t="s">
        <v>8388</v>
      </c>
      <c r="G13217" t="s">
        <v>2065</v>
      </c>
      <c r="H13217">
        <v>9</v>
      </c>
      <c r="I13217">
        <v>18.55</v>
      </c>
      <c r="J13217" s="50">
        <v>166.95</v>
      </c>
      <c r="K13217" t="s">
        <v>1632</v>
      </c>
      <c r="L13217" t="s">
        <v>7105</v>
      </c>
      <c r="M13217" t="s">
        <v>1621</v>
      </c>
      <c r="N13217">
        <v>9.7899999999999991</v>
      </c>
      <c r="O13217" s="49">
        <v>45110</v>
      </c>
      <c r="P13217" s="50">
        <v>75.127499999999998</v>
      </c>
    </row>
    <row r="13218" spans="4:16" x14ac:dyDescent="0.2">
      <c r="D13218">
        <v>100007958</v>
      </c>
      <c r="E13218" s="49">
        <v>45227</v>
      </c>
      <c r="F13218" t="s">
        <v>8388</v>
      </c>
      <c r="G13218" t="s">
        <v>1742</v>
      </c>
      <c r="H13218">
        <v>6</v>
      </c>
      <c r="I13218">
        <v>69.81</v>
      </c>
      <c r="J13218" s="50">
        <v>418.86</v>
      </c>
      <c r="K13218" t="s">
        <v>1632</v>
      </c>
      <c r="L13218" t="s">
        <v>7105</v>
      </c>
      <c r="M13218" t="s">
        <v>1619</v>
      </c>
      <c r="N13218">
        <v>36.840000000000003</v>
      </c>
      <c r="O13218" s="49">
        <v>45230</v>
      </c>
      <c r="P13218" s="50">
        <v>188.48700000000002</v>
      </c>
    </row>
    <row r="13219" spans="4:16" x14ac:dyDescent="0.2">
      <c r="D13219">
        <v>100007959</v>
      </c>
      <c r="E13219" s="49">
        <v>45561</v>
      </c>
      <c r="F13219" t="s">
        <v>8389</v>
      </c>
      <c r="G13219" t="s">
        <v>1999</v>
      </c>
      <c r="H13219">
        <v>9</v>
      </c>
      <c r="I13219">
        <v>99.69</v>
      </c>
      <c r="J13219" s="50">
        <v>897.21</v>
      </c>
      <c r="K13219" t="s">
        <v>1618</v>
      </c>
      <c r="M13219" t="s">
        <v>1624</v>
      </c>
      <c r="N13219">
        <v>52.61</v>
      </c>
      <c r="O13219" s="49">
        <v>45565</v>
      </c>
      <c r="P13219" s="50">
        <v>403.74450000000002</v>
      </c>
    </row>
    <row r="13220" spans="4:16" x14ac:dyDescent="0.2">
      <c r="D13220">
        <v>100007962</v>
      </c>
      <c r="E13220" s="49">
        <v>44778</v>
      </c>
      <c r="F13220" t="s">
        <v>8390</v>
      </c>
      <c r="G13220" t="s">
        <v>2121</v>
      </c>
      <c r="H13220">
        <v>8</v>
      </c>
      <c r="I13220">
        <v>119.62</v>
      </c>
      <c r="J13220" s="50">
        <v>956.96</v>
      </c>
      <c r="K13220" t="s">
        <v>1632</v>
      </c>
      <c r="L13220" t="s">
        <v>6743</v>
      </c>
      <c r="M13220" t="s">
        <v>1627</v>
      </c>
      <c r="N13220">
        <v>63.13</v>
      </c>
      <c r="O13220" s="49">
        <v>44782</v>
      </c>
      <c r="P13220" s="50">
        <v>430.63200000000001</v>
      </c>
    </row>
    <row r="13221" spans="4:16" x14ac:dyDescent="0.2">
      <c r="D13221">
        <v>100007963</v>
      </c>
      <c r="E13221" s="49">
        <v>44950</v>
      </c>
      <c r="F13221" t="s">
        <v>8391</v>
      </c>
      <c r="G13221" t="s">
        <v>1857</v>
      </c>
      <c r="H13221">
        <v>1</v>
      </c>
      <c r="I13221">
        <v>72.13</v>
      </c>
      <c r="J13221" s="50">
        <v>72.13</v>
      </c>
      <c r="K13221" t="s">
        <v>1618</v>
      </c>
      <c r="M13221" t="s">
        <v>1629</v>
      </c>
      <c r="N13221">
        <v>38.07</v>
      </c>
      <c r="O13221" s="49">
        <v>44955</v>
      </c>
      <c r="P13221" s="50">
        <v>32.458500000000001</v>
      </c>
    </row>
    <row r="13222" spans="4:16" x14ac:dyDescent="0.2">
      <c r="D13222">
        <v>100007964</v>
      </c>
      <c r="E13222" s="49">
        <v>44462</v>
      </c>
      <c r="F13222" t="s">
        <v>8392</v>
      </c>
      <c r="G13222" t="s">
        <v>2047</v>
      </c>
      <c r="H13222">
        <v>6</v>
      </c>
      <c r="I13222">
        <v>109.06</v>
      </c>
      <c r="J13222" s="50">
        <v>654.36</v>
      </c>
      <c r="K13222" t="s">
        <v>1632</v>
      </c>
      <c r="M13222" t="s">
        <v>1629</v>
      </c>
      <c r="N13222">
        <v>57.56</v>
      </c>
      <c r="O13222" s="49">
        <v>44466</v>
      </c>
      <c r="P13222" s="50">
        <v>294.46199999999999</v>
      </c>
    </row>
    <row r="13223" spans="4:16" x14ac:dyDescent="0.2">
      <c r="D13223">
        <v>100007964</v>
      </c>
      <c r="E13223" s="49">
        <v>45630</v>
      </c>
      <c r="F13223" t="s">
        <v>8392</v>
      </c>
      <c r="G13223" t="s">
        <v>2550</v>
      </c>
      <c r="H13223">
        <v>6</v>
      </c>
      <c r="I13223">
        <v>23.8</v>
      </c>
      <c r="J13223" s="50">
        <v>142.80000000000001</v>
      </c>
      <c r="K13223" t="s">
        <v>1632</v>
      </c>
      <c r="M13223" t="s">
        <v>1619</v>
      </c>
      <c r="N13223">
        <v>12.56</v>
      </c>
      <c r="O13223" s="49">
        <v>45632</v>
      </c>
      <c r="P13223" s="50">
        <v>64.260000000000005</v>
      </c>
    </row>
    <row r="13224" spans="4:16" x14ac:dyDescent="0.2">
      <c r="D13224">
        <v>100007964</v>
      </c>
      <c r="E13224" s="49">
        <v>44788</v>
      </c>
      <c r="F13224" t="s">
        <v>8392</v>
      </c>
      <c r="G13224" t="s">
        <v>1758</v>
      </c>
      <c r="H13224">
        <v>8</v>
      </c>
      <c r="I13224">
        <v>85.45</v>
      </c>
      <c r="J13224" s="50">
        <v>683.6</v>
      </c>
      <c r="K13224" t="s">
        <v>1632</v>
      </c>
      <c r="M13224" t="s">
        <v>1619</v>
      </c>
      <c r="N13224">
        <v>45.1</v>
      </c>
      <c r="O13224" s="49">
        <v>44789</v>
      </c>
      <c r="P13224" s="50">
        <v>307.62</v>
      </c>
    </row>
    <row r="13225" spans="4:16" x14ac:dyDescent="0.2">
      <c r="D13225">
        <v>100007964</v>
      </c>
      <c r="E13225" s="49">
        <v>44766</v>
      </c>
      <c r="F13225" t="s">
        <v>8392</v>
      </c>
      <c r="G13225" t="s">
        <v>1947</v>
      </c>
      <c r="H13225">
        <v>3</v>
      </c>
      <c r="I13225">
        <v>97.59</v>
      </c>
      <c r="J13225" s="50">
        <v>292.77</v>
      </c>
      <c r="K13225" t="s">
        <v>1632</v>
      </c>
      <c r="M13225" t="s">
        <v>1621</v>
      </c>
      <c r="N13225">
        <v>51.51</v>
      </c>
      <c r="O13225" s="49">
        <v>44771</v>
      </c>
      <c r="P13225" s="50">
        <v>131.7465</v>
      </c>
    </row>
    <row r="13226" spans="4:16" x14ac:dyDescent="0.2">
      <c r="D13226">
        <v>100007964</v>
      </c>
      <c r="E13226" s="49">
        <v>44426</v>
      </c>
      <c r="F13226" t="s">
        <v>8392</v>
      </c>
      <c r="G13226" t="s">
        <v>1990</v>
      </c>
      <c r="H13226">
        <v>10</v>
      </c>
      <c r="I13226">
        <v>78.31</v>
      </c>
      <c r="J13226" s="50">
        <v>783.1</v>
      </c>
      <c r="K13226" t="s">
        <v>1632</v>
      </c>
      <c r="M13226" t="s">
        <v>1627</v>
      </c>
      <c r="N13226">
        <v>41.33</v>
      </c>
      <c r="O13226" s="49">
        <v>44427</v>
      </c>
      <c r="P13226" s="50">
        <v>352.39500000000004</v>
      </c>
    </row>
    <row r="13227" spans="4:16" x14ac:dyDescent="0.2">
      <c r="D13227">
        <v>100007965</v>
      </c>
      <c r="E13227" s="49">
        <v>44710</v>
      </c>
      <c r="F13227" t="s">
        <v>2338</v>
      </c>
      <c r="G13227" t="s">
        <v>1675</v>
      </c>
      <c r="H13227">
        <v>4</v>
      </c>
      <c r="I13227">
        <v>55.74</v>
      </c>
      <c r="J13227" s="50">
        <v>222.96</v>
      </c>
      <c r="K13227" t="s">
        <v>1632</v>
      </c>
      <c r="M13227" t="s">
        <v>1621</v>
      </c>
      <c r="N13227">
        <v>29.42</v>
      </c>
      <c r="O13227" s="49">
        <v>44712</v>
      </c>
      <c r="P13227" s="50">
        <v>100.33200000000001</v>
      </c>
    </row>
    <row r="13228" spans="4:16" x14ac:dyDescent="0.2">
      <c r="D13228">
        <v>100007966</v>
      </c>
      <c r="E13228" s="49">
        <v>44989</v>
      </c>
      <c r="F13228" t="s">
        <v>8393</v>
      </c>
      <c r="G13228" t="s">
        <v>1749</v>
      </c>
      <c r="H13228">
        <v>2</v>
      </c>
      <c r="I13228">
        <v>52.88</v>
      </c>
      <c r="J13228" s="50">
        <v>105.76</v>
      </c>
      <c r="K13228" t="s">
        <v>1632</v>
      </c>
      <c r="L13228" t="s">
        <v>8394</v>
      </c>
      <c r="M13228" t="s">
        <v>1621</v>
      </c>
      <c r="N13228">
        <v>27.91</v>
      </c>
      <c r="O13228" s="49">
        <v>44993</v>
      </c>
      <c r="P13228" s="50">
        <v>47.592000000000006</v>
      </c>
    </row>
    <row r="13229" spans="4:16" x14ac:dyDescent="0.2">
      <c r="D13229">
        <v>100007966</v>
      </c>
      <c r="E13229" s="49">
        <v>44337</v>
      </c>
      <c r="F13229" t="s">
        <v>8393</v>
      </c>
      <c r="G13229" t="s">
        <v>1658</v>
      </c>
      <c r="H13229">
        <v>10</v>
      </c>
      <c r="I13229">
        <v>28.63</v>
      </c>
      <c r="J13229" s="50">
        <v>286.3</v>
      </c>
      <c r="K13229" t="s">
        <v>1632</v>
      </c>
      <c r="L13229" t="s">
        <v>8394</v>
      </c>
      <c r="M13229" t="s">
        <v>1629</v>
      </c>
      <c r="N13229">
        <v>15.11</v>
      </c>
      <c r="O13229" s="49">
        <v>44339</v>
      </c>
      <c r="P13229" s="50">
        <v>128.83500000000001</v>
      </c>
    </row>
    <row r="13230" spans="4:16" x14ac:dyDescent="0.2">
      <c r="D13230">
        <v>100007966</v>
      </c>
      <c r="E13230" s="49">
        <v>44332</v>
      </c>
      <c r="F13230" t="s">
        <v>8393</v>
      </c>
      <c r="G13230" t="s">
        <v>1787</v>
      </c>
      <c r="H13230">
        <v>2</v>
      </c>
      <c r="I13230">
        <v>10.119999999999999</v>
      </c>
      <c r="J13230" s="50">
        <v>20.239999999999998</v>
      </c>
      <c r="K13230" t="s">
        <v>1632</v>
      </c>
      <c r="L13230" t="s">
        <v>8394</v>
      </c>
      <c r="M13230" t="s">
        <v>1627</v>
      </c>
      <c r="N13230">
        <v>5.34</v>
      </c>
      <c r="O13230" s="49">
        <v>44333</v>
      </c>
      <c r="P13230" s="50">
        <v>9.1079999999999988</v>
      </c>
    </row>
    <row r="13231" spans="4:16" x14ac:dyDescent="0.2">
      <c r="D13231">
        <v>100007966</v>
      </c>
      <c r="E13231" s="49">
        <v>44289</v>
      </c>
      <c r="F13231" t="s">
        <v>8393</v>
      </c>
      <c r="G13231" t="s">
        <v>1866</v>
      </c>
      <c r="H13231">
        <v>8</v>
      </c>
      <c r="I13231">
        <v>29.7</v>
      </c>
      <c r="J13231" s="50">
        <v>237.6</v>
      </c>
      <c r="K13231" t="s">
        <v>1632</v>
      </c>
      <c r="L13231" t="s">
        <v>8394</v>
      </c>
      <c r="M13231" t="s">
        <v>1629</v>
      </c>
      <c r="N13231">
        <v>15.67</v>
      </c>
      <c r="O13231" s="49">
        <v>44292</v>
      </c>
      <c r="P13231" s="50">
        <v>106.92</v>
      </c>
    </row>
    <row r="13232" spans="4:16" x14ac:dyDescent="0.2">
      <c r="D13232">
        <v>100007968</v>
      </c>
      <c r="E13232" s="49">
        <v>44986</v>
      </c>
      <c r="F13232" t="s">
        <v>8395</v>
      </c>
      <c r="G13232" t="s">
        <v>1895</v>
      </c>
      <c r="H13232">
        <v>2</v>
      </c>
      <c r="I13232">
        <v>72.59</v>
      </c>
      <c r="J13232" s="50">
        <v>145.18</v>
      </c>
      <c r="K13232" t="s">
        <v>1618</v>
      </c>
      <c r="M13232" t="s">
        <v>1619</v>
      </c>
      <c r="N13232">
        <v>38.31</v>
      </c>
      <c r="O13232" s="49">
        <v>44990</v>
      </c>
      <c r="P13232" s="50">
        <v>65.331000000000003</v>
      </c>
    </row>
    <row r="13233" spans="4:16" x14ac:dyDescent="0.2">
      <c r="D13233">
        <v>100007968</v>
      </c>
      <c r="E13233" s="49">
        <v>44363</v>
      </c>
      <c r="F13233" t="s">
        <v>8395</v>
      </c>
      <c r="G13233" t="s">
        <v>1828</v>
      </c>
      <c r="H13233">
        <v>9</v>
      </c>
      <c r="I13233">
        <v>33.89</v>
      </c>
      <c r="J13233" s="50">
        <v>305.01</v>
      </c>
      <c r="K13233" t="s">
        <v>1618</v>
      </c>
      <c r="M13233" t="s">
        <v>1629</v>
      </c>
      <c r="N13233">
        <v>17.89</v>
      </c>
      <c r="O13233" s="49">
        <v>44368</v>
      </c>
      <c r="P13233" s="50">
        <v>137.25450000000001</v>
      </c>
    </row>
    <row r="13234" spans="4:16" x14ac:dyDescent="0.2">
      <c r="D13234">
        <v>100007968</v>
      </c>
      <c r="E13234" s="49">
        <v>45465</v>
      </c>
      <c r="F13234" t="s">
        <v>8395</v>
      </c>
      <c r="G13234" t="s">
        <v>1808</v>
      </c>
      <c r="H13234">
        <v>3</v>
      </c>
      <c r="I13234">
        <v>103.62</v>
      </c>
      <c r="J13234" s="50">
        <v>310.86</v>
      </c>
      <c r="K13234" t="s">
        <v>1618</v>
      </c>
      <c r="M13234" t="s">
        <v>1621</v>
      </c>
      <c r="N13234">
        <v>54.69</v>
      </c>
      <c r="O13234" s="49">
        <v>45466</v>
      </c>
      <c r="P13234" s="50">
        <v>139.887</v>
      </c>
    </row>
    <row r="13235" spans="4:16" x14ac:dyDescent="0.2">
      <c r="D13235">
        <v>100007968</v>
      </c>
      <c r="E13235" s="49">
        <v>44472</v>
      </c>
      <c r="F13235" t="s">
        <v>8395</v>
      </c>
      <c r="G13235" t="s">
        <v>1842</v>
      </c>
      <c r="H13235">
        <v>8</v>
      </c>
      <c r="I13235">
        <v>29.09</v>
      </c>
      <c r="J13235" s="50">
        <v>232.72</v>
      </c>
      <c r="K13235" t="s">
        <v>1618</v>
      </c>
      <c r="M13235" t="s">
        <v>1624</v>
      </c>
      <c r="N13235">
        <v>15.35</v>
      </c>
      <c r="O13235" s="49">
        <v>44474</v>
      </c>
      <c r="P13235" s="50">
        <v>104.724</v>
      </c>
    </row>
    <row r="13236" spans="4:16" x14ac:dyDescent="0.2">
      <c r="D13236">
        <v>100007968</v>
      </c>
      <c r="E13236" s="49">
        <v>45077</v>
      </c>
      <c r="F13236" t="s">
        <v>8395</v>
      </c>
      <c r="G13236" t="s">
        <v>1756</v>
      </c>
      <c r="H13236">
        <v>4</v>
      </c>
      <c r="I13236">
        <v>79.239999999999995</v>
      </c>
      <c r="J13236" s="50">
        <v>316.95999999999998</v>
      </c>
      <c r="K13236" t="s">
        <v>1618</v>
      </c>
      <c r="M13236" t="s">
        <v>1627</v>
      </c>
      <c r="N13236">
        <v>41.82</v>
      </c>
      <c r="O13236" s="49">
        <v>45079</v>
      </c>
      <c r="P13236" s="50">
        <v>142.63200000000001</v>
      </c>
    </row>
    <row r="13237" spans="4:16" x14ac:dyDescent="0.2">
      <c r="D13237">
        <v>100007968</v>
      </c>
      <c r="E13237" s="49">
        <v>45244</v>
      </c>
      <c r="F13237" t="s">
        <v>8395</v>
      </c>
      <c r="G13237" t="s">
        <v>1990</v>
      </c>
      <c r="H13237">
        <v>1</v>
      </c>
      <c r="I13237">
        <v>35.93</v>
      </c>
      <c r="J13237" s="50">
        <v>35.93</v>
      </c>
      <c r="K13237" t="s">
        <v>1618</v>
      </c>
      <c r="M13237" t="s">
        <v>1619</v>
      </c>
      <c r="N13237">
        <v>18.96</v>
      </c>
      <c r="O13237" s="49">
        <v>45246</v>
      </c>
      <c r="P13237" s="50">
        <v>16.168500000000002</v>
      </c>
    </row>
    <row r="13238" spans="4:16" x14ac:dyDescent="0.2">
      <c r="D13238">
        <v>100007968</v>
      </c>
      <c r="E13238" s="49">
        <v>44963</v>
      </c>
      <c r="F13238" t="s">
        <v>8395</v>
      </c>
      <c r="G13238" t="s">
        <v>2142</v>
      </c>
      <c r="H13238">
        <v>1</v>
      </c>
      <c r="I13238">
        <v>76.11</v>
      </c>
      <c r="J13238" s="50">
        <v>76.11</v>
      </c>
      <c r="K13238" t="s">
        <v>1618</v>
      </c>
      <c r="M13238" t="s">
        <v>1619</v>
      </c>
      <c r="N13238">
        <v>40.17</v>
      </c>
      <c r="O13238" s="49">
        <v>44968</v>
      </c>
      <c r="P13238" s="50">
        <v>34.249499999999998</v>
      </c>
    </row>
    <row r="13239" spans="4:16" x14ac:dyDescent="0.2">
      <c r="D13239">
        <v>100007968</v>
      </c>
      <c r="E13239" s="49">
        <v>44540</v>
      </c>
      <c r="F13239" t="s">
        <v>8395</v>
      </c>
      <c r="G13239" t="s">
        <v>2346</v>
      </c>
      <c r="H13239">
        <v>4</v>
      </c>
      <c r="I13239">
        <v>97.3</v>
      </c>
      <c r="J13239" s="50">
        <v>389.2</v>
      </c>
      <c r="K13239" t="s">
        <v>1618</v>
      </c>
      <c r="M13239" t="s">
        <v>1627</v>
      </c>
      <c r="N13239">
        <v>51.35</v>
      </c>
      <c r="O13239" s="49">
        <v>44542</v>
      </c>
      <c r="P13239" s="50">
        <v>175.14</v>
      </c>
    </row>
    <row r="13240" spans="4:16" x14ac:dyDescent="0.2">
      <c r="D13240">
        <v>100007968</v>
      </c>
      <c r="E13240" s="49">
        <v>44674</v>
      </c>
      <c r="F13240" t="s">
        <v>8395</v>
      </c>
      <c r="G13240" t="s">
        <v>1650</v>
      </c>
      <c r="H13240">
        <v>7</v>
      </c>
      <c r="I13240">
        <v>56.11</v>
      </c>
      <c r="J13240" s="50">
        <v>392.77</v>
      </c>
      <c r="K13240" t="s">
        <v>1618</v>
      </c>
      <c r="M13240" t="s">
        <v>1629</v>
      </c>
      <c r="N13240">
        <v>29.61</v>
      </c>
      <c r="O13240" s="49">
        <v>44678</v>
      </c>
      <c r="P13240" s="50">
        <v>176.7465</v>
      </c>
    </row>
    <row r="13241" spans="4:16" x14ac:dyDescent="0.2">
      <c r="D13241">
        <v>100007968</v>
      </c>
      <c r="E13241" s="49">
        <v>44650</v>
      </c>
      <c r="F13241" t="s">
        <v>8395</v>
      </c>
      <c r="G13241" t="s">
        <v>1758</v>
      </c>
      <c r="H13241">
        <v>2</v>
      </c>
      <c r="I13241">
        <v>102.04</v>
      </c>
      <c r="J13241" s="50">
        <v>204.08</v>
      </c>
      <c r="K13241" t="s">
        <v>1618</v>
      </c>
      <c r="M13241" t="s">
        <v>1629</v>
      </c>
      <c r="N13241">
        <v>53.85</v>
      </c>
      <c r="O13241" s="49">
        <v>44654</v>
      </c>
      <c r="P13241" s="50">
        <v>91.836000000000013</v>
      </c>
    </row>
    <row r="13242" spans="4:16" x14ac:dyDescent="0.2">
      <c r="D13242">
        <v>100007968</v>
      </c>
      <c r="E13242" s="49">
        <v>45335</v>
      </c>
      <c r="F13242" t="s">
        <v>8395</v>
      </c>
      <c r="G13242" t="s">
        <v>1675</v>
      </c>
      <c r="H13242">
        <v>1</v>
      </c>
      <c r="I13242">
        <v>71.67</v>
      </c>
      <c r="J13242" s="50">
        <v>71.67</v>
      </c>
      <c r="K13242" t="s">
        <v>1618</v>
      </c>
      <c r="M13242" t="s">
        <v>1629</v>
      </c>
      <c r="N13242">
        <v>37.83</v>
      </c>
      <c r="O13242" s="49">
        <v>45339</v>
      </c>
      <c r="P13242" s="50">
        <v>32.2515</v>
      </c>
    </row>
    <row r="13243" spans="4:16" x14ac:dyDescent="0.2">
      <c r="D13243">
        <v>100007969</v>
      </c>
      <c r="E13243" s="49">
        <v>44617</v>
      </c>
      <c r="F13243" t="s">
        <v>8396</v>
      </c>
      <c r="G13243" t="s">
        <v>2278</v>
      </c>
      <c r="H13243">
        <v>7</v>
      </c>
      <c r="I13243">
        <v>44.49</v>
      </c>
      <c r="J13243" s="50">
        <v>311.43</v>
      </c>
      <c r="K13243" t="s">
        <v>1618</v>
      </c>
      <c r="M13243" t="s">
        <v>1627</v>
      </c>
      <c r="N13243">
        <v>23.48</v>
      </c>
      <c r="O13243" s="49">
        <v>44620</v>
      </c>
      <c r="P13243" s="50">
        <v>140.14350000000002</v>
      </c>
    </row>
    <row r="13244" spans="4:16" x14ac:dyDescent="0.2">
      <c r="D13244">
        <v>100007970</v>
      </c>
      <c r="E13244" s="49">
        <v>44689</v>
      </c>
      <c r="F13244" t="s">
        <v>8397</v>
      </c>
      <c r="G13244" t="s">
        <v>1687</v>
      </c>
      <c r="H13244">
        <v>10</v>
      </c>
      <c r="I13244">
        <v>75.56</v>
      </c>
      <c r="J13244" s="50">
        <v>755.6</v>
      </c>
      <c r="K13244" t="s">
        <v>1618</v>
      </c>
      <c r="M13244" t="s">
        <v>1629</v>
      </c>
      <c r="N13244">
        <v>39.880000000000003</v>
      </c>
      <c r="O13244" s="49">
        <v>44692</v>
      </c>
      <c r="P13244" s="50">
        <v>340.02000000000004</v>
      </c>
    </row>
    <row r="13245" spans="4:16" x14ac:dyDescent="0.2">
      <c r="D13245">
        <v>100007970</v>
      </c>
      <c r="E13245" s="49">
        <v>44761</v>
      </c>
      <c r="F13245" t="s">
        <v>8397</v>
      </c>
      <c r="G13245" t="s">
        <v>2745</v>
      </c>
      <c r="H13245">
        <v>1</v>
      </c>
      <c r="I13245">
        <v>24.56</v>
      </c>
      <c r="J13245" s="50">
        <v>24.56</v>
      </c>
      <c r="K13245" t="s">
        <v>1618</v>
      </c>
      <c r="M13245" t="s">
        <v>1619</v>
      </c>
      <c r="N13245">
        <v>12.96</v>
      </c>
      <c r="O13245" s="49">
        <v>44762</v>
      </c>
      <c r="P13245" s="50">
        <v>11.052</v>
      </c>
    </row>
    <row r="13246" spans="4:16" x14ac:dyDescent="0.2">
      <c r="D13246">
        <v>100007971</v>
      </c>
      <c r="E13246" s="49">
        <v>44704</v>
      </c>
      <c r="F13246" t="s">
        <v>8398</v>
      </c>
      <c r="G13246" t="s">
        <v>1700</v>
      </c>
      <c r="H13246">
        <v>9</v>
      </c>
      <c r="I13246">
        <v>109.01</v>
      </c>
      <c r="J13246" s="50">
        <v>981.09</v>
      </c>
      <c r="K13246" t="s">
        <v>1632</v>
      </c>
      <c r="M13246" t="s">
        <v>1629</v>
      </c>
      <c r="N13246">
        <v>57.53</v>
      </c>
      <c r="O13246" s="49">
        <v>44706</v>
      </c>
      <c r="P13246" s="50">
        <v>441.4905</v>
      </c>
    </row>
    <row r="13247" spans="4:16" x14ac:dyDescent="0.2">
      <c r="D13247">
        <v>100007972</v>
      </c>
      <c r="E13247" s="49">
        <v>45466</v>
      </c>
      <c r="F13247" t="s">
        <v>8399</v>
      </c>
      <c r="G13247" t="s">
        <v>1740</v>
      </c>
      <c r="H13247">
        <v>7</v>
      </c>
      <c r="I13247">
        <v>52.43</v>
      </c>
      <c r="J13247" s="50">
        <v>367.01</v>
      </c>
      <c r="K13247" t="s">
        <v>1618</v>
      </c>
      <c r="L13247" t="s">
        <v>3948</v>
      </c>
      <c r="M13247" t="s">
        <v>1621</v>
      </c>
      <c r="N13247">
        <v>27.67</v>
      </c>
      <c r="O13247" s="49">
        <v>45468</v>
      </c>
      <c r="P13247" s="50">
        <v>165.15450000000001</v>
      </c>
    </row>
    <row r="13248" spans="4:16" x14ac:dyDescent="0.2">
      <c r="D13248">
        <v>100007973</v>
      </c>
      <c r="E13248" s="49">
        <v>44666</v>
      </c>
      <c r="F13248" t="s">
        <v>8400</v>
      </c>
      <c r="G13248" t="s">
        <v>2242</v>
      </c>
      <c r="H13248">
        <v>2</v>
      </c>
      <c r="I13248">
        <v>20.100000000000001</v>
      </c>
      <c r="J13248" s="50">
        <v>40.200000000000003</v>
      </c>
      <c r="K13248" t="s">
        <v>1632</v>
      </c>
      <c r="M13248" t="s">
        <v>1619</v>
      </c>
      <c r="N13248">
        <v>10.61</v>
      </c>
      <c r="O13248" s="49">
        <v>44667</v>
      </c>
      <c r="P13248" s="50">
        <v>18.090000000000003</v>
      </c>
    </row>
    <row r="13249" spans="4:16" x14ac:dyDescent="0.2">
      <c r="D13249">
        <v>100007974</v>
      </c>
      <c r="E13249" s="49">
        <v>44516</v>
      </c>
      <c r="F13249" t="s">
        <v>8401</v>
      </c>
      <c r="G13249" t="s">
        <v>2393</v>
      </c>
      <c r="H13249">
        <v>10</v>
      </c>
      <c r="I13249">
        <v>51.61</v>
      </c>
      <c r="J13249" s="50">
        <v>516.1</v>
      </c>
      <c r="K13249" t="s">
        <v>1632</v>
      </c>
      <c r="M13249" t="s">
        <v>1619</v>
      </c>
      <c r="N13249">
        <v>27.24</v>
      </c>
      <c r="O13249" s="49">
        <v>44519</v>
      </c>
      <c r="P13249" s="50">
        <v>232.245</v>
      </c>
    </row>
    <row r="13250" spans="4:16" x14ac:dyDescent="0.2">
      <c r="D13250">
        <v>100007974</v>
      </c>
      <c r="E13250" s="49">
        <v>44866</v>
      </c>
      <c r="F13250" t="s">
        <v>8401</v>
      </c>
      <c r="G13250" t="s">
        <v>2145</v>
      </c>
      <c r="H13250">
        <v>6</v>
      </c>
      <c r="I13250">
        <v>26.46</v>
      </c>
      <c r="J13250" s="50">
        <v>158.76</v>
      </c>
      <c r="K13250" t="s">
        <v>1632</v>
      </c>
      <c r="M13250" t="s">
        <v>1624</v>
      </c>
      <c r="N13250">
        <v>13.96</v>
      </c>
      <c r="O13250" s="49">
        <v>44868</v>
      </c>
      <c r="P13250" s="50">
        <v>71.441999999999993</v>
      </c>
    </row>
    <row r="13251" spans="4:16" x14ac:dyDescent="0.2">
      <c r="D13251">
        <v>100007974</v>
      </c>
      <c r="E13251" s="49">
        <v>44498</v>
      </c>
      <c r="F13251" t="s">
        <v>8401</v>
      </c>
      <c r="G13251" t="s">
        <v>1712</v>
      </c>
      <c r="H13251">
        <v>6</v>
      </c>
      <c r="I13251">
        <v>63.51</v>
      </c>
      <c r="J13251" s="50">
        <v>381.06</v>
      </c>
      <c r="K13251" t="s">
        <v>1632</v>
      </c>
      <c r="M13251" t="s">
        <v>1621</v>
      </c>
      <c r="N13251">
        <v>33.520000000000003</v>
      </c>
      <c r="O13251" s="49">
        <v>44503</v>
      </c>
      <c r="P13251" s="50">
        <v>171.477</v>
      </c>
    </row>
    <row r="13252" spans="4:16" x14ac:dyDescent="0.2">
      <c r="D13252">
        <v>100007974</v>
      </c>
      <c r="E13252" s="49">
        <v>44995</v>
      </c>
      <c r="F13252" t="s">
        <v>8401</v>
      </c>
      <c r="G13252" t="s">
        <v>2138</v>
      </c>
      <c r="H13252">
        <v>8</v>
      </c>
      <c r="I13252">
        <v>56.57</v>
      </c>
      <c r="J13252" s="50">
        <v>452.56</v>
      </c>
      <c r="K13252" t="s">
        <v>1632</v>
      </c>
      <c r="M13252" t="s">
        <v>1629</v>
      </c>
      <c r="N13252">
        <v>29.86</v>
      </c>
      <c r="O13252" s="49">
        <v>44999</v>
      </c>
      <c r="P13252" s="50">
        <v>203.65200000000002</v>
      </c>
    </row>
    <row r="13253" spans="4:16" x14ac:dyDescent="0.2">
      <c r="D13253">
        <v>100007975</v>
      </c>
      <c r="E13253" s="49">
        <v>44747</v>
      </c>
      <c r="F13253" t="s">
        <v>8402</v>
      </c>
      <c r="G13253" t="s">
        <v>1969</v>
      </c>
      <c r="H13253">
        <v>2</v>
      </c>
      <c r="I13253">
        <v>95.3</v>
      </c>
      <c r="J13253" s="50">
        <v>190.6</v>
      </c>
      <c r="K13253" t="s">
        <v>1618</v>
      </c>
      <c r="L13253" t="s">
        <v>8403</v>
      </c>
      <c r="M13253" t="s">
        <v>1621</v>
      </c>
      <c r="N13253">
        <v>50.3</v>
      </c>
      <c r="O13253" s="49">
        <v>44750</v>
      </c>
      <c r="P13253" s="50">
        <v>85.77</v>
      </c>
    </row>
    <row r="13254" spans="4:16" x14ac:dyDescent="0.2">
      <c r="D13254">
        <v>100007975</v>
      </c>
      <c r="E13254" s="49">
        <v>44298</v>
      </c>
      <c r="F13254" t="s">
        <v>8402</v>
      </c>
      <c r="G13254" t="s">
        <v>1882</v>
      </c>
      <c r="H13254">
        <v>6</v>
      </c>
      <c r="I13254">
        <v>106.37</v>
      </c>
      <c r="J13254" s="50">
        <v>638.22</v>
      </c>
      <c r="K13254" t="s">
        <v>1618</v>
      </c>
      <c r="L13254" t="s">
        <v>8403</v>
      </c>
      <c r="M13254" t="s">
        <v>1621</v>
      </c>
      <c r="N13254">
        <v>56.14</v>
      </c>
      <c r="O13254" s="49">
        <v>44303</v>
      </c>
      <c r="P13254" s="50">
        <v>287.19900000000001</v>
      </c>
    </row>
    <row r="13255" spans="4:16" x14ac:dyDescent="0.2">
      <c r="D13255">
        <v>100007976</v>
      </c>
      <c r="E13255" s="49">
        <v>44528</v>
      </c>
      <c r="F13255" t="s">
        <v>8404</v>
      </c>
      <c r="G13255" t="s">
        <v>1770</v>
      </c>
      <c r="H13255">
        <v>10</v>
      </c>
      <c r="I13255">
        <v>104.53</v>
      </c>
      <c r="J13255" s="50">
        <v>1045.3</v>
      </c>
      <c r="K13255" t="s">
        <v>1632</v>
      </c>
      <c r="M13255" t="s">
        <v>1629</v>
      </c>
      <c r="N13255">
        <v>55.17</v>
      </c>
      <c r="O13255" s="49">
        <v>44530</v>
      </c>
      <c r="P13255" s="50">
        <v>470.38499999999999</v>
      </c>
    </row>
    <row r="13256" spans="4:16" x14ac:dyDescent="0.2">
      <c r="D13256">
        <v>100007976</v>
      </c>
      <c r="E13256" s="49">
        <v>45370</v>
      </c>
      <c r="F13256" t="s">
        <v>8404</v>
      </c>
      <c r="G13256" t="s">
        <v>2033</v>
      </c>
      <c r="H13256">
        <v>5</v>
      </c>
      <c r="I13256">
        <v>34.299999999999997</v>
      </c>
      <c r="J13256" s="50">
        <v>171.5</v>
      </c>
      <c r="K13256" t="s">
        <v>1632</v>
      </c>
      <c r="M13256" t="s">
        <v>1627</v>
      </c>
      <c r="N13256">
        <v>18.100000000000001</v>
      </c>
      <c r="O13256" s="49">
        <v>45372</v>
      </c>
      <c r="P13256" s="50">
        <v>77.174999999999997</v>
      </c>
    </row>
    <row r="13257" spans="4:16" x14ac:dyDescent="0.2">
      <c r="D13257">
        <v>100007977</v>
      </c>
      <c r="E13257" s="49">
        <v>44816</v>
      </c>
      <c r="F13257" t="s">
        <v>8405</v>
      </c>
      <c r="G13257" t="s">
        <v>1674</v>
      </c>
      <c r="H13257">
        <v>6</v>
      </c>
      <c r="I13257">
        <v>42.44</v>
      </c>
      <c r="J13257" s="50">
        <v>254.64</v>
      </c>
      <c r="K13257" t="s">
        <v>1632</v>
      </c>
      <c r="M13257" t="s">
        <v>1624</v>
      </c>
      <c r="N13257">
        <v>22.4</v>
      </c>
      <c r="O13257" s="49">
        <v>44821</v>
      </c>
      <c r="P13257" s="50">
        <v>114.58799999999999</v>
      </c>
    </row>
    <row r="13258" spans="4:16" x14ac:dyDescent="0.2">
      <c r="D13258">
        <v>100007979</v>
      </c>
      <c r="E13258" s="49">
        <v>44579</v>
      </c>
      <c r="F13258" t="s">
        <v>8406</v>
      </c>
      <c r="G13258" t="s">
        <v>1900</v>
      </c>
      <c r="H13258">
        <v>7</v>
      </c>
      <c r="I13258">
        <v>41.26</v>
      </c>
      <c r="J13258" s="50">
        <v>288.82</v>
      </c>
      <c r="K13258" t="s">
        <v>1618</v>
      </c>
      <c r="L13258" t="s">
        <v>7408</v>
      </c>
      <c r="M13258" t="s">
        <v>1621</v>
      </c>
      <c r="N13258">
        <v>21.78</v>
      </c>
      <c r="O13258" s="49">
        <v>44581</v>
      </c>
      <c r="P13258" s="50">
        <v>129.96899999999999</v>
      </c>
    </row>
    <row r="13259" spans="4:16" x14ac:dyDescent="0.2">
      <c r="D13259">
        <v>100007982</v>
      </c>
      <c r="E13259" s="49">
        <v>45137</v>
      </c>
      <c r="F13259" t="s">
        <v>8407</v>
      </c>
      <c r="G13259" t="s">
        <v>1897</v>
      </c>
      <c r="H13259">
        <v>1</v>
      </c>
      <c r="I13259">
        <v>93.68</v>
      </c>
      <c r="J13259" s="50">
        <v>93.68</v>
      </c>
      <c r="K13259" t="s">
        <v>1632</v>
      </c>
      <c r="M13259" t="s">
        <v>1624</v>
      </c>
      <c r="N13259">
        <v>49.44</v>
      </c>
      <c r="O13259" s="49">
        <v>45139</v>
      </c>
      <c r="P13259" s="50">
        <v>42.156000000000006</v>
      </c>
    </row>
    <row r="13260" spans="4:16" x14ac:dyDescent="0.2">
      <c r="D13260">
        <v>100007982</v>
      </c>
      <c r="E13260" s="49">
        <v>45496</v>
      </c>
      <c r="F13260" t="s">
        <v>8407</v>
      </c>
      <c r="G13260" t="s">
        <v>1653</v>
      </c>
      <c r="H13260">
        <v>7</v>
      </c>
      <c r="I13260">
        <v>97.23</v>
      </c>
      <c r="J13260" s="50">
        <v>680.61</v>
      </c>
      <c r="K13260" t="s">
        <v>1632</v>
      </c>
      <c r="M13260" t="s">
        <v>1619</v>
      </c>
      <c r="N13260">
        <v>51.32</v>
      </c>
      <c r="O13260" s="49">
        <v>45500</v>
      </c>
      <c r="P13260" s="50">
        <v>306.27449999999999</v>
      </c>
    </row>
    <row r="13261" spans="4:16" x14ac:dyDescent="0.2">
      <c r="D13261">
        <v>100007982</v>
      </c>
      <c r="E13261" s="49">
        <v>44879</v>
      </c>
      <c r="F13261" t="s">
        <v>8407</v>
      </c>
      <c r="G13261" t="s">
        <v>1672</v>
      </c>
      <c r="H13261">
        <v>6</v>
      </c>
      <c r="I13261">
        <v>70.069999999999993</v>
      </c>
      <c r="J13261" s="50">
        <v>420.42</v>
      </c>
      <c r="K13261" t="s">
        <v>1632</v>
      </c>
      <c r="M13261" t="s">
        <v>1621</v>
      </c>
      <c r="N13261">
        <v>36.979999999999997</v>
      </c>
      <c r="O13261" s="49">
        <v>44884</v>
      </c>
      <c r="P13261" s="50">
        <v>189.18900000000002</v>
      </c>
    </row>
    <row r="13262" spans="4:16" x14ac:dyDescent="0.2">
      <c r="D13262">
        <v>100007982</v>
      </c>
      <c r="E13262" s="49">
        <v>44487</v>
      </c>
      <c r="F13262" t="s">
        <v>8407</v>
      </c>
      <c r="G13262" t="s">
        <v>1717</v>
      </c>
      <c r="H13262">
        <v>10</v>
      </c>
      <c r="I13262">
        <v>59.17</v>
      </c>
      <c r="J13262" s="50">
        <v>591.70000000000005</v>
      </c>
      <c r="K13262" t="s">
        <v>1632</v>
      </c>
      <c r="M13262" t="s">
        <v>1627</v>
      </c>
      <c r="N13262">
        <v>31.23</v>
      </c>
      <c r="O13262" s="49">
        <v>44491</v>
      </c>
      <c r="P13262" s="50">
        <v>266.26500000000004</v>
      </c>
    </row>
    <row r="13263" spans="4:16" x14ac:dyDescent="0.2">
      <c r="D13263">
        <v>100007983</v>
      </c>
      <c r="E13263" s="49">
        <v>44410</v>
      </c>
      <c r="F13263" t="s">
        <v>8408</v>
      </c>
      <c r="G13263" t="s">
        <v>1658</v>
      </c>
      <c r="H13263">
        <v>3</v>
      </c>
      <c r="I13263">
        <v>98.94</v>
      </c>
      <c r="J13263" s="50">
        <v>296.82</v>
      </c>
      <c r="K13263" t="s">
        <v>1618</v>
      </c>
      <c r="M13263" t="s">
        <v>1624</v>
      </c>
      <c r="N13263">
        <v>52.22</v>
      </c>
      <c r="O13263" s="49">
        <v>44414</v>
      </c>
      <c r="P13263" s="50">
        <v>133.56899999999999</v>
      </c>
    </row>
    <row r="13264" spans="4:16" x14ac:dyDescent="0.2">
      <c r="D13264">
        <v>100007983</v>
      </c>
      <c r="E13264" s="49">
        <v>44315</v>
      </c>
      <c r="F13264" t="s">
        <v>8408</v>
      </c>
      <c r="G13264" t="s">
        <v>1751</v>
      </c>
      <c r="H13264">
        <v>10</v>
      </c>
      <c r="I13264">
        <v>109.82</v>
      </c>
      <c r="J13264" s="50">
        <v>1098.2</v>
      </c>
      <c r="K13264" t="s">
        <v>1618</v>
      </c>
      <c r="M13264" t="s">
        <v>1621</v>
      </c>
      <c r="N13264">
        <v>57.96</v>
      </c>
      <c r="O13264" s="49">
        <v>44317</v>
      </c>
      <c r="P13264" s="50">
        <v>494.19000000000005</v>
      </c>
    </row>
    <row r="13265" spans="4:16" x14ac:dyDescent="0.2">
      <c r="D13265">
        <v>100007983</v>
      </c>
      <c r="E13265" s="49">
        <v>44661</v>
      </c>
      <c r="F13265" t="s">
        <v>8408</v>
      </c>
      <c r="G13265" t="s">
        <v>1712</v>
      </c>
      <c r="H13265">
        <v>10</v>
      </c>
      <c r="I13265">
        <v>79.66</v>
      </c>
      <c r="J13265" s="50">
        <v>796.59999999999991</v>
      </c>
      <c r="K13265" t="s">
        <v>1618</v>
      </c>
      <c r="M13265" t="s">
        <v>1621</v>
      </c>
      <c r="N13265">
        <v>42.04</v>
      </c>
      <c r="O13265" s="49">
        <v>44664</v>
      </c>
      <c r="P13265" s="50">
        <v>358.46999999999997</v>
      </c>
    </row>
    <row r="13266" spans="4:16" x14ac:dyDescent="0.2">
      <c r="D13266">
        <v>100007983</v>
      </c>
      <c r="E13266" s="49">
        <v>45307</v>
      </c>
      <c r="F13266" t="s">
        <v>8408</v>
      </c>
      <c r="G13266" t="s">
        <v>2062</v>
      </c>
      <c r="H13266">
        <v>7</v>
      </c>
      <c r="I13266">
        <v>70.66</v>
      </c>
      <c r="J13266" s="50">
        <v>494.62</v>
      </c>
      <c r="K13266" t="s">
        <v>1618</v>
      </c>
      <c r="M13266" t="s">
        <v>1627</v>
      </c>
      <c r="N13266">
        <v>37.29</v>
      </c>
      <c r="O13266" s="49">
        <v>45308</v>
      </c>
      <c r="P13266" s="50">
        <v>222.57900000000001</v>
      </c>
    </row>
    <row r="13267" spans="4:16" x14ac:dyDescent="0.2">
      <c r="D13267">
        <v>100007983</v>
      </c>
      <c r="E13267" s="49">
        <v>45359</v>
      </c>
      <c r="F13267" t="s">
        <v>8408</v>
      </c>
      <c r="G13267" t="s">
        <v>2305</v>
      </c>
      <c r="H13267">
        <v>8</v>
      </c>
      <c r="I13267">
        <v>70.33</v>
      </c>
      <c r="J13267" s="50">
        <v>562.64</v>
      </c>
      <c r="K13267" t="s">
        <v>1618</v>
      </c>
      <c r="M13267" t="s">
        <v>1629</v>
      </c>
      <c r="N13267">
        <v>37.119999999999997</v>
      </c>
      <c r="O13267" s="49">
        <v>45360</v>
      </c>
      <c r="P13267" s="50">
        <v>253.18799999999999</v>
      </c>
    </row>
    <row r="13268" spans="4:16" x14ac:dyDescent="0.2">
      <c r="D13268">
        <v>100007983</v>
      </c>
      <c r="E13268" s="49">
        <v>44205</v>
      </c>
      <c r="F13268" t="s">
        <v>8408</v>
      </c>
      <c r="G13268" t="s">
        <v>1696</v>
      </c>
      <c r="H13268">
        <v>10</v>
      </c>
      <c r="I13268">
        <v>96.44</v>
      </c>
      <c r="J13268" s="50">
        <v>964.4</v>
      </c>
      <c r="K13268" t="s">
        <v>1618</v>
      </c>
      <c r="M13268" t="s">
        <v>1624</v>
      </c>
      <c r="N13268">
        <v>50.9</v>
      </c>
      <c r="O13268" s="49">
        <v>44210</v>
      </c>
      <c r="P13268" s="50">
        <v>433.98</v>
      </c>
    </row>
    <row r="13269" spans="4:16" x14ac:dyDescent="0.2">
      <c r="D13269">
        <v>100007984</v>
      </c>
      <c r="E13269" s="49">
        <v>45585</v>
      </c>
      <c r="F13269" t="s">
        <v>8409</v>
      </c>
      <c r="G13269" t="s">
        <v>2078</v>
      </c>
      <c r="H13269">
        <v>5</v>
      </c>
      <c r="I13269">
        <v>64.23</v>
      </c>
      <c r="J13269" s="50">
        <v>321.14999999999998</v>
      </c>
      <c r="K13269" t="s">
        <v>1618</v>
      </c>
      <c r="M13269" t="s">
        <v>1621</v>
      </c>
      <c r="N13269">
        <v>33.9</v>
      </c>
      <c r="O13269" s="49">
        <v>45589</v>
      </c>
      <c r="P13269" s="50">
        <v>144.51749999999998</v>
      </c>
    </row>
    <row r="13270" spans="4:16" x14ac:dyDescent="0.2">
      <c r="D13270">
        <v>100007988</v>
      </c>
      <c r="E13270" s="49">
        <v>45028</v>
      </c>
      <c r="F13270" t="s">
        <v>8410</v>
      </c>
      <c r="G13270" t="s">
        <v>2301</v>
      </c>
      <c r="H13270">
        <v>6</v>
      </c>
      <c r="I13270">
        <v>20.329999999999998</v>
      </c>
      <c r="J13270" s="50">
        <v>121.98</v>
      </c>
      <c r="K13270" t="s">
        <v>1618</v>
      </c>
      <c r="M13270" t="s">
        <v>1621</v>
      </c>
      <c r="N13270">
        <v>10.73</v>
      </c>
      <c r="O13270" s="49">
        <v>45029</v>
      </c>
      <c r="P13270" s="50">
        <v>54.891000000000005</v>
      </c>
    </row>
    <row r="13271" spans="4:16" x14ac:dyDescent="0.2">
      <c r="D13271">
        <v>100007988</v>
      </c>
      <c r="E13271" s="49">
        <v>44488</v>
      </c>
      <c r="F13271" t="s">
        <v>8410</v>
      </c>
      <c r="G13271" t="s">
        <v>2255</v>
      </c>
      <c r="H13271">
        <v>5</v>
      </c>
      <c r="I13271">
        <v>63.62</v>
      </c>
      <c r="J13271" s="50">
        <v>318.10000000000002</v>
      </c>
      <c r="K13271" t="s">
        <v>1618</v>
      </c>
      <c r="M13271" t="s">
        <v>1627</v>
      </c>
      <c r="N13271">
        <v>33.58</v>
      </c>
      <c r="O13271" s="49">
        <v>44491</v>
      </c>
      <c r="P13271" s="50">
        <v>143.14500000000001</v>
      </c>
    </row>
    <row r="13272" spans="4:16" x14ac:dyDescent="0.2">
      <c r="D13272">
        <v>100007989</v>
      </c>
      <c r="E13272" s="49">
        <v>44778</v>
      </c>
      <c r="F13272" t="s">
        <v>8411</v>
      </c>
      <c r="G13272" t="s">
        <v>1789</v>
      </c>
      <c r="H13272">
        <v>8</v>
      </c>
      <c r="I13272">
        <v>49.18</v>
      </c>
      <c r="J13272" s="50">
        <v>393.44</v>
      </c>
      <c r="K13272" t="s">
        <v>1618</v>
      </c>
      <c r="M13272" t="s">
        <v>1624</v>
      </c>
      <c r="N13272">
        <v>25.96</v>
      </c>
      <c r="O13272" s="49">
        <v>44782</v>
      </c>
      <c r="P13272" s="50">
        <v>177.048</v>
      </c>
    </row>
    <row r="13273" spans="4:16" x14ac:dyDescent="0.2">
      <c r="D13273">
        <v>100007990</v>
      </c>
      <c r="E13273" s="49">
        <v>44992</v>
      </c>
      <c r="F13273" t="s">
        <v>6792</v>
      </c>
      <c r="G13273" t="s">
        <v>1727</v>
      </c>
      <c r="H13273">
        <v>10</v>
      </c>
      <c r="I13273">
        <v>20.23</v>
      </c>
      <c r="J13273" s="50">
        <v>202.3</v>
      </c>
      <c r="K13273" t="s">
        <v>1632</v>
      </c>
      <c r="L13273" t="s">
        <v>2055</v>
      </c>
      <c r="M13273" t="s">
        <v>1619</v>
      </c>
      <c r="N13273">
        <v>10.68</v>
      </c>
      <c r="O13273" s="49">
        <v>44994</v>
      </c>
      <c r="P13273" s="50">
        <v>91.035000000000011</v>
      </c>
    </row>
    <row r="13274" spans="4:16" x14ac:dyDescent="0.2">
      <c r="D13274">
        <v>100007992</v>
      </c>
      <c r="E13274" s="49">
        <v>45341</v>
      </c>
      <c r="F13274" t="s">
        <v>8412</v>
      </c>
      <c r="G13274" t="s">
        <v>2692</v>
      </c>
      <c r="H13274">
        <v>3</v>
      </c>
      <c r="I13274">
        <v>64.97</v>
      </c>
      <c r="J13274" s="50">
        <v>194.91</v>
      </c>
      <c r="K13274" t="s">
        <v>1618</v>
      </c>
      <c r="M13274" t="s">
        <v>1627</v>
      </c>
      <c r="N13274">
        <v>34.29</v>
      </c>
      <c r="O13274" s="49">
        <v>45342</v>
      </c>
      <c r="P13274" s="50">
        <v>87.709500000000006</v>
      </c>
    </row>
    <row r="13275" spans="4:16" x14ac:dyDescent="0.2">
      <c r="D13275">
        <v>100007993</v>
      </c>
      <c r="E13275" s="49">
        <v>44970</v>
      </c>
      <c r="F13275" t="s">
        <v>8413</v>
      </c>
      <c r="G13275" t="s">
        <v>1634</v>
      </c>
      <c r="H13275">
        <v>9</v>
      </c>
      <c r="I13275">
        <v>116.12</v>
      </c>
      <c r="J13275" s="50">
        <v>1045.08</v>
      </c>
      <c r="K13275" t="s">
        <v>1618</v>
      </c>
      <c r="L13275" t="s">
        <v>8414</v>
      </c>
      <c r="M13275" t="s">
        <v>1624</v>
      </c>
      <c r="N13275">
        <v>61.29</v>
      </c>
      <c r="O13275" s="49">
        <v>44974</v>
      </c>
      <c r="P13275" s="50">
        <v>470.286</v>
      </c>
    </row>
    <row r="13276" spans="4:16" x14ac:dyDescent="0.2">
      <c r="D13276">
        <v>100007993</v>
      </c>
      <c r="E13276" s="49">
        <v>44656</v>
      </c>
      <c r="F13276" t="s">
        <v>8413</v>
      </c>
      <c r="G13276" t="s">
        <v>1695</v>
      </c>
      <c r="H13276">
        <v>6</v>
      </c>
      <c r="I13276">
        <v>96.89</v>
      </c>
      <c r="J13276" s="50">
        <v>581.34</v>
      </c>
      <c r="K13276" t="s">
        <v>1618</v>
      </c>
      <c r="L13276" t="s">
        <v>8414</v>
      </c>
      <c r="M13276" t="s">
        <v>1619</v>
      </c>
      <c r="N13276">
        <v>51.14</v>
      </c>
      <c r="O13276" s="49">
        <v>44658</v>
      </c>
      <c r="P13276" s="50">
        <v>261.60300000000001</v>
      </c>
    </row>
    <row r="13277" spans="4:16" x14ac:dyDescent="0.2">
      <c r="D13277">
        <v>100007993</v>
      </c>
      <c r="E13277" s="49">
        <v>45116</v>
      </c>
      <c r="F13277" t="s">
        <v>8413</v>
      </c>
      <c r="G13277" t="s">
        <v>1973</v>
      </c>
      <c r="H13277">
        <v>8</v>
      </c>
      <c r="I13277">
        <v>49.26</v>
      </c>
      <c r="J13277" s="50">
        <v>394.08</v>
      </c>
      <c r="K13277" t="s">
        <v>1618</v>
      </c>
      <c r="L13277" t="s">
        <v>8414</v>
      </c>
      <c r="M13277" t="s">
        <v>1621</v>
      </c>
      <c r="N13277">
        <v>26</v>
      </c>
      <c r="O13277" s="49">
        <v>45119</v>
      </c>
      <c r="P13277" s="50">
        <v>177.33599999999998</v>
      </c>
    </row>
    <row r="13278" spans="4:16" x14ac:dyDescent="0.2">
      <c r="D13278">
        <v>100007993</v>
      </c>
      <c r="E13278" s="49">
        <v>44765</v>
      </c>
      <c r="F13278" t="s">
        <v>8413</v>
      </c>
      <c r="G13278" t="s">
        <v>2161</v>
      </c>
      <c r="H13278">
        <v>8</v>
      </c>
      <c r="I13278">
        <v>103.71</v>
      </c>
      <c r="J13278" s="50">
        <v>829.68</v>
      </c>
      <c r="K13278" t="s">
        <v>1618</v>
      </c>
      <c r="L13278" t="s">
        <v>8414</v>
      </c>
      <c r="M13278" t="s">
        <v>1624</v>
      </c>
      <c r="N13278">
        <v>54.74</v>
      </c>
      <c r="O13278" s="49">
        <v>44770</v>
      </c>
      <c r="P13278" s="50">
        <v>373.35599999999999</v>
      </c>
    </row>
    <row r="13279" spans="4:16" x14ac:dyDescent="0.2">
      <c r="D13279">
        <v>100007993</v>
      </c>
      <c r="E13279" s="49">
        <v>44727</v>
      </c>
      <c r="F13279" t="s">
        <v>8413</v>
      </c>
      <c r="G13279" t="s">
        <v>1737</v>
      </c>
      <c r="H13279">
        <v>4</v>
      </c>
      <c r="I13279">
        <v>27.83</v>
      </c>
      <c r="J13279" s="50">
        <v>111.32</v>
      </c>
      <c r="K13279" t="s">
        <v>1618</v>
      </c>
      <c r="L13279" t="s">
        <v>8414</v>
      </c>
      <c r="M13279" t="s">
        <v>1619</v>
      </c>
      <c r="N13279">
        <v>14.69</v>
      </c>
      <c r="O13279" s="49">
        <v>44732</v>
      </c>
      <c r="P13279" s="50">
        <v>50.094000000000001</v>
      </c>
    </row>
    <row r="13280" spans="4:16" x14ac:dyDescent="0.2">
      <c r="D13280">
        <v>100007993</v>
      </c>
      <c r="E13280" s="49">
        <v>44341</v>
      </c>
      <c r="F13280" t="s">
        <v>8413</v>
      </c>
      <c r="G13280" t="s">
        <v>2134</v>
      </c>
      <c r="H13280">
        <v>9</v>
      </c>
      <c r="I13280">
        <v>97.49</v>
      </c>
      <c r="J13280" s="50">
        <v>877.41</v>
      </c>
      <c r="K13280" t="s">
        <v>1618</v>
      </c>
      <c r="L13280" t="s">
        <v>8414</v>
      </c>
      <c r="M13280" t="s">
        <v>1629</v>
      </c>
      <c r="N13280">
        <v>51.45</v>
      </c>
      <c r="O13280" s="49">
        <v>44344</v>
      </c>
      <c r="P13280" s="50">
        <v>394.83449999999999</v>
      </c>
    </row>
    <row r="13281" spans="4:16" x14ac:dyDescent="0.2">
      <c r="D13281">
        <v>100007994</v>
      </c>
      <c r="E13281" s="49">
        <v>45186</v>
      </c>
      <c r="F13281" t="s">
        <v>8415</v>
      </c>
      <c r="G13281" t="s">
        <v>1617</v>
      </c>
      <c r="H13281">
        <v>2</v>
      </c>
      <c r="I13281">
        <v>36.159999999999997</v>
      </c>
      <c r="J13281" s="50">
        <v>72.319999999999993</v>
      </c>
      <c r="K13281" t="s">
        <v>1632</v>
      </c>
      <c r="M13281" t="s">
        <v>1627</v>
      </c>
      <c r="N13281">
        <v>19.079999999999998</v>
      </c>
      <c r="O13281" s="49">
        <v>45188</v>
      </c>
      <c r="P13281" s="50">
        <v>32.543999999999997</v>
      </c>
    </row>
    <row r="13282" spans="4:16" x14ac:dyDescent="0.2">
      <c r="D13282">
        <v>100007995</v>
      </c>
      <c r="E13282" s="49">
        <v>44585</v>
      </c>
      <c r="F13282" t="s">
        <v>8416</v>
      </c>
      <c r="G13282" t="s">
        <v>2213</v>
      </c>
      <c r="H13282">
        <v>4</v>
      </c>
      <c r="I13282">
        <v>34.36</v>
      </c>
      <c r="J13282" s="50">
        <v>137.44</v>
      </c>
      <c r="K13282" t="s">
        <v>1618</v>
      </c>
      <c r="L13282" t="s">
        <v>6369</v>
      </c>
      <c r="M13282" t="s">
        <v>1621</v>
      </c>
      <c r="N13282">
        <v>18.13</v>
      </c>
      <c r="O13282" s="49">
        <v>44589</v>
      </c>
      <c r="P13282" s="50">
        <v>61.847999999999999</v>
      </c>
    </row>
    <row r="13283" spans="4:16" x14ac:dyDescent="0.2">
      <c r="D13283">
        <v>100007995</v>
      </c>
      <c r="E13283" s="49">
        <v>44707</v>
      </c>
      <c r="F13283" t="s">
        <v>8416</v>
      </c>
      <c r="G13283" t="s">
        <v>1973</v>
      </c>
      <c r="H13283">
        <v>2</v>
      </c>
      <c r="I13283">
        <v>113.6</v>
      </c>
      <c r="J13283" s="50">
        <v>227.2</v>
      </c>
      <c r="K13283" t="s">
        <v>1618</v>
      </c>
      <c r="L13283" t="s">
        <v>6369</v>
      </c>
      <c r="M13283" t="s">
        <v>1627</v>
      </c>
      <c r="N13283">
        <v>59.96</v>
      </c>
      <c r="O13283" s="49">
        <v>44710</v>
      </c>
      <c r="P13283" s="50">
        <v>102.24</v>
      </c>
    </row>
    <row r="13284" spans="4:16" x14ac:dyDescent="0.2">
      <c r="D13284">
        <v>100007995</v>
      </c>
      <c r="E13284" s="49">
        <v>45608</v>
      </c>
      <c r="F13284" t="s">
        <v>8416</v>
      </c>
      <c r="G13284" t="s">
        <v>1651</v>
      </c>
      <c r="H13284">
        <v>7</v>
      </c>
      <c r="I13284">
        <v>49.2</v>
      </c>
      <c r="J13284" s="50">
        <v>344.4</v>
      </c>
      <c r="K13284" t="s">
        <v>1618</v>
      </c>
      <c r="L13284" t="s">
        <v>6369</v>
      </c>
      <c r="M13284" t="s">
        <v>1619</v>
      </c>
      <c r="N13284">
        <v>25.97</v>
      </c>
      <c r="O13284" s="49">
        <v>45613</v>
      </c>
      <c r="P13284" s="50">
        <v>154.97999999999999</v>
      </c>
    </row>
    <row r="13285" spans="4:16" x14ac:dyDescent="0.2">
      <c r="D13285">
        <v>100007995</v>
      </c>
      <c r="E13285" s="49">
        <v>45182</v>
      </c>
      <c r="F13285" t="s">
        <v>8416</v>
      </c>
      <c r="G13285" t="s">
        <v>2023</v>
      </c>
      <c r="H13285">
        <v>6</v>
      </c>
      <c r="I13285">
        <v>52.46</v>
      </c>
      <c r="J13285" s="50">
        <v>314.76</v>
      </c>
      <c r="K13285" t="s">
        <v>1618</v>
      </c>
      <c r="L13285" t="s">
        <v>6369</v>
      </c>
      <c r="M13285" t="s">
        <v>1629</v>
      </c>
      <c r="N13285">
        <v>27.69</v>
      </c>
      <c r="O13285" s="49">
        <v>45186</v>
      </c>
      <c r="P13285" s="50">
        <v>141.642</v>
      </c>
    </row>
    <row r="13286" spans="4:16" x14ac:dyDescent="0.2">
      <c r="D13286">
        <v>100007995</v>
      </c>
      <c r="E13286" s="49">
        <v>44523</v>
      </c>
      <c r="F13286" t="s">
        <v>8416</v>
      </c>
      <c r="G13286" t="s">
        <v>2028</v>
      </c>
      <c r="H13286">
        <v>8</v>
      </c>
      <c r="I13286">
        <v>108.19</v>
      </c>
      <c r="J13286" s="50">
        <v>865.52</v>
      </c>
      <c r="K13286" t="s">
        <v>1618</v>
      </c>
      <c r="L13286" t="s">
        <v>6369</v>
      </c>
      <c r="M13286" t="s">
        <v>1619</v>
      </c>
      <c r="N13286">
        <v>57.1</v>
      </c>
      <c r="O13286" s="49">
        <v>44525</v>
      </c>
      <c r="P13286" s="50">
        <v>389.48399999999998</v>
      </c>
    </row>
    <row r="13287" spans="4:16" x14ac:dyDescent="0.2">
      <c r="D13287">
        <v>100007995</v>
      </c>
      <c r="E13287" s="49">
        <v>44541</v>
      </c>
      <c r="F13287" t="s">
        <v>8416</v>
      </c>
      <c r="G13287" t="s">
        <v>1738</v>
      </c>
      <c r="H13287">
        <v>8</v>
      </c>
      <c r="I13287">
        <v>50.76</v>
      </c>
      <c r="J13287" s="50">
        <v>406.08</v>
      </c>
      <c r="K13287" t="s">
        <v>1618</v>
      </c>
      <c r="L13287" t="s">
        <v>6369</v>
      </c>
      <c r="M13287" t="s">
        <v>1629</v>
      </c>
      <c r="N13287">
        <v>26.79</v>
      </c>
      <c r="O13287" s="49">
        <v>44542</v>
      </c>
      <c r="P13287" s="50">
        <v>182.73599999999999</v>
      </c>
    </row>
    <row r="13288" spans="4:16" x14ac:dyDescent="0.2">
      <c r="D13288">
        <v>100007996</v>
      </c>
      <c r="E13288" s="49">
        <v>44363</v>
      </c>
      <c r="F13288" t="s">
        <v>4757</v>
      </c>
      <c r="G13288" t="s">
        <v>2372</v>
      </c>
      <c r="H13288">
        <v>7</v>
      </c>
      <c r="I13288">
        <v>109.71</v>
      </c>
      <c r="J13288" s="50">
        <v>767.96999999999991</v>
      </c>
      <c r="K13288" t="s">
        <v>1632</v>
      </c>
      <c r="M13288" t="s">
        <v>1629</v>
      </c>
      <c r="N13288">
        <v>57.9</v>
      </c>
      <c r="O13288" s="49">
        <v>44367</v>
      </c>
      <c r="P13288" s="50">
        <v>345.58649999999994</v>
      </c>
    </row>
    <row r="13289" spans="4:16" x14ac:dyDescent="0.2">
      <c r="D13289">
        <v>100007996</v>
      </c>
      <c r="E13289" s="49">
        <v>45195</v>
      </c>
      <c r="F13289" t="s">
        <v>4757</v>
      </c>
      <c r="G13289" t="s">
        <v>2207</v>
      </c>
      <c r="H13289">
        <v>2</v>
      </c>
      <c r="I13289">
        <v>55.36</v>
      </c>
      <c r="J13289" s="50">
        <v>110.72</v>
      </c>
      <c r="K13289" t="s">
        <v>1632</v>
      </c>
      <c r="M13289" t="s">
        <v>1619</v>
      </c>
      <c r="N13289">
        <v>29.22</v>
      </c>
      <c r="O13289" s="49">
        <v>45198</v>
      </c>
      <c r="P13289" s="50">
        <v>49.823999999999998</v>
      </c>
    </row>
    <row r="13290" spans="4:16" x14ac:dyDescent="0.2">
      <c r="D13290">
        <v>100007996</v>
      </c>
      <c r="E13290" s="49">
        <v>44990</v>
      </c>
      <c r="F13290" t="s">
        <v>4757</v>
      </c>
      <c r="G13290" t="s">
        <v>2375</v>
      </c>
      <c r="H13290">
        <v>9</v>
      </c>
      <c r="I13290">
        <v>113.65</v>
      </c>
      <c r="J13290" s="50">
        <v>1022.85</v>
      </c>
      <c r="K13290" t="s">
        <v>1632</v>
      </c>
      <c r="M13290" t="s">
        <v>1624</v>
      </c>
      <c r="N13290">
        <v>59.98</v>
      </c>
      <c r="O13290" s="49">
        <v>44994</v>
      </c>
      <c r="P13290" s="50">
        <v>460.28250000000003</v>
      </c>
    </row>
    <row r="13291" spans="4:16" x14ac:dyDescent="0.2">
      <c r="D13291">
        <v>100007998</v>
      </c>
      <c r="E13291" s="49">
        <v>44709</v>
      </c>
      <c r="F13291" t="s">
        <v>8417</v>
      </c>
      <c r="G13291" t="s">
        <v>2204</v>
      </c>
      <c r="H13291">
        <v>4</v>
      </c>
      <c r="I13291">
        <v>35.700000000000003</v>
      </c>
      <c r="J13291" s="50">
        <v>142.80000000000001</v>
      </c>
      <c r="K13291" t="s">
        <v>1618</v>
      </c>
      <c r="M13291" t="s">
        <v>1629</v>
      </c>
      <c r="N13291">
        <v>18.84</v>
      </c>
      <c r="O13291" s="49">
        <v>44711</v>
      </c>
      <c r="P13291" s="50">
        <v>64.260000000000005</v>
      </c>
    </row>
    <row r="13292" spans="4:16" x14ac:dyDescent="0.2">
      <c r="D13292">
        <v>100007999</v>
      </c>
      <c r="E13292" s="49">
        <v>44814</v>
      </c>
      <c r="F13292" t="s">
        <v>8339</v>
      </c>
      <c r="G13292" t="s">
        <v>1641</v>
      </c>
      <c r="H13292">
        <v>8</v>
      </c>
      <c r="I13292">
        <v>105.21</v>
      </c>
      <c r="J13292" s="50">
        <v>841.68</v>
      </c>
      <c r="K13292" t="s">
        <v>1618</v>
      </c>
      <c r="M13292" t="s">
        <v>1619</v>
      </c>
      <c r="N13292">
        <v>55.53</v>
      </c>
      <c r="O13292" s="49">
        <v>44819</v>
      </c>
      <c r="P13292" s="50">
        <v>378.75599999999997</v>
      </c>
    </row>
    <row r="13293" spans="4:16" x14ac:dyDescent="0.2">
      <c r="D13293">
        <v>100008000</v>
      </c>
      <c r="E13293" s="49">
        <v>44383</v>
      </c>
      <c r="F13293" t="s">
        <v>8418</v>
      </c>
      <c r="G13293" t="s">
        <v>1739</v>
      </c>
      <c r="H13293">
        <v>1</v>
      </c>
      <c r="I13293">
        <v>59.8</v>
      </c>
      <c r="J13293" s="50">
        <v>59.8</v>
      </c>
      <c r="K13293" t="s">
        <v>1618</v>
      </c>
      <c r="M13293" t="s">
        <v>1619</v>
      </c>
      <c r="N13293">
        <v>31.56</v>
      </c>
      <c r="O13293" s="49">
        <v>44387</v>
      </c>
      <c r="P13293" s="50">
        <v>26.91</v>
      </c>
    </row>
    <row r="13294" spans="4:16" x14ac:dyDescent="0.2">
      <c r="D13294">
        <v>100008001</v>
      </c>
      <c r="E13294" s="49">
        <v>44283</v>
      </c>
      <c r="F13294" t="s">
        <v>8419</v>
      </c>
      <c r="G13294" t="s">
        <v>1864</v>
      </c>
      <c r="H13294">
        <v>9</v>
      </c>
      <c r="I13294">
        <v>90.69</v>
      </c>
      <c r="J13294" s="50">
        <v>816.21</v>
      </c>
      <c r="K13294" t="s">
        <v>1632</v>
      </c>
      <c r="M13294" t="s">
        <v>1621</v>
      </c>
      <c r="N13294">
        <v>47.86</v>
      </c>
      <c r="O13294" s="49">
        <v>44285</v>
      </c>
      <c r="P13294" s="50">
        <v>367.29450000000003</v>
      </c>
    </row>
    <row r="13295" spans="4:16" x14ac:dyDescent="0.2">
      <c r="D13295">
        <v>100008002</v>
      </c>
      <c r="E13295" s="49">
        <v>45490</v>
      </c>
      <c r="F13295" t="s">
        <v>8420</v>
      </c>
      <c r="G13295" t="s">
        <v>2068</v>
      </c>
      <c r="H13295">
        <v>4</v>
      </c>
      <c r="I13295">
        <v>72.31</v>
      </c>
      <c r="J13295" s="50">
        <v>289.24</v>
      </c>
      <c r="K13295" t="s">
        <v>1618</v>
      </c>
      <c r="M13295" t="s">
        <v>1629</v>
      </c>
      <c r="N13295">
        <v>38.159999999999997</v>
      </c>
      <c r="O13295" s="49">
        <v>45494</v>
      </c>
      <c r="P13295" s="50">
        <v>130.15800000000002</v>
      </c>
    </row>
    <row r="13296" spans="4:16" x14ac:dyDescent="0.2">
      <c r="D13296">
        <v>100008002</v>
      </c>
      <c r="E13296" s="49">
        <v>44609</v>
      </c>
      <c r="F13296" t="s">
        <v>8420</v>
      </c>
      <c r="G13296" t="s">
        <v>1665</v>
      </c>
      <c r="H13296">
        <v>5</v>
      </c>
      <c r="I13296">
        <v>118.72</v>
      </c>
      <c r="J13296" s="50">
        <v>593.6</v>
      </c>
      <c r="K13296" t="s">
        <v>1618</v>
      </c>
      <c r="M13296" t="s">
        <v>1624</v>
      </c>
      <c r="N13296">
        <v>62.66</v>
      </c>
      <c r="O13296" s="49">
        <v>44614</v>
      </c>
      <c r="P13296" s="50">
        <v>267.12</v>
      </c>
    </row>
    <row r="13297" spans="4:16" x14ac:dyDescent="0.2">
      <c r="D13297">
        <v>100008002</v>
      </c>
      <c r="E13297" s="49">
        <v>44679</v>
      </c>
      <c r="F13297" t="s">
        <v>8420</v>
      </c>
      <c r="G13297" t="s">
        <v>2393</v>
      </c>
      <c r="H13297">
        <v>1</v>
      </c>
      <c r="I13297">
        <v>29.59</v>
      </c>
      <c r="J13297" s="50">
        <v>29.59</v>
      </c>
      <c r="K13297" t="s">
        <v>1618</v>
      </c>
      <c r="M13297" t="s">
        <v>1621</v>
      </c>
      <c r="N13297">
        <v>15.62</v>
      </c>
      <c r="O13297" s="49">
        <v>44680</v>
      </c>
      <c r="P13297" s="50">
        <v>13.3155</v>
      </c>
    </row>
    <row r="13298" spans="4:16" x14ac:dyDescent="0.2">
      <c r="D13298">
        <v>100008002</v>
      </c>
      <c r="E13298" s="49">
        <v>45431</v>
      </c>
      <c r="F13298" t="s">
        <v>8420</v>
      </c>
      <c r="G13298" t="s">
        <v>2766</v>
      </c>
      <c r="H13298">
        <v>7</v>
      </c>
      <c r="I13298">
        <v>56.56</v>
      </c>
      <c r="J13298" s="50">
        <v>395.92</v>
      </c>
      <c r="K13298" t="s">
        <v>1618</v>
      </c>
      <c r="M13298" t="s">
        <v>1629</v>
      </c>
      <c r="N13298">
        <v>29.85</v>
      </c>
      <c r="O13298" s="49">
        <v>45435</v>
      </c>
      <c r="P13298" s="50">
        <v>178.16400000000002</v>
      </c>
    </row>
    <row r="13299" spans="4:16" x14ac:dyDescent="0.2">
      <c r="D13299">
        <v>100008002</v>
      </c>
      <c r="E13299" s="49">
        <v>45105</v>
      </c>
      <c r="F13299" t="s">
        <v>8420</v>
      </c>
      <c r="G13299" t="s">
        <v>2155</v>
      </c>
      <c r="H13299">
        <v>9</v>
      </c>
      <c r="I13299">
        <v>32.450000000000003</v>
      </c>
      <c r="J13299" s="50">
        <v>292.05</v>
      </c>
      <c r="K13299" t="s">
        <v>1618</v>
      </c>
      <c r="M13299" t="s">
        <v>1629</v>
      </c>
      <c r="N13299">
        <v>17.13</v>
      </c>
      <c r="O13299" s="49">
        <v>45109</v>
      </c>
      <c r="P13299" s="50">
        <v>131.42250000000001</v>
      </c>
    </row>
    <row r="13300" spans="4:16" x14ac:dyDescent="0.2">
      <c r="D13300">
        <v>100008003</v>
      </c>
      <c r="E13300" s="49">
        <v>45339</v>
      </c>
      <c r="F13300" t="s">
        <v>8421</v>
      </c>
      <c r="G13300" t="s">
        <v>1947</v>
      </c>
      <c r="H13300">
        <v>2</v>
      </c>
      <c r="I13300">
        <v>39.700000000000003</v>
      </c>
      <c r="J13300" s="50">
        <v>79.400000000000006</v>
      </c>
      <c r="K13300" t="s">
        <v>1618</v>
      </c>
      <c r="M13300" t="s">
        <v>1619</v>
      </c>
      <c r="N13300">
        <v>20.95</v>
      </c>
      <c r="O13300" s="49">
        <v>45341</v>
      </c>
      <c r="P13300" s="50">
        <v>35.730000000000004</v>
      </c>
    </row>
    <row r="13301" spans="4:16" x14ac:dyDescent="0.2">
      <c r="D13301">
        <v>100008003</v>
      </c>
      <c r="E13301" s="49">
        <v>45425</v>
      </c>
      <c r="F13301" t="s">
        <v>8421</v>
      </c>
      <c r="G13301" t="s">
        <v>1980</v>
      </c>
      <c r="H13301">
        <v>3</v>
      </c>
      <c r="I13301">
        <v>116.67</v>
      </c>
      <c r="J13301" s="50">
        <v>350.01</v>
      </c>
      <c r="K13301" t="s">
        <v>1618</v>
      </c>
      <c r="M13301" t="s">
        <v>1629</v>
      </c>
      <c r="N13301">
        <v>61.58</v>
      </c>
      <c r="O13301" s="49">
        <v>45426</v>
      </c>
      <c r="P13301" s="50">
        <v>157.50450000000001</v>
      </c>
    </row>
    <row r="13302" spans="4:16" x14ac:dyDescent="0.2">
      <c r="D13302">
        <v>100008003</v>
      </c>
      <c r="E13302" s="49">
        <v>45203</v>
      </c>
      <c r="F13302" t="s">
        <v>8421</v>
      </c>
      <c r="G13302" t="s">
        <v>1955</v>
      </c>
      <c r="H13302">
        <v>2</v>
      </c>
      <c r="I13302">
        <v>20.81</v>
      </c>
      <c r="J13302" s="50">
        <v>41.62</v>
      </c>
      <c r="K13302" t="s">
        <v>1618</v>
      </c>
      <c r="M13302" t="s">
        <v>1621</v>
      </c>
      <c r="N13302">
        <v>10.98</v>
      </c>
      <c r="O13302" s="49">
        <v>45204</v>
      </c>
      <c r="P13302" s="50">
        <v>18.728999999999999</v>
      </c>
    </row>
    <row r="13303" spans="4:16" x14ac:dyDescent="0.2">
      <c r="D13303">
        <v>100008003</v>
      </c>
      <c r="E13303" s="49">
        <v>45514</v>
      </c>
      <c r="F13303" t="s">
        <v>8421</v>
      </c>
      <c r="G13303" t="s">
        <v>1963</v>
      </c>
      <c r="H13303">
        <v>10</v>
      </c>
      <c r="I13303">
        <v>71.19</v>
      </c>
      <c r="J13303" s="50">
        <v>711.9</v>
      </c>
      <c r="K13303" t="s">
        <v>1618</v>
      </c>
      <c r="M13303" t="s">
        <v>1624</v>
      </c>
      <c r="N13303">
        <v>37.57</v>
      </c>
      <c r="O13303" s="49">
        <v>45516</v>
      </c>
      <c r="P13303" s="50">
        <v>320.35500000000002</v>
      </c>
    </row>
    <row r="13304" spans="4:16" x14ac:dyDescent="0.2">
      <c r="D13304">
        <v>100008004</v>
      </c>
      <c r="E13304" s="49">
        <v>45498</v>
      </c>
      <c r="F13304" t="s">
        <v>7554</v>
      </c>
      <c r="G13304" t="s">
        <v>1990</v>
      </c>
      <c r="H13304">
        <v>8</v>
      </c>
      <c r="I13304">
        <v>83.33</v>
      </c>
      <c r="J13304" s="50">
        <v>666.64</v>
      </c>
      <c r="K13304" t="s">
        <v>1632</v>
      </c>
      <c r="M13304" t="s">
        <v>1619</v>
      </c>
      <c r="N13304">
        <v>43.98</v>
      </c>
      <c r="O13304" s="49">
        <v>45501</v>
      </c>
      <c r="P13304" s="50">
        <v>299.988</v>
      </c>
    </row>
    <row r="13305" spans="4:16" x14ac:dyDescent="0.2">
      <c r="D13305">
        <v>100008004</v>
      </c>
      <c r="E13305" s="49">
        <v>44961</v>
      </c>
      <c r="F13305" t="s">
        <v>7554</v>
      </c>
      <c r="G13305" t="s">
        <v>1642</v>
      </c>
      <c r="H13305">
        <v>7</v>
      </c>
      <c r="I13305">
        <v>68.17</v>
      </c>
      <c r="J13305" s="50">
        <v>477.19</v>
      </c>
      <c r="K13305" t="s">
        <v>1632</v>
      </c>
      <c r="M13305" t="s">
        <v>1619</v>
      </c>
      <c r="N13305">
        <v>35.979999999999997</v>
      </c>
      <c r="O13305" s="49">
        <v>44962</v>
      </c>
      <c r="P13305" s="50">
        <v>214.7355</v>
      </c>
    </row>
    <row r="13306" spans="4:16" x14ac:dyDescent="0.2">
      <c r="D13306">
        <v>100008004</v>
      </c>
      <c r="E13306" s="49">
        <v>45461</v>
      </c>
      <c r="F13306" t="s">
        <v>7554</v>
      </c>
      <c r="G13306" t="s">
        <v>2136</v>
      </c>
      <c r="H13306">
        <v>7</v>
      </c>
      <c r="I13306">
        <v>92.83</v>
      </c>
      <c r="J13306" s="50">
        <v>649.80999999999995</v>
      </c>
      <c r="K13306" t="s">
        <v>1632</v>
      </c>
      <c r="M13306" t="s">
        <v>1624</v>
      </c>
      <c r="N13306">
        <v>48.99</v>
      </c>
      <c r="O13306" s="49">
        <v>45464</v>
      </c>
      <c r="P13306" s="50">
        <v>292.41449999999998</v>
      </c>
    </row>
    <row r="13307" spans="4:16" x14ac:dyDescent="0.2">
      <c r="D13307">
        <v>100008004</v>
      </c>
      <c r="E13307" s="49">
        <v>45487</v>
      </c>
      <c r="F13307" t="s">
        <v>7554</v>
      </c>
      <c r="G13307" t="s">
        <v>1717</v>
      </c>
      <c r="H13307">
        <v>9</v>
      </c>
      <c r="I13307">
        <v>113.36</v>
      </c>
      <c r="J13307" s="50">
        <v>1020.24</v>
      </c>
      <c r="K13307" t="s">
        <v>1632</v>
      </c>
      <c r="M13307" t="s">
        <v>1627</v>
      </c>
      <c r="N13307">
        <v>59.83</v>
      </c>
      <c r="O13307" s="49">
        <v>45492</v>
      </c>
      <c r="P13307" s="50">
        <v>459.108</v>
      </c>
    </row>
    <row r="13308" spans="4:16" x14ac:dyDescent="0.2">
      <c r="D13308">
        <v>100008008</v>
      </c>
      <c r="E13308" s="49">
        <v>45195</v>
      </c>
      <c r="F13308" t="s">
        <v>8422</v>
      </c>
      <c r="G13308" t="s">
        <v>2301</v>
      </c>
      <c r="H13308">
        <v>6</v>
      </c>
      <c r="I13308">
        <v>91.15</v>
      </c>
      <c r="J13308" s="50">
        <v>546.90000000000009</v>
      </c>
      <c r="K13308" t="s">
        <v>1632</v>
      </c>
      <c r="M13308" t="s">
        <v>1619</v>
      </c>
      <c r="N13308">
        <v>48.11</v>
      </c>
      <c r="O13308" s="49">
        <v>45198</v>
      </c>
      <c r="P13308" s="50">
        <v>246.10500000000005</v>
      </c>
    </row>
    <row r="13309" spans="4:16" x14ac:dyDescent="0.2">
      <c r="D13309">
        <v>100008009</v>
      </c>
      <c r="E13309" s="49">
        <v>45297</v>
      </c>
      <c r="F13309" t="s">
        <v>7011</v>
      </c>
      <c r="G13309" t="s">
        <v>1944</v>
      </c>
      <c r="H13309">
        <v>3</v>
      </c>
      <c r="I13309">
        <v>56.47</v>
      </c>
      <c r="J13309" s="50">
        <v>169.41</v>
      </c>
      <c r="K13309" t="s">
        <v>1618</v>
      </c>
      <c r="M13309" t="s">
        <v>1624</v>
      </c>
      <c r="N13309">
        <v>29.8</v>
      </c>
      <c r="O13309" s="49">
        <v>45300</v>
      </c>
      <c r="P13309" s="50">
        <v>76.234499999999997</v>
      </c>
    </row>
    <row r="13310" spans="4:16" x14ac:dyDescent="0.2">
      <c r="D13310">
        <v>100008011</v>
      </c>
      <c r="E13310" s="49">
        <v>44792</v>
      </c>
      <c r="F13310" t="s">
        <v>8423</v>
      </c>
      <c r="G13310" t="s">
        <v>1827</v>
      </c>
      <c r="H13310">
        <v>9</v>
      </c>
      <c r="I13310">
        <v>54.35</v>
      </c>
      <c r="J13310" s="50">
        <v>489.15</v>
      </c>
      <c r="K13310" t="s">
        <v>1618</v>
      </c>
      <c r="M13310" t="s">
        <v>1629</v>
      </c>
      <c r="N13310">
        <v>28.68</v>
      </c>
      <c r="O13310" s="49">
        <v>44794</v>
      </c>
      <c r="P13310" s="50">
        <v>220.11750000000001</v>
      </c>
    </row>
    <row r="13311" spans="4:16" x14ac:dyDescent="0.2">
      <c r="D13311">
        <v>100008012</v>
      </c>
      <c r="E13311" s="49">
        <v>45390</v>
      </c>
      <c r="F13311" t="s">
        <v>8424</v>
      </c>
      <c r="G13311" t="s">
        <v>2698</v>
      </c>
      <c r="H13311">
        <v>1</v>
      </c>
      <c r="I13311">
        <v>45.8</v>
      </c>
      <c r="J13311" s="50">
        <v>45.8</v>
      </c>
      <c r="K13311" t="s">
        <v>1632</v>
      </c>
      <c r="L13311" t="s">
        <v>4166</v>
      </c>
      <c r="M13311" t="s">
        <v>1629</v>
      </c>
      <c r="N13311">
        <v>24.17</v>
      </c>
      <c r="O13311" s="49">
        <v>45391</v>
      </c>
      <c r="P13311" s="50">
        <v>20.61</v>
      </c>
    </row>
    <row r="13312" spans="4:16" x14ac:dyDescent="0.2">
      <c r="D13312">
        <v>100008012</v>
      </c>
      <c r="E13312" s="49">
        <v>44947</v>
      </c>
      <c r="F13312" t="s">
        <v>8424</v>
      </c>
      <c r="G13312" t="s">
        <v>2207</v>
      </c>
      <c r="H13312">
        <v>2</v>
      </c>
      <c r="I13312">
        <v>12.48</v>
      </c>
      <c r="J13312" s="50">
        <v>24.96</v>
      </c>
      <c r="K13312" t="s">
        <v>1632</v>
      </c>
      <c r="L13312" t="s">
        <v>4166</v>
      </c>
      <c r="M13312" t="s">
        <v>1627</v>
      </c>
      <c r="N13312">
        <v>6.59</v>
      </c>
      <c r="O13312" s="49">
        <v>44950</v>
      </c>
      <c r="P13312" s="50">
        <v>11.232000000000001</v>
      </c>
    </row>
    <row r="13313" spans="4:16" x14ac:dyDescent="0.2">
      <c r="D13313">
        <v>100008013</v>
      </c>
      <c r="E13313" s="49">
        <v>44640</v>
      </c>
      <c r="F13313" t="s">
        <v>8425</v>
      </c>
      <c r="G13313" t="s">
        <v>1712</v>
      </c>
      <c r="H13313">
        <v>2</v>
      </c>
      <c r="I13313">
        <v>75.69</v>
      </c>
      <c r="J13313" s="50">
        <v>151.38</v>
      </c>
      <c r="K13313" t="s">
        <v>1618</v>
      </c>
      <c r="M13313" t="s">
        <v>1619</v>
      </c>
      <c r="N13313">
        <v>39.950000000000003</v>
      </c>
      <c r="O13313" s="49">
        <v>44645</v>
      </c>
      <c r="P13313" s="50">
        <v>68.120999999999995</v>
      </c>
    </row>
    <row r="13314" spans="4:16" x14ac:dyDescent="0.2">
      <c r="D13314">
        <v>100008013</v>
      </c>
      <c r="E13314" s="49">
        <v>45106</v>
      </c>
      <c r="F13314" t="s">
        <v>8425</v>
      </c>
      <c r="G13314" t="s">
        <v>1715</v>
      </c>
      <c r="H13314">
        <v>7</v>
      </c>
      <c r="I13314">
        <v>99.76</v>
      </c>
      <c r="J13314" s="50">
        <v>698.32</v>
      </c>
      <c r="K13314" t="s">
        <v>1618</v>
      </c>
      <c r="M13314" t="s">
        <v>1619</v>
      </c>
      <c r="N13314">
        <v>52.65</v>
      </c>
      <c r="O13314" s="49">
        <v>45110</v>
      </c>
      <c r="P13314" s="50">
        <v>314.24400000000003</v>
      </c>
    </row>
    <row r="13315" spans="4:16" x14ac:dyDescent="0.2">
      <c r="D13315">
        <v>100008013</v>
      </c>
      <c r="E13315" s="49">
        <v>45020</v>
      </c>
      <c r="F13315" t="s">
        <v>8425</v>
      </c>
      <c r="G13315" t="s">
        <v>1929</v>
      </c>
      <c r="H13315">
        <v>10</v>
      </c>
      <c r="I13315">
        <v>41.25</v>
      </c>
      <c r="J13315" s="50">
        <v>412.5</v>
      </c>
      <c r="K13315" t="s">
        <v>1618</v>
      </c>
      <c r="M13315" t="s">
        <v>1627</v>
      </c>
      <c r="N13315">
        <v>21.77</v>
      </c>
      <c r="O13315" s="49">
        <v>45025</v>
      </c>
      <c r="P13315" s="50">
        <v>185.625</v>
      </c>
    </row>
    <row r="13316" spans="4:16" x14ac:dyDescent="0.2">
      <c r="D13316">
        <v>100008013</v>
      </c>
      <c r="E13316" s="49">
        <v>45486</v>
      </c>
      <c r="F13316" t="s">
        <v>8425</v>
      </c>
      <c r="G13316" t="s">
        <v>2346</v>
      </c>
      <c r="H13316">
        <v>1</v>
      </c>
      <c r="I13316">
        <v>112.74</v>
      </c>
      <c r="J13316" s="50">
        <v>112.74</v>
      </c>
      <c r="K13316" t="s">
        <v>1618</v>
      </c>
      <c r="M13316" t="s">
        <v>1621</v>
      </c>
      <c r="N13316">
        <v>59.5</v>
      </c>
      <c r="O13316" s="49">
        <v>45489</v>
      </c>
      <c r="P13316" s="50">
        <v>50.732999999999997</v>
      </c>
    </row>
    <row r="13317" spans="4:16" x14ac:dyDescent="0.2">
      <c r="D13317">
        <v>100008014</v>
      </c>
      <c r="E13317" s="49">
        <v>45290</v>
      </c>
      <c r="F13317" t="s">
        <v>8426</v>
      </c>
      <c r="G13317" t="s">
        <v>2084</v>
      </c>
      <c r="H13317">
        <v>8</v>
      </c>
      <c r="I13317">
        <v>61.38</v>
      </c>
      <c r="J13317" s="50">
        <v>491.04</v>
      </c>
      <c r="K13317" t="s">
        <v>1618</v>
      </c>
      <c r="L13317" t="s">
        <v>2206</v>
      </c>
      <c r="M13317" t="s">
        <v>1621</v>
      </c>
      <c r="N13317">
        <v>32.39</v>
      </c>
      <c r="O13317" s="49">
        <v>45293</v>
      </c>
      <c r="P13317" s="50">
        <v>220.96800000000002</v>
      </c>
    </row>
    <row r="13318" spans="4:16" x14ac:dyDescent="0.2">
      <c r="D13318">
        <v>100008014</v>
      </c>
      <c r="E13318" s="49">
        <v>45589</v>
      </c>
      <c r="F13318" t="s">
        <v>8426</v>
      </c>
      <c r="G13318" t="s">
        <v>2331</v>
      </c>
      <c r="H13318">
        <v>9</v>
      </c>
      <c r="I13318">
        <v>35.17</v>
      </c>
      <c r="J13318" s="50">
        <v>316.52999999999997</v>
      </c>
      <c r="K13318" t="s">
        <v>1618</v>
      </c>
      <c r="L13318" t="s">
        <v>2206</v>
      </c>
      <c r="M13318" t="s">
        <v>1629</v>
      </c>
      <c r="N13318">
        <v>18.559999999999999</v>
      </c>
      <c r="O13318" s="49">
        <v>45591</v>
      </c>
      <c r="P13318" s="50">
        <v>142.4385</v>
      </c>
    </row>
    <row r="13319" spans="4:16" x14ac:dyDescent="0.2">
      <c r="D13319">
        <v>100008014</v>
      </c>
      <c r="E13319" s="49">
        <v>44287</v>
      </c>
      <c r="F13319" t="s">
        <v>8426</v>
      </c>
      <c r="G13319" t="s">
        <v>2125</v>
      </c>
      <c r="H13319">
        <v>8</v>
      </c>
      <c r="I13319">
        <v>83.35</v>
      </c>
      <c r="J13319" s="50">
        <v>666.8</v>
      </c>
      <c r="K13319" t="s">
        <v>1618</v>
      </c>
      <c r="L13319" t="s">
        <v>2206</v>
      </c>
      <c r="M13319" t="s">
        <v>1624</v>
      </c>
      <c r="N13319">
        <v>43.99</v>
      </c>
      <c r="O13319" s="49">
        <v>44292</v>
      </c>
      <c r="P13319" s="50">
        <v>300.06</v>
      </c>
    </row>
    <row r="13320" spans="4:16" x14ac:dyDescent="0.2">
      <c r="D13320">
        <v>100008014</v>
      </c>
      <c r="E13320" s="49">
        <v>44762</v>
      </c>
      <c r="F13320" t="s">
        <v>8426</v>
      </c>
      <c r="G13320" t="s">
        <v>1710</v>
      </c>
      <c r="H13320">
        <v>4</v>
      </c>
      <c r="I13320">
        <v>89.81</v>
      </c>
      <c r="J13320" s="50">
        <v>359.24</v>
      </c>
      <c r="K13320" t="s">
        <v>1618</v>
      </c>
      <c r="L13320" t="s">
        <v>2206</v>
      </c>
      <c r="M13320" t="s">
        <v>1619</v>
      </c>
      <c r="N13320">
        <v>47.4</v>
      </c>
      <c r="O13320" s="49">
        <v>44763</v>
      </c>
      <c r="P13320" s="50">
        <v>161.65800000000002</v>
      </c>
    </row>
    <row r="13321" spans="4:16" x14ac:dyDescent="0.2">
      <c r="D13321">
        <v>100008014</v>
      </c>
      <c r="E13321" s="49">
        <v>44802</v>
      </c>
      <c r="F13321" t="s">
        <v>8426</v>
      </c>
      <c r="G13321" t="s">
        <v>2574</v>
      </c>
      <c r="H13321">
        <v>6</v>
      </c>
      <c r="I13321">
        <v>97.25</v>
      </c>
      <c r="J13321" s="50">
        <v>583.5</v>
      </c>
      <c r="K13321" t="s">
        <v>1618</v>
      </c>
      <c r="L13321" t="s">
        <v>2206</v>
      </c>
      <c r="M13321" t="s">
        <v>1629</v>
      </c>
      <c r="N13321">
        <v>51.33</v>
      </c>
      <c r="O13321" s="49">
        <v>44807</v>
      </c>
      <c r="P13321" s="50">
        <v>262.57499999999999</v>
      </c>
    </row>
    <row r="13322" spans="4:16" x14ac:dyDescent="0.2">
      <c r="D13322">
        <v>100008014</v>
      </c>
      <c r="E13322" s="49">
        <v>45168</v>
      </c>
      <c r="F13322" t="s">
        <v>8426</v>
      </c>
      <c r="G13322" t="s">
        <v>2017</v>
      </c>
      <c r="H13322">
        <v>6</v>
      </c>
      <c r="I13322">
        <v>51.31</v>
      </c>
      <c r="J13322" s="50">
        <v>307.86</v>
      </c>
      <c r="K13322" t="s">
        <v>1618</v>
      </c>
      <c r="L13322" t="s">
        <v>2206</v>
      </c>
      <c r="M13322" t="s">
        <v>1624</v>
      </c>
      <c r="N13322">
        <v>27.08</v>
      </c>
      <c r="O13322" s="49">
        <v>45172</v>
      </c>
      <c r="P13322" s="50">
        <v>138.53700000000001</v>
      </c>
    </row>
    <row r="13323" spans="4:16" x14ac:dyDescent="0.2">
      <c r="D13323">
        <v>100008014</v>
      </c>
      <c r="E13323" s="49">
        <v>45216</v>
      </c>
      <c r="F13323" t="s">
        <v>8426</v>
      </c>
      <c r="G13323" t="s">
        <v>2060</v>
      </c>
      <c r="H13323">
        <v>10</v>
      </c>
      <c r="I13323">
        <v>63</v>
      </c>
      <c r="J13323" s="50">
        <v>630</v>
      </c>
      <c r="K13323" t="s">
        <v>1618</v>
      </c>
      <c r="L13323" t="s">
        <v>2206</v>
      </c>
      <c r="M13323" t="s">
        <v>1627</v>
      </c>
      <c r="N13323">
        <v>33.25</v>
      </c>
      <c r="O13323" s="49">
        <v>45219</v>
      </c>
      <c r="P13323" s="50">
        <v>283.5</v>
      </c>
    </row>
    <row r="13324" spans="4:16" x14ac:dyDescent="0.2">
      <c r="D13324">
        <v>100008016</v>
      </c>
      <c r="E13324" s="49">
        <v>44851</v>
      </c>
      <c r="F13324" t="s">
        <v>8427</v>
      </c>
      <c r="G13324" t="s">
        <v>1975</v>
      </c>
      <c r="H13324">
        <v>10</v>
      </c>
      <c r="I13324">
        <v>107.76</v>
      </c>
      <c r="J13324" s="50">
        <v>1077.5999999999999</v>
      </c>
      <c r="K13324" t="s">
        <v>1632</v>
      </c>
      <c r="L13324" t="s">
        <v>4440</v>
      </c>
      <c r="M13324" t="s">
        <v>1621</v>
      </c>
      <c r="N13324">
        <v>56.87</v>
      </c>
      <c r="O13324" s="49">
        <v>44856</v>
      </c>
      <c r="P13324" s="50">
        <v>484.91999999999996</v>
      </c>
    </row>
    <row r="13325" spans="4:16" x14ac:dyDescent="0.2">
      <c r="D13325">
        <v>100008016</v>
      </c>
      <c r="E13325" s="49">
        <v>45316</v>
      </c>
      <c r="F13325" t="s">
        <v>8427</v>
      </c>
      <c r="G13325" t="s">
        <v>2111</v>
      </c>
      <c r="H13325">
        <v>2</v>
      </c>
      <c r="I13325">
        <v>97.09</v>
      </c>
      <c r="J13325" s="50">
        <v>194.18</v>
      </c>
      <c r="K13325" t="s">
        <v>1632</v>
      </c>
      <c r="L13325" t="s">
        <v>4440</v>
      </c>
      <c r="M13325" t="s">
        <v>1619</v>
      </c>
      <c r="N13325">
        <v>51.24</v>
      </c>
      <c r="O13325" s="49">
        <v>45319</v>
      </c>
      <c r="P13325" s="50">
        <v>87.381</v>
      </c>
    </row>
    <row r="13326" spans="4:16" x14ac:dyDescent="0.2">
      <c r="D13326">
        <v>100008016</v>
      </c>
      <c r="E13326" s="49">
        <v>45438</v>
      </c>
      <c r="F13326" t="s">
        <v>8427</v>
      </c>
      <c r="G13326" t="s">
        <v>1787</v>
      </c>
      <c r="H13326">
        <v>8</v>
      </c>
      <c r="I13326">
        <v>12.56</v>
      </c>
      <c r="J13326" s="50">
        <v>100.48</v>
      </c>
      <c r="K13326" t="s">
        <v>1632</v>
      </c>
      <c r="L13326" t="s">
        <v>4440</v>
      </c>
      <c r="M13326" t="s">
        <v>1621</v>
      </c>
      <c r="N13326">
        <v>6.63</v>
      </c>
      <c r="O13326" s="49">
        <v>45440</v>
      </c>
      <c r="P13326" s="50">
        <v>45.216000000000001</v>
      </c>
    </row>
    <row r="13327" spans="4:16" x14ac:dyDescent="0.2">
      <c r="D13327">
        <v>100008016</v>
      </c>
      <c r="E13327" s="49">
        <v>44318</v>
      </c>
      <c r="F13327" t="s">
        <v>8427</v>
      </c>
      <c r="G13327" t="s">
        <v>1812</v>
      </c>
      <c r="H13327">
        <v>8</v>
      </c>
      <c r="I13327">
        <v>112.94</v>
      </c>
      <c r="J13327" s="50">
        <v>903.52</v>
      </c>
      <c r="K13327" t="s">
        <v>1632</v>
      </c>
      <c r="L13327" t="s">
        <v>4440</v>
      </c>
      <c r="M13327" t="s">
        <v>1629</v>
      </c>
      <c r="N13327">
        <v>59.61</v>
      </c>
      <c r="O13327" s="49">
        <v>44323</v>
      </c>
      <c r="P13327" s="50">
        <v>406.584</v>
      </c>
    </row>
    <row r="13328" spans="4:16" x14ac:dyDescent="0.2">
      <c r="D13328">
        <v>100008016</v>
      </c>
      <c r="E13328" s="49">
        <v>44422</v>
      </c>
      <c r="F13328" t="s">
        <v>8427</v>
      </c>
      <c r="G13328" t="s">
        <v>1902</v>
      </c>
      <c r="H13328">
        <v>1</v>
      </c>
      <c r="I13328">
        <v>83.07</v>
      </c>
      <c r="J13328" s="50">
        <v>83.07</v>
      </c>
      <c r="K13328" t="s">
        <v>1632</v>
      </c>
      <c r="L13328" t="s">
        <v>4440</v>
      </c>
      <c r="M13328" t="s">
        <v>1627</v>
      </c>
      <c r="N13328">
        <v>43.84</v>
      </c>
      <c r="O13328" s="49">
        <v>44425</v>
      </c>
      <c r="P13328" s="50">
        <v>37.381499999999996</v>
      </c>
    </row>
    <row r="13329" spans="4:16" x14ac:dyDescent="0.2">
      <c r="D13329">
        <v>100008017</v>
      </c>
      <c r="E13329" s="49">
        <v>45494</v>
      </c>
      <c r="F13329" t="s">
        <v>8428</v>
      </c>
      <c r="G13329" t="s">
        <v>1766</v>
      </c>
      <c r="H13329">
        <v>6</v>
      </c>
      <c r="I13329">
        <v>23.87</v>
      </c>
      <c r="J13329" s="50">
        <v>143.22</v>
      </c>
      <c r="K13329" t="s">
        <v>1618</v>
      </c>
      <c r="M13329" t="s">
        <v>1619</v>
      </c>
      <c r="N13329">
        <v>12.6</v>
      </c>
      <c r="O13329" s="49">
        <v>45495</v>
      </c>
      <c r="P13329" s="50">
        <v>64.448999999999998</v>
      </c>
    </row>
    <row r="13330" spans="4:16" x14ac:dyDescent="0.2">
      <c r="D13330">
        <v>100008020</v>
      </c>
      <c r="E13330" s="49">
        <v>44510</v>
      </c>
      <c r="F13330" t="s">
        <v>8429</v>
      </c>
      <c r="G13330" t="s">
        <v>2028</v>
      </c>
      <c r="H13330">
        <v>3</v>
      </c>
      <c r="I13330">
        <v>26.16</v>
      </c>
      <c r="J13330" s="50">
        <v>78.48</v>
      </c>
      <c r="K13330" t="s">
        <v>1632</v>
      </c>
      <c r="M13330" t="s">
        <v>1629</v>
      </c>
      <c r="N13330">
        <v>13.81</v>
      </c>
      <c r="O13330" s="49">
        <v>44513</v>
      </c>
      <c r="P13330" s="50">
        <v>35.316000000000003</v>
      </c>
    </row>
    <row r="13331" spans="4:16" x14ac:dyDescent="0.2">
      <c r="D13331">
        <v>100008021</v>
      </c>
      <c r="E13331" s="49">
        <v>44497</v>
      </c>
      <c r="F13331" t="s">
        <v>8430</v>
      </c>
      <c r="G13331" t="s">
        <v>1841</v>
      </c>
      <c r="H13331">
        <v>8</v>
      </c>
      <c r="I13331">
        <v>59.67</v>
      </c>
      <c r="J13331" s="50">
        <v>477.36</v>
      </c>
      <c r="K13331" t="s">
        <v>1632</v>
      </c>
      <c r="M13331" t="s">
        <v>1621</v>
      </c>
      <c r="N13331">
        <v>31.49</v>
      </c>
      <c r="O13331" s="49">
        <v>44499</v>
      </c>
      <c r="P13331" s="50">
        <v>214.81200000000001</v>
      </c>
    </row>
    <row r="13332" spans="4:16" x14ac:dyDescent="0.2">
      <c r="D13332">
        <v>100008021</v>
      </c>
      <c r="E13332" s="49">
        <v>44903</v>
      </c>
      <c r="F13332" t="s">
        <v>8430</v>
      </c>
      <c r="G13332" t="s">
        <v>2343</v>
      </c>
      <c r="H13332">
        <v>7</v>
      </c>
      <c r="I13332">
        <v>15.56</v>
      </c>
      <c r="J13332" s="50">
        <v>108.92</v>
      </c>
      <c r="K13332" t="s">
        <v>1632</v>
      </c>
      <c r="M13332" t="s">
        <v>1621</v>
      </c>
      <c r="N13332">
        <v>8.2100000000000009</v>
      </c>
      <c r="O13332" s="49">
        <v>44908</v>
      </c>
      <c r="P13332" s="50">
        <v>49.014000000000003</v>
      </c>
    </row>
    <row r="13333" spans="4:16" x14ac:dyDescent="0.2">
      <c r="D13333">
        <v>100008021</v>
      </c>
      <c r="E13333" s="49">
        <v>44827</v>
      </c>
      <c r="F13333" t="s">
        <v>8430</v>
      </c>
      <c r="G13333" t="s">
        <v>1648</v>
      </c>
      <c r="H13333">
        <v>9</v>
      </c>
      <c r="I13333">
        <v>115.01</v>
      </c>
      <c r="J13333" s="50">
        <v>1035.0899999999999</v>
      </c>
      <c r="K13333" t="s">
        <v>1632</v>
      </c>
      <c r="M13333" t="s">
        <v>1619</v>
      </c>
      <c r="N13333">
        <v>60.7</v>
      </c>
      <c r="O13333" s="49">
        <v>44828</v>
      </c>
      <c r="P13333" s="50">
        <v>465.79049999999995</v>
      </c>
    </row>
    <row r="13334" spans="4:16" x14ac:dyDescent="0.2">
      <c r="D13334">
        <v>100008021</v>
      </c>
      <c r="E13334" s="49">
        <v>45352</v>
      </c>
      <c r="F13334" t="s">
        <v>8430</v>
      </c>
      <c r="G13334" t="s">
        <v>1643</v>
      </c>
      <c r="H13334">
        <v>4</v>
      </c>
      <c r="I13334">
        <v>37.79</v>
      </c>
      <c r="J13334" s="50">
        <v>151.16</v>
      </c>
      <c r="K13334" t="s">
        <v>1632</v>
      </c>
      <c r="M13334" t="s">
        <v>1621</v>
      </c>
      <c r="N13334">
        <v>19.940000000000001</v>
      </c>
      <c r="O13334" s="49">
        <v>45356</v>
      </c>
      <c r="P13334" s="50">
        <v>68.022000000000006</v>
      </c>
    </row>
    <row r="13335" spans="4:16" x14ac:dyDescent="0.2">
      <c r="D13335">
        <v>100008021</v>
      </c>
      <c r="E13335" s="49">
        <v>44498</v>
      </c>
      <c r="F13335" t="s">
        <v>8430</v>
      </c>
      <c r="G13335" t="s">
        <v>2142</v>
      </c>
      <c r="H13335">
        <v>9</v>
      </c>
      <c r="I13335">
        <v>71.260000000000005</v>
      </c>
      <c r="J13335" s="50">
        <v>641.34</v>
      </c>
      <c r="K13335" t="s">
        <v>1632</v>
      </c>
      <c r="M13335" t="s">
        <v>1619</v>
      </c>
      <c r="N13335">
        <v>37.61</v>
      </c>
      <c r="O13335" s="49">
        <v>44501</v>
      </c>
      <c r="P13335" s="50">
        <v>288.60300000000001</v>
      </c>
    </row>
    <row r="13336" spans="4:16" x14ac:dyDescent="0.2">
      <c r="D13336">
        <v>100008022</v>
      </c>
      <c r="E13336" s="49">
        <v>44968</v>
      </c>
      <c r="F13336" t="s">
        <v>8431</v>
      </c>
      <c r="G13336" t="s">
        <v>1688</v>
      </c>
      <c r="H13336">
        <v>4</v>
      </c>
      <c r="I13336">
        <v>81.400000000000006</v>
      </c>
      <c r="J13336" s="50">
        <v>325.60000000000002</v>
      </c>
      <c r="K13336" t="s">
        <v>1618</v>
      </c>
      <c r="M13336" t="s">
        <v>1619</v>
      </c>
      <c r="N13336">
        <v>42.96</v>
      </c>
      <c r="O13336" s="49">
        <v>44970</v>
      </c>
      <c r="P13336" s="50">
        <v>146.52000000000001</v>
      </c>
    </row>
    <row r="13337" spans="4:16" x14ac:dyDescent="0.2">
      <c r="D13337">
        <v>100008022</v>
      </c>
      <c r="E13337" s="49">
        <v>44903</v>
      </c>
      <c r="F13337" t="s">
        <v>8431</v>
      </c>
      <c r="G13337" t="s">
        <v>2202</v>
      </c>
      <c r="H13337">
        <v>3</v>
      </c>
      <c r="I13337">
        <v>93.49</v>
      </c>
      <c r="J13337" s="50">
        <v>280.47000000000003</v>
      </c>
      <c r="K13337" t="s">
        <v>1618</v>
      </c>
      <c r="M13337" t="s">
        <v>1621</v>
      </c>
      <c r="N13337">
        <v>49.34</v>
      </c>
      <c r="O13337" s="49">
        <v>44907</v>
      </c>
      <c r="P13337" s="50">
        <v>126.21150000000002</v>
      </c>
    </row>
    <row r="13338" spans="4:16" x14ac:dyDescent="0.2">
      <c r="D13338">
        <v>100008022</v>
      </c>
      <c r="E13338" s="49">
        <v>44394</v>
      </c>
      <c r="F13338" t="s">
        <v>8431</v>
      </c>
      <c r="G13338" t="s">
        <v>2217</v>
      </c>
      <c r="H13338">
        <v>8</v>
      </c>
      <c r="I13338">
        <v>97.75</v>
      </c>
      <c r="J13338" s="50">
        <v>782</v>
      </c>
      <c r="K13338" t="s">
        <v>1618</v>
      </c>
      <c r="M13338" t="s">
        <v>1629</v>
      </c>
      <c r="N13338">
        <v>51.59</v>
      </c>
      <c r="O13338" s="49">
        <v>44397</v>
      </c>
      <c r="P13338" s="50">
        <v>351.90000000000003</v>
      </c>
    </row>
    <row r="13339" spans="4:16" x14ac:dyDescent="0.2">
      <c r="D13339">
        <v>100008025</v>
      </c>
      <c r="E13339" s="49">
        <v>44761</v>
      </c>
      <c r="F13339" t="s">
        <v>8432</v>
      </c>
      <c r="G13339" t="s">
        <v>1724</v>
      </c>
      <c r="H13339">
        <v>3</v>
      </c>
      <c r="I13339">
        <v>85.38</v>
      </c>
      <c r="J13339" s="50">
        <v>256.14</v>
      </c>
      <c r="K13339" t="s">
        <v>1618</v>
      </c>
      <c r="M13339" t="s">
        <v>1621</v>
      </c>
      <c r="N13339">
        <v>45.06</v>
      </c>
      <c r="O13339" s="49">
        <v>44764</v>
      </c>
      <c r="P13339" s="50">
        <v>115.26299999999999</v>
      </c>
    </row>
    <row r="13340" spans="4:16" x14ac:dyDescent="0.2">
      <c r="D13340">
        <v>100008025</v>
      </c>
      <c r="E13340" s="49">
        <v>45209</v>
      </c>
      <c r="F13340" t="s">
        <v>8432</v>
      </c>
      <c r="G13340" t="s">
        <v>1663</v>
      </c>
      <c r="H13340">
        <v>7</v>
      </c>
      <c r="I13340">
        <v>71.16</v>
      </c>
      <c r="J13340" s="50">
        <v>498.12</v>
      </c>
      <c r="K13340" t="s">
        <v>1618</v>
      </c>
      <c r="M13340" t="s">
        <v>1619</v>
      </c>
      <c r="N13340">
        <v>37.56</v>
      </c>
      <c r="O13340" s="49">
        <v>45213</v>
      </c>
      <c r="P13340" s="50">
        <v>224.154</v>
      </c>
    </row>
    <row r="13341" spans="4:16" x14ac:dyDescent="0.2">
      <c r="D13341">
        <v>100008025</v>
      </c>
      <c r="E13341" s="49">
        <v>44971</v>
      </c>
      <c r="F13341" t="s">
        <v>8432</v>
      </c>
      <c r="G13341" t="s">
        <v>2762</v>
      </c>
      <c r="H13341">
        <v>6</v>
      </c>
      <c r="I13341">
        <v>19.38</v>
      </c>
      <c r="J13341" s="50">
        <v>116.28</v>
      </c>
      <c r="K13341" t="s">
        <v>1618</v>
      </c>
      <c r="M13341" t="s">
        <v>1624</v>
      </c>
      <c r="N13341">
        <v>10.23</v>
      </c>
      <c r="O13341" s="49">
        <v>44973</v>
      </c>
      <c r="P13341" s="50">
        <v>52.326000000000001</v>
      </c>
    </row>
    <row r="13342" spans="4:16" x14ac:dyDescent="0.2">
      <c r="D13342">
        <v>100008026</v>
      </c>
      <c r="E13342" s="49">
        <v>45390</v>
      </c>
      <c r="F13342" t="s">
        <v>8433</v>
      </c>
      <c r="G13342" t="s">
        <v>2121</v>
      </c>
      <c r="H13342">
        <v>6</v>
      </c>
      <c r="I13342">
        <v>46.96</v>
      </c>
      <c r="J13342" s="50">
        <v>281.76</v>
      </c>
      <c r="K13342" t="s">
        <v>1618</v>
      </c>
      <c r="M13342" t="s">
        <v>1619</v>
      </c>
      <c r="N13342">
        <v>24.78</v>
      </c>
      <c r="O13342" s="49">
        <v>45393</v>
      </c>
      <c r="P13342" s="50">
        <v>126.792</v>
      </c>
    </row>
    <row r="13343" spans="4:16" x14ac:dyDescent="0.2">
      <c r="D13343">
        <v>100008026</v>
      </c>
      <c r="E13343" s="49">
        <v>45011</v>
      </c>
      <c r="F13343" t="s">
        <v>8433</v>
      </c>
      <c r="G13343" t="s">
        <v>2041</v>
      </c>
      <c r="H13343">
        <v>2</v>
      </c>
      <c r="I13343">
        <v>109.69</v>
      </c>
      <c r="J13343" s="50">
        <v>219.38</v>
      </c>
      <c r="K13343" t="s">
        <v>1618</v>
      </c>
      <c r="M13343" t="s">
        <v>1624</v>
      </c>
      <c r="N13343">
        <v>57.89</v>
      </c>
      <c r="O13343" s="49">
        <v>45014</v>
      </c>
      <c r="P13343" s="50">
        <v>98.721000000000004</v>
      </c>
    </row>
    <row r="13344" spans="4:16" x14ac:dyDescent="0.2">
      <c r="D13344">
        <v>100008027</v>
      </c>
      <c r="E13344" s="49">
        <v>44846</v>
      </c>
      <c r="F13344" t="s">
        <v>8434</v>
      </c>
      <c r="G13344" t="s">
        <v>1877</v>
      </c>
      <c r="H13344">
        <v>8</v>
      </c>
      <c r="I13344">
        <v>95.28</v>
      </c>
      <c r="J13344" s="50">
        <v>762.24</v>
      </c>
      <c r="K13344" t="s">
        <v>1632</v>
      </c>
      <c r="M13344" t="s">
        <v>1627</v>
      </c>
      <c r="N13344">
        <v>50.29</v>
      </c>
      <c r="O13344" s="49">
        <v>44849</v>
      </c>
      <c r="P13344" s="50">
        <v>343.00800000000004</v>
      </c>
    </row>
    <row r="13345" spans="4:16" x14ac:dyDescent="0.2">
      <c r="D13345">
        <v>100008028</v>
      </c>
      <c r="E13345" s="49">
        <v>44733</v>
      </c>
      <c r="F13345" t="s">
        <v>8435</v>
      </c>
      <c r="G13345" t="s">
        <v>1913</v>
      </c>
      <c r="H13345">
        <v>7</v>
      </c>
      <c r="I13345">
        <v>80.92</v>
      </c>
      <c r="J13345" s="50">
        <v>566.44000000000005</v>
      </c>
      <c r="K13345" t="s">
        <v>1618</v>
      </c>
      <c r="M13345" t="s">
        <v>1627</v>
      </c>
      <c r="N13345">
        <v>42.71</v>
      </c>
      <c r="O13345" s="49">
        <v>44736</v>
      </c>
      <c r="P13345" s="50">
        <v>254.89800000000002</v>
      </c>
    </row>
    <row r="13346" spans="4:16" x14ac:dyDescent="0.2">
      <c r="D13346">
        <v>100008028</v>
      </c>
      <c r="E13346" s="49">
        <v>45374</v>
      </c>
      <c r="F13346" t="s">
        <v>8435</v>
      </c>
      <c r="G13346" t="s">
        <v>1922</v>
      </c>
      <c r="H13346">
        <v>4</v>
      </c>
      <c r="I13346">
        <v>119.98</v>
      </c>
      <c r="J13346" s="50">
        <v>479.92</v>
      </c>
      <c r="K13346" t="s">
        <v>1618</v>
      </c>
      <c r="M13346" t="s">
        <v>1629</v>
      </c>
      <c r="N13346">
        <v>63.32</v>
      </c>
      <c r="O13346" s="49">
        <v>45378</v>
      </c>
      <c r="P13346" s="50">
        <v>215.964</v>
      </c>
    </row>
    <row r="13347" spans="4:16" x14ac:dyDescent="0.2">
      <c r="D13347">
        <v>100008028</v>
      </c>
      <c r="E13347" s="49">
        <v>44610</v>
      </c>
      <c r="F13347" t="s">
        <v>8435</v>
      </c>
      <c r="G13347" t="s">
        <v>1819</v>
      </c>
      <c r="H13347">
        <v>2</v>
      </c>
      <c r="I13347">
        <v>108.11</v>
      </c>
      <c r="J13347" s="50">
        <v>216.22</v>
      </c>
      <c r="K13347" t="s">
        <v>1618</v>
      </c>
      <c r="M13347" t="s">
        <v>1624</v>
      </c>
      <c r="N13347">
        <v>57.06</v>
      </c>
      <c r="O13347" s="49">
        <v>44612</v>
      </c>
      <c r="P13347" s="50">
        <v>97.299000000000007</v>
      </c>
    </row>
    <row r="13348" spans="4:16" x14ac:dyDescent="0.2">
      <c r="D13348">
        <v>100008029</v>
      </c>
      <c r="E13348" s="49">
        <v>45280</v>
      </c>
      <c r="F13348" t="s">
        <v>3875</v>
      </c>
      <c r="G13348" t="s">
        <v>2025</v>
      </c>
      <c r="H13348">
        <v>7</v>
      </c>
      <c r="I13348">
        <v>84.92</v>
      </c>
      <c r="J13348" s="50">
        <v>594.44000000000005</v>
      </c>
      <c r="K13348" t="s">
        <v>1632</v>
      </c>
      <c r="M13348" t="s">
        <v>1629</v>
      </c>
      <c r="N13348">
        <v>44.82</v>
      </c>
      <c r="O13348" s="49">
        <v>45284</v>
      </c>
      <c r="P13348" s="50">
        <v>267.49800000000005</v>
      </c>
    </row>
    <row r="13349" spans="4:16" x14ac:dyDescent="0.2">
      <c r="D13349">
        <v>100008030</v>
      </c>
      <c r="E13349" s="49">
        <v>45058</v>
      </c>
      <c r="F13349" t="s">
        <v>8436</v>
      </c>
      <c r="G13349" t="s">
        <v>2210</v>
      </c>
      <c r="H13349">
        <v>1</v>
      </c>
      <c r="I13349">
        <v>96.32</v>
      </c>
      <c r="J13349" s="50">
        <v>96.32</v>
      </c>
      <c r="K13349" t="s">
        <v>1618</v>
      </c>
      <c r="L13349" t="s">
        <v>4345</v>
      </c>
      <c r="M13349" t="s">
        <v>1619</v>
      </c>
      <c r="N13349">
        <v>50.84</v>
      </c>
      <c r="O13349" s="49">
        <v>45059</v>
      </c>
      <c r="P13349" s="50">
        <v>43.344000000000001</v>
      </c>
    </row>
    <row r="13350" spans="4:16" x14ac:dyDescent="0.2">
      <c r="D13350">
        <v>100008030</v>
      </c>
      <c r="E13350" s="49">
        <v>44918</v>
      </c>
      <c r="F13350" t="s">
        <v>8436</v>
      </c>
      <c r="G13350" t="s">
        <v>2132</v>
      </c>
      <c r="H13350">
        <v>10</v>
      </c>
      <c r="I13350">
        <v>106.25</v>
      </c>
      <c r="J13350" s="50">
        <v>1062.5</v>
      </c>
      <c r="K13350" t="s">
        <v>1618</v>
      </c>
      <c r="L13350" t="s">
        <v>4345</v>
      </c>
      <c r="M13350" t="s">
        <v>1627</v>
      </c>
      <c r="N13350">
        <v>56.08</v>
      </c>
      <c r="O13350" s="49">
        <v>44922</v>
      </c>
      <c r="P13350" s="50">
        <v>478.125</v>
      </c>
    </row>
    <row r="13351" spans="4:16" x14ac:dyDescent="0.2">
      <c r="D13351">
        <v>100008030</v>
      </c>
      <c r="E13351" s="49">
        <v>45502</v>
      </c>
      <c r="F13351" t="s">
        <v>8436</v>
      </c>
      <c r="G13351" t="s">
        <v>2150</v>
      </c>
      <c r="H13351">
        <v>2</v>
      </c>
      <c r="I13351">
        <v>19.84</v>
      </c>
      <c r="J13351" s="50">
        <v>39.68</v>
      </c>
      <c r="K13351" t="s">
        <v>1618</v>
      </c>
      <c r="L13351" t="s">
        <v>4345</v>
      </c>
      <c r="M13351" t="s">
        <v>1624</v>
      </c>
      <c r="N13351">
        <v>10.47</v>
      </c>
      <c r="O13351" s="49">
        <v>45507</v>
      </c>
      <c r="P13351" s="50">
        <v>17.856000000000002</v>
      </c>
    </row>
    <row r="13352" spans="4:16" x14ac:dyDescent="0.2">
      <c r="D13352">
        <v>100008030</v>
      </c>
      <c r="E13352" s="49">
        <v>44323</v>
      </c>
      <c r="F13352" t="s">
        <v>8436</v>
      </c>
      <c r="G13352" t="s">
        <v>1726</v>
      </c>
      <c r="H13352">
        <v>3</v>
      </c>
      <c r="I13352">
        <v>28.03</v>
      </c>
      <c r="J13352" s="50">
        <v>84.09</v>
      </c>
      <c r="K13352" t="s">
        <v>1618</v>
      </c>
      <c r="L13352" t="s">
        <v>4345</v>
      </c>
      <c r="M13352" t="s">
        <v>1619</v>
      </c>
      <c r="N13352">
        <v>14.79</v>
      </c>
      <c r="O13352" s="49">
        <v>44324</v>
      </c>
      <c r="P13352" s="50">
        <v>37.840500000000006</v>
      </c>
    </row>
    <row r="13353" spans="4:16" x14ac:dyDescent="0.2">
      <c r="D13353">
        <v>100008030</v>
      </c>
      <c r="E13353" s="49">
        <v>45050</v>
      </c>
      <c r="F13353" t="s">
        <v>8436</v>
      </c>
      <c r="G13353" t="s">
        <v>1724</v>
      </c>
      <c r="H13353">
        <v>2</v>
      </c>
      <c r="I13353">
        <v>13.62</v>
      </c>
      <c r="J13353" s="50">
        <v>27.24</v>
      </c>
      <c r="K13353" t="s">
        <v>1618</v>
      </c>
      <c r="L13353" t="s">
        <v>4345</v>
      </c>
      <c r="M13353" t="s">
        <v>1619</v>
      </c>
      <c r="N13353">
        <v>7.19</v>
      </c>
      <c r="O13353" s="49">
        <v>45055</v>
      </c>
      <c r="P13353" s="50">
        <v>12.257999999999999</v>
      </c>
    </row>
    <row r="13354" spans="4:16" x14ac:dyDescent="0.2">
      <c r="D13354">
        <v>100008030</v>
      </c>
      <c r="E13354" s="49">
        <v>45361</v>
      </c>
      <c r="F13354" t="s">
        <v>8436</v>
      </c>
      <c r="G13354" t="s">
        <v>2198</v>
      </c>
      <c r="H13354">
        <v>6</v>
      </c>
      <c r="I13354">
        <v>99.75</v>
      </c>
      <c r="J13354" s="50">
        <v>598.5</v>
      </c>
      <c r="K13354" t="s">
        <v>1618</v>
      </c>
      <c r="L13354" t="s">
        <v>4345</v>
      </c>
      <c r="M13354" t="s">
        <v>1619</v>
      </c>
      <c r="N13354">
        <v>52.65</v>
      </c>
      <c r="O13354" s="49">
        <v>45362</v>
      </c>
      <c r="P13354" s="50">
        <v>269.32499999999999</v>
      </c>
    </row>
    <row r="13355" spans="4:16" x14ac:dyDescent="0.2">
      <c r="D13355">
        <v>100008030</v>
      </c>
      <c r="E13355" s="49">
        <v>44328</v>
      </c>
      <c r="F13355" t="s">
        <v>8436</v>
      </c>
      <c r="G13355" t="s">
        <v>1975</v>
      </c>
      <c r="H13355">
        <v>9</v>
      </c>
      <c r="I13355">
        <v>94.18</v>
      </c>
      <c r="J13355" s="50">
        <v>847.62000000000012</v>
      </c>
      <c r="K13355" t="s">
        <v>1618</v>
      </c>
      <c r="L13355" t="s">
        <v>4345</v>
      </c>
      <c r="M13355" t="s">
        <v>1621</v>
      </c>
      <c r="N13355">
        <v>49.71</v>
      </c>
      <c r="O13355" s="49">
        <v>44333</v>
      </c>
      <c r="P13355" s="50">
        <v>381.42900000000009</v>
      </c>
    </row>
    <row r="13356" spans="4:16" x14ac:dyDescent="0.2">
      <c r="D13356">
        <v>100008030</v>
      </c>
      <c r="E13356" s="49">
        <v>44658</v>
      </c>
      <c r="F13356" t="s">
        <v>8436</v>
      </c>
      <c r="G13356" t="s">
        <v>2658</v>
      </c>
      <c r="H13356">
        <v>1</v>
      </c>
      <c r="I13356">
        <v>14.06</v>
      </c>
      <c r="J13356" s="50">
        <v>14.06</v>
      </c>
      <c r="K13356" t="s">
        <v>1618</v>
      </c>
      <c r="L13356" t="s">
        <v>4345</v>
      </c>
      <c r="M13356" t="s">
        <v>1627</v>
      </c>
      <c r="N13356">
        <v>7.42</v>
      </c>
      <c r="O13356" s="49">
        <v>44659</v>
      </c>
      <c r="P13356" s="50">
        <v>6.327</v>
      </c>
    </row>
    <row r="13357" spans="4:16" x14ac:dyDescent="0.2">
      <c r="D13357">
        <v>100008032</v>
      </c>
      <c r="E13357" s="49">
        <v>44417</v>
      </c>
      <c r="F13357" t="s">
        <v>8437</v>
      </c>
      <c r="G13357" t="s">
        <v>1669</v>
      </c>
      <c r="H13357">
        <v>7</v>
      </c>
      <c r="I13357">
        <v>60.69</v>
      </c>
      <c r="J13357" s="50">
        <v>424.83</v>
      </c>
      <c r="K13357" t="s">
        <v>1618</v>
      </c>
      <c r="M13357" t="s">
        <v>1629</v>
      </c>
      <c r="N13357">
        <v>32.03</v>
      </c>
      <c r="O13357" s="49">
        <v>44420</v>
      </c>
      <c r="P13357" s="50">
        <v>191.17349999999999</v>
      </c>
    </row>
    <row r="13358" spans="4:16" x14ac:dyDescent="0.2">
      <c r="D13358">
        <v>100008032</v>
      </c>
      <c r="E13358" s="49">
        <v>45412</v>
      </c>
      <c r="F13358" t="s">
        <v>8437</v>
      </c>
      <c r="G13358" t="s">
        <v>1727</v>
      </c>
      <c r="H13358">
        <v>2</v>
      </c>
      <c r="I13358">
        <v>14.81</v>
      </c>
      <c r="J13358" s="50">
        <v>29.62</v>
      </c>
      <c r="K13358" t="s">
        <v>1618</v>
      </c>
      <c r="M13358" t="s">
        <v>1624</v>
      </c>
      <c r="N13358">
        <v>7.82</v>
      </c>
      <c r="O13358" s="49">
        <v>45414</v>
      </c>
      <c r="P13358" s="50">
        <v>13.329000000000001</v>
      </c>
    </row>
    <row r="13359" spans="4:16" x14ac:dyDescent="0.2">
      <c r="D13359">
        <v>100008033</v>
      </c>
      <c r="E13359" s="49">
        <v>44508</v>
      </c>
      <c r="F13359" t="s">
        <v>8438</v>
      </c>
      <c r="G13359" t="s">
        <v>2112</v>
      </c>
      <c r="H13359">
        <v>2</v>
      </c>
      <c r="I13359">
        <v>63.99</v>
      </c>
      <c r="J13359" s="50">
        <v>127.98</v>
      </c>
      <c r="K13359" t="s">
        <v>1632</v>
      </c>
      <c r="L13359" t="s">
        <v>1806</v>
      </c>
      <c r="M13359" t="s">
        <v>1621</v>
      </c>
      <c r="N13359">
        <v>33.770000000000003</v>
      </c>
      <c r="O13359" s="49">
        <v>44512</v>
      </c>
      <c r="P13359" s="50">
        <v>57.591000000000001</v>
      </c>
    </row>
    <row r="13360" spans="4:16" x14ac:dyDescent="0.2">
      <c r="D13360">
        <v>100008035</v>
      </c>
      <c r="E13360" s="49">
        <v>45585</v>
      </c>
      <c r="F13360" t="s">
        <v>8439</v>
      </c>
      <c r="G13360" t="s">
        <v>2003</v>
      </c>
      <c r="H13360">
        <v>5</v>
      </c>
      <c r="I13360">
        <v>53.5</v>
      </c>
      <c r="J13360" s="50">
        <v>267.5</v>
      </c>
      <c r="K13360" t="s">
        <v>1618</v>
      </c>
      <c r="M13360" t="s">
        <v>1624</v>
      </c>
      <c r="N13360">
        <v>28.24</v>
      </c>
      <c r="O13360" s="49">
        <v>45586</v>
      </c>
      <c r="P13360" s="50">
        <v>120.375</v>
      </c>
    </row>
    <row r="13361" spans="4:16" x14ac:dyDescent="0.2">
      <c r="D13361">
        <v>100008036</v>
      </c>
      <c r="E13361" s="49">
        <v>45449</v>
      </c>
      <c r="F13361" t="s">
        <v>8440</v>
      </c>
      <c r="G13361" t="s">
        <v>1675</v>
      </c>
      <c r="H13361">
        <v>1</v>
      </c>
      <c r="I13361">
        <v>58.39</v>
      </c>
      <c r="J13361" s="50">
        <v>58.39</v>
      </c>
      <c r="K13361" t="s">
        <v>1618</v>
      </c>
      <c r="M13361" t="s">
        <v>1621</v>
      </c>
      <c r="N13361">
        <v>30.82</v>
      </c>
      <c r="O13361" s="49">
        <v>45450</v>
      </c>
      <c r="P13361" s="50">
        <v>26.275500000000001</v>
      </c>
    </row>
    <row r="13362" spans="4:16" x14ac:dyDescent="0.2">
      <c r="D13362">
        <v>100008038</v>
      </c>
      <c r="E13362" s="49">
        <v>45236</v>
      </c>
      <c r="F13362" t="s">
        <v>8441</v>
      </c>
      <c r="G13362" t="s">
        <v>1688</v>
      </c>
      <c r="H13362">
        <v>10</v>
      </c>
      <c r="I13362">
        <v>14.08</v>
      </c>
      <c r="J13362" s="50">
        <v>140.80000000000001</v>
      </c>
      <c r="K13362" t="s">
        <v>1632</v>
      </c>
      <c r="M13362" t="s">
        <v>1627</v>
      </c>
      <c r="N13362">
        <v>7.43</v>
      </c>
      <c r="O13362" s="49">
        <v>45239</v>
      </c>
      <c r="P13362" s="50">
        <v>63.360000000000007</v>
      </c>
    </row>
    <row r="13363" spans="4:16" x14ac:dyDescent="0.2">
      <c r="D13363">
        <v>100008038</v>
      </c>
      <c r="E13363" s="49">
        <v>45423</v>
      </c>
      <c r="F13363" t="s">
        <v>8441</v>
      </c>
      <c r="G13363" t="s">
        <v>2698</v>
      </c>
      <c r="H13363">
        <v>3</v>
      </c>
      <c r="I13363">
        <v>86.71</v>
      </c>
      <c r="J13363" s="50">
        <v>260.13</v>
      </c>
      <c r="K13363" t="s">
        <v>1632</v>
      </c>
      <c r="M13363" t="s">
        <v>1621</v>
      </c>
      <c r="N13363">
        <v>45.76</v>
      </c>
      <c r="O13363" s="49">
        <v>45425</v>
      </c>
      <c r="P13363" s="50">
        <v>117.0585</v>
      </c>
    </row>
    <row r="13364" spans="4:16" x14ac:dyDescent="0.2">
      <c r="D13364">
        <v>100008038</v>
      </c>
      <c r="E13364" s="49">
        <v>44525</v>
      </c>
      <c r="F13364" t="s">
        <v>8441</v>
      </c>
      <c r="G13364" t="s">
        <v>1897</v>
      </c>
      <c r="H13364">
        <v>8</v>
      </c>
      <c r="I13364">
        <v>20.2</v>
      </c>
      <c r="J13364" s="50">
        <v>161.6</v>
      </c>
      <c r="K13364" t="s">
        <v>1632</v>
      </c>
      <c r="M13364" t="s">
        <v>1621</v>
      </c>
      <c r="N13364">
        <v>10.66</v>
      </c>
      <c r="O13364" s="49">
        <v>44527</v>
      </c>
      <c r="P13364" s="50">
        <v>72.72</v>
      </c>
    </row>
    <row r="13365" spans="4:16" x14ac:dyDescent="0.2">
      <c r="D13365">
        <v>100008038</v>
      </c>
      <c r="E13365" s="49">
        <v>45199</v>
      </c>
      <c r="F13365" t="s">
        <v>8441</v>
      </c>
      <c r="G13365" t="s">
        <v>2230</v>
      </c>
      <c r="H13365">
        <v>2</v>
      </c>
      <c r="I13365">
        <v>83.15</v>
      </c>
      <c r="J13365" s="50">
        <v>166.3</v>
      </c>
      <c r="K13365" t="s">
        <v>1632</v>
      </c>
      <c r="M13365" t="s">
        <v>1627</v>
      </c>
      <c r="N13365">
        <v>43.88</v>
      </c>
      <c r="O13365" s="49">
        <v>45201</v>
      </c>
      <c r="P13365" s="50">
        <v>74.835000000000008</v>
      </c>
    </row>
    <row r="13366" spans="4:16" x14ac:dyDescent="0.2">
      <c r="D13366">
        <v>100008042</v>
      </c>
      <c r="E13366" s="49">
        <v>44364</v>
      </c>
      <c r="F13366" t="s">
        <v>8442</v>
      </c>
      <c r="G13366" t="s">
        <v>2485</v>
      </c>
      <c r="H13366">
        <v>4</v>
      </c>
      <c r="I13366">
        <v>81.44</v>
      </c>
      <c r="J13366" s="50">
        <v>325.76</v>
      </c>
      <c r="K13366" t="s">
        <v>1632</v>
      </c>
      <c r="L13366" t="s">
        <v>8443</v>
      </c>
      <c r="M13366" t="s">
        <v>1624</v>
      </c>
      <c r="N13366">
        <v>42.98</v>
      </c>
      <c r="O13366" s="49">
        <v>44365</v>
      </c>
      <c r="P13366" s="50">
        <v>146.59200000000001</v>
      </c>
    </row>
    <row r="13367" spans="4:16" x14ac:dyDescent="0.2">
      <c r="D13367">
        <v>100008042</v>
      </c>
      <c r="E13367" s="49">
        <v>44696</v>
      </c>
      <c r="F13367" t="s">
        <v>8442</v>
      </c>
      <c r="G13367" t="s">
        <v>2150</v>
      </c>
      <c r="H13367">
        <v>5</v>
      </c>
      <c r="I13367">
        <v>55.66</v>
      </c>
      <c r="J13367" s="50">
        <v>278.3</v>
      </c>
      <c r="K13367" t="s">
        <v>1632</v>
      </c>
      <c r="L13367" t="s">
        <v>8443</v>
      </c>
      <c r="M13367" t="s">
        <v>1624</v>
      </c>
      <c r="N13367">
        <v>29.38</v>
      </c>
      <c r="O13367" s="49">
        <v>44700</v>
      </c>
      <c r="P13367" s="50">
        <v>125.23500000000001</v>
      </c>
    </row>
    <row r="13368" spans="4:16" x14ac:dyDescent="0.2">
      <c r="D13368">
        <v>100008043</v>
      </c>
      <c r="E13368" s="49">
        <v>44417</v>
      </c>
      <c r="F13368" t="s">
        <v>8444</v>
      </c>
      <c r="G13368" t="s">
        <v>2028</v>
      </c>
      <c r="H13368">
        <v>6</v>
      </c>
      <c r="I13368">
        <v>41.81</v>
      </c>
      <c r="J13368" s="50">
        <v>250.86</v>
      </c>
      <c r="K13368" t="s">
        <v>1618</v>
      </c>
      <c r="M13368" t="s">
        <v>1629</v>
      </c>
      <c r="N13368">
        <v>22.07</v>
      </c>
      <c r="O13368" s="49">
        <v>44422</v>
      </c>
      <c r="P13368" s="50">
        <v>112.88700000000001</v>
      </c>
    </row>
    <row r="13369" spans="4:16" x14ac:dyDescent="0.2">
      <c r="D13369">
        <v>100008044</v>
      </c>
      <c r="E13369" s="49">
        <v>44803</v>
      </c>
      <c r="F13369" t="s">
        <v>8445</v>
      </c>
      <c r="G13369" t="s">
        <v>2484</v>
      </c>
      <c r="H13369">
        <v>1</v>
      </c>
      <c r="I13369">
        <v>53.15</v>
      </c>
      <c r="J13369" s="50">
        <v>53.15</v>
      </c>
      <c r="K13369" t="s">
        <v>1618</v>
      </c>
      <c r="M13369" t="s">
        <v>1619</v>
      </c>
      <c r="N13369">
        <v>28.05</v>
      </c>
      <c r="O13369" s="49">
        <v>44807</v>
      </c>
      <c r="P13369" s="50">
        <v>23.9175</v>
      </c>
    </row>
    <row r="13370" spans="4:16" x14ac:dyDescent="0.2">
      <c r="D13370">
        <v>100008047</v>
      </c>
      <c r="E13370" s="49">
        <v>45067</v>
      </c>
      <c r="F13370" t="s">
        <v>8446</v>
      </c>
      <c r="G13370" t="s">
        <v>1823</v>
      </c>
      <c r="H13370">
        <v>4</v>
      </c>
      <c r="I13370">
        <v>41.78</v>
      </c>
      <c r="J13370" s="50">
        <v>167.12</v>
      </c>
      <c r="K13370" t="s">
        <v>1632</v>
      </c>
      <c r="M13370" t="s">
        <v>1629</v>
      </c>
      <c r="N13370">
        <v>22.05</v>
      </c>
      <c r="O13370" s="49">
        <v>45071</v>
      </c>
      <c r="P13370" s="50">
        <v>75.204000000000008</v>
      </c>
    </row>
    <row r="13371" spans="4:16" x14ac:dyDescent="0.2">
      <c r="D13371">
        <v>100008047</v>
      </c>
      <c r="E13371" s="49">
        <v>44270</v>
      </c>
      <c r="F13371" t="s">
        <v>8446</v>
      </c>
      <c r="G13371" t="s">
        <v>2344</v>
      </c>
      <c r="H13371">
        <v>2</v>
      </c>
      <c r="I13371">
        <v>75.02</v>
      </c>
      <c r="J13371" s="50">
        <v>150.04</v>
      </c>
      <c r="K13371" t="s">
        <v>1632</v>
      </c>
      <c r="M13371" t="s">
        <v>1624</v>
      </c>
      <c r="N13371">
        <v>39.590000000000003</v>
      </c>
      <c r="O13371" s="49">
        <v>44271</v>
      </c>
      <c r="P13371" s="50">
        <v>67.518000000000001</v>
      </c>
    </row>
    <row r="13372" spans="4:16" x14ac:dyDescent="0.2">
      <c r="D13372">
        <v>100008049</v>
      </c>
      <c r="E13372" s="49">
        <v>44842</v>
      </c>
      <c r="F13372" t="s">
        <v>8447</v>
      </c>
      <c r="G13372" t="s">
        <v>1701</v>
      </c>
      <c r="H13372">
        <v>1</v>
      </c>
      <c r="I13372">
        <v>42.55</v>
      </c>
      <c r="J13372" s="50">
        <v>42.55</v>
      </c>
      <c r="K13372" t="s">
        <v>1618</v>
      </c>
      <c r="L13372" t="s">
        <v>2310</v>
      </c>
      <c r="M13372" t="s">
        <v>1621</v>
      </c>
      <c r="N13372">
        <v>22.46</v>
      </c>
      <c r="O13372" s="49">
        <v>44843</v>
      </c>
      <c r="P13372" s="50">
        <v>19.147500000000001</v>
      </c>
    </row>
    <row r="13373" spans="4:16" x14ac:dyDescent="0.2">
      <c r="D13373">
        <v>100008049</v>
      </c>
      <c r="E13373" s="49">
        <v>44294</v>
      </c>
      <c r="F13373" t="s">
        <v>8447</v>
      </c>
      <c r="G13373" t="s">
        <v>1762</v>
      </c>
      <c r="H13373">
        <v>5</v>
      </c>
      <c r="I13373">
        <v>55.95</v>
      </c>
      <c r="J13373" s="50">
        <v>279.75</v>
      </c>
      <c r="K13373" t="s">
        <v>1618</v>
      </c>
      <c r="L13373" t="s">
        <v>2310</v>
      </c>
      <c r="M13373" t="s">
        <v>1621</v>
      </c>
      <c r="N13373">
        <v>29.53</v>
      </c>
      <c r="O13373" s="49">
        <v>44297</v>
      </c>
      <c r="P13373" s="50">
        <v>125.8875</v>
      </c>
    </row>
    <row r="13374" spans="4:16" x14ac:dyDescent="0.2">
      <c r="D13374">
        <v>100008049</v>
      </c>
      <c r="E13374" s="49">
        <v>45376</v>
      </c>
      <c r="F13374" t="s">
        <v>8447</v>
      </c>
      <c r="G13374" t="s">
        <v>1932</v>
      </c>
      <c r="H13374">
        <v>6</v>
      </c>
      <c r="I13374">
        <v>58.62</v>
      </c>
      <c r="J13374" s="50">
        <v>351.72</v>
      </c>
      <c r="K13374" t="s">
        <v>1618</v>
      </c>
      <c r="L13374" t="s">
        <v>2310</v>
      </c>
      <c r="M13374" t="s">
        <v>1619</v>
      </c>
      <c r="N13374">
        <v>30.94</v>
      </c>
      <c r="O13374" s="49">
        <v>45380</v>
      </c>
      <c r="P13374" s="50">
        <v>158.27400000000003</v>
      </c>
    </row>
    <row r="13375" spans="4:16" x14ac:dyDescent="0.2">
      <c r="D13375">
        <v>100008050</v>
      </c>
      <c r="E13375" s="49">
        <v>45288</v>
      </c>
      <c r="F13375" t="s">
        <v>8448</v>
      </c>
      <c r="G13375" t="s">
        <v>2048</v>
      </c>
      <c r="H13375">
        <v>6</v>
      </c>
      <c r="I13375">
        <v>17.54</v>
      </c>
      <c r="J13375" s="50">
        <v>105.24</v>
      </c>
      <c r="K13375" t="s">
        <v>1618</v>
      </c>
      <c r="L13375" t="s">
        <v>8282</v>
      </c>
      <c r="M13375" t="s">
        <v>1619</v>
      </c>
      <c r="N13375">
        <v>9.26</v>
      </c>
      <c r="O13375" s="49">
        <v>45289</v>
      </c>
      <c r="P13375" s="50">
        <v>47.357999999999997</v>
      </c>
    </row>
    <row r="13376" spans="4:16" x14ac:dyDescent="0.2">
      <c r="D13376">
        <v>100008050</v>
      </c>
      <c r="E13376" s="49">
        <v>44965</v>
      </c>
      <c r="F13376" t="s">
        <v>8448</v>
      </c>
      <c r="G13376" t="s">
        <v>2707</v>
      </c>
      <c r="H13376">
        <v>7</v>
      </c>
      <c r="I13376">
        <v>47.57</v>
      </c>
      <c r="J13376" s="50">
        <v>332.99</v>
      </c>
      <c r="K13376" t="s">
        <v>1618</v>
      </c>
      <c r="L13376" t="s">
        <v>8282</v>
      </c>
      <c r="M13376" t="s">
        <v>1621</v>
      </c>
      <c r="N13376">
        <v>25.11</v>
      </c>
      <c r="O13376" s="49">
        <v>44966</v>
      </c>
      <c r="P13376" s="50">
        <v>149.84550000000002</v>
      </c>
    </row>
    <row r="13377" spans="4:16" x14ac:dyDescent="0.2">
      <c r="D13377">
        <v>100008051</v>
      </c>
      <c r="E13377" s="49">
        <v>44268</v>
      </c>
      <c r="F13377" t="s">
        <v>8449</v>
      </c>
      <c r="G13377" t="s">
        <v>1641</v>
      </c>
      <c r="H13377">
        <v>10</v>
      </c>
      <c r="I13377">
        <v>32.74</v>
      </c>
      <c r="J13377" s="50">
        <v>327.39999999999998</v>
      </c>
      <c r="K13377" t="s">
        <v>1618</v>
      </c>
      <c r="M13377" t="s">
        <v>1619</v>
      </c>
      <c r="N13377">
        <v>17.28</v>
      </c>
      <c r="O13377" s="49">
        <v>44272</v>
      </c>
      <c r="P13377" s="50">
        <v>147.32999999999998</v>
      </c>
    </row>
    <row r="13378" spans="4:16" x14ac:dyDescent="0.2">
      <c r="D13378">
        <v>100008051</v>
      </c>
      <c r="E13378" s="49">
        <v>45253</v>
      </c>
      <c r="F13378" t="s">
        <v>8449</v>
      </c>
      <c r="G13378" t="s">
        <v>1704</v>
      </c>
      <c r="H13378">
        <v>10</v>
      </c>
      <c r="I13378">
        <v>48.55</v>
      </c>
      <c r="J13378" s="50">
        <v>485.5</v>
      </c>
      <c r="K13378" t="s">
        <v>1618</v>
      </c>
      <c r="M13378" t="s">
        <v>1621</v>
      </c>
      <c r="N13378">
        <v>25.62</v>
      </c>
      <c r="O13378" s="49">
        <v>45254</v>
      </c>
      <c r="P13378" s="50">
        <v>218.47499999999999</v>
      </c>
    </row>
    <row r="13379" spans="4:16" x14ac:dyDescent="0.2">
      <c r="D13379">
        <v>100008051</v>
      </c>
      <c r="E13379" s="49">
        <v>45309</v>
      </c>
      <c r="F13379" t="s">
        <v>8449</v>
      </c>
      <c r="G13379" t="s">
        <v>1709</v>
      </c>
      <c r="H13379">
        <v>1</v>
      </c>
      <c r="I13379">
        <v>73.8</v>
      </c>
      <c r="J13379" s="50">
        <v>73.8</v>
      </c>
      <c r="K13379" t="s">
        <v>1618</v>
      </c>
      <c r="M13379" t="s">
        <v>1621</v>
      </c>
      <c r="N13379">
        <v>38.950000000000003</v>
      </c>
      <c r="O13379" s="49">
        <v>45311</v>
      </c>
      <c r="P13379" s="50">
        <v>33.21</v>
      </c>
    </row>
    <row r="13380" spans="4:16" x14ac:dyDescent="0.2">
      <c r="D13380">
        <v>100008051</v>
      </c>
      <c r="E13380" s="49">
        <v>44471</v>
      </c>
      <c r="F13380" t="s">
        <v>8449</v>
      </c>
      <c r="G13380" t="s">
        <v>1718</v>
      </c>
      <c r="H13380">
        <v>7</v>
      </c>
      <c r="I13380">
        <v>14.02</v>
      </c>
      <c r="J13380" s="50">
        <v>98.14</v>
      </c>
      <c r="K13380" t="s">
        <v>1618</v>
      </c>
      <c r="M13380" t="s">
        <v>1627</v>
      </c>
      <c r="N13380">
        <v>7.4</v>
      </c>
      <c r="O13380" s="49">
        <v>44476</v>
      </c>
      <c r="P13380" s="50">
        <v>44.163000000000004</v>
      </c>
    </row>
    <row r="13381" spans="4:16" x14ac:dyDescent="0.2">
      <c r="D13381">
        <v>100008051</v>
      </c>
      <c r="E13381" s="49">
        <v>44991</v>
      </c>
      <c r="F13381" t="s">
        <v>8449</v>
      </c>
      <c r="G13381" t="s">
        <v>1825</v>
      </c>
      <c r="H13381">
        <v>9</v>
      </c>
      <c r="I13381">
        <v>50.78</v>
      </c>
      <c r="J13381" s="50">
        <v>457.02</v>
      </c>
      <c r="K13381" t="s">
        <v>1618</v>
      </c>
      <c r="M13381" t="s">
        <v>1627</v>
      </c>
      <c r="N13381">
        <v>26.8</v>
      </c>
      <c r="O13381" s="49">
        <v>44995</v>
      </c>
      <c r="P13381" s="50">
        <v>205.65899999999999</v>
      </c>
    </row>
    <row r="13382" spans="4:16" x14ac:dyDescent="0.2">
      <c r="D13382">
        <v>100008051</v>
      </c>
      <c r="E13382" s="49">
        <v>44937</v>
      </c>
      <c r="F13382" t="s">
        <v>8449</v>
      </c>
      <c r="G13382" t="s">
        <v>1971</v>
      </c>
      <c r="H13382">
        <v>9</v>
      </c>
      <c r="I13382">
        <v>108.08</v>
      </c>
      <c r="J13382" s="50">
        <v>972.72</v>
      </c>
      <c r="K13382" t="s">
        <v>1618</v>
      </c>
      <c r="M13382" t="s">
        <v>1627</v>
      </c>
      <c r="N13382">
        <v>57.04</v>
      </c>
      <c r="O13382" s="49">
        <v>44940</v>
      </c>
      <c r="P13382" s="50">
        <v>437.72400000000005</v>
      </c>
    </row>
    <row r="13383" spans="4:16" x14ac:dyDescent="0.2">
      <c r="D13383">
        <v>100008052</v>
      </c>
      <c r="E13383" s="49">
        <v>44702</v>
      </c>
      <c r="F13383" t="s">
        <v>6253</v>
      </c>
      <c r="G13383" t="s">
        <v>2357</v>
      </c>
      <c r="H13383">
        <v>7</v>
      </c>
      <c r="I13383">
        <v>93</v>
      </c>
      <c r="J13383" s="50">
        <v>651</v>
      </c>
      <c r="K13383" t="s">
        <v>1618</v>
      </c>
      <c r="M13383" t="s">
        <v>1627</v>
      </c>
      <c r="N13383">
        <v>49.08</v>
      </c>
      <c r="O13383" s="49">
        <v>44705</v>
      </c>
      <c r="P13383" s="50">
        <v>292.95</v>
      </c>
    </row>
    <row r="13384" spans="4:16" x14ac:dyDescent="0.2">
      <c r="D13384">
        <v>100008052</v>
      </c>
      <c r="E13384" s="49">
        <v>45462</v>
      </c>
      <c r="F13384" t="s">
        <v>6253</v>
      </c>
      <c r="G13384" t="s">
        <v>1987</v>
      </c>
      <c r="H13384">
        <v>3</v>
      </c>
      <c r="I13384">
        <v>106.84</v>
      </c>
      <c r="J13384" s="50">
        <v>320.52</v>
      </c>
      <c r="K13384" t="s">
        <v>1618</v>
      </c>
      <c r="M13384" t="s">
        <v>1624</v>
      </c>
      <c r="N13384">
        <v>56.39</v>
      </c>
      <c r="O13384" s="49">
        <v>45463</v>
      </c>
      <c r="P13384" s="50">
        <v>144.23400000000001</v>
      </c>
    </row>
    <row r="13385" spans="4:16" x14ac:dyDescent="0.2">
      <c r="D13385">
        <v>100008053</v>
      </c>
      <c r="E13385" s="49">
        <v>45466</v>
      </c>
      <c r="F13385" t="s">
        <v>8450</v>
      </c>
      <c r="G13385" t="s">
        <v>2098</v>
      </c>
      <c r="H13385">
        <v>2</v>
      </c>
      <c r="I13385">
        <v>109.78</v>
      </c>
      <c r="J13385" s="50">
        <v>219.56</v>
      </c>
      <c r="K13385" t="s">
        <v>1618</v>
      </c>
      <c r="M13385" t="s">
        <v>1619</v>
      </c>
      <c r="N13385">
        <v>57.94</v>
      </c>
      <c r="O13385" s="49">
        <v>45470</v>
      </c>
      <c r="P13385" s="50">
        <v>98.802000000000007</v>
      </c>
    </row>
    <row r="13386" spans="4:16" x14ac:dyDescent="0.2">
      <c r="D13386">
        <v>100008055</v>
      </c>
      <c r="E13386" s="49">
        <v>44599</v>
      </c>
      <c r="F13386" t="s">
        <v>8451</v>
      </c>
      <c r="G13386" t="s">
        <v>2416</v>
      </c>
      <c r="H13386">
        <v>9</v>
      </c>
      <c r="I13386">
        <v>94.21</v>
      </c>
      <c r="J13386" s="50">
        <v>847.89</v>
      </c>
      <c r="K13386" t="s">
        <v>1632</v>
      </c>
      <c r="M13386" t="s">
        <v>1627</v>
      </c>
      <c r="N13386">
        <v>49.72</v>
      </c>
      <c r="O13386" s="49">
        <v>44603</v>
      </c>
      <c r="P13386" s="50">
        <v>381.5505</v>
      </c>
    </row>
    <row r="13387" spans="4:16" x14ac:dyDescent="0.2">
      <c r="D13387">
        <v>100008056</v>
      </c>
      <c r="E13387" s="49">
        <v>45019</v>
      </c>
      <c r="F13387" t="s">
        <v>7215</v>
      </c>
      <c r="G13387" t="s">
        <v>2180</v>
      </c>
      <c r="H13387">
        <v>8</v>
      </c>
      <c r="I13387">
        <v>38.520000000000003</v>
      </c>
      <c r="J13387" s="50">
        <v>308.16000000000003</v>
      </c>
      <c r="K13387" t="s">
        <v>1632</v>
      </c>
      <c r="L13387" t="s">
        <v>2320</v>
      </c>
      <c r="M13387" t="s">
        <v>1621</v>
      </c>
      <c r="N13387">
        <v>20.329999999999998</v>
      </c>
      <c r="O13387" s="49">
        <v>45024</v>
      </c>
      <c r="P13387" s="50">
        <v>138.67200000000003</v>
      </c>
    </row>
    <row r="13388" spans="4:16" x14ac:dyDescent="0.2">
      <c r="D13388">
        <v>100008057</v>
      </c>
      <c r="E13388" s="49">
        <v>44199</v>
      </c>
      <c r="F13388" t="s">
        <v>8452</v>
      </c>
      <c r="G13388" t="s">
        <v>1666</v>
      </c>
      <c r="H13388">
        <v>5</v>
      </c>
      <c r="I13388">
        <v>36.06</v>
      </c>
      <c r="J13388" s="50">
        <v>180.3</v>
      </c>
      <c r="K13388" t="s">
        <v>1618</v>
      </c>
      <c r="M13388" t="s">
        <v>1627</v>
      </c>
      <c r="N13388">
        <v>19.03</v>
      </c>
      <c r="O13388" s="49">
        <v>44203</v>
      </c>
      <c r="P13388" s="50">
        <v>81.135000000000005</v>
      </c>
    </row>
    <row r="13389" spans="4:16" x14ac:dyDescent="0.2">
      <c r="D13389">
        <v>100008057</v>
      </c>
      <c r="E13389" s="49">
        <v>44896</v>
      </c>
      <c r="F13389" t="s">
        <v>8452</v>
      </c>
      <c r="G13389" t="s">
        <v>1789</v>
      </c>
      <c r="H13389">
        <v>10</v>
      </c>
      <c r="I13389">
        <v>34.130000000000003</v>
      </c>
      <c r="J13389" s="50">
        <v>341.3</v>
      </c>
      <c r="K13389" t="s">
        <v>1618</v>
      </c>
      <c r="M13389" t="s">
        <v>1629</v>
      </c>
      <c r="N13389">
        <v>18.010000000000002</v>
      </c>
      <c r="O13389" s="49">
        <v>44897</v>
      </c>
      <c r="P13389" s="50">
        <v>153.58500000000001</v>
      </c>
    </row>
    <row r="13390" spans="4:16" x14ac:dyDescent="0.2">
      <c r="D13390">
        <v>100008057</v>
      </c>
      <c r="E13390" s="49">
        <v>44418</v>
      </c>
      <c r="F13390" t="s">
        <v>8452</v>
      </c>
      <c r="G13390" t="s">
        <v>2431</v>
      </c>
      <c r="H13390">
        <v>3</v>
      </c>
      <c r="I13390">
        <v>44.47</v>
      </c>
      <c r="J13390" s="50">
        <v>133.41</v>
      </c>
      <c r="K13390" t="s">
        <v>1618</v>
      </c>
      <c r="M13390" t="s">
        <v>1621</v>
      </c>
      <c r="N13390">
        <v>23.47</v>
      </c>
      <c r="O13390" s="49">
        <v>44420</v>
      </c>
      <c r="P13390" s="50">
        <v>60.034500000000001</v>
      </c>
    </row>
    <row r="13391" spans="4:16" x14ac:dyDescent="0.2">
      <c r="D13391">
        <v>100008058</v>
      </c>
      <c r="E13391" s="49">
        <v>45517</v>
      </c>
      <c r="F13391" t="s">
        <v>8453</v>
      </c>
      <c r="G13391" t="s">
        <v>1752</v>
      </c>
      <c r="H13391">
        <v>7</v>
      </c>
      <c r="I13391">
        <v>84.77</v>
      </c>
      <c r="J13391" s="50">
        <v>593.39</v>
      </c>
      <c r="K13391" t="s">
        <v>1632</v>
      </c>
      <c r="L13391" t="s">
        <v>2276</v>
      </c>
      <c r="M13391" t="s">
        <v>1621</v>
      </c>
      <c r="N13391">
        <v>44.74</v>
      </c>
      <c r="O13391" s="49">
        <v>45518</v>
      </c>
      <c r="P13391" s="50">
        <v>267.02550000000002</v>
      </c>
    </row>
    <row r="13392" spans="4:16" x14ac:dyDescent="0.2">
      <c r="D13392">
        <v>100008058</v>
      </c>
      <c r="E13392" s="49">
        <v>44325</v>
      </c>
      <c r="F13392" t="s">
        <v>8453</v>
      </c>
      <c r="G13392" t="s">
        <v>1693</v>
      </c>
      <c r="H13392">
        <v>2</v>
      </c>
      <c r="I13392">
        <v>34.909999999999997</v>
      </c>
      <c r="J13392" s="50">
        <v>69.819999999999993</v>
      </c>
      <c r="K13392" t="s">
        <v>1632</v>
      </c>
      <c r="L13392" t="s">
        <v>2276</v>
      </c>
      <c r="M13392" t="s">
        <v>1629</v>
      </c>
      <c r="N13392">
        <v>18.420000000000002</v>
      </c>
      <c r="O13392" s="49">
        <v>44329</v>
      </c>
      <c r="P13392" s="50">
        <v>31.418999999999997</v>
      </c>
    </row>
    <row r="13393" spans="4:16" x14ac:dyDescent="0.2">
      <c r="D13393">
        <v>100008059</v>
      </c>
      <c r="E13393" s="49">
        <v>45096</v>
      </c>
      <c r="F13393" t="s">
        <v>8454</v>
      </c>
      <c r="G13393" t="s">
        <v>1797</v>
      </c>
      <c r="H13393">
        <v>6</v>
      </c>
      <c r="I13393">
        <v>33.86</v>
      </c>
      <c r="J13393" s="50">
        <v>203.16</v>
      </c>
      <c r="K13393" t="s">
        <v>1618</v>
      </c>
      <c r="L13393" t="s">
        <v>5429</v>
      </c>
      <c r="M13393" t="s">
        <v>1629</v>
      </c>
      <c r="N13393">
        <v>17.87</v>
      </c>
      <c r="O13393" s="49">
        <v>45097</v>
      </c>
      <c r="P13393" s="50">
        <v>91.421999999999997</v>
      </c>
    </row>
    <row r="13394" spans="4:16" x14ac:dyDescent="0.2">
      <c r="D13394">
        <v>100008061</v>
      </c>
      <c r="E13394" s="49">
        <v>44524</v>
      </c>
      <c r="F13394" t="s">
        <v>8455</v>
      </c>
      <c r="G13394" t="s">
        <v>2581</v>
      </c>
      <c r="H13394">
        <v>3</v>
      </c>
      <c r="I13394">
        <v>38.03</v>
      </c>
      <c r="J13394" s="50">
        <v>114.09</v>
      </c>
      <c r="K13394" t="s">
        <v>1618</v>
      </c>
      <c r="M13394" t="s">
        <v>1621</v>
      </c>
      <c r="N13394">
        <v>20.07</v>
      </c>
      <c r="O13394" s="49">
        <v>44529</v>
      </c>
      <c r="P13394" s="50">
        <v>51.340500000000006</v>
      </c>
    </row>
    <row r="13395" spans="4:16" x14ac:dyDescent="0.2">
      <c r="D13395">
        <v>100008061</v>
      </c>
      <c r="E13395" s="49">
        <v>44258</v>
      </c>
      <c r="F13395" t="s">
        <v>8455</v>
      </c>
      <c r="G13395" t="s">
        <v>2412</v>
      </c>
      <c r="H13395">
        <v>6</v>
      </c>
      <c r="I13395">
        <v>60.2</v>
      </c>
      <c r="J13395" s="50">
        <v>361.2</v>
      </c>
      <c r="K13395" t="s">
        <v>1618</v>
      </c>
      <c r="M13395" t="s">
        <v>1629</v>
      </c>
      <c r="N13395">
        <v>31.77</v>
      </c>
      <c r="O13395" s="49">
        <v>44260</v>
      </c>
      <c r="P13395" s="50">
        <v>162.54</v>
      </c>
    </row>
    <row r="13396" spans="4:16" x14ac:dyDescent="0.2">
      <c r="D13396">
        <v>100008061</v>
      </c>
      <c r="E13396" s="49">
        <v>44318</v>
      </c>
      <c r="F13396" t="s">
        <v>8455</v>
      </c>
      <c r="G13396" t="s">
        <v>2192</v>
      </c>
      <c r="H13396">
        <v>4</v>
      </c>
      <c r="I13396">
        <v>82.31</v>
      </c>
      <c r="J13396" s="50">
        <v>329.24</v>
      </c>
      <c r="K13396" t="s">
        <v>1618</v>
      </c>
      <c r="M13396" t="s">
        <v>1627</v>
      </c>
      <c r="N13396">
        <v>43.44</v>
      </c>
      <c r="O13396" s="49">
        <v>44320</v>
      </c>
      <c r="P13396" s="50">
        <v>148.15800000000002</v>
      </c>
    </row>
    <row r="13397" spans="4:16" x14ac:dyDescent="0.2">
      <c r="D13397">
        <v>100008062</v>
      </c>
      <c r="E13397" s="49">
        <v>44719</v>
      </c>
      <c r="F13397" t="s">
        <v>8456</v>
      </c>
      <c r="G13397" t="s">
        <v>1641</v>
      </c>
      <c r="H13397">
        <v>10</v>
      </c>
      <c r="I13397">
        <v>32.6</v>
      </c>
      <c r="J13397" s="50">
        <v>326</v>
      </c>
      <c r="K13397" t="s">
        <v>1632</v>
      </c>
      <c r="M13397" t="s">
        <v>1619</v>
      </c>
      <c r="N13397">
        <v>17.21</v>
      </c>
      <c r="O13397" s="49">
        <v>44723</v>
      </c>
      <c r="P13397" s="50">
        <v>146.70000000000002</v>
      </c>
    </row>
    <row r="13398" spans="4:16" x14ac:dyDescent="0.2">
      <c r="D13398">
        <v>100008064</v>
      </c>
      <c r="E13398" s="49">
        <v>44496</v>
      </c>
      <c r="F13398" t="s">
        <v>8457</v>
      </c>
      <c r="G13398" t="s">
        <v>2460</v>
      </c>
      <c r="H13398">
        <v>6</v>
      </c>
      <c r="I13398">
        <v>98.14</v>
      </c>
      <c r="J13398" s="50">
        <v>588.84</v>
      </c>
      <c r="K13398" t="s">
        <v>1618</v>
      </c>
      <c r="L13398" t="s">
        <v>8458</v>
      </c>
      <c r="M13398" t="s">
        <v>1624</v>
      </c>
      <c r="N13398">
        <v>51.8</v>
      </c>
      <c r="O13398" s="49">
        <v>44501</v>
      </c>
      <c r="P13398" s="50">
        <v>264.97800000000001</v>
      </c>
    </row>
    <row r="13399" spans="4:16" x14ac:dyDescent="0.2">
      <c r="D13399">
        <v>100008066</v>
      </c>
      <c r="E13399" s="49">
        <v>44269</v>
      </c>
      <c r="F13399" t="s">
        <v>8459</v>
      </c>
      <c r="G13399" t="s">
        <v>1719</v>
      </c>
      <c r="H13399">
        <v>8</v>
      </c>
      <c r="I13399">
        <v>51.18</v>
      </c>
      <c r="J13399" s="50">
        <v>409.44</v>
      </c>
      <c r="K13399" t="s">
        <v>1618</v>
      </c>
      <c r="L13399" t="s">
        <v>8460</v>
      </c>
      <c r="M13399" t="s">
        <v>1621</v>
      </c>
      <c r="N13399">
        <v>27.01</v>
      </c>
      <c r="O13399" s="49">
        <v>44270</v>
      </c>
      <c r="P13399" s="50">
        <v>184.24799999999999</v>
      </c>
    </row>
    <row r="13400" spans="4:16" x14ac:dyDescent="0.2">
      <c r="D13400">
        <v>100008066</v>
      </c>
      <c r="E13400" s="49">
        <v>44499</v>
      </c>
      <c r="F13400" t="s">
        <v>8459</v>
      </c>
      <c r="G13400" t="s">
        <v>1652</v>
      </c>
      <c r="H13400">
        <v>4</v>
      </c>
      <c r="I13400">
        <v>106.67</v>
      </c>
      <c r="J13400" s="50">
        <v>426.68</v>
      </c>
      <c r="K13400" t="s">
        <v>1618</v>
      </c>
      <c r="L13400" t="s">
        <v>8460</v>
      </c>
      <c r="M13400" t="s">
        <v>1621</v>
      </c>
      <c r="N13400">
        <v>56.3</v>
      </c>
      <c r="O13400" s="49">
        <v>44501</v>
      </c>
      <c r="P13400" s="50">
        <v>192.006</v>
      </c>
    </row>
    <row r="13401" spans="4:16" x14ac:dyDescent="0.2">
      <c r="D13401">
        <v>100008066</v>
      </c>
      <c r="E13401" s="49">
        <v>44407</v>
      </c>
      <c r="F13401" t="s">
        <v>8459</v>
      </c>
      <c r="G13401" t="s">
        <v>2041</v>
      </c>
      <c r="H13401">
        <v>6</v>
      </c>
      <c r="I13401">
        <v>39.01</v>
      </c>
      <c r="J13401" s="50">
        <v>234.06</v>
      </c>
      <c r="K13401" t="s">
        <v>1618</v>
      </c>
      <c r="L13401" t="s">
        <v>8460</v>
      </c>
      <c r="M13401" t="s">
        <v>1621</v>
      </c>
      <c r="N13401">
        <v>20.59</v>
      </c>
      <c r="O13401" s="49">
        <v>44408</v>
      </c>
      <c r="P13401" s="50">
        <v>105.327</v>
      </c>
    </row>
    <row r="13402" spans="4:16" x14ac:dyDescent="0.2">
      <c r="D13402">
        <v>100008066</v>
      </c>
      <c r="E13402" s="49">
        <v>44754</v>
      </c>
      <c r="F13402" t="s">
        <v>8459</v>
      </c>
      <c r="G13402" t="s">
        <v>1748</v>
      </c>
      <c r="H13402">
        <v>4</v>
      </c>
      <c r="I13402">
        <v>30.49</v>
      </c>
      <c r="J13402" s="50">
        <v>121.96</v>
      </c>
      <c r="K13402" t="s">
        <v>1618</v>
      </c>
      <c r="L13402" t="s">
        <v>8460</v>
      </c>
      <c r="M13402" t="s">
        <v>1624</v>
      </c>
      <c r="N13402">
        <v>16.09</v>
      </c>
      <c r="O13402" s="49">
        <v>44759</v>
      </c>
      <c r="P13402" s="50">
        <v>54.881999999999998</v>
      </c>
    </row>
    <row r="13403" spans="4:16" x14ac:dyDescent="0.2">
      <c r="D13403">
        <v>100008066</v>
      </c>
      <c r="E13403" s="49">
        <v>45322</v>
      </c>
      <c r="F13403" t="s">
        <v>8459</v>
      </c>
      <c r="G13403" t="s">
        <v>1670</v>
      </c>
      <c r="H13403">
        <v>1</v>
      </c>
      <c r="I13403">
        <v>114.56</v>
      </c>
      <c r="J13403" s="50">
        <v>114.56</v>
      </c>
      <c r="K13403" t="s">
        <v>1618</v>
      </c>
      <c r="L13403" t="s">
        <v>8460</v>
      </c>
      <c r="M13403" t="s">
        <v>1627</v>
      </c>
      <c r="N13403">
        <v>60.46</v>
      </c>
      <c r="O13403" s="49">
        <v>45325</v>
      </c>
      <c r="P13403" s="50">
        <v>51.552</v>
      </c>
    </row>
    <row r="13404" spans="4:16" x14ac:dyDescent="0.2">
      <c r="D13404">
        <v>100008067</v>
      </c>
      <c r="E13404" s="49">
        <v>44812</v>
      </c>
      <c r="F13404" t="s">
        <v>8461</v>
      </c>
      <c r="G13404" t="s">
        <v>2337</v>
      </c>
      <c r="H13404">
        <v>2</v>
      </c>
      <c r="I13404">
        <v>88.5</v>
      </c>
      <c r="J13404" s="50">
        <v>177</v>
      </c>
      <c r="K13404" t="s">
        <v>1632</v>
      </c>
      <c r="L13404" t="s">
        <v>8462</v>
      </c>
      <c r="M13404" t="s">
        <v>1629</v>
      </c>
      <c r="N13404">
        <v>46.71</v>
      </c>
      <c r="O13404" s="49">
        <v>44816</v>
      </c>
      <c r="P13404" s="50">
        <v>79.650000000000006</v>
      </c>
    </row>
    <row r="13405" spans="4:16" x14ac:dyDescent="0.2">
      <c r="D13405">
        <v>100008068</v>
      </c>
      <c r="E13405" s="49">
        <v>45098</v>
      </c>
      <c r="F13405" t="s">
        <v>8463</v>
      </c>
      <c r="G13405" t="s">
        <v>2182</v>
      </c>
      <c r="H13405">
        <v>10</v>
      </c>
      <c r="I13405">
        <v>111.64</v>
      </c>
      <c r="J13405" s="50">
        <v>1116.4000000000001</v>
      </c>
      <c r="K13405" t="s">
        <v>1632</v>
      </c>
      <c r="L13405" t="s">
        <v>5407</v>
      </c>
      <c r="M13405" t="s">
        <v>1627</v>
      </c>
      <c r="N13405">
        <v>58.92</v>
      </c>
      <c r="O13405" s="49">
        <v>45102</v>
      </c>
      <c r="P13405" s="50">
        <v>502.38000000000005</v>
      </c>
    </row>
    <row r="13406" spans="4:16" x14ac:dyDescent="0.2">
      <c r="D13406">
        <v>100008072</v>
      </c>
      <c r="E13406" s="49">
        <v>44990</v>
      </c>
      <c r="F13406" t="s">
        <v>8464</v>
      </c>
      <c r="G13406" t="s">
        <v>1693</v>
      </c>
      <c r="H13406">
        <v>8</v>
      </c>
      <c r="I13406">
        <v>48.45</v>
      </c>
      <c r="J13406" s="50">
        <v>387.6</v>
      </c>
      <c r="K13406" t="s">
        <v>1618</v>
      </c>
      <c r="M13406" t="s">
        <v>1629</v>
      </c>
      <c r="N13406">
        <v>25.57</v>
      </c>
      <c r="O13406" s="49">
        <v>44995</v>
      </c>
      <c r="P13406" s="50">
        <v>174.42000000000002</v>
      </c>
    </row>
    <row r="13407" spans="4:16" x14ac:dyDescent="0.2">
      <c r="D13407">
        <v>100008072</v>
      </c>
      <c r="E13407" s="49">
        <v>44629</v>
      </c>
      <c r="F13407" t="s">
        <v>8464</v>
      </c>
      <c r="G13407" t="s">
        <v>2553</v>
      </c>
      <c r="H13407">
        <v>3</v>
      </c>
      <c r="I13407">
        <v>81.06</v>
      </c>
      <c r="J13407" s="50">
        <v>243.18</v>
      </c>
      <c r="K13407" t="s">
        <v>1618</v>
      </c>
      <c r="M13407" t="s">
        <v>1621</v>
      </c>
      <c r="N13407">
        <v>42.78</v>
      </c>
      <c r="O13407" s="49">
        <v>44631</v>
      </c>
      <c r="P13407" s="50">
        <v>109.43100000000001</v>
      </c>
    </row>
    <row r="13408" spans="4:16" x14ac:dyDescent="0.2">
      <c r="D13408">
        <v>100008073</v>
      </c>
      <c r="E13408" s="49">
        <v>44761</v>
      </c>
      <c r="F13408" t="s">
        <v>8465</v>
      </c>
      <c r="G13408" t="s">
        <v>2121</v>
      </c>
      <c r="H13408">
        <v>4</v>
      </c>
      <c r="I13408">
        <v>40.33</v>
      </c>
      <c r="J13408" s="50">
        <v>161.32</v>
      </c>
      <c r="K13408" t="s">
        <v>1618</v>
      </c>
      <c r="M13408" t="s">
        <v>1629</v>
      </c>
      <c r="N13408">
        <v>21.29</v>
      </c>
      <c r="O13408" s="49">
        <v>44765</v>
      </c>
      <c r="P13408" s="50">
        <v>72.593999999999994</v>
      </c>
    </row>
    <row r="13409" spans="4:16" x14ac:dyDescent="0.2">
      <c r="D13409">
        <v>100008074</v>
      </c>
      <c r="E13409" s="49">
        <v>45240</v>
      </c>
      <c r="F13409" t="s">
        <v>8466</v>
      </c>
      <c r="G13409" t="s">
        <v>2074</v>
      </c>
      <c r="H13409">
        <v>5</v>
      </c>
      <c r="I13409">
        <v>34.29</v>
      </c>
      <c r="J13409" s="50">
        <v>171.45</v>
      </c>
      <c r="K13409" t="s">
        <v>1632</v>
      </c>
      <c r="M13409" t="s">
        <v>1627</v>
      </c>
      <c r="N13409">
        <v>18.100000000000001</v>
      </c>
      <c r="O13409" s="49">
        <v>45242</v>
      </c>
      <c r="P13409" s="50">
        <v>77.152500000000003</v>
      </c>
    </row>
    <row r="13410" spans="4:16" x14ac:dyDescent="0.2">
      <c r="D13410">
        <v>100008075</v>
      </c>
      <c r="E13410" s="49">
        <v>45517</v>
      </c>
      <c r="F13410" t="s">
        <v>8467</v>
      </c>
      <c r="G13410" t="s">
        <v>2134</v>
      </c>
      <c r="H13410">
        <v>5</v>
      </c>
      <c r="I13410">
        <v>69.260000000000005</v>
      </c>
      <c r="J13410" s="50">
        <v>346.3</v>
      </c>
      <c r="K13410" t="s">
        <v>1618</v>
      </c>
      <c r="L13410" t="s">
        <v>8468</v>
      </c>
      <c r="M13410" t="s">
        <v>1624</v>
      </c>
      <c r="N13410">
        <v>36.549999999999997</v>
      </c>
      <c r="O13410" s="49">
        <v>45518</v>
      </c>
      <c r="P13410" s="50">
        <v>155.83500000000001</v>
      </c>
    </row>
    <row r="13411" spans="4:16" x14ac:dyDescent="0.2">
      <c r="D13411">
        <v>100008075</v>
      </c>
      <c r="E13411" s="49">
        <v>44330</v>
      </c>
      <c r="F13411" t="s">
        <v>8467</v>
      </c>
      <c r="G13411" t="s">
        <v>2766</v>
      </c>
      <c r="H13411">
        <v>4</v>
      </c>
      <c r="I13411">
        <v>43.73</v>
      </c>
      <c r="J13411" s="50">
        <v>174.92</v>
      </c>
      <c r="K13411" t="s">
        <v>1618</v>
      </c>
      <c r="L13411" t="s">
        <v>8468</v>
      </c>
      <c r="M13411" t="s">
        <v>1627</v>
      </c>
      <c r="N13411">
        <v>23.08</v>
      </c>
      <c r="O13411" s="49">
        <v>44333</v>
      </c>
      <c r="P13411" s="50">
        <v>78.713999999999999</v>
      </c>
    </row>
    <row r="13412" spans="4:16" x14ac:dyDescent="0.2">
      <c r="D13412">
        <v>100008075</v>
      </c>
      <c r="E13412" s="49">
        <v>44456</v>
      </c>
      <c r="F13412" t="s">
        <v>8467</v>
      </c>
      <c r="G13412" t="s">
        <v>1893</v>
      </c>
      <c r="H13412">
        <v>8</v>
      </c>
      <c r="I13412">
        <v>88.06</v>
      </c>
      <c r="J13412" s="50">
        <v>704.48</v>
      </c>
      <c r="K13412" t="s">
        <v>1618</v>
      </c>
      <c r="L13412" t="s">
        <v>8468</v>
      </c>
      <c r="M13412" t="s">
        <v>1624</v>
      </c>
      <c r="N13412">
        <v>46.48</v>
      </c>
      <c r="O13412" s="49">
        <v>44458</v>
      </c>
      <c r="P13412" s="50">
        <v>317.01600000000002</v>
      </c>
    </row>
    <row r="13413" spans="4:16" x14ac:dyDescent="0.2">
      <c r="D13413">
        <v>100008075</v>
      </c>
      <c r="E13413" s="49">
        <v>45455</v>
      </c>
      <c r="F13413" t="s">
        <v>8467</v>
      </c>
      <c r="G13413" t="s">
        <v>1848</v>
      </c>
      <c r="H13413">
        <v>10</v>
      </c>
      <c r="I13413">
        <v>85.53</v>
      </c>
      <c r="J13413" s="50">
        <v>855.3</v>
      </c>
      <c r="K13413" t="s">
        <v>1618</v>
      </c>
      <c r="L13413" t="s">
        <v>8468</v>
      </c>
      <c r="M13413" t="s">
        <v>1629</v>
      </c>
      <c r="N13413">
        <v>45.14</v>
      </c>
      <c r="O13413" s="49">
        <v>45457</v>
      </c>
      <c r="P13413" s="50">
        <v>384.88499999999999</v>
      </c>
    </row>
    <row r="13414" spans="4:16" x14ac:dyDescent="0.2">
      <c r="D13414">
        <v>100008075</v>
      </c>
      <c r="E13414" s="49">
        <v>44291</v>
      </c>
      <c r="F13414" t="s">
        <v>8467</v>
      </c>
      <c r="G13414" t="s">
        <v>2198</v>
      </c>
      <c r="H13414">
        <v>7</v>
      </c>
      <c r="I13414">
        <v>54.11</v>
      </c>
      <c r="J13414" s="50">
        <v>378.77</v>
      </c>
      <c r="K13414" t="s">
        <v>1618</v>
      </c>
      <c r="L13414" t="s">
        <v>8468</v>
      </c>
      <c r="M13414" t="s">
        <v>1627</v>
      </c>
      <c r="N13414">
        <v>28.56</v>
      </c>
      <c r="O13414" s="49">
        <v>44296</v>
      </c>
      <c r="P13414" s="50">
        <v>170.44649999999999</v>
      </c>
    </row>
    <row r="13415" spans="4:16" x14ac:dyDescent="0.2">
      <c r="D13415">
        <v>100008075</v>
      </c>
      <c r="E13415" s="49">
        <v>44410</v>
      </c>
      <c r="F13415" t="s">
        <v>8467</v>
      </c>
      <c r="G13415" t="s">
        <v>2766</v>
      </c>
      <c r="H13415">
        <v>5</v>
      </c>
      <c r="I13415">
        <v>63.89</v>
      </c>
      <c r="J13415" s="50">
        <v>319.45</v>
      </c>
      <c r="K13415" t="s">
        <v>1618</v>
      </c>
      <c r="L13415" t="s">
        <v>8468</v>
      </c>
      <c r="M13415" t="s">
        <v>1621</v>
      </c>
      <c r="N13415">
        <v>33.72</v>
      </c>
      <c r="O13415" s="49">
        <v>44414</v>
      </c>
      <c r="P13415" s="50">
        <v>143.7525</v>
      </c>
    </row>
    <row r="13416" spans="4:16" x14ac:dyDescent="0.2">
      <c r="D13416">
        <v>100008075</v>
      </c>
      <c r="E13416" s="49">
        <v>44754</v>
      </c>
      <c r="F13416" t="s">
        <v>8467</v>
      </c>
      <c r="G13416" t="s">
        <v>1651</v>
      </c>
      <c r="H13416">
        <v>4</v>
      </c>
      <c r="I13416">
        <v>53.47</v>
      </c>
      <c r="J13416" s="50">
        <v>213.88</v>
      </c>
      <c r="K13416" t="s">
        <v>1618</v>
      </c>
      <c r="L13416" t="s">
        <v>8468</v>
      </c>
      <c r="M13416" t="s">
        <v>1624</v>
      </c>
      <c r="N13416">
        <v>28.22</v>
      </c>
      <c r="O13416" s="49">
        <v>44755</v>
      </c>
      <c r="P13416" s="50">
        <v>96.245999999999995</v>
      </c>
    </row>
    <row r="13417" spans="4:16" x14ac:dyDescent="0.2">
      <c r="D13417">
        <v>100008075</v>
      </c>
      <c r="E13417" s="49">
        <v>45265</v>
      </c>
      <c r="F13417" t="s">
        <v>8467</v>
      </c>
      <c r="G13417" t="s">
        <v>2706</v>
      </c>
      <c r="H13417">
        <v>7</v>
      </c>
      <c r="I13417">
        <v>71.900000000000006</v>
      </c>
      <c r="J13417" s="50">
        <v>503.30000000000013</v>
      </c>
      <c r="K13417" t="s">
        <v>1618</v>
      </c>
      <c r="L13417" t="s">
        <v>8468</v>
      </c>
      <c r="M13417" t="s">
        <v>1629</v>
      </c>
      <c r="N13417">
        <v>37.950000000000003</v>
      </c>
      <c r="O13417" s="49">
        <v>45268</v>
      </c>
      <c r="P13417" s="50">
        <v>226.48500000000007</v>
      </c>
    </row>
    <row r="13418" spans="4:16" x14ac:dyDescent="0.2">
      <c r="D13418">
        <v>100008076</v>
      </c>
      <c r="E13418" s="49">
        <v>45134</v>
      </c>
      <c r="F13418" t="s">
        <v>8469</v>
      </c>
      <c r="G13418" t="s">
        <v>1674</v>
      </c>
      <c r="H13418">
        <v>7</v>
      </c>
      <c r="I13418">
        <v>12.18</v>
      </c>
      <c r="J13418" s="50">
        <v>85.259999999999991</v>
      </c>
      <c r="K13418" t="s">
        <v>1632</v>
      </c>
      <c r="M13418" t="s">
        <v>1619</v>
      </c>
      <c r="N13418">
        <v>6.43</v>
      </c>
      <c r="O13418" s="49">
        <v>45139</v>
      </c>
      <c r="P13418" s="50">
        <v>38.366999999999997</v>
      </c>
    </row>
    <row r="13419" spans="4:16" x14ac:dyDescent="0.2">
      <c r="D13419">
        <v>100008078</v>
      </c>
      <c r="E13419" s="49">
        <v>44558</v>
      </c>
      <c r="F13419" t="s">
        <v>6744</v>
      </c>
      <c r="G13419" t="s">
        <v>1808</v>
      </c>
      <c r="H13419">
        <v>6</v>
      </c>
      <c r="I13419">
        <v>40.909999999999997</v>
      </c>
      <c r="J13419" s="50">
        <v>245.46</v>
      </c>
      <c r="K13419" t="s">
        <v>1632</v>
      </c>
      <c r="M13419" t="s">
        <v>1627</v>
      </c>
      <c r="N13419">
        <v>21.59</v>
      </c>
      <c r="O13419" s="49">
        <v>44563</v>
      </c>
      <c r="P13419" s="50">
        <v>110.45700000000001</v>
      </c>
    </row>
    <row r="13420" spans="4:16" x14ac:dyDescent="0.2">
      <c r="D13420">
        <v>100008078</v>
      </c>
      <c r="E13420" s="49">
        <v>45570</v>
      </c>
      <c r="F13420" t="s">
        <v>6744</v>
      </c>
      <c r="G13420" t="s">
        <v>2375</v>
      </c>
      <c r="H13420">
        <v>1</v>
      </c>
      <c r="I13420">
        <v>89.42</v>
      </c>
      <c r="J13420" s="50">
        <v>89.42</v>
      </c>
      <c r="K13420" t="s">
        <v>1632</v>
      </c>
      <c r="M13420" t="s">
        <v>1627</v>
      </c>
      <c r="N13420">
        <v>47.19</v>
      </c>
      <c r="O13420" s="49">
        <v>45573</v>
      </c>
      <c r="P13420" s="50">
        <v>40.239000000000004</v>
      </c>
    </row>
    <row r="13421" spans="4:16" x14ac:dyDescent="0.2">
      <c r="D13421">
        <v>100008079</v>
      </c>
      <c r="E13421" s="49">
        <v>45076</v>
      </c>
      <c r="F13421" t="s">
        <v>4348</v>
      </c>
      <c r="G13421" t="s">
        <v>1705</v>
      </c>
      <c r="H13421">
        <v>1</v>
      </c>
      <c r="I13421">
        <v>68.45</v>
      </c>
      <c r="J13421" s="50">
        <v>68.45</v>
      </c>
      <c r="K13421" t="s">
        <v>1618</v>
      </c>
      <c r="M13421" t="s">
        <v>1621</v>
      </c>
      <c r="N13421">
        <v>36.130000000000003</v>
      </c>
      <c r="O13421" s="49">
        <v>45078</v>
      </c>
      <c r="P13421" s="50">
        <v>30.802500000000002</v>
      </c>
    </row>
    <row r="13422" spans="4:16" x14ac:dyDescent="0.2">
      <c r="D13422">
        <v>100008079</v>
      </c>
      <c r="E13422" s="49">
        <v>44529</v>
      </c>
      <c r="F13422" t="s">
        <v>4348</v>
      </c>
      <c r="G13422" t="s">
        <v>2116</v>
      </c>
      <c r="H13422">
        <v>8</v>
      </c>
      <c r="I13422">
        <v>60.01</v>
      </c>
      <c r="J13422" s="50">
        <v>480.08</v>
      </c>
      <c r="K13422" t="s">
        <v>1618</v>
      </c>
      <c r="M13422" t="s">
        <v>1629</v>
      </c>
      <c r="N13422">
        <v>31.67</v>
      </c>
      <c r="O13422" s="49">
        <v>44532</v>
      </c>
      <c r="P13422" s="50">
        <v>216.036</v>
      </c>
    </row>
    <row r="13423" spans="4:16" x14ac:dyDescent="0.2">
      <c r="D13423">
        <v>100008079</v>
      </c>
      <c r="E13423" s="49">
        <v>45332</v>
      </c>
      <c r="F13423" t="s">
        <v>4348</v>
      </c>
      <c r="G13423" t="s">
        <v>1963</v>
      </c>
      <c r="H13423">
        <v>9</v>
      </c>
      <c r="I13423">
        <v>108.42</v>
      </c>
      <c r="J13423" s="50">
        <v>975.78</v>
      </c>
      <c r="K13423" t="s">
        <v>1618</v>
      </c>
      <c r="M13423" t="s">
        <v>1624</v>
      </c>
      <c r="N13423">
        <v>57.22</v>
      </c>
      <c r="O13423" s="49">
        <v>45334</v>
      </c>
      <c r="P13423" s="50">
        <v>439.101</v>
      </c>
    </row>
    <row r="13424" spans="4:16" x14ac:dyDescent="0.2">
      <c r="D13424">
        <v>100008081</v>
      </c>
      <c r="E13424" s="49">
        <v>44950</v>
      </c>
      <c r="F13424" t="s">
        <v>8470</v>
      </c>
      <c r="G13424" t="s">
        <v>2068</v>
      </c>
      <c r="H13424">
        <v>1</v>
      </c>
      <c r="I13424">
        <v>45.91</v>
      </c>
      <c r="J13424" s="50">
        <v>45.91</v>
      </c>
      <c r="K13424" t="s">
        <v>1632</v>
      </c>
      <c r="L13424" t="s">
        <v>2695</v>
      </c>
      <c r="M13424" t="s">
        <v>1621</v>
      </c>
      <c r="N13424">
        <v>24.23</v>
      </c>
      <c r="O13424" s="49">
        <v>44955</v>
      </c>
      <c r="P13424" s="50">
        <v>20.659499999999998</v>
      </c>
    </row>
    <row r="13425" spans="4:16" x14ac:dyDescent="0.2">
      <c r="D13425">
        <v>100008082</v>
      </c>
      <c r="E13425" s="49">
        <v>45159</v>
      </c>
      <c r="F13425" t="s">
        <v>8471</v>
      </c>
      <c r="G13425" t="s">
        <v>2240</v>
      </c>
      <c r="H13425">
        <v>6</v>
      </c>
      <c r="I13425">
        <v>51.31</v>
      </c>
      <c r="J13425" s="50">
        <v>307.86</v>
      </c>
      <c r="K13425" t="s">
        <v>1618</v>
      </c>
      <c r="L13425" t="s">
        <v>4416</v>
      </c>
      <c r="M13425" t="s">
        <v>1627</v>
      </c>
      <c r="N13425">
        <v>27.08</v>
      </c>
      <c r="O13425" s="49">
        <v>45164</v>
      </c>
      <c r="P13425" s="50">
        <v>138.53700000000001</v>
      </c>
    </row>
    <row r="13426" spans="4:16" x14ac:dyDescent="0.2">
      <c r="D13426">
        <v>100008082</v>
      </c>
      <c r="E13426" s="49">
        <v>44932</v>
      </c>
      <c r="F13426" t="s">
        <v>8471</v>
      </c>
      <c r="G13426" t="s">
        <v>2375</v>
      </c>
      <c r="H13426">
        <v>5</v>
      </c>
      <c r="I13426">
        <v>61.5</v>
      </c>
      <c r="J13426" s="50">
        <v>307.5</v>
      </c>
      <c r="K13426" t="s">
        <v>1618</v>
      </c>
      <c r="L13426" t="s">
        <v>4416</v>
      </c>
      <c r="M13426" t="s">
        <v>1624</v>
      </c>
      <c r="N13426">
        <v>32.46</v>
      </c>
      <c r="O13426" s="49">
        <v>44934</v>
      </c>
      <c r="P13426" s="50">
        <v>138.375</v>
      </c>
    </row>
    <row r="13427" spans="4:16" x14ac:dyDescent="0.2">
      <c r="D13427">
        <v>100008082</v>
      </c>
      <c r="E13427" s="49">
        <v>44776</v>
      </c>
      <c r="F13427" t="s">
        <v>8471</v>
      </c>
      <c r="G13427" t="s">
        <v>2344</v>
      </c>
      <c r="H13427">
        <v>7</v>
      </c>
      <c r="I13427">
        <v>26.63</v>
      </c>
      <c r="J13427" s="50">
        <v>186.41</v>
      </c>
      <c r="K13427" t="s">
        <v>1618</v>
      </c>
      <c r="L13427" t="s">
        <v>4416</v>
      </c>
      <c r="M13427" t="s">
        <v>1621</v>
      </c>
      <c r="N13427">
        <v>14.05</v>
      </c>
      <c r="O13427" s="49">
        <v>44779</v>
      </c>
      <c r="P13427" s="50">
        <v>83.884500000000003</v>
      </c>
    </row>
    <row r="13428" spans="4:16" x14ac:dyDescent="0.2">
      <c r="D13428">
        <v>100008082</v>
      </c>
      <c r="E13428" s="49">
        <v>44320</v>
      </c>
      <c r="F13428" t="s">
        <v>8471</v>
      </c>
      <c r="G13428" t="s">
        <v>2005</v>
      </c>
      <c r="H13428">
        <v>2</v>
      </c>
      <c r="I13428">
        <v>107.52</v>
      </c>
      <c r="J13428" s="50">
        <v>215.04</v>
      </c>
      <c r="K13428" t="s">
        <v>1618</v>
      </c>
      <c r="L13428" t="s">
        <v>4416</v>
      </c>
      <c r="M13428" t="s">
        <v>1619</v>
      </c>
      <c r="N13428">
        <v>56.75</v>
      </c>
      <c r="O13428" s="49">
        <v>44324</v>
      </c>
      <c r="P13428" s="50">
        <v>96.768000000000001</v>
      </c>
    </row>
    <row r="13429" spans="4:16" x14ac:dyDescent="0.2">
      <c r="D13429">
        <v>100008084</v>
      </c>
      <c r="E13429" s="49">
        <v>44843</v>
      </c>
      <c r="F13429" t="s">
        <v>7474</v>
      </c>
      <c r="G13429" t="s">
        <v>1655</v>
      </c>
      <c r="H13429">
        <v>4</v>
      </c>
      <c r="I13429">
        <v>67.39</v>
      </c>
      <c r="J13429" s="50">
        <v>269.56</v>
      </c>
      <c r="K13429" t="s">
        <v>1618</v>
      </c>
      <c r="L13429" t="s">
        <v>4002</v>
      </c>
      <c r="M13429" t="s">
        <v>1627</v>
      </c>
      <c r="N13429">
        <v>35.57</v>
      </c>
      <c r="O13429" s="49">
        <v>44845</v>
      </c>
      <c r="P13429" s="50">
        <v>121.30200000000001</v>
      </c>
    </row>
    <row r="13430" spans="4:16" x14ac:dyDescent="0.2">
      <c r="D13430">
        <v>100008086</v>
      </c>
      <c r="E13430" s="49">
        <v>44467</v>
      </c>
      <c r="F13430" t="s">
        <v>8472</v>
      </c>
      <c r="G13430" t="s">
        <v>1841</v>
      </c>
      <c r="H13430">
        <v>1</v>
      </c>
      <c r="I13430">
        <v>95.01</v>
      </c>
      <c r="J13430" s="50">
        <v>95.01</v>
      </c>
      <c r="K13430" t="s">
        <v>1618</v>
      </c>
      <c r="M13430" t="s">
        <v>1624</v>
      </c>
      <c r="N13430">
        <v>50.14</v>
      </c>
      <c r="O13430" s="49">
        <v>44471</v>
      </c>
      <c r="P13430" s="50">
        <v>42.7545</v>
      </c>
    </row>
    <row r="13431" spans="4:16" x14ac:dyDescent="0.2">
      <c r="D13431">
        <v>100008086</v>
      </c>
      <c r="E13431" s="49">
        <v>44344</v>
      </c>
      <c r="F13431" t="s">
        <v>8472</v>
      </c>
      <c r="G13431" t="s">
        <v>2418</v>
      </c>
      <c r="H13431">
        <v>9</v>
      </c>
      <c r="I13431">
        <v>102.46</v>
      </c>
      <c r="J13431" s="50">
        <v>922.14</v>
      </c>
      <c r="K13431" t="s">
        <v>1618</v>
      </c>
      <c r="M13431" t="s">
        <v>1624</v>
      </c>
      <c r="N13431">
        <v>54.08</v>
      </c>
      <c r="O13431" s="49">
        <v>44345</v>
      </c>
      <c r="P13431" s="50">
        <v>414.96300000000002</v>
      </c>
    </row>
    <row r="13432" spans="4:16" x14ac:dyDescent="0.2">
      <c r="D13432">
        <v>100008086</v>
      </c>
      <c r="E13432" s="49">
        <v>44897</v>
      </c>
      <c r="F13432" t="s">
        <v>8472</v>
      </c>
      <c r="G13432" t="s">
        <v>1848</v>
      </c>
      <c r="H13432">
        <v>3</v>
      </c>
      <c r="I13432">
        <v>18.190000000000001</v>
      </c>
      <c r="J13432" s="50">
        <v>54.570000000000007</v>
      </c>
      <c r="K13432" t="s">
        <v>1618</v>
      </c>
      <c r="M13432" t="s">
        <v>1627</v>
      </c>
      <c r="N13432">
        <v>9.6</v>
      </c>
      <c r="O13432" s="49">
        <v>44901</v>
      </c>
      <c r="P13432" s="50">
        <v>24.556500000000003</v>
      </c>
    </row>
    <row r="13433" spans="4:16" x14ac:dyDescent="0.2">
      <c r="D13433">
        <v>100008088</v>
      </c>
      <c r="E13433" s="49">
        <v>45464</v>
      </c>
      <c r="F13433" t="s">
        <v>8473</v>
      </c>
      <c r="G13433" t="s">
        <v>1691</v>
      </c>
      <c r="H13433">
        <v>6</v>
      </c>
      <c r="I13433">
        <v>88.33</v>
      </c>
      <c r="J13433" s="50">
        <v>529.98</v>
      </c>
      <c r="K13433" t="s">
        <v>1632</v>
      </c>
      <c r="L13433" t="s">
        <v>6140</v>
      </c>
      <c r="M13433" t="s">
        <v>1627</v>
      </c>
      <c r="N13433">
        <v>46.62</v>
      </c>
      <c r="O13433" s="49">
        <v>45465</v>
      </c>
      <c r="P13433" s="50">
        <v>238.49100000000001</v>
      </c>
    </row>
    <row r="13434" spans="4:16" x14ac:dyDescent="0.2">
      <c r="D13434">
        <v>100008089</v>
      </c>
      <c r="E13434" s="49">
        <v>44524</v>
      </c>
      <c r="F13434" t="s">
        <v>8474</v>
      </c>
      <c r="G13434" t="s">
        <v>1792</v>
      </c>
      <c r="H13434">
        <v>4</v>
      </c>
      <c r="I13434">
        <v>63.71</v>
      </c>
      <c r="J13434" s="50">
        <v>254.84</v>
      </c>
      <c r="K13434" t="s">
        <v>1618</v>
      </c>
      <c r="M13434" t="s">
        <v>1619</v>
      </c>
      <c r="N13434">
        <v>33.619999999999997</v>
      </c>
      <c r="O13434" s="49">
        <v>44529</v>
      </c>
      <c r="P13434" s="50">
        <v>114.678</v>
      </c>
    </row>
    <row r="13435" spans="4:16" x14ac:dyDescent="0.2">
      <c r="D13435">
        <v>100008090</v>
      </c>
      <c r="E13435" s="49">
        <v>45394</v>
      </c>
      <c r="F13435" t="s">
        <v>8475</v>
      </c>
      <c r="G13435" t="s">
        <v>2373</v>
      </c>
      <c r="H13435">
        <v>4</v>
      </c>
      <c r="I13435">
        <v>64.61</v>
      </c>
      <c r="J13435" s="50">
        <v>258.44</v>
      </c>
      <c r="K13435" t="s">
        <v>1618</v>
      </c>
      <c r="L13435" t="s">
        <v>8476</v>
      </c>
      <c r="M13435" t="s">
        <v>1629</v>
      </c>
      <c r="N13435">
        <v>34.1</v>
      </c>
      <c r="O13435" s="49">
        <v>45396</v>
      </c>
      <c r="P13435" s="50">
        <v>116.298</v>
      </c>
    </row>
    <row r="13436" spans="4:16" x14ac:dyDescent="0.2">
      <c r="D13436">
        <v>100008090</v>
      </c>
      <c r="E13436" s="49">
        <v>45260</v>
      </c>
      <c r="F13436" t="s">
        <v>8475</v>
      </c>
      <c r="G13436" t="s">
        <v>2064</v>
      </c>
      <c r="H13436">
        <v>7</v>
      </c>
      <c r="I13436">
        <v>86.02</v>
      </c>
      <c r="J13436" s="50">
        <v>602.14</v>
      </c>
      <c r="K13436" t="s">
        <v>1618</v>
      </c>
      <c r="L13436" t="s">
        <v>8476</v>
      </c>
      <c r="M13436" t="s">
        <v>1621</v>
      </c>
      <c r="N13436">
        <v>45.4</v>
      </c>
      <c r="O13436" s="49">
        <v>45264</v>
      </c>
      <c r="P13436" s="50">
        <v>270.96300000000002</v>
      </c>
    </row>
    <row r="13437" spans="4:16" x14ac:dyDescent="0.2">
      <c r="D13437">
        <v>100008091</v>
      </c>
      <c r="E13437" s="49">
        <v>44765</v>
      </c>
      <c r="F13437" t="s">
        <v>8477</v>
      </c>
      <c r="G13437" t="s">
        <v>1620</v>
      </c>
      <c r="H13437">
        <v>1</v>
      </c>
      <c r="I13437">
        <v>116.42</v>
      </c>
      <c r="J13437" s="50">
        <v>116.42</v>
      </c>
      <c r="K13437" t="s">
        <v>1632</v>
      </c>
      <c r="M13437" t="s">
        <v>1619</v>
      </c>
      <c r="N13437">
        <v>61.44</v>
      </c>
      <c r="O13437" s="49">
        <v>44769</v>
      </c>
      <c r="P13437" s="50">
        <v>52.389000000000003</v>
      </c>
    </row>
    <row r="13438" spans="4:16" x14ac:dyDescent="0.2">
      <c r="D13438">
        <v>100008091</v>
      </c>
      <c r="E13438" s="49">
        <v>44450</v>
      </c>
      <c r="F13438" t="s">
        <v>8477</v>
      </c>
      <c r="G13438" t="s">
        <v>1922</v>
      </c>
      <c r="H13438">
        <v>4</v>
      </c>
      <c r="I13438">
        <v>80.05</v>
      </c>
      <c r="J13438" s="50">
        <v>320.2</v>
      </c>
      <c r="K13438" t="s">
        <v>1632</v>
      </c>
      <c r="M13438" t="s">
        <v>1627</v>
      </c>
      <c r="N13438">
        <v>42.25</v>
      </c>
      <c r="O13438" s="49">
        <v>44451</v>
      </c>
      <c r="P13438" s="50">
        <v>144.09</v>
      </c>
    </row>
    <row r="13439" spans="4:16" x14ac:dyDescent="0.2">
      <c r="D13439">
        <v>100008093</v>
      </c>
      <c r="E13439" s="49">
        <v>45199</v>
      </c>
      <c r="F13439" t="s">
        <v>7508</v>
      </c>
      <c r="G13439" t="s">
        <v>1767</v>
      </c>
      <c r="H13439">
        <v>7</v>
      </c>
      <c r="I13439">
        <v>11.26</v>
      </c>
      <c r="J13439" s="50">
        <v>78.819999999999993</v>
      </c>
      <c r="K13439" t="s">
        <v>1618</v>
      </c>
      <c r="L13439" t="s">
        <v>8478</v>
      </c>
      <c r="M13439" t="s">
        <v>1627</v>
      </c>
      <c r="N13439">
        <v>5.94</v>
      </c>
      <c r="O13439" s="49">
        <v>45202</v>
      </c>
      <c r="P13439" s="50">
        <v>35.469000000000001</v>
      </c>
    </row>
    <row r="13440" spans="4:16" x14ac:dyDescent="0.2">
      <c r="D13440">
        <v>100008094</v>
      </c>
      <c r="E13440" s="49">
        <v>45012</v>
      </c>
      <c r="F13440" t="s">
        <v>8479</v>
      </c>
      <c r="G13440" t="s">
        <v>1857</v>
      </c>
      <c r="H13440">
        <v>6</v>
      </c>
      <c r="I13440">
        <v>29.12</v>
      </c>
      <c r="J13440" s="50">
        <v>174.72</v>
      </c>
      <c r="K13440" t="s">
        <v>1618</v>
      </c>
      <c r="M13440" t="s">
        <v>1621</v>
      </c>
      <c r="N13440">
        <v>15.37</v>
      </c>
      <c r="O13440" s="49">
        <v>45014</v>
      </c>
      <c r="P13440" s="50">
        <v>78.623999999999995</v>
      </c>
    </row>
    <row r="13441" spans="4:16" x14ac:dyDescent="0.2">
      <c r="D13441">
        <v>100008096</v>
      </c>
      <c r="E13441" s="49">
        <v>44684</v>
      </c>
      <c r="F13441" t="s">
        <v>8480</v>
      </c>
      <c r="G13441" t="s">
        <v>1650</v>
      </c>
      <c r="H13441">
        <v>3</v>
      </c>
      <c r="I13441">
        <v>27.9</v>
      </c>
      <c r="J13441" s="50">
        <v>83.699999999999989</v>
      </c>
      <c r="K13441" t="s">
        <v>1618</v>
      </c>
      <c r="M13441" t="s">
        <v>1624</v>
      </c>
      <c r="N13441">
        <v>14.72</v>
      </c>
      <c r="O13441" s="49">
        <v>44688</v>
      </c>
      <c r="P13441" s="50">
        <v>37.664999999999999</v>
      </c>
    </row>
    <row r="13442" spans="4:16" x14ac:dyDescent="0.2">
      <c r="D13442">
        <v>100008096</v>
      </c>
      <c r="E13442" s="49">
        <v>45612</v>
      </c>
      <c r="F13442" t="s">
        <v>8480</v>
      </c>
      <c r="G13442" t="s">
        <v>2344</v>
      </c>
      <c r="H13442">
        <v>10</v>
      </c>
      <c r="I13442">
        <v>21.07</v>
      </c>
      <c r="J13442" s="50">
        <v>210.7</v>
      </c>
      <c r="K13442" t="s">
        <v>1618</v>
      </c>
      <c r="M13442" t="s">
        <v>1627</v>
      </c>
      <c r="N13442">
        <v>11.12</v>
      </c>
      <c r="O13442" s="49">
        <v>45617</v>
      </c>
      <c r="P13442" s="50">
        <v>94.814999999999998</v>
      </c>
    </row>
    <row r="13443" spans="4:16" x14ac:dyDescent="0.2">
      <c r="D13443">
        <v>100008098</v>
      </c>
      <c r="E13443" s="49">
        <v>45368</v>
      </c>
      <c r="F13443" t="s">
        <v>8481</v>
      </c>
      <c r="G13443" t="s">
        <v>1740</v>
      </c>
      <c r="H13443">
        <v>5</v>
      </c>
      <c r="I13443">
        <v>83.1</v>
      </c>
      <c r="J13443" s="50">
        <v>415.5</v>
      </c>
      <c r="K13443" t="s">
        <v>1618</v>
      </c>
      <c r="M13443" t="s">
        <v>1621</v>
      </c>
      <c r="N13443">
        <v>43.86</v>
      </c>
      <c r="O13443" s="49">
        <v>45369</v>
      </c>
      <c r="P13443" s="50">
        <v>186.97499999999999</v>
      </c>
    </row>
    <row r="13444" spans="4:16" x14ac:dyDescent="0.2">
      <c r="D13444">
        <v>100008098</v>
      </c>
      <c r="E13444" s="49">
        <v>44787</v>
      </c>
      <c r="F13444" t="s">
        <v>8481</v>
      </c>
      <c r="G13444" t="s">
        <v>1783</v>
      </c>
      <c r="H13444">
        <v>2</v>
      </c>
      <c r="I13444">
        <v>36.15</v>
      </c>
      <c r="J13444" s="50">
        <v>72.3</v>
      </c>
      <c r="K13444" t="s">
        <v>1618</v>
      </c>
      <c r="M13444" t="s">
        <v>1627</v>
      </c>
      <c r="N13444">
        <v>19.079999999999998</v>
      </c>
      <c r="O13444" s="49">
        <v>44788</v>
      </c>
      <c r="P13444" s="50">
        <v>32.534999999999997</v>
      </c>
    </row>
    <row r="13445" spans="4:16" x14ac:dyDescent="0.2">
      <c r="D13445">
        <v>100008098</v>
      </c>
      <c r="E13445" s="49">
        <v>44821</v>
      </c>
      <c r="F13445" t="s">
        <v>8481</v>
      </c>
      <c r="G13445" t="s">
        <v>1634</v>
      </c>
      <c r="H13445">
        <v>9</v>
      </c>
      <c r="I13445">
        <v>75.62</v>
      </c>
      <c r="J13445" s="50">
        <v>680.58</v>
      </c>
      <c r="K13445" t="s">
        <v>1618</v>
      </c>
      <c r="M13445" t="s">
        <v>1621</v>
      </c>
      <c r="N13445">
        <v>39.909999999999997</v>
      </c>
      <c r="O13445" s="49">
        <v>44824</v>
      </c>
      <c r="P13445" s="50">
        <v>306.26100000000002</v>
      </c>
    </row>
    <row r="13446" spans="4:16" x14ac:dyDescent="0.2">
      <c r="D13446">
        <v>100008099</v>
      </c>
      <c r="E13446" s="49">
        <v>44718</v>
      </c>
      <c r="F13446" t="s">
        <v>8482</v>
      </c>
      <c r="G13446" t="s">
        <v>2041</v>
      </c>
      <c r="H13446">
        <v>1</v>
      </c>
      <c r="I13446">
        <v>44.32</v>
      </c>
      <c r="J13446" s="50">
        <v>44.32</v>
      </c>
      <c r="K13446" t="s">
        <v>1618</v>
      </c>
      <c r="M13446" t="s">
        <v>1627</v>
      </c>
      <c r="N13446">
        <v>23.39</v>
      </c>
      <c r="O13446" s="49">
        <v>44723</v>
      </c>
      <c r="P13446" s="50">
        <v>19.943999999999999</v>
      </c>
    </row>
    <row r="13447" spans="4:16" x14ac:dyDescent="0.2">
      <c r="D13447">
        <v>100008099</v>
      </c>
      <c r="E13447" s="49">
        <v>45292</v>
      </c>
      <c r="F13447" t="s">
        <v>8482</v>
      </c>
      <c r="G13447" t="s">
        <v>1665</v>
      </c>
      <c r="H13447">
        <v>10</v>
      </c>
      <c r="I13447">
        <v>59.7</v>
      </c>
      <c r="J13447" s="50">
        <v>597</v>
      </c>
      <c r="K13447" t="s">
        <v>1618</v>
      </c>
      <c r="M13447" t="s">
        <v>1624</v>
      </c>
      <c r="N13447">
        <v>31.51</v>
      </c>
      <c r="O13447" s="49">
        <v>45297</v>
      </c>
      <c r="P13447" s="50">
        <v>268.65000000000003</v>
      </c>
    </row>
    <row r="13448" spans="4:16" x14ac:dyDescent="0.2">
      <c r="D13448">
        <v>100008099</v>
      </c>
      <c r="E13448" s="49">
        <v>45352</v>
      </c>
      <c r="F13448" t="s">
        <v>8482</v>
      </c>
      <c r="G13448" t="s">
        <v>1727</v>
      </c>
      <c r="H13448">
        <v>10</v>
      </c>
      <c r="I13448">
        <v>95.24</v>
      </c>
      <c r="J13448" s="50">
        <v>952.4</v>
      </c>
      <c r="K13448" t="s">
        <v>1618</v>
      </c>
      <c r="M13448" t="s">
        <v>1619</v>
      </c>
      <c r="N13448">
        <v>50.27</v>
      </c>
      <c r="O13448" s="49">
        <v>45353</v>
      </c>
      <c r="P13448" s="50">
        <v>428.58</v>
      </c>
    </row>
    <row r="13449" spans="4:16" x14ac:dyDescent="0.2">
      <c r="D13449">
        <v>100008099</v>
      </c>
      <c r="E13449" s="49">
        <v>44955</v>
      </c>
      <c r="F13449" t="s">
        <v>8482</v>
      </c>
      <c r="G13449" t="s">
        <v>2613</v>
      </c>
      <c r="H13449">
        <v>5</v>
      </c>
      <c r="I13449">
        <v>15.23</v>
      </c>
      <c r="J13449" s="50">
        <v>76.150000000000006</v>
      </c>
      <c r="K13449" t="s">
        <v>1618</v>
      </c>
      <c r="M13449" t="s">
        <v>1624</v>
      </c>
      <c r="N13449">
        <v>8.0399999999999991</v>
      </c>
      <c r="O13449" s="49">
        <v>44960</v>
      </c>
      <c r="P13449" s="50">
        <v>34.267500000000005</v>
      </c>
    </row>
    <row r="13450" spans="4:16" x14ac:dyDescent="0.2">
      <c r="D13450">
        <v>100008099</v>
      </c>
      <c r="E13450" s="49">
        <v>44623</v>
      </c>
      <c r="F13450" t="s">
        <v>8482</v>
      </c>
      <c r="G13450" t="s">
        <v>1671</v>
      </c>
      <c r="H13450">
        <v>4</v>
      </c>
      <c r="I13450">
        <v>59.03</v>
      </c>
      <c r="J13450" s="50">
        <v>236.12</v>
      </c>
      <c r="K13450" t="s">
        <v>1618</v>
      </c>
      <c r="M13450" t="s">
        <v>1627</v>
      </c>
      <c r="N13450">
        <v>31.15</v>
      </c>
      <c r="O13450" s="49">
        <v>44624</v>
      </c>
      <c r="P13450" s="50">
        <v>106.254</v>
      </c>
    </row>
    <row r="13451" spans="4:16" x14ac:dyDescent="0.2">
      <c r="D13451">
        <v>100008100</v>
      </c>
      <c r="E13451" s="49">
        <v>45163</v>
      </c>
      <c r="F13451" t="s">
        <v>7353</v>
      </c>
      <c r="G13451" t="s">
        <v>2574</v>
      </c>
      <c r="H13451">
        <v>7</v>
      </c>
      <c r="I13451">
        <v>61.12</v>
      </c>
      <c r="J13451" s="50">
        <v>427.84</v>
      </c>
      <c r="K13451" t="s">
        <v>1618</v>
      </c>
      <c r="L13451" t="s">
        <v>3370</v>
      </c>
      <c r="M13451" t="s">
        <v>1627</v>
      </c>
      <c r="N13451">
        <v>32.26</v>
      </c>
      <c r="O13451" s="49">
        <v>45168</v>
      </c>
      <c r="P13451" s="50">
        <v>192.52799999999999</v>
      </c>
    </row>
    <row r="13452" spans="4:16" x14ac:dyDescent="0.2">
      <c r="D13452">
        <v>100008100</v>
      </c>
      <c r="E13452" s="49">
        <v>45398</v>
      </c>
      <c r="F13452" t="s">
        <v>7353</v>
      </c>
      <c r="G13452" t="s">
        <v>1766</v>
      </c>
      <c r="H13452">
        <v>2</v>
      </c>
      <c r="I13452">
        <v>56.12</v>
      </c>
      <c r="J13452" s="50">
        <v>112.24</v>
      </c>
      <c r="K13452" t="s">
        <v>1618</v>
      </c>
      <c r="L13452" t="s">
        <v>3370</v>
      </c>
      <c r="M13452" t="s">
        <v>1627</v>
      </c>
      <c r="N13452">
        <v>29.62</v>
      </c>
      <c r="O13452" s="49">
        <v>45402</v>
      </c>
      <c r="P13452" s="50">
        <v>50.507999999999996</v>
      </c>
    </row>
    <row r="13453" spans="4:16" x14ac:dyDescent="0.2">
      <c r="D13453">
        <v>100008100</v>
      </c>
      <c r="E13453" s="49">
        <v>45552</v>
      </c>
      <c r="F13453" t="s">
        <v>7353</v>
      </c>
      <c r="G13453" t="s">
        <v>2079</v>
      </c>
      <c r="H13453">
        <v>5</v>
      </c>
      <c r="I13453">
        <v>101.23</v>
      </c>
      <c r="J13453" s="50">
        <v>506.15</v>
      </c>
      <c r="K13453" t="s">
        <v>1618</v>
      </c>
      <c r="L13453" t="s">
        <v>3370</v>
      </c>
      <c r="M13453" t="s">
        <v>1629</v>
      </c>
      <c r="N13453">
        <v>53.43</v>
      </c>
      <c r="O13453" s="49">
        <v>45553</v>
      </c>
      <c r="P13453" s="50">
        <v>227.76749999999998</v>
      </c>
    </row>
    <row r="13454" spans="4:16" x14ac:dyDescent="0.2">
      <c r="D13454">
        <v>100008100</v>
      </c>
      <c r="E13454" s="49">
        <v>45328</v>
      </c>
      <c r="F13454" t="s">
        <v>7353</v>
      </c>
      <c r="G13454" t="s">
        <v>2291</v>
      </c>
      <c r="H13454">
        <v>5</v>
      </c>
      <c r="I13454">
        <v>104.42</v>
      </c>
      <c r="J13454" s="50">
        <v>522.1</v>
      </c>
      <c r="K13454" t="s">
        <v>1618</v>
      </c>
      <c r="L13454" t="s">
        <v>3370</v>
      </c>
      <c r="M13454" t="s">
        <v>1621</v>
      </c>
      <c r="N13454">
        <v>55.11</v>
      </c>
      <c r="O13454" s="49">
        <v>45332</v>
      </c>
      <c r="P13454" s="50">
        <v>234.94500000000002</v>
      </c>
    </row>
    <row r="13455" spans="4:16" x14ac:dyDescent="0.2">
      <c r="D13455">
        <v>100008101</v>
      </c>
      <c r="E13455" s="49">
        <v>44808</v>
      </c>
      <c r="F13455" t="s">
        <v>8002</v>
      </c>
      <c r="G13455" t="s">
        <v>1636</v>
      </c>
      <c r="H13455">
        <v>2</v>
      </c>
      <c r="I13455">
        <v>25.05</v>
      </c>
      <c r="J13455" s="50">
        <v>50.1</v>
      </c>
      <c r="K13455" t="s">
        <v>1618</v>
      </c>
      <c r="M13455" t="s">
        <v>1624</v>
      </c>
      <c r="N13455">
        <v>13.22</v>
      </c>
      <c r="O13455" s="49">
        <v>44813</v>
      </c>
      <c r="P13455" s="50">
        <v>22.545000000000002</v>
      </c>
    </row>
    <row r="13456" spans="4:16" x14ac:dyDescent="0.2">
      <c r="D13456">
        <v>100008102</v>
      </c>
      <c r="E13456" s="49">
        <v>44900</v>
      </c>
      <c r="F13456" t="s">
        <v>8483</v>
      </c>
      <c r="G13456" t="s">
        <v>1712</v>
      </c>
      <c r="H13456">
        <v>3</v>
      </c>
      <c r="I13456">
        <v>16.98</v>
      </c>
      <c r="J13456" s="50">
        <v>50.94</v>
      </c>
      <c r="K13456" t="s">
        <v>1618</v>
      </c>
      <c r="M13456" t="s">
        <v>1627</v>
      </c>
      <c r="N13456">
        <v>8.9600000000000009</v>
      </c>
      <c r="O13456" s="49">
        <v>44904</v>
      </c>
      <c r="P13456" s="50">
        <v>22.922999999999998</v>
      </c>
    </row>
    <row r="13457" spans="4:16" x14ac:dyDescent="0.2">
      <c r="D13457">
        <v>100008103</v>
      </c>
      <c r="E13457" s="49">
        <v>44572</v>
      </c>
      <c r="F13457" t="s">
        <v>8484</v>
      </c>
      <c r="G13457" t="s">
        <v>1641</v>
      </c>
      <c r="H13457">
        <v>2</v>
      </c>
      <c r="I13457">
        <v>88.71</v>
      </c>
      <c r="J13457" s="50">
        <v>177.42</v>
      </c>
      <c r="K13457" t="s">
        <v>1632</v>
      </c>
      <c r="M13457" t="s">
        <v>1621</v>
      </c>
      <c r="N13457">
        <v>46.82</v>
      </c>
      <c r="O13457" s="49">
        <v>44576</v>
      </c>
      <c r="P13457" s="50">
        <v>79.838999999999999</v>
      </c>
    </row>
    <row r="13458" spans="4:16" x14ac:dyDescent="0.2">
      <c r="D13458">
        <v>100008106</v>
      </c>
      <c r="E13458" s="49">
        <v>44485</v>
      </c>
      <c r="F13458" t="s">
        <v>8485</v>
      </c>
      <c r="G13458" t="s">
        <v>2033</v>
      </c>
      <c r="H13458">
        <v>9</v>
      </c>
      <c r="I13458">
        <v>78.650000000000006</v>
      </c>
      <c r="J13458" s="50">
        <v>707.85</v>
      </c>
      <c r="K13458" t="s">
        <v>1632</v>
      </c>
      <c r="M13458" t="s">
        <v>1627</v>
      </c>
      <c r="N13458">
        <v>41.51</v>
      </c>
      <c r="O13458" s="49">
        <v>44490</v>
      </c>
      <c r="P13458" s="50">
        <v>318.53250000000003</v>
      </c>
    </row>
    <row r="13459" spans="4:16" x14ac:dyDescent="0.2">
      <c r="D13459">
        <v>100008106</v>
      </c>
      <c r="E13459" s="49">
        <v>45383</v>
      </c>
      <c r="F13459" t="s">
        <v>8485</v>
      </c>
      <c r="G13459" t="s">
        <v>1631</v>
      </c>
      <c r="H13459">
        <v>2</v>
      </c>
      <c r="I13459">
        <v>78.59</v>
      </c>
      <c r="J13459" s="50">
        <v>157.18</v>
      </c>
      <c r="K13459" t="s">
        <v>1632</v>
      </c>
      <c r="M13459" t="s">
        <v>1624</v>
      </c>
      <c r="N13459">
        <v>41.48</v>
      </c>
      <c r="O13459" s="49">
        <v>45388</v>
      </c>
      <c r="P13459" s="50">
        <v>70.731000000000009</v>
      </c>
    </row>
    <row r="13460" spans="4:16" x14ac:dyDescent="0.2">
      <c r="D13460">
        <v>100008106</v>
      </c>
      <c r="E13460" s="49">
        <v>45191</v>
      </c>
      <c r="F13460" t="s">
        <v>8485</v>
      </c>
      <c r="G13460" t="s">
        <v>2344</v>
      </c>
      <c r="H13460">
        <v>6</v>
      </c>
      <c r="I13460">
        <v>106.83</v>
      </c>
      <c r="J13460" s="50">
        <v>640.98</v>
      </c>
      <c r="K13460" t="s">
        <v>1632</v>
      </c>
      <c r="M13460" t="s">
        <v>1619</v>
      </c>
      <c r="N13460">
        <v>56.38</v>
      </c>
      <c r="O13460" s="49">
        <v>45196</v>
      </c>
      <c r="P13460" s="50">
        <v>288.44100000000003</v>
      </c>
    </row>
    <row r="13461" spans="4:16" x14ac:dyDescent="0.2">
      <c r="D13461">
        <v>100008106</v>
      </c>
      <c r="E13461" s="49">
        <v>44474</v>
      </c>
      <c r="F13461" t="s">
        <v>8485</v>
      </c>
      <c r="G13461" t="s">
        <v>2305</v>
      </c>
      <c r="H13461">
        <v>6</v>
      </c>
      <c r="I13461">
        <v>96.09</v>
      </c>
      <c r="J13461" s="50">
        <v>576.54</v>
      </c>
      <c r="K13461" t="s">
        <v>1632</v>
      </c>
      <c r="M13461" t="s">
        <v>1619</v>
      </c>
      <c r="N13461">
        <v>50.71</v>
      </c>
      <c r="O13461" s="49">
        <v>44475</v>
      </c>
      <c r="P13461" s="50">
        <v>259.44299999999998</v>
      </c>
    </row>
    <row r="13462" spans="4:16" x14ac:dyDescent="0.2">
      <c r="D13462">
        <v>100008106</v>
      </c>
      <c r="E13462" s="49">
        <v>44359</v>
      </c>
      <c r="F13462" t="s">
        <v>8485</v>
      </c>
      <c r="G13462" t="s">
        <v>1928</v>
      </c>
      <c r="H13462">
        <v>2</v>
      </c>
      <c r="I13462">
        <v>14.21</v>
      </c>
      <c r="J13462" s="50">
        <v>28.42</v>
      </c>
      <c r="K13462" t="s">
        <v>1632</v>
      </c>
      <c r="M13462" t="s">
        <v>1627</v>
      </c>
      <c r="N13462">
        <v>7.5</v>
      </c>
      <c r="O13462" s="49">
        <v>44360</v>
      </c>
      <c r="P13462" s="50">
        <v>12.789000000000001</v>
      </c>
    </row>
    <row r="13463" spans="4:16" x14ac:dyDescent="0.2">
      <c r="D13463">
        <v>100008106</v>
      </c>
      <c r="E13463" s="49">
        <v>45339</v>
      </c>
      <c r="F13463" t="s">
        <v>8485</v>
      </c>
      <c r="G13463" t="s">
        <v>1846</v>
      </c>
      <c r="H13463">
        <v>2</v>
      </c>
      <c r="I13463">
        <v>49.04</v>
      </c>
      <c r="J13463" s="50">
        <v>98.08</v>
      </c>
      <c r="K13463" t="s">
        <v>1632</v>
      </c>
      <c r="M13463" t="s">
        <v>1627</v>
      </c>
      <c r="N13463">
        <v>25.88</v>
      </c>
      <c r="O13463" s="49">
        <v>45342</v>
      </c>
      <c r="P13463" s="50">
        <v>44.136000000000003</v>
      </c>
    </row>
    <row r="13464" spans="4:16" x14ac:dyDescent="0.2">
      <c r="D13464">
        <v>100008106</v>
      </c>
      <c r="E13464" s="49">
        <v>44751</v>
      </c>
      <c r="F13464" t="s">
        <v>8485</v>
      </c>
      <c r="G13464" t="s">
        <v>1742</v>
      </c>
      <c r="H13464">
        <v>5</v>
      </c>
      <c r="I13464">
        <v>115.38</v>
      </c>
      <c r="J13464" s="50">
        <v>576.9</v>
      </c>
      <c r="K13464" t="s">
        <v>1632</v>
      </c>
      <c r="M13464" t="s">
        <v>1624</v>
      </c>
      <c r="N13464">
        <v>60.89</v>
      </c>
      <c r="O13464" s="49">
        <v>44756</v>
      </c>
      <c r="P13464" s="50">
        <v>259.60500000000002</v>
      </c>
    </row>
    <row r="13465" spans="4:16" x14ac:dyDescent="0.2">
      <c r="D13465">
        <v>100008108</v>
      </c>
      <c r="E13465" s="49">
        <v>44912</v>
      </c>
      <c r="F13465" t="s">
        <v>8486</v>
      </c>
      <c r="G13465" t="s">
        <v>1628</v>
      </c>
      <c r="H13465">
        <v>6</v>
      </c>
      <c r="I13465">
        <v>73.989999999999995</v>
      </c>
      <c r="J13465" s="50">
        <v>443.93999999999988</v>
      </c>
      <c r="K13465" t="s">
        <v>1618</v>
      </c>
      <c r="M13465" t="s">
        <v>1624</v>
      </c>
      <c r="N13465">
        <v>39.049999999999997</v>
      </c>
      <c r="O13465" s="49">
        <v>44913</v>
      </c>
      <c r="P13465" s="50">
        <v>199.77299999999994</v>
      </c>
    </row>
    <row r="13466" spans="4:16" x14ac:dyDescent="0.2">
      <c r="D13466">
        <v>100008109</v>
      </c>
      <c r="E13466" s="49">
        <v>45100</v>
      </c>
      <c r="F13466" t="s">
        <v>8487</v>
      </c>
      <c r="G13466" t="s">
        <v>1669</v>
      </c>
      <c r="H13466">
        <v>2</v>
      </c>
      <c r="I13466">
        <v>35.75</v>
      </c>
      <c r="J13466" s="50">
        <v>71.5</v>
      </c>
      <c r="K13466" t="s">
        <v>1618</v>
      </c>
      <c r="M13466" t="s">
        <v>1627</v>
      </c>
      <c r="N13466">
        <v>18.87</v>
      </c>
      <c r="O13466" s="49">
        <v>45104</v>
      </c>
      <c r="P13466" s="50">
        <v>32.175000000000004</v>
      </c>
    </row>
    <row r="13467" spans="4:16" x14ac:dyDescent="0.2">
      <c r="D13467">
        <v>100008110</v>
      </c>
      <c r="E13467" s="49">
        <v>45234</v>
      </c>
      <c r="F13467" t="s">
        <v>8488</v>
      </c>
      <c r="G13467" t="s">
        <v>2025</v>
      </c>
      <c r="H13467">
        <v>7</v>
      </c>
      <c r="I13467">
        <v>102.96</v>
      </c>
      <c r="J13467" s="50">
        <v>720.71999999999991</v>
      </c>
      <c r="K13467" t="s">
        <v>1618</v>
      </c>
      <c r="M13467" t="s">
        <v>1627</v>
      </c>
      <c r="N13467">
        <v>54.34</v>
      </c>
      <c r="O13467" s="49">
        <v>45236</v>
      </c>
      <c r="P13467" s="50">
        <v>324.32399999999996</v>
      </c>
    </row>
    <row r="13468" spans="4:16" x14ac:dyDescent="0.2">
      <c r="D13468">
        <v>100008111</v>
      </c>
      <c r="E13468" s="49">
        <v>45072</v>
      </c>
      <c r="F13468" t="s">
        <v>8489</v>
      </c>
      <c r="G13468" t="s">
        <v>1690</v>
      </c>
      <c r="H13468">
        <v>9</v>
      </c>
      <c r="I13468">
        <v>74.34</v>
      </c>
      <c r="J13468" s="50">
        <v>669.06000000000006</v>
      </c>
      <c r="K13468" t="s">
        <v>1618</v>
      </c>
      <c r="L13468" t="s">
        <v>5472</v>
      </c>
      <c r="M13468" t="s">
        <v>1624</v>
      </c>
      <c r="N13468">
        <v>39.229999999999997</v>
      </c>
      <c r="O13468" s="49">
        <v>45074</v>
      </c>
      <c r="P13468" s="50">
        <v>301.07700000000006</v>
      </c>
    </row>
    <row r="13469" spans="4:16" x14ac:dyDescent="0.2">
      <c r="D13469">
        <v>100008111</v>
      </c>
      <c r="E13469" s="49">
        <v>44590</v>
      </c>
      <c r="F13469" t="s">
        <v>8489</v>
      </c>
      <c r="G13469" t="s">
        <v>2180</v>
      </c>
      <c r="H13469">
        <v>8</v>
      </c>
      <c r="I13469">
        <v>21.14</v>
      </c>
      <c r="J13469" s="50">
        <v>169.12</v>
      </c>
      <c r="K13469" t="s">
        <v>1618</v>
      </c>
      <c r="L13469" t="s">
        <v>5472</v>
      </c>
      <c r="M13469" t="s">
        <v>1624</v>
      </c>
      <c r="N13469">
        <v>11.16</v>
      </c>
      <c r="O13469" s="49">
        <v>44595</v>
      </c>
      <c r="P13469" s="50">
        <v>76.103999999999999</v>
      </c>
    </row>
    <row r="13470" spans="4:16" x14ac:dyDescent="0.2">
      <c r="D13470">
        <v>100008112</v>
      </c>
      <c r="E13470" s="49">
        <v>44675</v>
      </c>
      <c r="F13470" t="s">
        <v>8490</v>
      </c>
      <c r="G13470" t="s">
        <v>2436</v>
      </c>
      <c r="H13470">
        <v>2</v>
      </c>
      <c r="I13470">
        <v>91.85</v>
      </c>
      <c r="J13470" s="50">
        <v>183.7</v>
      </c>
      <c r="K13470" t="s">
        <v>1618</v>
      </c>
      <c r="M13470" t="s">
        <v>1621</v>
      </c>
      <c r="N13470">
        <v>48.48</v>
      </c>
      <c r="O13470" s="49">
        <v>44680</v>
      </c>
      <c r="P13470" s="50">
        <v>82.664999999999992</v>
      </c>
    </row>
    <row r="13471" spans="4:16" x14ac:dyDescent="0.2">
      <c r="D13471">
        <v>100008112</v>
      </c>
      <c r="E13471" s="49">
        <v>44727</v>
      </c>
      <c r="F13471" t="s">
        <v>8490</v>
      </c>
      <c r="G13471" t="s">
        <v>2762</v>
      </c>
      <c r="H13471">
        <v>5</v>
      </c>
      <c r="I13471">
        <v>84.18</v>
      </c>
      <c r="J13471" s="50">
        <v>420.9</v>
      </c>
      <c r="K13471" t="s">
        <v>1618</v>
      </c>
      <c r="M13471" t="s">
        <v>1619</v>
      </c>
      <c r="N13471">
        <v>44.43</v>
      </c>
      <c r="O13471" s="49">
        <v>44731</v>
      </c>
      <c r="P13471" s="50">
        <v>189.405</v>
      </c>
    </row>
    <row r="13472" spans="4:16" x14ac:dyDescent="0.2">
      <c r="D13472">
        <v>100008112</v>
      </c>
      <c r="E13472" s="49">
        <v>45058</v>
      </c>
      <c r="F13472" t="s">
        <v>8490</v>
      </c>
      <c r="G13472" t="s">
        <v>2017</v>
      </c>
      <c r="H13472">
        <v>1</v>
      </c>
      <c r="I13472">
        <v>24.45</v>
      </c>
      <c r="J13472" s="50">
        <v>24.45</v>
      </c>
      <c r="K13472" t="s">
        <v>1618</v>
      </c>
      <c r="M13472" t="s">
        <v>1629</v>
      </c>
      <c r="N13472">
        <v>12.9</v>
      </c>
      <c r="O13472" s="49">
        <v>45060</v>
      </c>
      <c r="P13472" s="50">
        <v>11.0025</v>
      </c>
    </row>
    <row r="13473" spans="4:16" x14ac:dyDescent="0.2">
      <c r="D13473">
        <v>100008112</v>
      </c>
      <c r="E13473" s="49">
        <v>44803</v>
      </c>
      <c r="F13473" t="s">
        <v>8490</v>
      </c>
      <c r="G13473" t="s">
        <v>2460</v>
      </c>
      <c r="H13473">
        <v>6</v>
      </c>
      <c r="I13473">
        <v>11.15</v>
      </c>
      <c r="J13473" s="50">
        <v>66.900000000000006</v>
      </c>
      <c r="K13473" t="s">
        <v>1618</v>
      </c>
      <c r="M13473" t="s">
        <v>1627</v>
      </c>
      <c r="N13473">
        <v>5.88</v>
      </c>
      <c r="O13473" s="49">
        <v>44808</v>
      </c>
      <c r="P13473" s="50">
        <v>30.105000000000004</v>
      </c>
    </row>
    <row r="13474" spans="4:16" x14ac:dyDescent="0.2">
      <c r="D13474">
        <v>100008112</v>
      </c>
      <c r="E13474" s="49">
        <v>45063</v>
      </c>
      <c r="F13474" t="s">
        <v>8490</v>
      </c>
      <c r="G13474" t="s">
        <v>2191</v>
      </c>
      <c r="H13474">
        <v>2</v>
      </c>
      <c r="I13474">
        <v>101.2</v>
      </c>
      <c r="J13474" s="50">
        <v>202.4</v>
      </c>
      <c r="K13474" t="s">
        <v>1618</v>
      </c>
      <c r="M13474" t="s">
        <v>1627</v>
      </c>
      <c r="N13474">
        <v>53.41</v>
      </c>
      <c r="O13474" s="49">
        <v>45067</v>
      </c>
      <c r="P13474" s="50">
        <v>91.08</v>
      </c>
    </row>
    <row r="13475" spans="4:16" x14ac:dyDescent="0.2">
      <c r="D13475">
        <v>100008112</v>
      </c>
      <c r="E13475" s="49">
        <v>45492</v>
      </c>
      <c r="F13475" t="s">
        <v>8490</v>
      </c>
      <c r="G13475" t="s">
        <v>2096</v>
      </c>
      <c r="H13475">
        <v>3</v>
      </c>
      <c r="I13475">
        <v>40.950000000000003</v>
      </c>
      <c r="J13475" s="50">
        <v>122.85</v>
      </c>
      <c r="K13475" t="s">
        <v>1618</v>
      </c>
      <c r="M13475" t="s">
        <v>1619</v>
      </c>
      <c r="N13475">
        <v>21.61</v>
      </c>
      <c r="O13475" s="49">
        <v>45497</v>
      </c>
      <c r="P13475" s="50">
        <v>55.282499999999999</v>
      </c>
    </row>
    <row r="13476" spans="4:16" x14ac:dyDescent="0.2">
      <c r="D13476">
        <v>100008113</v>
      </c>
      <c r="E13476" s="49">
        <v>45157</v>
      </c>
      <c r="F13476" t="s">
        <v>8491</v>
      </c>
      <c r="G13476" t="s">
        <v>2048</v>
      </c>
      <c r="H13476">
        <v>8</v>
      </c>
      <c r="I13476">
        <v>107.4</v>
      </c>
      <c r="J13476" s="50">
        <v>859.2</v>
      </c>
      <c r="K13476" t="s">
        <v>1618</v>
      </c>
      <c r="M13476" t="s">
        <v>1629</v>
      </c>
      <c r="N13476">
        <v>56.68</v>
      </c>
      <c r="O13476" s="49">
        <v>45160</v>
      </c>
      <c r="P13476" s="50">
        <v>386.64000000000004</v>
      </c>
    </row>
    <row r="13477" spans="4:16" x14ac:dyDescent="0.2">
      <c r="D13477">
        <v>100008113</v>
      </c>
      <c r="E13477" s="49">
        <v>45548</v>
      </c>
      <c r="F13477" t="s">
        <v>8491</v>
      </c>
      <c r="G13477" t="s">
        <v>2207</v>
      </c>
      <c r="H13477">
        <v>3</v>
      </c>
      <c r="I13477">
        <v>22.24</v>
      </c>
      <c r="J13477" s="50">
        <v>66.72</v>
      </c>
      <c r="K13477" t="s">
        <v>1618</v>
      </c>
      <c r="M13477" t="s">
        <v>1621</v>
      </c>
      <c r="N13477">
        <v>11.74</v>
      </c>
      <c r="O13477" s="49">
        <v>45552</v>
      </c>
      <c r="P13477" s="50">
        <v>30.024000000000001</v>
      </c>
    </row>
    <row r="13478" spans="4:16" x14ac:dyDescent="0.2">
      <c r="D13478">
        <v>100008113</v>
      </c>
      <c r="E13478" s="49">
        <v>44727</v>
      </c>
      <c r="F13478" t="s">
        <v>8491</v>
      </c>
      <c r="G13478" t="s">
        <v>1855</v>
      </c>
      <c r="H13478">
        <v>6</v>
      </c>
      <c r="I13478">
        <v>96.5</v>
      </c>
      <c r="J13478" s="50">
        <v>579</v>
      </c>
      <c r="K13478" t="s">
        <v>1618</v>
      </c>
      <c r="M13478" t="s">
        <v>1627</v>
      </c>
      <c r="N13478">
        <v>50.93</v>
      </c>
      <c r="O13478" s="49">
        <v>44728</v>
      </c>
      <c r="P13478" s="50">
        <v>260.55</v>
      </c>
    </row>
    <row r="13479" spans="4:16" x14ac:dyDescent="0.2">
      <c r="D13479">
        <v>100008113</v>
      </c>
      <c r="E13479" s="49">
        <v>45206</v>
      </c>
      <c r="F13479" t="s">
        <v>8491</v>
      </c>
      <c r="G13479" t="s">
        <v>2090</v>
      </c>
      <c r="H13479">
        <v>10</v>
      </c>
      <c r="I13479">
        <v>88.87</v>
      </c>
      <c r="J13479" s="50">
        <v>888.7</v>
      </c>
      <c r="K13479" t="s">
        <v>1618</v>
      </c>
      <c r="M13479" t="s">
        <v>1629</v>
      </c>
      <c r="N13479">
        <v>46.9</v>
      </c>
      <c r="O13479" s="49">
        <v>45208</v>
      </c>
      <c r="P13479" s="50">
        <v>399.91500000000002</v>
      </c>
    </row>
    <row r="13480" spans="4:16" x14ac:dyDescent="0.2">
      <c r="D13480">
        <v>100008113</v>
      </c>
      <c r="E13480" s="49">
        <v>45643</v>
      </c>
      <c r="F13480" t="s">
        <v>8491</v>
      </c>
      <c r="G13480" t="s">
        <v>2071</v>
      </c>
      <c r="H13480">
        <v>6</v>
      </c>
      <c r="I13480">
        <v>15.75</v>
      </c>
      <c r="J13480" s="50">
        <v>94.5</v>
      </c>
      <c r="K13480" t="s">
        <v>1618</v>
      </c>
      <c r="M13480" t="s">
        <v>1629</v>
      </c>
      <c r="N13480">
        <v>8.31</v>
      </c>
      <c r="O13480" s="49">
        <v>45647</v>
      </c>
      <c r="P13480" s="50">
        <v>42.524999999999999</v>
      </c>
    </row>
    <row r="13481" spans="4:16" x14ac:dyDescent="0.2">
      <c r="D13481">
        <v>100008114</v>
      </c>
      <c r="E13481" s="49">
        <v>45365</v>
      </c>
      <c r="F13481" t="s">
        <v>8492</v>
      </c>
      <c r="G13481" t="s">
        <v>2447</v>
      </c>
      <c r="H13481">
        <v>4</v>
      </c>
      <c r="I13481">
        <v>20.39</v>
      </c>
      <c r="J13481" s="50">
        <v>81.56</v>
      </c>
      <c r="K13481" t="s">
        <v>1632</v>
      </c>
      <c r="M13481" t="s">
        <v>1621</v>
      </c>
      <c r="N13481">
        <v>10.76</v>
      </c>
      <c r="O13481" s="49">
        <v>45370</v>
      </c>
      <c r="P13481" s="50">
        <v>36.702000000000005</v>
      </c>
    </row>
    <row r="13482" spans="4:16" x14ac:dyDescent="0.2">
      <c r="D13482">
        <v>100008114</v>
      </c>
      <c r="E13482" s="49">
        <v>45323</v>
      </c>
      <c r="F13482" t="s">
        <v>8492</v>
      </c>
      <c r="G13482" t="s">
        <v>2016</v>
      </c>
      <c r="H13482">
        <v>3</v>
      </c>
      <c r="I13482">
        <v>74.41</v>
      </c>
      <c r="J13482" s="50">
        <v>223.23</v>
      </c>
      <c r="K13482" t="s">
        <v>1632</v>
      </c>
      <c r="M13482" t="s">
        <v>1627</v>
      </c>
      <c r="N13482">
        <v>39.270000000000003</v>
      </c>
      <c r="O13482" s="49">
        <v>45327</v>
      </c>
      <c r="P13482" s="50">
        <v>100.45349999999999</v>
      </c>
    </row>
    <row r="13483" spans="4:16" x14ac:dyDescent="0.2">
      <c r="D13483">
        <v>100008115</v>
      </c>
      <c r="E13483" s="49">
        <v>44899</v>
      </c>
      <c r="F13483" t="s">
        <v>8493</v>
      </c>
      <c r="G13483" t="s">
        <v>1697</v>
      </c>
      <c r="H13483">
        <v>6</v>
      </c>
      <c r="I13483">
        <v>90.11</v>
      </c>
      <c r="J13483" s="50">
        <v>540.66</v>
      </c>
      <c r="K13483" t="s">
        <v>1618</v>
      </c>
      <c r="M13483" t="s">
        <v>1624</v>
      </c>
      <c r="N13483">
        <v>47.56</v>
      </c>
      <c r="O13483" s="49">
        <v>44902</v>
      </c>
      <c r="P13483" s="50">
        <v>243.297</v>
      </c>
    </row>
    <row r="13484" spans="4:16" x14ac:dyDescent="0.2">
      <c r="D13484">
        <v>100008116</v>
      </c>
      <c r="E13484" s="49">
        <v>44850</v>
      </c>
      <c r="F13484" t="s">
        <v>8494</v>
      </c>
      <c r="G13484" t="s">
        <v>1856</v>
      </c>
      <c r="H13484">
        <v>9</v>
      </c>
      <c r="I13484">
        <v>52.33</v>
      </c>
      <c r="J13484" s="50">
        <v>470.97</v>
      </c>
      <c r="K13484" t="s">
        <v>1618</v>
      </c>
      <c r="M13484" t="s">
        <v>1619</v>
      </c>
      <c r="N13484">
        <v>27.62</v>
      </c>
      <c r="O13484" s="49">
        <v>44852</v>
      </c>
      <c r="P13484" s="50">
        <v>211.93650000000002</v>
      </c>
    </row>
    <row r="13485" spans="4:16" x14ac:dyDescent="0.2">
      <c r="D13485">
        <v>100008117</v>
      </c>
      <c r="E13485" s="49">
        <v>44984</v>
      </c>
      <c r="F13485" t="s">
        <v>8495</v>
      </c>
      <c r="G13485" t="s">
        <v>1758</v>
      </c>
      <c r="H13485">
        <v>9</v>
      </c>
      <c r="I13485">
        <v>14.36</v>
      </c>
      <c r="J13485" s="50">
        <v>129.24</v>
      </c>
      <c r="K13485" t="s">
        <v>1618</v>
      </c>
      <c r="M13485" t="s">
        <v>1619</v>
      </c>
      <c r="N13485">
        <v>7.58</v>
      </c>
      <c r="O13485" s="49">
        <v>44989</v>
      </c>
      <c r="P13485" s="50">
        <v>58.158000000000008</v>
      </c>
    </row>
    <row r="13486" spans="4:16" x14ac:dyDescent="0.2">
      <c r="D13486">
        <v>100008117</v>
      </c>
      <c r="E13486" s="49">
        <v>44227</v>
      </c>
      <c r="F13486" t="s">
        <v>8495</v>
      </c>
      <c r="G13486" t="s">
        <v>1851</v>
      </c>
      <c r="H13486">
        <v>10</v>
      </c>
      <c r="I13486">
        <v>99.95</v>
      </c>
      <c r="J13486" s="50">
        <v>999.5</v>
      </c>
      <c r="K13486" t="s">
        <v>1618</v>
      </c>
      <c r="M13486" t="s">
        <v>1621</v>
      </c>
      <c r="N13486">
        <v>52.75</v>
      </c>
      <c r="O13486" s="49">
        <v>44228</v>
      </c>
      <c r="P13486" s="50">
        <v>449.77500000000003</v>
      </c>
    </row>
    <row r="13487" spans="4:16" x14ac:dyDescent="0.2">
      <c r="D13487">
        <v>100008117</v>
      </c>
      <c r="E13487" s="49">
        <v>44502</v>
      </c>
      <c r="F13487" t="s">
        <v>8495</v>
      </c>
      <c r="G13487" t="s">
        <v>2698</v>
      </c>
      <c r="H13487">
        <v>3</v>
      </c>
      <c r="I13487">
        <v>12.05</v>
      </c>
      <c r="J13487" s="50">
        <v>36.150000000000013</v>
      </c>
      <c r="K13487" t="s">
        <v>1618</v>
      </c>
      <c r="M13487" t="s">
        <v>1627</v>
      </c>
      <c r="N13487">
        <v>6.36</v>
      </c>
      <c r="O13487" s="49">
        <v>44503</v>
      </c>
      <c r="P13487" s="50">
        <v>16.267500000000005</v>
      </c>
    </row>
    <row r="13488" spans="4:16" x14ac:dyDescent="0.2">
      <c r="D13488">
        <v>100008118</v>
      </c>
      <c r="E13488" s="49">
        <v>45267</v>
      </c>
      <c r="F13488" t="s">
        <v>8496</v>
      </c>
      <c r="G13488" t="s">
        <v>2125</v>
      </c>
      <c r="H13488">
        <v>1</v>
      </c>
      <c r="I13488">
        <v>89.89</v>
      </c>
      <c r="J13488" s="50">
        <v>89.89</v>
      </c>
      <c r="K13488" t="s">
        <v>1632</v>
      </c>
      <c r="M13488" t="s">
        <v>1629</v>
      </c>
      <c r="N13488">
        <v>47.44</v>
      </c>
      <c r="O13488" s="49">
        <v>45272</v>
      </c>
      <c r="P13488" s="50">
        <v>40.450499999999998</v>
      </c>
    </row>
    <row r="13489" spans="4:16" x14ac:dyDescent="0.2">
      <c r="D13489">
        <v>100008119</v>
      </c>
      <c r="E13489" s="49">
        <v>45594</v>
      </c>
      <c r="F13489" t="s">
        <v>2967</v>
      </c>
      <c r="G13489" t="s">
        <v>1617</v>
      </c>
      <c r="H13489">
        <v>6</v>
      </c>
      <c r="I13489">
        <v>55.64</v>
      </c>
      <c r="J13489" s="50">
        <v>333.84</v>
      </c>
      <c r="K13489" t="s">
        <v>1632</v>
      </c>
      <c r="M13489" t="s">
        <v>1629</v>
      </c>
      <c r="N13489">
        <v>29.37</v>
      </c>
      <c r="O13489" s="49">
        <v>45595</v>
      </c>
      <c r="P13489" s="50">
        <v>150.22799999999998</v>
      </c>
    </row>
    <row r="13490" spans="4:16" x14ac:dyDescent="0.2">
      <c r="D13490">
        <v>100008121</v>
      </c>
      <c r="E13490" s="49">
        <v>45242</v>
      </c>
      <c r="F13490" t="s">
        <v>8497</v>
      </c>
      <c r="G13490" t="s">
        <v>2585</v>
      </c>
      <c r="H13490">
        <v>7</v>
      </c>
      <c r="I13490">
        <v>112.2</v>
      </c>
      <c r="J13490" s="50">
        <v>785.4</v>
      </c>
      <c r="K13490" t="s">
        <v>1618</v>
      </c>
      <c r="M13490" t="s">
        <v>1619</v>
      </c>
      <c r="N13490">
        <v>59.22</v>
      </c>
      <c r="O13490" s="49">
        <v>45245</v>
      </c>
      <c r="P13490" s="50">
        <v>353.43</v>
      </c>
    </row>
    <row r="13491" spans="4:16" x14ac:dyDescent="0.2">
      <c r="D13491">
        <v>100008121</v>
      </c>
      <c r="E13491" s="49">
        <v>45474</v>
      </c>
      <c r="F13491" t="s">
        <v>8497</v>
      </c>
      <c r="G13491" t="s">
        <v>2213</v>
      </c>
      <c r="H13491">
        <v>10</v>
      </c>
      <c r="I13491">
        <v>88.89</v>
      </c>
      <c r="J13491" s="50">
        <v>888.9</v>
      </c>
      <c r="K13491" t="s">
        <v>1618</v>
      </c>
      <c r="M13491" t="s">
        <v>1619</v>
      </c>
      <c r="N13491">
        <v>46.91</v>
      </c>
      <c r="O13491" s="49">
        <v>45475</v>
      </c>
      <c r="P13491" s="50">
        <v>400.005</v>
      </c>
    </row>
    <row r="13492" spans="4:16" x14ac:dyDescent="0.2">
      <c r="D13492">
        <v>100008121</v>
      </c>
      <c r="E13492" s="49">
        <v>45560</v>
      </c>
      <c r="F13492" t="s">
        <v>8497</v>
      </c>
      <c r="G13492" t="s">
        <v>1842</v>
      </c>
      <c r="H13492">
        <v>10</v>
      </c>
      <c r="I13492">
        <v>24.31</v>
      </c>
      <c r="J13492" s="50">
        <v>243.1</v>
      </c>
      <c r="K13492" t="s">
        <v>1618</v>
      </c>
      <c r="M13492" t="s">
        <v>1629</v>
      </c>
      <c r="N13492">
        <v>12.83</v>
      </c>
      <c r="O13492" s="49">
        <v>45561</v>
      </c>
      <c r="P13492" s="50">
        <v>109.395</v>
      </c>
    </row>
    <row r="13493" spans="4:16" x14ac:dyDescent="0.2">
      <c r="D13493">
        <v>100008121</v>
      </c>
      <c r="E13493" s="49">
        <v>44923</v>
      </c>
      <c r="F13493" t="s">
        <v>8497</v>
      </c>
      <c r="G13493" t="s">
        <v>2041</v>
      </c>
      <c r="H13493">
        <v>6</v>
      </c>
      <c r="I13493">
        <v>34.29</v>
      </c>
      <c r="J13493" s="50">
        <v>205.74</v>
      </c>
      <c r="K13493" t="s">
        <v>1618</v>
      </c>
      <c r="M13493" t="s">
        <v>1629</v>
      </c>
      <c r="N13493">
        <v>18.100000000000001</v>
      </c>
      <c r="O13493" s="49">
        <v>44927</v>
      </c>
      <c r="P13493" s="50">
        <v>92.583000000000013</v>
      </c>
    </row>
    <row r="13494" spans="4:16" x14ac:dyDescent="0.2">
      <c r="D13494">
        <v>100008121</v>
      </c>
      <c r="E13494" s="49">
        <v>44284</v>
      </c>
      <c r="F13494" t="s">
        <v>8497</v>
      </c>
      <c r="G13494" t="s">
        <v>2025</v>
      </c>
      <c r="H13494">
        <v>4</v>
      </c>
      <c r="I13494">
        <v>93.94</v>
      </c>
      <c r="J13494" s="50">
        <v>375.76</v>
      </c>
      <c r="K13494" t="s">
        <v>1618</v>
      </c>
      <c r="M13494" t="s">
        <v>1621</v>
      </c>
      <c r="N13494">
        <v>49.58</v>
      </c>
      <c r="O13494" s="49">
        <v>44286</v>
      </c>
      <c r="P13494" s="50">
        <v>169.09200000000001</v>
      </c>
    </row>
    <row r="13495" spans="4:16" x14ac:dyDescent="0.2">
      <c r="D13495">
        <v>100008123</v>
      </c>
      <c r="E13495" s="49">
        <v>45011</v>
      </c>
      <c r="F13495" t="s">
        <v>8498</v>
      </c>
      <c r="G13495" t="s">
        <v>2182</v>
      </c>
      <c r="H13495">
        <v>10</v>
      </c>
      <c r="I13495">
        <v>22.97</v>
      </c>
      <c r="J13495" s="50">
        <v>229.7</v>
      </c>
      <c r="K13495" t="s">
        <v>1618</v>
      </c>
      <c r="L13495" t="s">
        <v>8499</v>
      </c>
      <c r="M13495" t="s">
        <v>1619</v>
      </c>
      <c r="N13495">
        <v>12.12</v>
      </c>
      <c r="O13495" s="49">
        <v>45016</v>
      </c>
      <c r="P13495" s="50">
        <v>103.36499999999999</v>
      </c>
    </row>
    <row r="13496" spans="4:16" x14ac:dyDescent="0.2">
      <c r="D13496">
        <v>100008124</v>
      </c>
      <c r="E13496" s="49">
        <v>45594</v>
      </c>
      <c r="F13496" t="s">
        <v>8500</v>
      </c>
      <c r="G13496" t="s">
        <v>1877</v>
      </c>
      <c r="H13496">
        <v>10</v>
      </c>
      <c r="I13496">
        <v>78.709999999999994</v>
      </c>
      <c r="J13496" s="50">
        <v>787.09999999999991</v>
      </c>
      <c r="K13496" t="s">
        <v>1632</v>
      </c>
      <c r="M13496" t="s">
        <v>1624</v>
      </c>
      <c r="N13496">
        <v>41.54</v>
      </c>
      <c r="O13496" s="49">
        <v>45595</v>
      </c>
      <c r="P13496" s="50">
        <v>354.19499999999999</v>
      </c>
    </row>
    <row r="13497" spans="4:16" x14ac:dyDescent="0.2">
      <c r="D13497">
        <v>100008125</v>
      </c>
      <c r="E13497" s="49">
        <v>44535</v>
      </c>
      <c r="F13497" t="s">
        <v>8501</v>
      </c>
      <c r="G13497" t="s">
        <v>2393</v>
      </c>
      <c r="H13497">
        <v>1</v>
      </c>
      <c r="I13497">
        <v>106.37</v>
      </c>
      <c r="J13497" s="50">
        <v>106.37</v>
      </c>
      <c r="K13497" t="s">
        <v>1618</v>
      </c>
      <c r="L13497" t="s">
        <v>3279</v>
      </c>
      <c r="M13497" t="s">
        <v>1627</v>
      </c>
      <c r="N13497">
        <v>56.14</v>
      </c>
      <c r="O13497" s="49">
        <v>44538</v>
      </c>
      <c r="P13497" s="50">
        <v>47.866500000000002</v>
      </c>
    </row>
    <row r="13498" spans="4:16" x14ac:dyDescent="0.2">
      <c r="D13498">
        <v>100008127</v>
      </c>
      <c r="E13498" s="49">
        <v>45386</v>
      </c>
      <c r="F13498" t="s">
        <v>8502</v>
      </c>
      <c r="G13498" t="s">
        <v>2155</v>
      </c>
      <c r="H13498">
        <v>10</v>
      </c>
      <c r="I13498">
        <v>113.69</v>
      </c>
      <c r="J13498" s="50">
        <v>1136.9000000000001</v>
      </c>
      <c r="K13498" t="s">
        <v>1632</v>
      </c>
      <c r="M13498" t="s">
        <v>1621</v>
      </c>
      <c r="N13498">
        <v>60</v>
      </c>
      <c r="O13498" s="49">
        <v>45387</v>
      </c>
      <c r="P13498" s="50">
        <v>511.60500000000008</v>
      </c>
    </row>
    <row r="13499" spans="4:16" x14ac:dyDescent="0.2">
      <c r="D13499">
        <v>100008127</v>
      </c>
      <c r="E13499" s="49">
        <v>45236</v>
      </c>
      <c r="F13499" t="s">
        <v>8502</v>
      </c>
      <c r="G13499" t="s">
        <v>1691</v>
      </c>
      <c r="H13499">
        <v>1</v>
      </c>
      <c r="I13499">
        <v>55.52</v>
      </c>
      <c r="J13499" s="50">
        <v>55.52</v>
      </c>
      <c r="K13499" t="s">
        <v>1632</v>
      </c>
      <c r="M13499" t="s">
        <v>1627</v>
      </c>
      <c r="N13499">
        <v>29.3</v>
      </c>
      <c r="O13499" s="49">
        <v>45241</v>
      </c>
      <c r="P13499" s="50">
        <v>24.984000000000002</v>
      </c>
    </row>
    <row r="13500" spans="4:16" x14ac:dyDescent="0.2">
      <c r="D13500">
        <v>100008127</v>
      </c>
      <c r="E13500" s="49">
        <v>45374</v>
      </c>
      <c r="F13500" t="s">
        <v>8502</v>
      </c>
      <c r="G13500" t="s">
        <v>1785</v>
      </c>
      <c r="H13500">
        <v>7</v>
      </c>
      <c r="I13500">
        <v>36.21</v>
      </c>
      <c r="J13500" s="50">
        <v>253.47</v>
      </c>
      <c r="K13500" t="s">
        <v>1632</v>
      </c>
      <c r="M13500" t="s">
        <v>1624</v>
      </c>
      <c r="N13500">
        <v>19.11</v>
      </c>
      <c r="O13500" s="49">
        <v>45379</v>
      </c>
      <c r="P13500" s="50">
        <v>114.0615</v>
      </c>
    </row>
    <row r="13501" spans="4:16" x14ac:dyDescent="0.2">
      <c r="D13501">
        <v>100008127</v>
      </c>
      <c r="E13501" s="49">
        <v>44968</v>
      </c>
      <c r="F13501" t="s">
        <v>8502</v>
      </c>
      <c r="G13501" t="s">
        <v>1782</v>
      </c>
      <c r="H13501">
        <v>4</v>
      </c>
      <c r="I13501">
        <v>35.299999999999997</v>
      </c>
      <c r="J13501" s="50">
        <v>141.19999999999999</v>
      </c>
      <c r="K13501" t="s">
        <v>1632</v>
      </c>
      <c r="M13501" t="s">
        <v>1619</v>
      </c>
      <c r="N13501">
        <v>18.63</v>
      </c>
      <c r="O13501" s="49">
        <v>44971</v>
      </c>
      <c r="P13501" s="50">
        <v>63.54</v>
      </c>
    </row>
    <row r="13502" spans="4:16" x14ac:dyDescent="0.2">
      <c r="D13502">
        <v>100008128</v>
      </c>
      <c r="E13502" s="49">
        <v>44421</v>
      </c>
      <c r="F13502" t="s">
        <v>8503</v>
      </c>
      <c r="G13502" t="s">
        <v>1658</v>
      </c>
      <c r="H13502">
        <v>1</v>
      </c>
      <c r="I13502">
        <v>62.7</v>
      </c>
      <c r="J13502" s="50">
        <v>62.7</v>
      </c>
      <c r="K13502" t="s">
        <v>1632</v>
      </c>
      <c r="M13502" t="s">
        <v>1619</v>
      </c>
      <c r="N13502">
        <v>33.090000000000003</v>
      </c>
      <c r="O13502" s="49">
        <v>44423</v>
      </c>
      <c r="P13502" s="50">
        <v>28.215000000000003</v>
      </c>
    </row>
    <row r="13503" spans="4:16" x14ac:dyDescent="0.2">
      <c r="D13503">
        <v>100008129</v>
      </c>
      <c r="E13503" s="49">
        <v>44222</v>
      </c>
      <c r="F13503" t="s">
        <v>8504</v>
      </c>
      <c r="G13503" t="s">
        <v>1628</v>
      </c>
      <c r="H13503">
        <v>10</v>
      </c>
      <c r="I13503">
        <v>81.25</v>
      </c>
      <c r="J13503" s="50">
        <v>812.5</v>
      </c>
      <c r="K13503" t="s">
        <v>1618</v>
      </c>
      <c r="M13503" t="s">
        <v>1619</v>
      </c>
      <c r="N13503">
        <v>42.88</v>
      </c>
      <c r="O13503" s="49">
        <v>44224</v>
      </c>
      <c r="P13503" s="50">
        <v>365.625</v>
      </c>
    </row>
    <row r="13504" spans="4:16" x14ac:dyDescent="0.2">
      <c r="D13504">
        <v>100008129</v>
      </c>
      <c r="E13504" s="49">
        <v>44754</v>
      </c>
      <c r="F13504" t="s">
        <v>8504</v>
      </c>
      <c r="G13504" t="s">
        <v>1827</v>
      </c>
      <c r="H13504">
        <v>2</v>
      </c>
      <c r="I13504">
        <v>85.61</v>
      </c>
      <c r="J13504" s="50">
        <v>171.22</v>
      </c>
      <c r="K13504" t="s">
        <v>1618</v>
      </c>
      <c r="M13504" t="s">
        <v>1621</v>
      </c>
      <c r="N13504">
        <v>45.18</v>
      </c>
      <c r="O13504" s="49">
        <v>44755</v>
      </c>
      <c r="P13504" s="50">
        <v>77.049000000000007</v>
      </c>
    </row>
    <row r="13505" spans="4:16" x14ac:dyDescent="0.2">
      <c r="D13505">
        <v>100008129</v>
      </c>
      <c r="E13505" s="49">
        <v>44490</v>
      </c>
      <c r="F13505" t="s">
        <v>8504</v>
      </c>
      <c r="G13505" t="s">
        <v>2191</v>
      </c>
      <c r="H13505">
        <v>1</v>
      </c>
      <c r="I13505">
        <v>44.92</v>
      </c>
      <c r="J13505" s="50">
        <v>44.92</v>
      </c>
      <c r="K13505" t="s">
        <v>1618</v>
      </c>
      <c r="M13505" t="s">
        <v>1624</v>
      </c>
      <c r="N13505">
        <v>23.71</v>
      </c>
      <c r="O13505" s="49">
        <v>44494</v>
      </c>
      <c r="P13505" s="50">
        <v>20.214000000000002</v>
      </c>
    </row>
    <row r="13506" spans="4:16" x14ac:dyDescent="0.2">
      <c r="D13506">
        <v>100008129</v>
      </c>
      <c r="E13506" s="49">
        <v>44738</v>
      </c>
      <c r="F13506" t="s">
        <v>8504</v>
      </c>
      <c r="G13506" t="s">
        <v>1714</v>
      </c>
      <c r="H13506">
        <v>4</v>
      </c>
      <c r="I13506">
        <v>114.54</v>
      </c>
      <c r="J13506" s="50">
        <v>458.16</v>
      </c>
      <c r="K13506" t="s">
        <v>1618</v>
      </c>
      <c r="M13506" t="s">
        <v>1619</v>
      </c>
      <c r="N13506">
        <v>60.45</v>
      </c>
      <c r="O13506" s="49">
        <v>44741</v>
      </c>
      <c r="P13506" s="50">
        <v>206.17200000000003</v>
      </c>
    </row>
  </sheetData>
  <conditionalFormatting sqref="F4">
    <cfRule type="cellIs" dxfId="3" priority="1" operator="notEqual">
      <formula>0</formula>
    </cfRule>
  </conditionalFormatting>
  <hyperlinks>
    <hyperlink ref="F4" location="Overall_Error_Check" tooltip="Go to Overall Error Check" display="Overall_Error_Check" xr:uid="{F648DA7C-F3DF-42AA-90A3-5B397B67D2CC}"/>
    <hyperlink ref="A3:E3" location="HL_Navigator" tooltip="Go to Navigator (Table of Contents)" display="Navigator" xr:uid="{56522674-75AB-4C40-96C0-80AB990DAD34}"/>
    <hyperlink ref="A3" location="HL_Navigator" display="Navigator" xr:uid="{A2497BBC-CA5C-4EB6-B4C6-218A219CF121}"/>
  </hyperlink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outlinePr summaryBelow="0" showOutlineSymbols="0"/>
  </sheetPr>
  <dimension ref="A1:R19"/>
  <sheetViews>
    <sheetView showGridLines="0" showOutlineSymbols="0" workbookViewId="0">
      <pane ySplit="4" topLeftCell="A9" activePane="bottomLeft" state="frozen"/>
      <selection activeCell="A3" sqref="A3:E3"/>
      <selection pane="bottomLeft"/>
    </sheetView>
  </sheetViews>
  <sheetFormatPr defaultColWidth="0" defaultRowHeight="11.4" outlineLevelRow="1" x14ac:dyDescent="0.2"/>
  <cols>
    <col min="1" max="5" width="3.75" customWidth="1"/>
    <col min="6" max="12" width="9.125" customWidth="1"/>
    <col min="13" max="18" width="0" hidden="1" customWidth="1"/>
    <col min="19" max="16384" width="9.125" hidden="1"/>
  </cols>
  <sheetData>
    <row r="1" spans="1:11" ht="21" x14ac:dyDescent="0.4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  <c r="I1" s="57"/>
      <c r="J1" s="57"/>
    </row>
    <row r="2" spans="1:11" ht="17.399999999999999" x14ac:dyDescent="0.3">
      <c r="A2" s="41" t="str">
        <f>Model_Name</f>
        <v>SP Python in Excel Example Starter File Chapter 5</v>
      </c>
    </row>
    <row r="3" spans="1:11" ht="12" x14ac:dyDescent="0.25">
      <c r="A3" s="57" t="s">
        <v>0</v>
      </c>
      <c r="B3" s="57"/>
      <c r="C3" s="57"/>
      <c r="D3" s="57"/>
      <c r="E3" s="57"/>
    </row>
    <row r="4" spans="1:11" ht="13.8" x14ac:dyDescent="0.25">
      <c r="B4" t="s">
        <v>5</v>
      </c>
      <c r="F4" s="1">
        <f>Overall_Error_Check</f>
        <v>0</v>
      </c>
    </row>
    <row r="6" spans="1:11" ht="16.2" thickBot="1" x14ac:dyDescent="0.35">
      <c r="B6" s="42">
        <f>MAX($B$5:$B5)+1</f>
        <v>1</v>
      </c>
      <c r="C6" s="2" t="s">
        <v>10</v>
      </c>
      <c r="D6" s="2"/>
      <c r="E6" s="2"/>
      <c r="F6" s="2"/>
      <c r="G6" s="2"/>
      <c r="H6" s="2"/>
      <c r="I6" s="2"/>
      <c r="J6" s="2"/>
      <c r="K6" s="2"/>
    </row>
    <row r="7" spans="1:11" ht="12" outlineLevel="1" thickTop="1" x14ac:dyDescent="0.2"/>
    <row r="8" spans="1:11" ht="16.8" outlineLevel="1" x14ac:dyDescent="0.3">
      <c r="C8" s="3" t="s">
        <v>67</v>
      </c>
    </row>
    <row r="9" spans="1:11" ht="16.8" outlineLevel="1" x14ac:dyDescent="0.3">
      <c r="C9" s="3"/>
    </row>
    <row r="10" spans="1:11" ht="16.8" outlineLevel="1" x14ac:dyDescent="0.3">
      <c r="C10" s="3"/>
      <c r="D10" s="4" t="s">
        <v>68</v>
      </c>
    </row>
    <row r="11" spans="1:11" outlineLevel="1" x14ac:dyDescent="0.2"/>
    <row r="12" spans="1:11" ht="13.8" outlineLevel="1" x14ac:dyDescent="0.25">
      <c r="E12" t="s">
        <v>69</v>
      </c>
      <c r="I12" s="36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9" ht="13.8" outlineLevel="1" x14ac:dyDescent="0.25">
      <c r="E17" s="4" t="str">
        <f>C8</f>
        <v>Summary of Errors</v>
      </c>
      <c r="I17" s="1">
        <f>MIN(1,SUM(I11:I15))</f>
        <v>0</v>
      </c>
    </row>
    <row r="18" spans="5:9" outlineLevel="1" x14ac:dyDescent="0.2"/>
    <row r="19" spans="5:9" outlineLevel="1" x14ac:dyDescent="0.2"/>
  </sheetData>
  <mergeCells count="2">
    <mergeCell ref="I1:J1"/>
    <mergeCell ref="A3:E3"/>
  </mergeCells>
  <conditionalFormatting sqref="I17 F4">
    <cfRule type="cellIs" dxfId="2" priority="3" operator="notEqual">
      <formula>0</formula>
    </cfRule>
  </conditionalFormatting>
  <conditionalFormatting sqref="I12">
    <cfRule type="cellIs" dxfId="1" priority="2" operator="notEqual">
      <formula>0</formula>
    </cfRule>
  </conditionalFormatting>
  <conditionalFormatting sqref="I12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6693A-7CF0-4383-A822-EA525B47C0A7}">
  <dimension ref="A1:E86"/>
  <sheetViews>
    <sheetView topLeftCell="A57" workbookViewId="0">
      <selection activeCell="C66" sqref="C66"/>
    </sheetView>
  </sheetViews>
  <sheetFormatPr defaultRowHeight="11.4" x14ac:dyDescent="0.2"/>
  <cols>
    <col min="1" max="1" width="38.875" bestFit="1" customWidth="1"/>
    <col min="2" max="2" width="13.625" bestFit="1" customWidth="1"/>
    <col min="3" max="3" width="13.375" bestFit="1" customWidth="1"/>
    <col min="4" max="4" width="17.5" bestFit="1" customWidth="1"/>
    <col min="5" max="5" width="11.375" bestFit="1" customWidth="1"/>
  </cols>
  <sheetData>
    <row r="1" spans="1:5" ht="21" x14ac:dyDescent="0.4">
      <c r="A1" s="65" t="s">
        <v>8677</v>
      </c>
    </row>
    <row r="2" spans="1:5" x14ac:dyDescent="0.2">
      <c r="A2" t="s">
        <v>8678</v>
      </c>
    </row>
    <row r="5" spans="1:5" ht="12" x14ac:dyDescent="0.25">
      <c r="A5" s="64" t="s">
        <v>8679</v>
      </c>
    </row>
    <row r="7" spans="1:5" ht="12" x14ac:dyDescent="0.25">
      <c r="A7" s="66" t="s">
        <v>8680</v>
      </c>
      <c r="B7" s="66" t="s">
        <v>8681</v>
      </c>
      <c r="C7" s="66" t="s">
        <v>8682</v>
      </c>
      <c r="D7" s="66" t="s">
        <v>8683</v>
      </c>
      <c r="E7" s="66" t="s">
        <v>8684</v>
      </c>
    </row>
    <row r="8" spans="1:5" x14ac:dyDescent="0.2">
      <c r="A8" t="str">
        <f>TEXT(DATE(2022,1,1),"MMM YYYY")</f>
        <v>Jan 2022</v>
      </c>
      <c r="B8" s="67">
        <f>SUMIFS(Transactions[Sales Amount],Transactions[Transaction Date],"&gt;="&amp;DATE(2022,1,1),Transactions[Transaction Date],"&lt;="&amp;EOMONTH(DATE(2022,1,1),0))</f>
        <v>11187.180000000002</v>
      </c>
      <c r="C8" s="68">
        <f>SUMIFS(Transactions[Quantity Sold],Transactions[Transaction Date],"&gt;="&amp;DATE(2022,1,1),Transactions[Transaction Date],"&lt;="&amp;EOMONTH(DATE(2022,1,1),0))</f>
        <v>1040</v>
      </c>
      <c r="D8" s="68">
        <f>COUNTIFS(Transactions[Transaction Date],"&gt;="&amp;DATE(2022,1,1),Transactions[Transaction Date],"&lt;="&amp;EOMONTH(DATE(2022,1,1),0))</f>
        <v>41</v>
      </c>
      <c r="E8" s="67">
        <f>IF(D8=0,0,B8/D8)</f>
        <v>272.85804878048788</v>
      </c>
    </row>
    <row r="9" spans="1:5" x14ac:dyDescent="0.2">
      <c r="A9" t="str">
        <f>TEXT(DATE(2022,2,1),"MMM YYYY")</f>
        <v>Feb 2022</v>
      </c>
      <c r="B9" s="67">
        <f>SUMIFS(Transactions[Sales Amount],Transactions[Transaction Date],"&gt;="&amp;DATE(2022,2,1),Transactions[Transaction Date],"&lt;="&amp;EOMONTH(DATE(2022,2,1),0))</f>
        <v>13723.360000000002</v>
      </c>
      <c r="C9" s="68">
        <f>SUMIFS(Transactions[Quantity Sold],Transactions[Transaction Date],"&gt;="&amp;DATE(2022,2,1),Transactions[Transaction Date],"&lt;="&amp;EOMONTH(DATE(2022,2,1),0))</f>
        <v>1123</v>
      </c>
      <c r="D9" s="68">
        <f>COUNTIFS(Transactions[Transaction Date],"&gt;="&amp;DATE(2022,2,1),Transactions[Transaction Date],"&lt;="&amp;EOMONTH(DATE(2022,2,1),0))</f>
        <v>50</v>
      </c>
      <c r="E9" s="67">
        <f>IF(D9=0,0,B9/D9)</f>
        <v>274.46720000000005</v>
      </c>
    </row>
    <row r="10" spans="1:5" x14ac:dyDescent="0.2">
      <c r="A10" t="str">
        <f>TEXT(DATE(2022,3,1),"MMM YYYY")</f>
        <v>Mar 2022</v>
      </c>
      <c r="B10" s="67">
        <f>SUMIFS(Transactions[Sales Amount],Transactions[Transaction Date],"&gt;="&amp;DATE(2022,3,1),Transactions[Transaction Date],"&lt;="&amp;EOMONTH(DATE(2022,3,1),0))</f>
        <v>8516.1900000000023</v>
      </c>
      <c r="C10" s="68">
        <f>SUMIFS(Transactions[Quantity Sold],Transactions[Transaction Date],"&gt;="&amp;DATE(2022,3,1),Transactions[Transaction Date],"&lt;="&amp;EOMONTH(DATE(2022,3,1),0))</f>
        <v>961</v>
      </c>
      <c r="D10" s="68">
        <f>COUNTIFS(Transactions[Transaction Date],"&gt;="&amp;DATE(2022,3,1),Transactions[Transaction Date],"&lt;="&amp;EOMONTH(DATE(2022,3,1),0))</f>
        <v>38</v>
      </c>
      <c r="E10" s="67">
        <f>IF(D10=0,0,B10/D10)</f>
        <v>224.11026315789479</v>
      </c>
    </row>
    <row r="11" spans="1:5" x14ac:dyDescent="0.2">
      <c r="A11" t="str">
        <f>TEXT(DATE(2022,4,1),"MMM YYYY")</f>
        <v>Apr 2022</v>
      </c>
      <c r="B11" s="67">
        <f>SUMIFS(Transactions[Sales Amount],Transactions[Transaction Date],"&gt;="&amp;DATE(2022,4,1),Transactions[Transaction Date],"&lt;="&amp;EOMONTH(DATE(2022,4,1),0))</f>
        <v>10500.61</v>
      </c>
      <c r="C11" s="68">
        <f>SUMIFS(Transactions[Quantity Sold],Transactions[Transaction Date],"&gt;="&amp;DATE(2022,4,1),Transactions[Transaction Date],"&lt;="&amp;EOMONTH(DATE(2022,4,1),0))</f>
        <v>1111</v>
      </c>
      <c r="D11" s="68">
        <f>COUNTIFS(Transactions[Transaction Date],"&gt;="&amp;DATE(2022,4,1),Transactions[Transaction Date],"&lt;="&amp;EOMONTH(DATE(2022,4,1),0))</f>
        <v>44</v>
      </c>
      <c r="E11" s="67">
        <f>IF(D11=0,0,B11/D11)</f>
        <v>238.65022727272728</v>
      </c>
    </row>
    <row r="12" spans="1:5" x14ac:dyDescent="0.2">
      <c r="A12" t="str">
        <f>TEXT(DATE(2022,5,1),"MMM YYYY")</f>
        <v>May 2022</v>
      </c>
      <c r="B12" s="67">
        <f>SUMIFS(Transactions[Sales Amount],Transactions[Transaction Date],"&gt;="&amp;DATE(2022,5,1),Transactions[Transaction Date],"&lt;="&amp;EOMONTH(DATE(2022,5,1),0))</f>
        <v>10006.229999999998</v>
      </c>
      <c r="C12" s="68">
        <f>SUMIFS(Transactions[Quantity Sold],Transactions[Transaction Date],"&gt;="&amp;DATE(2022,5,1),Transactions[Transaction Date],"&lt;="&amp;EOMONTH(DATE(2022,5,1),0))</f>
        <v>1017</v>
      </c>
      <c r="D12" s="68">
        <f>COUNTIFS(Transactions[Transaction Date],"&gt;="&amp;DATE(2022,5,1),Transactions[Transaction Date],"&lt;="&amp;EOMONTH(DATE(2022,5,1),0))</f>
        <v>38</v>
      </c>
      <c r="E12" s="67">
        <f>IF(D12=0,0,B12/D12)</f>
        <v>263.3218421052631</v>
      </c>
    </row>
    <row r="13" spans="1:5" x14ac:dyDescent="0.2">
      <c r="A13" t="str">
        <f>TEXT(DATE(2022,6,1),"MMM YYYY")</f>
        <v>Jun 2022</v>
      </c>
      <c r="B13" s="67">
        <f>SUMIFS(Transactions[Sales Amount],Transactions[Transaction Date],"&gt;="&amp;DATE(2022,6,1),Transactions[Transaction Date],"&lt;="&amp;EOMONTH(DATE(2022,6,1),0))</f>
        <v>9634.57</v>
      </c>
      <c r="C13" s="68">
        <f>SUMIFS(Transactions[Quantity Sold],Transactions[Transaction Date],"&gt;="&amp;DATE(2022,6,1),Transactions[Transaction Date],"&lt;="&amp;EOMONTH(DATE(2022,6,1),0))</f>
        <v>995</v>
      </c>
      <c r="D13" s="68">
        <f>COUNTIFS(Transactions[Transaction Date],"&gt;="&amp;DATE(2022,6,1),Transactions[Transaction Date],"&lt;="&amp;EOMONTH(DATE(2022,6,1),0))</f>
        <v>43</v>
      </c>
      <c r="E13" s="67">
        <f>IF(D13=0,0,B13/D13)</f>
        <v>224.05976744186046</v>
      </c>
    </row>
    <row r="14" spans="1:5" x14ac:dyDescent="0.2">
      <c r="A14" t="str">
        <f>TEXT(DATE(2022,7,1),"MMM YYYY")</f>
        <v>Jul 2022</v>
      </c>
      <c r="B14" s="67">
        <f>SUMIFS(Transactions[Sales Amount],Transactions[Transaction Date],"&gt;="&amp;DATE(2022,7,1),Transactions[Transaction Date],"&lt;="&amp;EOMONTH(DATE(2022,7,1),0))</f>
        <v>11649.19</v>
      </c>
      <c r="C14" s="68">
        <f>SUMIFS(Transactions[Quantity Sold],Transactions[Transaction Date],"&gt;="&amp;DATE(2022,7,1),Transactions[Transaction Date],"&lt;="&amp;EOMONTH(DATE(2022,7,1),0))</f>
        <v>1370</v>
      </c>
      <c r="D14" s="68">
        <f>COUNTIFS(Transactions[Transaction Date],"&gt;="&amp;DATE(2022,7,1),Transactions[Transaction Date],"&lt;="&amp;EOMONTH(DATE(2022,7,1),0))</f>
        <v>53</v>
      </c>
      <c r="E14" s="67">
        <f>IF(D14=0,0,B14/D14)</f>
        <v>219.79603773584907</v>
      </c>
    </row>
    <row r="15" spans="1:5" x14ac:dyDescent="0.2">
      <c r="A15" t="str">
        <f>TEXT(DATE(2022,8,1),"MMM YYYY")</f>
        <v>Aug 2022</v>
      </c>
      <c r="B15" s="67">
        <f>SUMIFS(Transactions[Sales Amount],Transactions[Transaction Date],"&gt;="&amp;DATE(2022,8,1),Transactions[Transaction Date],"&lt;="&amp;EOMONTH(DATE(2022,8,1),0))</f>
        <v>11791.069999999998</v>
      </c>
      <c r="C15" s="68">
        <f>SUMIFS(Transactions[Quantity Sold],Transactions[Transaction Date],"&gt;="&amp;DATE(2022,8,1),Transactions[Transaction Date],"&lt;="&amp;EOMONTH(DATE(2022,8,1),0))</f>
        <v>1059</v>
      </c>
      <c r="D15" s="68">
        <f>COUNTIFS(Transactions[Transaction Date],"&gt;="&amp;DATE(2022,8,1),Transactions[Transaction Date],"&lt;="&amp;EOMONTH(DATE(2022,8,1),0))</f>
        <v>40</v>
      </c>
      <c r="E15" s="67">
        <f>IF(D15=0,0,B15/D15)</f>
        <v>294.77674999999994</v>
      </c>
    </row>
    <row r="16" spans="1:5" x14ac:dyDescent="0.2">
      <c r="A16" t="str">
        <f>TEXT(DATE(2022,9,1),"MMM YYYY")</f>
        <v>Sep 2022</v>
      </c>
      <c r="B16" s="67">
        <f>SUMIFS(Transactions[Sales Amount],Transactions[Transaction Date],"&gt;="&amp;DATE(2022,9,1),Transactions[Transaction Date],"&lt;="&amp;EOMONTH(DATE(2022,9,1),0))</f>
        <v>12202.019999999997</v>
      </c>
      <c r="C16" s="68">
        <f>SUMIFS(Transactions[Quantity Sold],Transactions[Transaction Date],"&gt;="&amp;DATE(2022,9,1),Transactions[Transaction Date],"&lt;="&amp;EOMONTH(DATE(2022,9,1),0))</f>
        <v>1184</v>
      </c>
      <c r="D16" s="68">
        <f>COUNTIFS(Transactions[Transaction Date],"&gt;="&amp;DATE(2022,9,1),Transactions[Transaction Date],"&lt;="&amp;EOMONTH(DATE(2022,9,1),0))</f>
        <v>43</v>
      </c>
      <c r="E16" s="67">
        <f>IF(D16=0,0,B16/D16)</f>
        <v>283.76790697674409</v>
      </c>
    </row>
    <row r="17" spans="1:5" x14ac:dyDescent="0.2">
      <c r="A17" t="str">
        <f>TEXT(DATE(2022,10,1),"MMM YYYY")</f>
        <v>Oct 2022</v>
      </c>
      <c r="B17" s="67">
        <f>SUMIFS(Transactions[Sales Amount],Transactions[Transaction Date],"&gt;="&amp;DATE(2022,10,1),Transactions[Transaction Date],"&lt;="&amp;EOMONTH(DATE(2022,10,1),0))</f>
        <v>10410.939999999999</v>
      </c>
      <c r="C17" s="68">
        <f>SUMIFS(Transactions[Quantity Sold],Transactions[Transaction Date],"&gt;="&amp;DATE(2022,10,1),Transactions[Transaction Date],"&lt;="&amp;EOMONTH(DATE(2022,10,1),0))</f>
        <v>908</v>
      </c>
      <c r="D17" s="68">
        <f>COUNTIFS(Transactions[Transaction Date],"&gt;="&amp;DATE(2022,10,1),Transactions[Transaction Date],"&lt;="&amp;EOMONTH(DATE(2022,10,1),0))</f>
        <v>39</v>
      </c>
      <c r="E17" s="67">
        <f>IF(D17=0,0,B17/D17)</f>
        <v>266.94717948717943</v>
      </c>
    </row>
    <row r="18" spans="1:5" x14ac:dyDescent="0.2">
      <c r="A18" t="str">
        <f>TEXT(DATE(2022,11,1),"MMM YYYY")</f>
        <v>Nov 2022</v>
      </c>
      <c r="B18" s="67">
        <f>SUMIFS(Transactions[Sales Amount],Transactions[Transaction Date],"&gt;="&amp;DATE(2022,11,1),Transactions[Transaction Date],"&lt;="&amp;EOMONTH(DATE(2022,11,1),0))</f>
        <v>13215.609999999999</v>
      </c>
      <c r="C18" s="68">
        <f>SUMIFS(Transactions[Quantity Sold],Transactions[Transaction Date],"&gt;="&amp;DATE(2022,11,1),Transactions[Transaction Date],"&lt;="&amp;EOMONTH(DATE(2022,11,1),0))</f>
        <v>1100</v>
      </c>
      <c r="D18" s="68">
        <f>COUNTIFS(Transactions[Transaction Date],"&gt;="&amp;DATE(2022,11,1),Transactions[Transaction Date],"&lt;="&amp;EOMONTH(DATE(2022,11,1),0))</f>
        <v>46</v>
      </c>
      <c r="E18" s="67">
        <f>IF(D18=0,0,B18/D18)</f>
        <v>287.29586956521734</v>
      </c>
    </row>
    <row r="19" spans="1:5" x14ac:dyDescent="0.2">
      <c r="A19" t="str">
        <f>TEXT(DATE(2022,12,1),"MMM YYYY")</f>
        <v>Dec 2022</v>
      </c>
      <c r="B19" s="67">
        <f>SUMIFS(Transactions[Sales Amount],Transactions[Transaction Date],"&gt;="&amp;DATE(2022,12,1),Transactions[Transaction Date],"&lt;="&amp;EOMONTH(DATE(2022,12,1),0))</f>
        <v>12027.46</v>
      </c>
      <c r="C19" s="68">
        <f>SUMIFS(Transactions[Quantity Sold],Transactions[Transaction Date],"&gt;="&amp;DATE(2022,12,1),Transactions[Transaction Date],"&lt;="&amp;EOMONTH(DATE(2022,12,1),0))</f>
        <v>1278</v>
      </c>
      <c r="D19" s="68">
        <f>COUNTIFS(Transactions[Transaction Date],"&gt;="&amp;DATE(2022,12,1),Transactions[Transaction Date],"&lt;="&amp;EOMONTH(DATE(2022,12,1),0))</f>
        <v>48</v>
      </c>
      <c r="E19" s="67">
        <f>IF(D19=0,0,B19/D19)</f>
        <v>250.57208333333332</v>
      </c>
    </row>
    <row r="20" spans="1:5" x14ac:dyDescent="0.2">
      <c r="A20" t="str">
        <f>TEXT(DATE(2023,1,1),"MMM YYYY")</f>
        <v>Jan 2023</v>
      </c>
      <c r="B20" s="67">
        <f>SUMIFS(Transactions[Sales Amount],Transactions[Transaction Date],"&gt;="&amp;DATE(2023,1,1),Transactions[Transaction Date],"&lt;="&amp;EOMONTH(DATE(2023,1,1),0))</f>
        <v>11093.480000000001</v>
      </c>
      <c r="C20" s="68">
        <f>SUMIFS(Transactions[Quantity Sold],Transactions[Transaction Date],"&gt;="&amp;DATE(2023,1,1),Transactions[Transaction Date],"&lt;="&amp;EOMONTH(DATE(2023,1,1),0))</f>
        <v>684</v>
      </c>
      <c r="D20" s="68">
        <f>COUNTIFS(Transactions[Transaction Date],"&gt;="&amp;DATE(2023,1,1),Transactions[Transaction Date],"&lt;="&amp;EOMONTH(DATE(2023,1,1),0))</f>
        <v>36</v>
      </c>
      <c r="E20" s="67">
        <f>IF(D20=0,0,B20/D20)</f>
        <v>308.15222222222224</v>
      </c>
    </row>
    <row r="21" spans="1:5" x14ac:dyDescent="0.2">
      <c r="A21" t="str">
        <f>TEXT(DATE(2023,2,1),"MMM YYYY")</f>
        <v>Feb 2023</v>
      </c>
      <c r="B21" s="67">
        <f>SUMIFS(Transactions[Sales Amount],Transactions[Transaction Date],"&gt;="&amp;DATE(2023,2,1),Transactions[Transaction Date],"&lt;="&amp;EOMONTH(DATE(2023,2,1),0))</f>
        <v>7562.2699999999995</v>
      </c>
      <c r="C21" s="68">
        <f>SUMIFS(Transactions[Quantity Sold],Transactions[Transaction Date],"&gt;="&amp;DATE(2023,2,1),Transactions[Transaction Date],"&lt;="&amp;EOMONTH(DATE(2023,2,1),0))</f>
        <v>753</v>
      </c>
      <c r="D21" s="68">
        <f>COUNTIFS(Transactions[Transaction Date],"&gt;="&amp;DATE(2023,2,1),Transactions[Transaction Date],"&lt;="&amp;EOMONTH(DATE(2023,2,1),0))</f>
        <v>29</v>
      </c>
      <c r="E21" s="67">
        <f>IF(D21=0,0,B21/D21)</f>
        <v>260.76793103448273</v>
      </c>
    </row>
    <row r="22" spans="1:5" x14ac:dyDescent="0.2">
      <c r="A22" t="str">
        <f>TEXT(DATE(2023,3,1),"MMM YYYY")</f>
        <v>Mar 2023</v>
      </c>
      <c r="B22" s="67">
        <f>SUMIFS(Transactions[Sales Amount],Transactions[Transaction Date],"&gt;="&amp;DATE(2023,3,1),Transactions[Transaction Date],"&lt;="&amp;EOMONTH(DATE(2023,3,1),0))</f>
        <v>9742.9</v>
      </c>
      <c r="C22" s="68">
        <f>SUMIFS(Transactions[Quantity Sold],Transactions[Transaction Date],"&gt;="&amp;DATE(2023,3,1),Transactions[Transaction Date],"&lt;="&amp;EOMONTH(DATE(2023,3,1),0))</f>
        <v>899</v>
      </c>
      <c r="D22" s="68">
        <f>COUNTIFS(Transactions[Transaction Date],"&gt;="&amp;DATE(2023,3,1),Transactions[Transaction Date],"&lt;="&amp;EOMONTH(DATE(2023,3,1),0))</f>
        <v>38</v>
      </c>
      <c r="E22" s="67">
        <f>IF(D22=0,0,B22/D22)</f>
        <v>256.39210526315787</v>
      </c>
    </row>
    <row r="23" spans="1:5" x14ac:dyDescent="0.2">
      <c r="A23" t="str">
        <f>TEXT(DATE(2023,4,1),"MMM YYYY")</f>
        <v>Apr 2023</v>
      </c>
      <c r="B23" s="67">
        <f>SUMIFS(Transactions[Sales Amount],Transactions[Transaction Date],"&gt;="&amp;DATE(2023,4,1),Transactions[Transaction Date],"&lt;="&amp;EOMONTH(DATE(2023,4,1),0))</f>
        <v>11493.199999999993</v>
      </c>
      <c r="C23" s="68">
        <f>SUMIFS(Transactions[Quantity Sold],Transactions[Transaction Date],"&gt;="&amp;DATE(2023,4,1),Transactions[Transaction Date],"&lt;="&amp;EOMONTH(DATE(2023,4,1),0))</f>
        <v>925</v>
      </c>
      <c r="D23" s="68">
        <f>COUNTIFS(Transactions[Transaction Date],"&gt;="&amp;DATE(2023,4,1),Transactions[Transaction Date],"&lt;="&amp;EOMONTH(DATE(2023,4,1),0))</f>
        <v>42</v>
      </c>
      <c r="E23" s="67">
        <f>IF(D23=0,0,B23/D23)</f>
        <v>273.64761904761889</v>
      </c>
    </row>
    <row r="24" spans="1:5" x14ac:dyDescent="0.2">
      <c r="A24" t="str">
        <f>TEXT(DATE(2023,5,1),"MMM YYYY")</f>
        <v>May 2023</v>
      </c>
      <c r="B24" s="67">
        <f>SUMIFS(Transactions[Sales Amount],Transactions[Transaction Date],"&gt;="&amp;DATE(2023,5,1),Transactions[Transaction Date],"&lt;="&amp;EOMONTH(DATE(2023,5,1),0))</f>
        <v>10337.180000000002</v>
      </c>
      <c r="C24" s="68">
        <f>SUMIFS(Transactions[Quantity Sold],Transactions[Transaction Date],"&gt;="&amp;DATE(2023,5,1),Transactions[Transaction Date],"&lt;="&amp;EOMONTH(DATE(2023,5,1),0))</f>
        <v>1053</v>
      </c>
      <c r="D24" s="68">
        <f>COUNTIFS(Transactions[Transaction Date],"&gt;="&amp;DATE(2023,5,1),Transactions[Transaction Date],"&lt;="&amp;EOMONTH(DATE(2023,5,1),0))</f>
        <v>44</v>
      </c>
      <c r="E24" s="67">
        <f>IF(D24=0,0,B24/D24)</f>
        <v>234.93590909090915</v>
      </c>
    </row>
    <row r="25" spans="1:5" x14ac:dyDescent="0.2">
      <c r="A25" t="str">
        <f>TEXT(DATE(2023,6,1),"MMM YYYY")</f>
        <v>Jun 2023</v>
      </c>
      <c r="B25" s="67">
        <f>SUMIFS(Transactions[Sales Amount],Transactions[Transaction Date],"&gt;="&amp;DATE(2023,6,1),Transactions[Transaction Date],"&lt;="&amp;EOMONTH(DATE(2023,6,1),0))</f>
        <v>7767.9100000000044</v>
      </c>
      <c r="C25" s="68">
        <f>SUMIFS(Transactions[Quantity Sold],Transactions[Transaction Date],"&gt;="&amp;DATE(2023,6,1),Transactions[Transaction Date],"&lt;="&amp;EOMONTH(DATE(2023,6,1),0))</f>
        <v>798</v>
      </c>
      <c r="D25" s="68">
        <f>COUNTIFS(Transactions[Transaction Date],"&gt;="&amp;DATE(2023,6,1),Transactions[Transaction Date],"&lt;="&amp;EOMONTH(DATE(2023,6,1),0))</f>
        <v>33</v>
      </c>
      <c r="E25" s="67">
        <f>IF(D25=0,0,B25/D25)</f>
        <v>235.39121212121225</v>
      </c>
    </row>
    <row r="26" spans="1:5" x14ac:dyDescent="0.2">
      <c r="A26" t="str">
        <f>TEXT(DATE(2023,7,1),"MMM YYYY")</f>
        <v>Jul 2023</v>
      </c>
      <c r="B26" s="67">
        <f>SUMIFS(Transactions[Sales Amount],Transactions[Transaction Date],"&gt;="&amp;DATE(2023,7,1),Transactions[Transaction Date],"&lt;="&amp;EOMONTH(DATE(2023,7,1),0))</f>
        <v>7839.52</v>
      </c>
      <c r="C26" s="68">
        <f>SUMIFS(Transactions[Quantity Sold],Transactions[Transaction Date],"&gt;="&amp;DATE(2023,7,1),Transactions[Transaction Date],"&lt;="&amp;EOMONTH(DATE(2023,7,1),0))</f>
        <v>772</v>
      </c>
      <c r="D26" s="68">
        <f>COUNTIFS(Transactions[Transaction Date],"&gt;="&amp;DATE(2023,7,1),Transactions[Transaction Date],"&lt;="&amp;EOMONTH(DATE(2023,7,1),0))</f>
        <v>31</v>
      </c>
      <c r="E26" s="67">
        <f>IF(D26=0,0,B26/D26)</f>
        <v>252.88774193548389</v>
      </c>
    </row>
    <row r="27" spans="1:5" x14ac:dyDescent="0.2">
      <c r="A27" t="str">
        <f>TEXT(DATE(2023,8,1),"MMM YYYY")</f>
        <v>Aug 2023</v>
      </c>
      <c r="B27" s="67">
        <f>SUMIFS(Transactions[Sales Amount],Transactions[Transaction Date],"&gt;="&amp;DATE(2023,8,1),Transactions[Transaction Date],"&lt;="&amp;EOMONTH(DATE(2023,8,1),0))</f>
        <v>11059.349999999999</v>
      </c>
      <c r="C27" s="68">
        <f>SUMIFS(Transactions[Quantity Sold],Transactions[Transaction Date],"&gt;="&amp;DATE(2023,8,1),Transactions[Transaction Date],"&lt;="&amp;EOMONTH(DATE(2023,8,1),0))</f>
        <v>1301</v>
      </c>
      <c r="D27" s="68">
        <f>COUNTIFS(Transactions[Transaction Date],"&gt;="&amp;DATE(2023,8,1),Transactions[Transaction Date],"&lt;="&amp;EOMONTH(DATE(2023,8,1),0))</f>
        <v>47</v>
      </c>
      <c r="E27" s="67">
        <f>IF(D27=0,0,B27/D27)</f>
        <v>235.30531914893615</v>
      </c>
    </row>
    <row r="28" spans="1:5" x14ac:dyDescent="0.2">
      <c r="A28" t="str">
        <f>TEXT(DATE(2023,9,1),"MMM YYYY")</f>
        <v>Sep 2023</v>
      </c>
      <c r="B28" s="67">
        <f>SUMIFS(Transactions[Sales Amount],Transactions[Transaction Date],"&gt;="&amp;DATE(2023,9,1),Transactions[Transaction Date],"&lt;="&amp;EOMONTH(DATE(2023,9,1),0))</f>
        <v>10202.520000000002</v>
      </c>
      <c r="C28" s="68">
        <f>SUMIFS(Transactions[Quantity Sold],Transactions[Transaction Date],"&gt;="&amp;DATE(2023,9,1),Transactions[Transaction Date],"&lt;="&amp;EOMONTH(DATE(2023,9,1),0))</f>
        <v>901</v>
      </c>
      <c r="D28" s="68">
        <f>COUNTIFS(Transactions[Transaction Date],"&gt;="&amp;DATE(2023,9,1),Transactions[Transaction Date],"&lt;="&amp;EOMONTH(DATE(2023,9,1),0))</f>
        <v>37</v>
      </c>
      <c r="E28" s="67">
        <f>IF(D28=0,0,B28/D28)</f>
        <v>275.74378378378384</v>
      </c>
    </row>
    <row r="29" spans="1:5" x14ac:dyDescent="0.2">
      <c r="A29" t="str">
        <f>TEXT(DATE(2023,10,1),"MMM YYYY")</f>
        <v>Oct 2023</v>
      </c>
      <c r="B29" s="67">
        <f>SUMIFS(Transactions[Sales Amount],Transactions[Transaction Date],"&gt;="&amp;DATE(2023,10,1),Transactions[Transaction Date],"&lt;="&amp;EOMONTH(DATE(2023,10,1),0))</f>
        <v>10944.589999999997</v>
      </c>
      <c r="C29" s="68">
        <f>SUMIFS(Transactions[Quantity Sold],Transactions[Transaction Date],"&gt;="&amp;DATE(2023,10,1),Transactions[Transaction Date],"&lt;="&amp;EOMONTH(DATE(2023,10,1),0))</f>
        <v>1118</v>
      </c>
      <c r="D29" s="68">
        <f>COUNTIFS(Transactions[Transaction Date],"&gt;="&amp;DATE(2023,10,1),Transactions[Transaction Date],"&lt;="&amp;EOMONTH(DATE(2023,10,1),0))</f>
        <v>40</v>
      </c>
      <c r="E29" s="67">
        <f>IF(D29=0,0,B29/D29)</f>
        <v>273.6147499999999</v>
      </c>
    </row>
    <row r="30" spans="1:5" x14ac:dyDescent="0.2">
      <c r="A30" t="str">
        <f>TEXT(DATE(2023,11,1),"MMM YYYY")</f>
        <v>Nov 2023</v>
      </c>
      <c r="B30" s="67">
        <f>SUMIFS(Transactions[Sales Amount],Transactions[Transaction Date],"&gt;="&amp;DATE(2023,11,1),Transactions[Transaction Date],"&lt;="&amp;EOMONTH(DATE(2023,11,1),0))</f>
        <v>10400.830000000002</v>
      </c>
      <c r="C30" s="68">
        <f>SUMIFS(Transactions[Quantity Sold],Transactions[Transaction Date],"&gt;="&amp;DATE(2023,11,1),Transactions[Transaction Date],"&lt;="&amp;EOMONTH(DATE(2023,11,1),0))</f>
        <v>1019</v>
      </c>
      <c r="D30" s="68">
        <f>COUNTIFS(Transactions[Transaction Date],"&gt;="&amp;DATE(2023,11,1),Transactions[Transaction Date],"&lt;="&amp;EOMONTH(DATE(2023,11,1),0))</f>
        <v>41</v>
      </c>
      <c r="E30" s="67">
        <f>IF(D30=0,0,B30/D30)</f>
        <v>253.67878048780491</v>
      </c>
    </row>
    <row r="31" spans="1:5" x14ac:dyDescent="0.2">
      <c r="A31" t="str">
        <f>TEXT(DATE(2023,12,1),"MMM YYYY")</f>
        <v>Dec 2023</v>
      </c>
      <c r="B31" s="67">
        <f>SUMIFS(Transactions[Sales Amount],Transactions[Transaction Date],"&gt;="&amp;DATE(2023,12,1),Transactions[Transaction Date],"&lt;="&amp;EOMONTH(DATE(2023,12,1),0))</f>
        <v>8618.4599999999991</v>
      </c>
      <c r="C31" s="68">
        <f>SUMIFS(Transactions[Quantity Sold],Transactions[Transaction Date],"&gt;="&amp;DATE(2023,12,1),Transactions[Transaction Date],"&lt;="&amp;EOMONTH(DATE(2023,12,1),0))</f>
        <v>892</v>
      </c>
      <c r="D31" s="68">
        <f>COUNTIFS(Transactions[Transaction Date],"&gt;="&amp;DATE(2023,12,1),Transactions[Transaction Date],"&lt;="&amp;EOMONTH(DATE(2023,12,1),0))</f>
        <v>37</v>
      </c>
      <c r="E31" s="67">
        <f>IF(D31=0,0,B31/D31)</f>
        <v>232.93135135135134</v>
      </c>
    </row>
    <row r="32" spans="1:5" x14ac:dyDescent="0.2">
      <c r="A32" t="str">
        <f>TEXT(DATE(2024,1,1),"MMM YYYY")</f>
        <v>Jan 2024</v>
      </c>
      <c r="B32" s="67">
        <f>SUMIFS(Transactions[Sales Amount],Transactions[Transaction Date],"&gt;="&amp;DATE(2024,1,1),Transactions[Transaction Date],"&lt;="&amp;EOMONTH(DATE(2024,1,1),0))</f>
        <v>13985.990000000002</v>
      </c>
      <c r="C32" s="68">
        <f>SUMIFS(Transactions[Quantity Sold],Transactions[Transaction Date],"&gt;="&amp;DATE(2024,1,1),Transactions[Transaction Date],"&lt;="&amp;EOMONTH(DATE(2024,1,1),0))</f>
        <v>1341</v>
      </c>
      <c r="D32" s="68">
        <f>COUNTIFS(Transactions[Transaction Date],"&gt;="&amp;DATE(2024,1,1),Transactions[Transaction Date],"&lt;="&amp;EOMONTH(DATE(2024,1,1),0))</f>
        <v>54</v>
      </c>
      <c r="E32" s="67">
        <f>IF(D32=0,0,B32/D32)</f>
        <v>258.99981481481484</v>
      </c>
    </row>
    <row r="33" spans="1:5" x14ac:dyDescent="0.2">
      <c r="A33" t="str">
        <f>TEXT(DATE(2024,2,1),"MMM YYYY")</f>
        <v>Feb 2024</v>
      </c>
      <c r="B33" s="67">
        <f>SUMIFS(Transactions[Sales Amount],Transactions[Transaction Date],"&gt;="&amp;DATE(2024,2,1),Transactions[Transaction Date],"&lt;="&amp;EOMONTH(DATE(2024,2,1),0))</f>
        <v>9085</v>
      </c>
      <c r="C33" s="68">
        <f>SUMIFS(Transactions[Quantity Sold],Transactions[Transaction Date],"&gt;="&amp;DATE(2024,2,1),Transactions[Transaction Date],"&lt;="&amp;EOMONTH(DATE(2024,2,1),0))</f>
        <v>902</v>
      </c>
      <c r="D33" s="68">
        <f>COUNTIFS(Transactions[Transaction Date],"&gt;="&amp;DATE(2024,2,1),Transactions[Transaction Date],"&lt;="&amp;EOMONTH(DATE(2024,2,1),0))</f>
        <v>31</v>
      </c>
      <c r="E33" s="67">
        <f>IF(D33=0,0,B33/D33)</f>
        <v>293.06451612903226</v>
      </c>
    </row>
    <row r="34" spans="1:5" x14ac:dyDescent="0.2">
      <c r="A34" t="str">
        <f>TEXT(DATE(2024,3,1),"MMM YYYY")</f>
        <v>Mar 2024</v>
      </c>
      <c r="B34" s="67">
        <f>SUMIFS(Transactions[Sales Amount],Transactions[Transaction Date],"&gt;="&amp;DATE(2024,3,1),Transactions[Transaction Date],"&lt;="&amp;EOMONTH(DATE(2024,3,1),0))</f>
        <v>9467.2200000000012</v>
      </c>
      <c r="C34" s="68">
        <f>SUMIFS(Transactions[Quantity Sold],Transactions[Transaction Date],"&gt;="&amp;DATE(2024,3,1),Transactions[Transaction Date],"&lt;="&amp;EOMONTH(DATE(2024,3,1),0))</f>
        <v>1115</v>
      </c>
      <c r="D34" s="68">
        <f>COUNTIFS(Transactions[Transaction Date],"&gt;="&amp;DATE(2024,3,1),Transactions[Transaction Date],"&lt;="&amp;EOMONTH(DATE(2024,3,1),0))</f>
        <v>40</v>
      </c>
      <c r="E34" s="67">
        <f>IF(D34=0,0,B34/D34)</f>
        <v>236.68050000000002</v>
      </c>
    </row>
    <row r="35" spans="1:5" x14ac:dyDescent="0.2">
      <c r="A35" t="str">
        <f>TEXT(DATE(2024,4,1),"MMM YYYY")</f>
        <v>Apr 2024</v>
      </c>
      <c r="B35" s="67">
        <f>SUMIFS(Transactions[Sales Amount],Transactions[Transaction Date],"&gt;="&amp;DATE(2024,4,1),Transactions[Transaction Date],"&lt;="&amp;EOMONTH(DATE(2024,4,1),0))</f>
        <v>12224.45</v>
      </c>
      <c r="C35" s="68">
        <f>SUMIFS(Transactions[Quantity Sold],Transactions[Transaction Date],"&gt;="&amp;DATE(2024,4,1),Transactions[Transaction Date],"&lt;="&amp;EOMONTH(DATE(2024,4,1),0))</f>
        <v>1099</v>
      </c>
      <c r="D35" s="68">
        <f>COUNTIFS(Transactions[Transaction Date],"&gt;="&amp;DATE(2024,4,1),Transactions[Transaction Date],"&lt;="&amp;EOMONTH(DATE(2024,4,1),0))</f>
        <v>45</v>
      </c>
      <c r="E35" s="67">
        <f>IF(D35=0,0,B35/D35)</f>
        <v>271.65444444444444</v>
      </c>
    </row>
    <row r="36" spans="1:5" x14ac:dyDescent="0.2">
      <c r="A36" t="str">
        <f>TEXT(DATE(2024,5,1),"MMM YYYY")</f>
        <v>May 2024</v>
      </c>
      <c r="B36" s="67">
        <f>SUMIFS(Transactions[Sales Amount],Transactions[Transaction Date],"&gt;="&amp;DATE(2024,5,1),Transactions[Transaction Date],"&lt;="&amp;EOMONTH(DATE(2024,5,1),0))</f>
        <v>10073.09</v>
      </c>
      <c r="C36" s="68">
        <f>SUMIFS(Transactions[Quantity Sold],Transactions[Transaction Date],"&gt;="&amp;DATE(2024,5,1),Transactions[Transaction Date],"&lt;="&amp;EOMONTH(DATE(2024,5,1),0))</f>
        <v>914</v>
      </c>
      <c r="D36" s="68">
        <f>COUNTIFS(Transactions[Transaction Date],"&gt;="&amp;DATE(2024,5,1),Transactions[Transaction Date],"&lt;="&amp;EOMONTH(DATE(2024,5,1),0))</f>
        <v>38</v>
      </c>
      <c r="E36" s="67">
        <f>IF(D36=0,0,B36/D36)</f>
        <v>265.08131578947371</v>
      </c>
    </row>
    <row r="37" spans="1:5" x14ac:dyDescent="0.2">
      <c r="A37" t="str">
        <f>TEXT(DATE(2024,6,1),"MMM YYYY")</f>
        <v>Jun 2024</v>
      </c>
      <c r="B37" s="67">
        <f>SUMIFS(Transactions[Sales Amount],Transactions[Transaction Date],"&gt;="&amp;DATE(2024,6,1),Transactions[Transaction Date],"&lt;="&amp;EOMONTH(DATE(2024,6,1),0))</f>
        <v>10641.380000000001</v>
      </c>
      <c r="C37" s="68">
        <f>SUMIFS(Transactions[Quantity Sold],Transactions[Transaction Date],"&gt;="&amp;DATE(2024,6,1),Transactions[Transaction Date],"&lt;="&amp;EOMONTH(DATE(2024,6,1),0))</f>
        <v>1041</v>
      </c>
      <c r="D37" s="68">
        <f>COUNTIFS(Transactions[Transaction Date],"&gt;="&amp;DATE(2024,6,1),Transactions[Transaction Date],"&lt;="&amp;EOMONTH(DATE(2024,6,1),0))</f>
        <v>44</v>
      </c>
      <c r="E37" s="67">
        <f>IF(D37=0,0,B37/D37)</f>
        <v>241.84954545454548</v>
      </c>
    </row>
    <row r="38" spans="1:5" x14ac:dyDescent="0.2">
      <c r="A38" t="str">
        <f>TEXT(DATE(2024,7,1),"MMM YYYY")</f>
        <v>Jul 2024</v>
      </c>
      <c r="B38" s="67">
        <f>SUMIFS(Transactions[Sales Amount],Transactions[Transaction Date],"&gt;="&amp;DATE(2024,7,1),Transactions[Transaction Date],"&lt;="&amp;EOMONTH(DATE(2024,7,1),0))</f>
        <v>12487.420000000002</v>
      </c>
      <c r="C38" s="68">
        <f>SUMIFS(Transactions[Quantity Sold],Transactions[Transaction Date],"&gt;="&amp;DATE(2024,7,1),Transactions[Transaction Date],"&lt;="&amp;EOMONTH(DATE(2024,7,1),0))</f>
        <v>1154</v>
      </c>
      <c r="D38" s="68">
        <f>COUNTIFS(Transactions[Transaction Date],"&gt;="&amp;DATE(2024,7,1),Transactions[Transaction Date],"&lt;="&amp;EOMONTH(DATE(2024,7,1),0))</f>
        <v>46</v>
      </c>
      <c r="E38" s="67">
        <f>IF(D38=0,0,B38/D38)</f>
        <v>271.4656521739131</v>
      </c>
    </row>
    <row r="39" spans="1:5" x14ac:dyDescent="0.2">
      <c r="A39" t="str">
        <f>TEXT(DATE(2024,8,1),"MMM YYYY")</f>
        <v>Aug 2024</v>
      </c>
      <c r="B39" s="67">
        <f>SUMIFS(Transactions[Sales Amount],Transactions[Transaction Date],"&gt;="&amp;DATE(2024,8,1),Transactions[Transaction Date],"&lt;="&amp;EOMONTH(DATE(2024,8,1),0))</f>
        <v>14072.24</v>
      </c>
      <c r="C39" s="68">
        <f>SUMIFS(Transactions[Quantity Sold],Transactions[Transaction Date],"&gt;="&amp;DATE(2024,8,1),Transactions[Transaction Date],"&lt;="&amp;EOMONTH(DATE(2024,8,1),0))</f>
        <v>1496</v>
      </c>
      <c r="D39" s="68">
        <f>COUNTIFS(Transactions[Transaction Date],"&gt;="&amp;DATE(2024,8,1),Transactions[Transaction Date],"&lt;="&amp;EOMONTH(DATE(2024,8,1),0))</f>
        <v>51</v>
      </c>
      <c r="E39" s="67">
        <f>IF(D39=0,0,B39/D39)</f>
        <v>275.92627450980393</v>
      </c>
    </row>
    <row r="40" spans="1:5" x14ac:dyDescent="0.2">
      <c r="A40" t="str">
        <f>TEXT(DATE(2024,9,1),"MMM YYYY")</f>
        <v>Sep 2024</v>
      </c>
      <c r="B40" s="67">
        <f>SUMIFS(Transactions[Sales Amount],Transactions[Transaction Date],"&gt;="&amp;DATE(2024,9,1),Transactions[Transaction Date],"&lt;="&amp;EOMONTH(DATE(2024,9,1),0))</f>
        <v>11256.02</v>
      </c>
      <c r="C40" s="68">
        <f>SUMIFS(Transactions[Quantity Sold],Transactions[Transaction Date],"&gt;="&amp;DATE(2024,9,1),Transactions[Transaction Date],"&lt;="&amp;EOMONTH(DATE(2024,9,1),0))</f>
        <v>1057</v>
      </c>
      <c r="D40" s="68">
        <f>COUNTIFS(Transactions[Transaction Date],"&gt;="&amp;DATE(2024,9,1),Transactions[Transaction Date],"&lt;="&amp;EOMONTH(DATE(2024,9,1),0))</f>
        <v>48</v>
      </c>
      <c r="E40" s="67">
        <f>IF(D40=0,0,B40/D40)</f>
        <v>234.50041666666667</v>
      </c>
    </row>
    <row r="41" spans="1:5" x14ac:dyDescent="0.2">
      <c r="A41" t="str">
        <f>TEXT(DATE(2024,10,1),"MMM YYYY")</f>
        <v>Oct 2024</v>
      </c>
      <c r="B41" s="67">
        <f>SUMIFS(Transactions[Sales Amount],Transactions[Transaction Date],"&gt;="&amp;DATE(2024,10,1),Transactions[Transaction Date],"&lt;="&amp;EOMONTH(DATE(2024,10,1),0))</f>
        <v>10913.299999999997</v>
      </c>
      <c r="C41" s="68">
        <f>SUMIFS(Transactions[Quantity Sold],Transactions[Transaction Date],"&gt;="&amp;DATE(2024,10,1),Transactions[Transaction Date],"&lt;="&amp;EOMONTH(DATE(2024,10,1),0))</f>
        <v>1178</v>
      </c>
      <c r="D41" s="68">
        <f>COUNTIFS(Transactions[Transaction Date],"&gt;="&amp;DATE(2024,10,1),Transactions[Transaction Date],"&lt;="&amp;EOMONTH(DATE(2024,10,1),0))</f>
        <v>42</v>
      </c>
      <c r="E41" s="67">
        <f>IF(D41=0,0,B41/D41)</f>
        <v>259.84047619047612</v>
      </c>
    </row>
    <row r="42" spans="1:5" x14ac:dyDescent="0.2">
      <c r="A42" t="str">
        <f>TEXT(DATE(2024,11,1),"MMM YYYY")</f>
        <v>Nov 2024</v>
      </c>
      <c r="B42" s="67">
        <f>SUMIFS(Transactions[Sales Amount],Transactions[Transaction Date],"&gt;="&amp;DATE(2024,11,1),Transactions[Transaction Date],"&lt;="&amp;EOMONTH(DATE(2024,11,1),0))</f>
        <v>10615.22</v>
      </c>
      <c r="C42" s="68">
        <f>SUMIFS(Transactions[Quantity Sold],Transactions[Transaction Date],"&gt;="&amp;DATE(2024,11,1),Transactions[Transaction Date],"&lt;="&amp;EOMONTH(DATE(2024,11,1),0))</f>
        <v>1154</v>
      </c>
      <c r="D42" s="68">
        <f>COUNTIFS(Transactions[Transaction Date],"&gt;="&amp;DATE(2024,11,1),Transactions[Transaction Date],"&lt;="&amp;EOMONTH(DATE(2024,11,1),0))</f>
        <v>41</v>
      </c>
      <c r="E42" s="67">
        <f>IF(D42=0,0,B42/D42)</f>
        <v>258.90780487804875</v>
      </c>
    </row>
    <row r="43" spans="1:5" x14ac:dyDescent="0.2">
      <c r="A43" t="str">
        <f>TEXT(DATE(2024,12,1),"MMM YYYY")</f>
        <v>Dec 2024</v>
      </c>
      <c r="B43" s="67">
        <f>SUMIFS(Transactions[Sales Amount],Transactions[Transaction Date],"&gt;="&amp;DATE(2024,12,1),Transactions[Transaction Date],"&lt;="&amp;EOMONTH(DATE(2024,12,1),0))</f>
        <v>10779.31</v>
      </c>
      <c r="C43" s="68">
        <f>SUMIFS(Transactions[Quantity Sold],Transactions[Transaction Date],"&gt;="&amp;DATE(2024,12,1),Transactions[Transaction Date],"&lt;="&amp;EOMONTH(DATE(2024,12,1),0))</f>
        <v>985</v>
      </c>
      <c r="D43" s="68">
        <f>COUNTIFS(Transactions[Transaction Date],"&gt;="&amp;DATE(2024,12,1),Transactions[Transaction Date],"&lt;="&amp;EOMONTH(DATE(2024,12,1),0))</f>
        <v>42</v>
      </c>
      <c r="E43" s="67">
        <f>IF(D43=0,0,B43/D43)</f>
        <v>256.65023809523808</v>
      </c>
    </row>
    <row r="46" spans="1:5" ht="12" x14ac:dyDescent="0.25">
      <c r="A46" s="64" t="s">
        <v>8685</v>
      </c>
    </row>
    <row r="48" spans="1:5" ht="12" x14ac:dyDescent="0.25">
      <c r="A48" s="66" t="s">
        <v>83</v>
      </c>
      <c r="B48" s="66" t="s">
        <v>8681</v>
      </c>
      <c r="C48" s="66" t="s">
        <v>8682</v>
      </c>
      <c r="D48" s="66" t="s">
        <v>8686</v>
      </c>
    </row>
    <row r="49" spans="1:4" x14ac:dyDescent="0.2">
      <c r="A49" t="s">
        <v>124</v>
      </c>
      <c r="B49" s="67">
        <f>SUMIF(Transactions[Product],"bagels",Transactions[Sales Amount])</f>
        <v>58624.460000000021</v>
      </c>
      <c r="C49" s="68">
        <f>SUMIF(Transactions[Product],"bagels",Transactions[Quantity Sold])</f>
        <v>6340</v>
      </c>
      <c r="D49" s="69">
        <f>B49/SUM(B$49:B$54)</f>
        <v>0.15127827904141358</v>
      </c>
    </row>
    <row r="50" spans="1:4" x14ac:dyDescent="0.2">
      <c r="A50" t="s">
        <v>109</v>
      </c>
      <c r="B50" s="67">
        <f>SUMIF(Transactions[Product],"chips",Transactions[Sales Amount])</f>
        <v>71511.459999999963</v>
      </c>
      <c r="C50" s="68">
        <f>SUMIF(Transactions[Product],"chips",Transactions[Quantity Sold])</f>
        <v>6734</v>
      </c>
      <c r="D50" s="69">
        <f>B50/SUM(B$49:B$54)</f>
        <v>0.18453271212287289</v>
      </c>
    </row>
    <row r="51" spans="1:4" x14ac:dyDescent="0.2">
      <c r="A51" t="s">
        <v>97</v>
      </c>
      <c r="B51" s="67">
        <f>SUMIF(Transactions[Product],"chocolate cake",Transactions[Sales Amount])</f>
        <v>62022.42000000002</v>
      </c>
      <c r="C51" s="68">
        <f>SUMIF(Transactions[Product],"chocolate cake",Transactions[Quantity Sold])</f>
        <v>6244</v>
      </c>
      <c r="D51" s="69">
        <f>B51/SUM(B$49:B$54)</f>
        <v>0.16004659078452493</v>
      </c>
    </row>
    <row r="52" spans="1:4" x14ac:dyDescent="0.2">
      <c r="A52" t="s">
        <v>89</v>
      </c>
      <c r="B52" s="67">
        <f>SUMIF(Transactions[Product],"cookies",Transactions[Sales Amount])</f>
        <v>64848.05</v>
      </c>
      <c r="C52" s="68">
        <f>SUMIF(Transactions[Product],"cookies",Transactions[Quantity Sold])</f>
        <v>5792</v>
      </c>
      <c r="D52" s="69">
        <f>B52/SUM(B$49:B$54)</f>
        <v>0.16733802585459273</v>
      </c>
    </row>
    <row r="53" spans="1:4" x14ac:dyDescent="0.2">
      <c r="A53" t="s">
        <v>92</v>
      </c>
      <c r="B53" s="67">
        <f>SUMIF(Transactions[Product],"ice cream",Transactions[Sales Amount])</f>
        <v>60060.349999999955</v>
      </c>
      <c r="C53" s="68">
        <f>SUMIF(Transactions[Product],"ice cream",Transactions[Quantity Sold])</f>
        <v>6074</v>
      </c>
      <c r="D53" s="69">
        <f>B53/SUM(B$49:B$54)</f>
        <v>0.15498354077163279</v>
      </c>
    </row>
    <row r="54" spans="1:4" x14ac:dyDescent="0.2">
      <c r="A54" t="s">
        <v>102</v>
      </c>
      <c r="B54" s="67">
        <f>SUMIF(Transactions[Product],"spread",Transactions[Sales Amount])</f>
        <v>70460.540000000008</v>
      </c>
      <c r="C54" s="68">
        <f>SUMIF(Transactions[Product],"spread",Transactions[Quantity Sold])</f>
        <v>6513</v>
      </c>
      <c r="D54" s="69">
        <f>B54/SUM(B$49:B$54)</f>
        <v>0.1818208514249629</v>
      </c>
    </row>
    <row r="55" spans="1:4" ht="12" x14ac:dyDescent="0.25">
      <c r="A55" s="64" t="s">
        <v>8687</v>
      </c>
      <c r="B55" s="70">
        <f>SUM(B49:B54)</f>
        <v>387527.28</v>
      </c>
      <c r="C55" s="71">
        <f>SUM(C49:C54)</f>
        <v>37697</v>
      </c>
      <c r="D55" s="72">
        <f>SUM(D49:D54)</f>
        <v>0.99999999999999978</v>
      </c>
    </row>
    <row r="63" spans="1:4" ht="12" x14ac:dyDescent="0.25">
      <c r="A63" s="64" t="s">
        <v>8688</v>
      </c>
    </row>
    <row r="65" spans="1:4" ht="12" x14ac:dyDescent="0.25">
      <c r="A65" s="66" t="s">
        <v>81</v>
      </c>
      <c r="B65" s="66" t="s">
        <v>8681</v>
      </c>
      <c r="C65" s="66" t="s">
        <v>8682</v>
      </c>
      <c r="D65" s="66" t="s">
        <v>8686</v>
      </c>
    </row>
    <row r="66" spans="1:4" x14ac:dyDescent="0.2">
      <c r="A66" t="s">
        <v>108</v>
      </c>
      <c r="B66" s="67">
        <f>SUMIF(Transactions[City],"Boston",Transactions[Sales Amount])</f>
        <v>47139.729999999981</v>
      </c>
      <c r="C66" s="68">
        <f>SUMIF(Transactions[City],"Boston",Transactions[Quantity Sold])</f>
        <v>4660</v>
      </c>
      <c r="D66" s="69">
        <f>B66/SUM(B$66:B$73)</f>
        <v>0.12164235250741567</v>
      </c>
    </row>
    <row r="67" spans="1:4" x14ac:dyDescent="0.2">
      <c r="A67" t="s">
        <v>91</v>
      </c>
      <c r="B67" s="67">
        <f>SUMIF(Transactions[City],"Chicago",Transactions[Sales Amount])</f>
        <v>46024.419999999984</v>
      </c>
      <c r="C67" s="68">
        <f>SUMIF(Transactions[City],"Chicago",Transactions[Quantity Sold])</f>
        <v>4054</v>
      </c>
      <c r="D67" s="69">
        <f>B67/SUM(B$66:B$73)</f>
        <v>0.11876433576495564</v>
      </c>
    </row>
    <row r="68" spans="1:4" x14ac:dyDescent="0.2">
      <c r="A68" t="s">
        <v>94</v>
      </c>
      <c r="B68" s="67">
        <f>SUMIF(Transactions[City],"Los Angeles",Transactions[Sales Amount])</f>
        <v>44984.419999999991</v>
      </c>
      <c r="C68" s="68">
        <f>SUMIF(Transactions[City],"Los Angeles",Transactions[Quantity Sold])</f>
        <v>4153</v>
      </c>
      <c r="D68" s="69">
        <f>B68/SUM(B$66:B$73)</f>
        <v>0.1160806537284291</v>
      </c>
    </row>
    <row r="69" spans="1:4" x14ac:dyDescent="0.2">
      <c r="A69" t="s">
        <v>96</v>
      </c>
      <c r="B69" s="67">
        <f>SUMIF(Transactions[City],"New Orleans",Transactions[Sales Amount])</f>
        <v>44863.310000000012</v>
      </c>
      <c r="C69" s="68">
        <f>SUMIF(Transactions[City],"New Orleans",Transactions[Quantity Sold])</f>
        <v>5071</v>
      </c>
      <c r="D69" s="69">
        <f>B69/SUM(B$66:B$73)</f>
        <v>0.11576813379434864</v>
      </c>
    </row>
    <row r="70" spans="1:4" x14ac:dyDescent="0.2">
      <c r="A70" t="s">
        <v>88</v>
      </c>
      <c r="B70" s="67">
        <f>SUMIF(Transactions[City],"New York",Transactions[Sales Amount])</f>
        <v>57427.500000000029</v>
      </c>
      <c r="C70" s="68">
        <f>SUMIF(Transactions[City],"New York",Transactions[Quantity Sold])</f>
        <v>5295</v>
      </c>
      <c r="D70" s="69">
        <f>B70/SUM(B$66:B$73)</f>
        <v>0.14818956745445128</v>
      </c>
    </row>
    <row r="71" spans="1:4" x14ac:dyDescent="0.2">
      <c r="A71" t="s">
        <v>129</v>
      </c>
      <c r="B71" s="67">
        <f>SUMIF(Transactions[City],"San Francisco",Transactions[Sales Amount])</f>
        <v>43598.100000000006</v>
      </c>
      <c r="C71" s="68">
        <f>SUMIF(Transactions[City],"San Francisco",Transactions[Quantity Sold])</f>
        <v>4225</v>
      </c>
      <c r="D71" s="69">
        <f>B71/SUM(B$66:B$73)</f>
        <v>0.11250330557373923</v>
      </c>
    </row>
    <row r="72" spans="1:4" x14ac:dyDescent="0.2">
      <c r="A72" t="s">
        <v>99</v>
      </c>
      <c r="B72" s="67">
        <f>SUMIF(Transactions[City],"Seattle",Transactions[Sales Amount])</f>
        <v>55893.790000000023</v>
      </c>
      <c r="C72" s="68">
        <f>SUMIF(Transactions[City],"Seattle",Transactions[Quantity Sold])</f>
        <v>5858</v>
      </c>
      <c r="D72" s="69">
        <f>B72/SUM(B$66:B$73)</f>
        <v>0.14423188478498861</v>
      </c>
    </row>
    <row r="73" spans="1:4" x14ac:dyDescent="0.2">
      <c r="A73" t="s">
        <v>105</v>
      </c>
      <c r="B73" s="67">
        <f>SUMIF(Transactions[City],"Tacoma",Transactions[Sales Amount])</f>
        <v>47596.010000000017</v>
      </c>
      <c r="C73" s="68">
        <f>SUMIF(Transactions[City],"Tacoma",Transactions[Quantity Sold])</f>
        <v>4381</v>
      </c>
      <c r="D73" s="69">
        <f>B73/SUM(B$66:B$73)</f>
        <v>0.12281976639167187</v>
      </c>
    </row>
    <row r="74" spans="1:4" ht="12" x14ac:dyDescent="0.25">
      <c r="A74" s="64" t="s">
        <v>8687</v>
      </c>
      <c r="B74" s="70">
        <f>SUM(B66:B73)</f>
        <v>387527.28</v>
      </c>
      <c r="C74" s="71">
        <f>SUM(C66:C73)</f>
        <v>37697</v>
      </c>
      <c r="D74" s="72">
        <f>SUM(D66:D73)</f>
        <v>1</v>
      </c>
    </row>
    <row r="80" spans="1:4" ht="12" x14ac:dyDescent="0.25">
      <c r="A80" s="64" t="s">
        <v>8689</v>
      </c>
    </row>
    <row r="82" spans="1:5" ht="12" x14ac:dyDescent="0.25">
      <c r="A82" s="66" t="s">
        <v>8690</v>
      </c>
      <c r="B82" s="66" t="s">
        <v>8681</v>
      </c>
      <c r="C82" s="66" t="s">
        <v>8682</v>
      </c>
      <c r="D82" s="66" t="s">
        <v>8612</v>
      </c>
      <c r="E82" s="66" t="s">
        <v>8684</v>
      </c>
    </row>
    <row r="83" spans="1:5" x14ac:dyDescent="0.2">
      <c r="A83">
        <v>2022</v>
      </c>
      <c r="B83" s="67">
        <f>SUMIFS(Transactions[Sales Amount],Transactions[Transaction Date],"&gt;="&amp;DATE(2022,1,1),Transactions[Transaction Date],"&lt;="&amp;DATE(2022,12,31))</f>
        <v>134864.42999999993</v>
      </c>
      <c r="C83" s="68">
        <f>SUMIFS(Transactions[Quantity Sold],Transactions[Transaction Date],"&gt;="&amp;DATE(2022,1,1),Transactions[Transaction Date],"&lt;="&amp;DATE(2022,12,31))</f>
        <v>13146</v>
      </c>
      <c r="D83" s="68">
        <f>COUNTIFS(Transactions[Transaction Date],"&gt;="&amp;DATE(2022,1,1),Transactions[Transaction Date],"&lt;="&amp;DATE(2022,12,31))</f>
        <v>523</v>
      </c>
      <c r="E83" s="67">
        <f>IF(D83=0,0,B83/D83)</f>
        <v>257.86697896749507</v>
      </c>
    </row>
    <row r="84" spans="1:5" x14ac:dyDescent="0.2">
      <c r="A84">
        <v>2023</v>
      </c>
      <c r="B84" s="67">
        <f>SUMIFS(Transactions[Sales Amount],Transactions[Transaction Date],"&gt;="&amp;DATE(2023,1,1),Transactions[Transaction Date],"&lt;="&amp;DATE(2023,12,31))</f>
        <v>117062.21000000002</v>
      </c>
      <c r="C84" s="68">
        <f>SUMIFS(Transactions[Quantity Sold],Transactions[Transaction Date],"&gt;="&amp;DATE(2023,1,1),Transactions[Transaction Date],"&lt;="&amp;DATE(2023,12,31))</f>
        <v>11115</v>
      </c>
      <c r="D84" s="68">
        <f>COUNTIFS(Transactions[Transaction Date],"&gt;="&amp;DATE(2023,1,1),Transactions[Transaction Date],"&lt;="&amp;DATE(2023,12,31))</f>
        <v>455</v>
      </c>
      <c r="E84" s="67">
        <f>IF(D84=0,0,B84/D84)</f>
        <v>257.27958241758245</v>
      </c>
    </row>
    <row r="85" spans="1:5" x14ac:dyDescent="0.2">
      <c r="A85">
        <v>2024</v>
      </c>
      <c r="B85" s="67">
        <f>SUMIFS(Transactions[Sales Amount],Transactions[Transaction Date],"&gt;="&amp;DATE(2024,1,1),Transactions[Transaction Date],"&lt;="&amp;DATE(2024,12,31))</f>
        <v>135600.64000000001</v>
      </c>
      <c r="C85" s="68">
        <f>SUMIFS(Transactions[Quantity Sold],Transactions[Transaction Date],"&gt;="&amp;DATE(2024,1,1),Transactions[Transaction Date],"&lt;="&amp;DATE(2024,12,31))</f>
        <v>13436</v>
      </c>
      <c r="D85" s="68">
        <f>COUNTIFS(Transactions[Transaction Date],"&gt;="&amp;DATE(2024,1,1),Transactions[Transaction Date],"&lt;="&amp;DATE(2024,12,31))</f>
        <v>522</v>
      </c>
      <c r="E85" s="67">
        <f>IF(D85=0,0,B85/D85)</f>
        <v>259.77134099616859</v>
      </c>
    </row>
    <row r="86" spans="1:5" ht="12" x14ac:dyDescent="0.25">
      <c r="A86" s="64" t="s">
        <v>8687</v>
      </c>
      <c r="B86" s="70">
        <f>SUM(B83:B85)</f>
        <v>387527.27999999997</v>
      </c>
      <c r="C86" s="71">
        <f>SUM(C83:C85)</f>
        <v>37697</v>
      </c>
      <c r="D86" s="71">
        <f>SUM(D83:D85)</f>
        <v>1500</v>
      </c>
      <c r="E86" s="70">
        <f>IF(D86=0,0,B86/D86)</f>
        <v>258.35151999999999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789D2-FAD8-4ED1-B748-EB2DF7F1D3C1}">
  <dimension ref="A1:L51"/>
  <sheetViews>
    <sheetView topLeftCell="A51" zoomScaleNormal="100" workbookViewId="0">
      <selection activeCell="H41" sqref="H41"/>
    </sheetView>
  </sheetViews>
  <sheetFormatPr defaultRowHeight="11.4" x14ac:dyDescent="0.2"/>
  <cols>
    <col min="1" max="1" width="37.5" customWidth="1"/>
    <col min="2" max="2" width="20.875" customWidth="1"/>
    <col min="3" max="4" width="17.75" customWidth="1"/>
    <col min="5" max="5" width="19.75" customWidth="1"/>
    <col min="6" max="6" width="20.875" customWidth="1"/>
    <col min="7" max="7" width="4.125" customWidth="1"/>
    <col min="8" max="8" width="37.5" customWidth="1"/>
    <col min="9" max="9" width="20.875" customWidth="1"/>
    <col min="10" max="10" width="17.75" customWidth="1"/>
    <col min="11" max="11" width="20.875" customWidth="1"/>
    <col min="12" max="12" width="17.75" customWidth="1"/>
  </cols>
  <sheetData>
    <row r="1" spans="1:9" ht="22.8" x14ac:dyDescent="0.4">
      <c r="A1" s="74" t="s">
        <v>8694</v>
      </c>
    </row>
    <row r="2" spans="1:9" x14ac:dyDescent="0.2">
      <c r="A2" s="75" t="s">
        <v>8695</v>
      </c>
    </row>
    <row r="4" spans="1:9" ht="17.399999999999999" x14ac:dyDescent="0.3">
      <c r="A4" s="54" t="s">
        <v>8696</v>
      </c>
      <c r="H4" s="54" t="s">
        <v>8721</v>
      </c>
    </row>
    <row r="6" spans="1:9" ht="12" x14ac:dyDescent="0.25">
      <c r="A6" s="80" t="s">
        <v>8697</v>
      </c>
      <c r="B6" s="80" t="s">
        <v>8698</v>
      </c>
      <c r="H6" s="92" t="s">
        <v>8722</v>
      </c>
      <c r="I6" s="92" t="s">
        <v>8698</v>
      </c>
    </row>
    <row r="7" spans="1:9" x14ac:dyDescent="0.2">
      <c r="A7" s="81" t="s">
        <v>8699</v>
      </c>
      <c r="B7" s="81">
        <f>ROWS(Transactions[Store ID])</f>
        <v>1500</v>
      </c>
      <c r="H7" s="81" t="s">
        <v>8723</v>
      </c>
      <c r="I7" s="81" t="str">
        <f>INDEX(A21:A26,MATCH(MAX(B21:B26),B21:B26,0))</f>
        <v>chips</v>
      </c>
    </row>
    <row r="8" spans="1:9" x14ac:dyDescent="0.2">
      <c r="A8" s="81" t="s">
        <v>8700</v>
      </c>
      <c r="B8" s="82">
        <f>SUM(Transactions[Sales Amount])</f>
        <v>387527.27999999997</v>
      </c>
      <c r="H8" s="81" t="s">
        <v>8724</v>
      </c>
      <c r="I8" s="82">
        <f>MAX(B21:B26)</f>
        <v>71511.459999999963</v>
      </c>
    </row>
    <row r="9" spans="1:9" x14ac:dyDescent="0.2">
      <c r="A9" s="81" t="s">
        <v>8701</v>
      </c>
      <c r="B9" s="83">
        <f>SUM(Transactions[Quantity Sold])</f>
        <v>37697</v>
      </c>
      <c r="H9" s="81" t="s">
        <v>8725</v>
      </c>
      <c r="I9" s="81" t="str">
        <f>INDEX(A32:A39,MATCH(MAX(B32:B39),B32:B39,0))</f>
        <v>New York</v>
      </c>
    </row>
    <row r="10" spans="1:9" x14ac:dyDescent="0.2">
      <c r="A10" s="81" t="s">
        <v>8702</v>
      </c>
      <c r="B10" s="82">
        <f>AVERAGE(Transactions[Sales Amount])</f>
        <v>258.35151999999999</v>
      </c>
      <c r="H10" s="81" t="s">
        <v>8726</v>
      </c>
      <c r="I10" s="82">
        <f>MAX(B32:B39)</f>
        <v>57427.500000000029</v>
      </c>
    </row>
    <row r="11" spans="1:9" x14ac:dyDescent="0.2">
      <c r="A11" s="81" t="s">
        <v>8703</v>
      </c>
      <c r="B11" s="84">
        <f>AVERAGE(Transactions[Quantity Sold])</f>
        <v>25.131333333333334</v>
      </c>
      <c r="H11" s="81" t="s">
        <v>8727</v>
      </c>
      <c r="I11" s="81" t="str">
        <f>INDEX(A32:A39,MATCH(MAX(F32:F39),F32:F39,0))</f>
        <v>Seattle</v>
      </c>
    </row>
    <row r="12" spans="1:9" x14ac:dyDescent="0.2">
      <c r="A12" s="81" t="s">
        <v>8704</v>
      </c>
      <c r="B12" s="82">
        <f>MAX(Transactions[Sales Amount])</f>
        <v>499.73</v>
      </c>
      <c r="H12" s="81" t="s">
        <v>8728</v>
      </c>
      <c r="I12" s="81">
        <f>MAX(F32:F39)</f>
        <v>226</v>
      </c>
    </row>
    <row r="13" spans="1:9" x14ac:dyDescent="0.2">
      <c r="A13" s="81" t="s">
        <v>8705</v>
      </c>
      <c r="B13" s="82">
        <f>MIN(Transactions[Sales Amount])</f>
        <v>10.33</v>
      </c>
      <c r="H13" s="81"/>
      <c r="I13" s="81"/>
    </row>
    <row r="14" spans="1:9" ht="12" x14ac:dyDescent="0.25">
      <c r="A14" s="81" t="s">
        <v>8706</v>
      </c>
      <c r="B14" s="81">
        <f>COUNTA(_xlfn.UNIQUE(Transactions[City]))</f>
        <v>8</v>
      </c>
      <c r="H14" s="93" t="s">
        <v>8729</v>
      </c>
      <c r="I14" s="86"/>
    </row>
    <row r="15" spans="1:9" x14ac:dyDescent="0.2">
      <c r="A15" s="81" t="s">
        <v>8707</v>
      </c>
      <c r="B15" s="81">
        <f>COUNTA(_xlfn.UNIQUE(Transactions[Product]))</f>
        <v>6</v>
      </c>
      <c r="H15" s="81" t="s">
        <v>8730</v>
      </c>
      <c r="I15" s="81" t="str">
        <f>INDEX(A21:A26,MATCH(MIN(B21:B26),B21:B26,0))</f>
        <v>bagels</v>
      </c>
    </row>
    <row r="16" spans="1:9" x14ac:dyDescent="0.2">
      <c r="A16" s="81" t="s">
        <v>8708</v>
      </c>
      <c r="B16" s="81">
        <f>COUNTA(_xlfn.UNIQUE(Transactions[Store ID]))</f>
        <v>1500</v>
      </c>
      <c r="H16" s="81" t="s">
        <v>8731</v>
      </c>
      <c r="I16" s="82">
        <f>MIN(B21:B26)</f>
        <v>58624.460000000021</v>
      </c>
    </row>
    <row r="17" spans="1:12" x14ac:dyDescent="0.2">
      <c r="H17" s="81" t="s">
        <v>8732</v>
      </c>
      <c r="I17" s="81" t="str">
        <f>INDEX(A32:A39,MATCH(MIN(B32:B39),B32:B39,0))</f>
        <v>San Francisco</v>
      </c>
    </row>
    <row r="18" spans="1:12" ht="17.399999999999999" x14ac:dyDescent="0.3">
      <c r="A18" s="54" t="s">
        <v>8709</v>
      </c>
      <c r="H18" s="81" t="s">
        <v>8733</v>
      </c>
      <c r="I18" s="82">
        <f>MIN(B32:B39)</f>
        <v>43598.100000000006</v>
      </c>
    </row>
    <row r="20" spans="1:12" ht="17.399999999999999" x14ac:dyDescent="0.3">
      <c r="A20" s="80" t="s">
        <v>83</v>
      </c>
      <c r="B20" s="80" t="s">
        <v>8710</v>
      </c>
      <c r="C20" s="80" t="s">
        <v>8711</v>
      </c>
      <c r="D20" s="80" t="s">
        <v>8712</v>
      </c>
      <c r="E20" s="80" t="s">
        <v>8713</v>
      </c>
      <c r="F20" s="80" t="s">
        <v>8683</v>
      </c>
      <c r="H20" s="79" t="s">
        <v>8734</v>
      </c>
    </row>
    <row r="21" spans="1:12" x14ac:dyDescent="0.2">
      <c r="A21" s="81" t="s">
        <v>124</v>
      </c>
      <c r="B21" s="82">
        <f>SUMIF(Transactions[Product],"bagels",Transactions[Sales Amount])</f>
        <v>58624.460000000021</v>
      </c>
      <c r="C21" s="83">
        <f>SUMIF(Transactions[Product],"bagels",Transactions[Quantity Sold])</f>
        <v>6340</v>
      </c>
      <c r="D21" s="82">
        <f>AVERAGEIF(Transactions[Product],"bagels",Transactions[Sales Amount])</f>
        <v>256.00200873362456</v>
      </c>
      <c r="E21" s="85">
        <f>B21/SUM(Transactions[Sales Amount])</f>
        <v>0.15127827904141361</v>
      </c>
      <c r="F21" s="81">
        <f>COUNTIF(Transactions[Product],"bagels")</f>
        <v>229</v>
      </c>
    </row>
    <row r="22" spans="1:12" ht="12" x14ac:dyDescent="0.25">
      <c r="A22" s="81" t="s">
        <v>109</v>
      </c>
      <c r="B22" s="82">
        <f>SUMIF(Transactions[Product],"chips",Transactions[Sales Amount])</f>
        <v>71511.459999999963</v>
      </c>
      <c r="C22" s="83">
        <f>SUMIF(Transactions[Product],"chips",Transactions[Quantity Sold])</f>
        <v>6734</v>
      </c>
      <c r="D22" s="82">
        <f>AVERAGEIF(Transactions[Product],"chips",Transactions[Sales Amount])</f>
        <v>270.87674242424231</v>
      </c>
      <c r="E22" s="85">
        <f>B22/SUM(Transactions[Sales Amount])</f>
        <v>0.18453271212287292</v>
      </c>
      <c r="F22" s="81">
        <f>COUNTIF(Transactions[Product],"chips")</f>
        <v>264</v>
      </c>
      <c r="H22" s="94" t="s">
        <v>8690</v>
      </c>
      <c r="I22" s="94" t="s">
        <v>8710</v>
      </c>
      <c r="J22" s="94" t="s">
        <v>8711</v>
      </c>
      <c r="K22" s="94" t="s">
        <v>8612</v>
      </c>
      <c r="L22" s="94" t="s">
        <v>8712</v>
      </c>
    </row>
    <row r="23" spans="1:12" x14ac:dyDescent="0.2">
      <c r="A23" s="81" t="s">
        <v>97</v>
      </c>
      <c r="B23" s="82">
        <f>SUMIF(Transactions[Product],"chocolate cake",Transactions[Sales Amount])</f>
        <v>62022.42000000002</v>
      </c>
      <c r="C23" s="83">
        <f>SUMIF(Transactions[Product],"chocolate cake",Transactions[Quantity Sold])</f>
        <v>6244</v>
      </c>
      <c r="D23" s="82">
        <f>AVERAGEIF(Transactions[Product],"chocolate cake",Transactions[Sales Amount])</f>
        <v>245.14790513834001</v>
      </c>
      <c r="E23" s="85">
        <f>B23/SUM(Transactions[Sales Amount])</f>
        <v>0.16004659078452496</v>
      </c>
      <c r="F23" s="81">
        <f>COUNTIF(Transactions[Product],"chocolate cake")</f>
        <v>253</v>
      </c>
      <c r="H23" s="81">
        <v>2022</v>
      </c>
      <c r="I23" s="82">
        <f>SUMIFS(Transactions[Sales Amount],Transactions[Transaction Date],"&gt;="&amp;DATE(2022,1,1),Transactions[Transaction Date],"&lt;="&amp;DATE(2022,12,31))</f>
        <v>134864.42999999993</v>
      </c>
      <c r="J23" s="83">
        <f>SUMIFS(Transactions[Quantity Sold],Transactions[Transaction Date],"&gt;="&amp;DATE(2022,1,1),Transactions[Transaction Date],"&lt;="&amp;DATE(2022,12,31))</f>
        <v>13146</v>
      </c>
      <c r="K23" s="81">
        <f>COUNTIFS(Transactions[Transaction Date],"&gt;="&amp;DATE(2022,1,1),Transactions[Transaction Date],"&lt;="&amp;DATE(2022,12,31))</f>
        <v>523</v>
      </c>
      <c r="L23" s="82">
        <f>IFERROR(I23/K23,0)</f>
        <v>257.86697896749507</v>
      </c>
    </row>
    <row r="24" spans="1:12" x14ac:dyDescent="0.2">
      <c r="A24" s="81" t="s">
        <v>89</v>
      </c>
      <c r="B24" s="82">
        <f>SUMIF(Transactions[Product],"cookies",Transactions[Sales Amount])</f>
        <v>64848.05</v>
      </c>
      <c r="C24" s="83">
        <f>SUMIF(Transactions[Product],"cookies",Transactions[Quantity Sold])</f>
        <v>5792</v>
      </c>
      <c r="D24" s="82">
        <f>AVERAGEIF(Transactions[Product],"cookies",Transactions[Sales Amount])</f>
        <v>264.68591836734697</v>
      </c>
      <c r="E24" s="85">
        <f>B24/SUM(Transactions[Sales Amount])</f>
        <v>0.16733802585459276</v>
      </c>
      <c r="F24" s="81">
        <f>COUNTIF(Transactions[Product],"cookies")</f>
        <v>245</v>
      </c>
      <c r="H24" s="81">
        <v>2023</v>
      </c>
      <c r="I24" s="82">
        <f>SUMIFS(Transactions[Sales Amount],Transactions[Transaction Date],"&gt;="&amp;DATE(2023,1,1),Transactions[Transaction Date],"&lt;="&amp;DATE(2023,12,31))</f>
        <v>117062.21000000002</v>
      </c>
      <c r="J24" s="83">
        <f>SUMIFS(Transactions[Quantity Sold],Transactions[Transaction Date],"&gt;="&amp;DATE(2023,1,1),Transactions[Transaction Date],"&lt;="&amp;DATE(2023,12,31))</f>
        <v>11115</v>
      </c>
      <c r="K24" s="81">
        <f>COUNTIFS(Transactions[Transaction Date],"&gt;="&amp;DATE(2023,1,1),Transactions[Transaction Date],"&lt;="&amp;DATE(2023,12,31))</f>
        <v>455</v>
      </c>
      <c r="L24" s="82">
        <f>IFERROR(I24/K24,0)</f>
        <v>257.27958241758245</v>
      </c>
    </row>
    <row r="25" spans="1:12" x14ac:dyDescent="0.2">
      <c r="A25" s="81" t="s">
        <v>92</v>
      </c>
      <c r="B25" s="82">
        <f>SUMIF(Transactions[Product],"ice cream",Transactions[Sales Amount])</f>
        <v>60060.349999999955</v>
      </c>
      <c r="C25" s="83">
        <f>SUMIF(Transactions[Product],"ice cream",Transactions[Quantity Sold])</f>
        <v>6074</v>
      </c>
      <c r="D25" s="82">
        <f>AVERAGEIF(Transactions[Product],"ice cream",Transactions[Sales Amount])</f>
        <v>243.1593117408905</v>
      </c>
      <c r="E25" s="85">
        <f>B25/SUM(Transactions[Sales Amount])</f>
        <v>0.15498354077163279</v>
      </c>
      <c r="F25" s="81">
        <f>COUNTIF(Transactions[Product],"ice cream")</f>
        <v>247</v>
      </c>
      <c r="H25" s="81">
        <v>2024</v>
      </c>
      <c r="I25" s="82">
        <f>SUMIFS(Transactions[Sales Amount],Transactions[Transaction Date],"&gt;="&amp;DATE(2024,1,1),Transactions[Transaction Date],"&lt;="&amp;DATE(2024,12,31))</f>
        <v>135600.64000000001</v>
      </c>
      <c r="J25" s="83">
        <f>SUMIFS(Transactions[Quantity Sold],Transactions[Transaction Date],"&gt;="&amp;DATE(2024,1,1),Transactions[Transaction Date],"&lt;="&amp;DATE(2024,12,31))</f>
        <v>13436</v>
      </c>
      <c r="K25" s="81">
        <f>COUNTIFS(Transactions[Transaction Date],"&gt;="&amp;DATE(2024,1,1),Transactions[Transaction Date],"&lt;="&amp;DATE(2024,12,31))</f>
        <v>522</v>
      </c>
      <c r="L25" s="82">
        <f>IFERROR(I25/K25,0)</f>
        <v>259.77134099616859</v>
      </c>
    </row>
    <row r="26" spans="1:12" ht="12" x14ac:dyDescent="0.25">
      <c r="A26" s="81" t="s">
        <v>102</v>
      </c>
      <c r="B26" s="82">
        <f>SUMIF(Transactions[Product],"spread",Transactions[Sales Amount])</f>
        <v>70460.540000000008</v>
      </c>
      <c r="C26" s="83">
        <f>SUMIF(Transactions[Product],"spread",Transactions[Quantity Sold])</f>
        <v>6513</v>
      </c>
      <c r="D26" s="82">
        <f>AVERAGEIF(Transactions[Product],"spread",Transactions[Sales Amount])</f>
        <v>268.93335877862597</v>
      </c>
      <c r="E26" s="85">
        <f>B26/SUM(Transactions[Sales Amount])</f>
        <v>0.18182085142496293</v>
      </c>
      <c r="F26" s="81">
        <f>COUNTIF(Transactions[Product],"spread")</f>
        <v>262</v>
      </c>
      <c r="H26" s="86" t="s">
        <v>8714</v>
      </c>
      <c r="I26" s="87">
        <f>SUM(I23:I25)</f>
        <v>387527.27999999997</v>
      </c>
      <c r="J26" s="88">
        <f>SUM(J23:J25)</f>
        <v>37697</v>
      </c>
      <c r="K26" s="86">
        <f>SUM(K23:K25)</f>
        <v>1500</v>
      </c>
      <c r="L26" s="87">
        <f>IFERROR(I26/K26,0)</f>
        <v>258.35151999999999</v>
      </c>
    </row>
    <row r="27" spans="1:12" ht="12" x14ac:dyDescent="0.25">
      <c r="A27" s="86" t="s">
        <v>8714</v>
      </c>
      <c r="B27" s="87">
        <f>SUM(B21:B26)</f>
        <v>387527.28</v>
      </c>
      <c r="C27" s="88">
        <f>SUM(C21:C26)</f>
        <v>37697</v>
      </c>
      <c r="D27" s="87">
        <f>AVERAGE(D21:D26)</f>
        <v>258.13420753051167</v>
      </c>
      <c r="E27" s="89">
        <f>SUM(E21:E26)</f>
        <v>1</v>
      </c>
      <c r="F27" s="86">
        <f>SUM(F21:F26)</f>
        <v>1500</v>
      </c>
    </row>
    <row r="29" spans="1:12" ht="17.399999999999999" x14ac:dyDescent="0.3">
      <c r="A29" s="54" t="s">
        <v>8716</v>
      </c>
      <c r="H29" s="54" t="s">
        <v>8735</v>
      </c>
    </row>
    <row r="31" spans="1:12" ht="12" x14ac:dyDescent="0.25">
      <c r="A31" s="90" t="s">
        <v>81</v>
      </c>
      <c r="B31" s="90" t="s">
        <v>8710</v>
      </c>
      <c r="C31" s="90" t="s">
        <v>8711</v>
      </c>
      <c r="D31" s="90" t="s">
        <v>8712</v>
      </c>
      <c r="E31" s="90" t="s">
        <v>8713</v>
      </c>
      <c r="F31" s="90" t="s">
        <v>8683</v>
      </c>
      <c r="H31" s="95" t="s">
        <v>8697</v>
      </c>
      <c r="I31" s="95" t="s">
        <v>8736</v>
      </c>
      <c r="J31" s="95" t="s">
        <v>8737</v>
      </c>
      <c r="K31" s="95" t="s">
        <v>8738</v>
      </c>
    </row>
    <row r="32" spans="1:12" x14ac:dyDescent="0.2">
      <c r="A32" s="81" t="s">
        <v>108</v>
      </c>
      <c r="B32" s="82">
        <f>SUMIF(Transactions[City],"Boston",Transactions[Sales Amount])</f>
        <v>47139.729999999981</v>
      </c>
      <c r="C32" s="83">
        <f>SUMIF(Transactions[City],"Boston",Transactions[Quantity Sold])</f>
        <v>4660</v>
      </c>
      <c r="D32" s="82">
        <f>AVERAGEIF(Transactions[City],"Boston",Transactions[Sales Amount])</f>
        <v>254.80935135135124</v>
      </c>
      <c r="E32" s="85">
        <f>B32/SUM(Transactions[Sales Amount])</f>
        <v>0.1216423525074157</v>
      </c>
      <c r="F32" s="81">
        <f>COUNTIF(Transactions[City],"Boston")</f>
        <v>185</v>
      </c>
      <c r="H32" s="81" t="s">
        <v>8739</v>
      </c>
      <c r="I32" s="81">
        <f>MIN(Transactions[Area m2])</f>
        <v>100</v>
      </c>
      <c r="J32" s="81">
        <f>MAX(Transactions[Area m2])</f>
        <v>300</v>
      </c>
      <c r="K32" s="96">
        <f>AVERAGE(Transactions[Area m2])</f>
        <v>200.75266666666667</v>
      </c>
    </row>
    <row r="33" spans="1:11" x14ac:dyDescent="0.2">
      <c r="A33" s="81" t="s">
        <v>91</v>
      </c>
      <c r="B33" s="82">
        <f>SUMIF(Transactions[City],"Chicago",Transactions[Sales Amount])</f>
        <v>46024.419999999984</v>
      </c>
      <c r="C33" s="83">
        <f>SUMIF(Transactions[City],"Chicago",Transactions[Quantity Sold])</f>
        <v>4054</v>
      </c>
      <c r="D33" s="82">
        <f>AVERAGEIF(Transactions[City],"Chicago",Transactions[Sales Amount])</f>
        <v>266.03710982658953</v>
      </c>
      <c r="E33" s="85">
        <f>B33/SUM(Transactions[Sales Amount])</f>
        <v>0.11876433576495567</v>
      </c>
      <c r="F33" s="81">
        <f>COUNTIF(Transactions[City],"Chicago")</f>
        <v>173</v>
      </c>
      <c r="H33" s="81" t="s">
        <v>8740</v>
      </c>
      <c r="I33" s="83">
        <f>MIN(Transactions[No. Sellers])</f>
        <v>1</v>
      </c>
      <c r="J33" s="83">
        <f>MAX(Transactions[No. Sellers])</f>
        <v>10</v>
      </c>
      <c r="K33" s="96">
        <f>AVERAGE(Transactions[No. Sellers])</f>
        <v>5.5086666666666666</v>
      </c>
    </row>
    <row r="34" spans="1:11" x14ac:dyDescent="0.2">
      <c r="A34" s="81" t="s">
        <v>94</v>
      </c>
      <c r="B34" s="82">
        <f>SUMIF(Transactions[City],"Los Angeles",Transactions[Sales Amount])</f>
        <v>44984.419999999991</v>
      </c>
      <c r="C34" s="83">
        <f>SUMIF(Transactions[City],"Los Angeles",Transactions[Quantity Sold])</f>
        <v>4153</v>
      </c>
      <c r="D34" s="82">
        <f>AVERAGEIF(Transactions[City],"Los Angeles",Transactions[Sales Amount])</f>
        <v>275.97803680981588</v>
      </c>
      <c r="E34" s="85">
        <f>B34/SUM(Transactions[Sales Amount])</f>
        <v>0.11608065372842911</v>
      </c>
      <c r="F34" s="81">
        <f>COUNTIF(Transactions[City],"Los Angeles")</f>
        <v>163</v>
      </c>
      <c r="H34" s="81" t="s">
        <v>8741</v>
      </c>
      <c r="I34" s="82">
        <f>MIN(Transactions[Rental/month/m2])</f>
        <v>45</v>
      </c>
      <c r="J34" s="82">
        <f>MAX(Transactions[Rental/month/m2])</f>
        <v>59.98</v>
      </c>
      <c r="K34" s="96">
        <f>AVERAGE(Transactions[Rental/month/m2])</f>
        <v>52.636633333333407</v>
      </c>
    </row>
    <row r="35" spans="1:11" x14ac:dyDescent="0.2">
      <c r="A35" s="81" t="s">
        <v>96</v>
      </c>
      <c r="B35" s="82">
        <f>SUMIF(Transactions[City],"New Orleans",Transactions[Sales Amount])</f>
        <v>44863.310000000012</v>
      </c>
      <c r="C35" s="83">
        <f>SUMIF(Transactions[City],"New Orleans",Transactions[Quantity Sold])</f>
        <v>5071</v>
      </c>
      <c r="D35" s="82">
        <f>AVERAGEIF(Transactions[City],"New Orleans",Transactions[Sales Amount])</f>
        <v>238.63462765957453</v>
      </c>
      <c r="E35" s="85">
        <f>B35/SUM(Transactions[Sales Amount])</f>
        <v>0.11576813379434867</v>
      </c>
      <c r="F35" s="81">
        <f>COUNTIF(Transactions[City],"New Orleans")</f>
        <v>188</v>
      </c>
      <c r="H35" s="81" t="s">
        <v>1604</v>
      </c>
      <c r="I35" s="81">
        <f>MIN(Transactions[Analysis Priority])</f>
        <v>1</v>
      </c>
      <c r="J35" s="81">
        <f>MAX(Transactions[Analysis Priority])</f>
        <v>10</v>
      </c>
      <c r="K35" s="96">
        <f>AVERAGE(Transactions[Analysis Priority])</f>
        <v>5.4480000000000004</v>
      </c>
    </row>
    <row r="36" spans="1:11" x14ac:dyDescent="0.2">
      <c r="A36" s="81" t="s">
        <v>88</v>
      </c>
      <c r="B36" s="82">
        <f>SUMIF(Transactions[City],"New York",Transactions[Sales Amount])</f>
        <v>57427.500000000029</v>
      </c>
      <c r="C36" s="83">
        <f>SUMIF(Transactions[City],"New York",Transactions[Quantity Sold])</f>
        <v>5295</v>
      </c>
      <c r="D36" s="82">
        <f>AVERAGEIF(Transactions[City],"New York",Transactions[Sales Amount])</f>
        <v>267.10465116279084</v>
      </c>
      <c r="E36" s="85">
        <f>B36/SUM(Transactions[Sales Amount])</f>
        <v>0.1481895674544513</v>
      </c>
      <c r="F36" s="81">
        <f>COUNTIF(Transactions[City],"New York")</f>
        <v>215</v>
      </c>
    </row>
    <row r="37" spans="1:11" x14ac:dyDescent="0.2">
      <c r="A37" s="81" t="s">
        <v>129</v>
      </c>
      <c r="B37" s="82">
        <f>SUMIF(Transactions[City],"San Francisco",Transactions[Sales Amount])</f>
        <v>43598.100000000006</v>
      </c>
      <c r="C37" s="83">
        <f>SUMIF(Transactions[City],"San Francisco",Transactions[Quantity Sold])</f>
        <v>4225</v>
      </c>
      <c r="D37" s="82">
        <f>AVERAGEIF(Transactions[City],"San Francisco",Transactions[Sales Amount])</f>
        <v>262.63915662650606</v>
      </c>
      <c r="E37" s="85">
        <f>B37/SUM(Transactions[Sales Amount])</f>
        <v>0.11250330557373925</v>
      </c>
      <c r="F37" s="81">
        <f>COUNTIF(Transactions[City],"San Francisco")</f>
        <v>166</v>
      </c>
    </row>
    <row r="38" spans="1:11" ht="17.399999999999999" x14ac:dyDescent="0.3">
      <c r="A38" s="81" t="s">
        <v>99</v>
      </c>
      <c r="B38" s="82">
        <f>SUMIF(Transactions[City],"Seattle",Transactions[Sales Amount])</f>
        <v>55893.790000000023</v>
      </c>
      <c r="C38" s="83">
        <f>SUMIF(Transactions[City],"Seattle",Transactions[Quantity Sold])</f>
        <v>5858</v>
      </c>
      <c r="D38" s="82">
        <f>AVERAGEIF(Transactions[City],"Seattle",Transactions[Sales Amount])</f>
        <v>247.31765486725675</v>
      </c>
      <c r="E38" s="85">
        <f>B38/SUM(Transactions[Sales Amount])</f>
        <v>0.14423188478498863</v>
      </c>
      <c r="F38" s="81">
        <f>COUNTIF(Transactions[City],"Seattle")</f>
        <v>226</v>
      </c>
      <c r="H38" s="54" t="s">
        <v>8742</v>
      </c>
    </row>
    <row r="39" spans="1:11" x14ac:dyDescent="0.2">
      <c r="A39" s="81" t="s">
        <v>105</v>
      </c>
      <c r="B39" s="82">
        <f>SUMIF(Transactions[City],"Tacoma",Transactions[Sales Amount])</f>
        <v>47596.010000000017</v>
      </c>
      <c r="C39" s="83">
        <f>SUMIF(Transactions[City],"Tacoma",Transactions[Quantity Sold])</f>
        <v>4381</v>
      </c>
      <c r="D39" s="82">
        <f>AVERAGEIF(Transactions[City],"Tacoma",Transactions[Sales Amount])</f>
        <v>258.67396739130442</v>
      </c>
      <c r="E39" s="85">
        <f>B39/SUM(Transactions[Sales Amount])</f>
        <v>0.12281976639167189</v>
      </c>
      <c r="F39" s="81">
        <f>COUNTIF(Transactions[City],"Tacoma")</f>
        <v>184</v>
      </c>
    </row>
    <row r="40" spans="1:11" ht="12" x14ac:dyDescent="0.25">
      <c r="A40" s="86" t="s">
        <v>8714</v>
      </c>
      <c r="B40" s="87">
        <f>SUM(B32:B39)</f>
        <v>387527.28</v>
      </c>
      <c r="C40" s="88">
        <f>SUM(C32:C39)</f>
        <v>37697</v>
      </c>
      <c r="D40" s="87">
        <f>AVERAGE(D32:D39)</f>
        <v>258.89931946189864</v>
      </c>
      <c r="E40" s="89">
        <f>SUM(E32:E39)</f>
        <v>1.0000000000000002</v>
      </c>
      <c r="F40" s="86">
        <f>SUM(F32:F39)</f>
        <v>1500</v>
      </c>
      <c r="H40" s="97" t="s">
        <v>8743</v>
      </c>
      <c r="I40" s="97" t="s">
        <v>84</v>
      </c>
      <c r="J40" s="97" t="s">
        <v>85</v>
      </c>
    </row>
    <row r="41" spans="1:11" x14ac:dyDescent="0.2">
      <c r="H41" s="81" t="s">
        <v>8744</v>
      </c>
      <c r="I41" s="82">
        <f>MIN(Transactions[Sales Amount])</f>
        <v>10.33</v>
      </c>
      <c r="J41" s="96">
        <f>MIN(Transactions[Quantity Sold])</f>
        <v>1</v>
      </c>
    </row>
    <row r="42" spans="1:11" ht="17.399999999999999" x14ac:dyDescent="0.3">
      <c r="A42" s="54" t="s">
        <v>8717</v>
      </c>
      <c r="H42" s="81" t="s">
        <v>8745</v>
      </c>
      <c r="I42" s="82">
        <f>QUARTILE(Transactions[Sales Amount],1)</f>
        <v>139.24250000000001</v>
      </c>
      <c r="J42" s="96">
        <f>QUARTILE(Transactions[Quantity Sold],1)</f>
        <v>13</v>
      </c>
    </row>
    <row r="43" spans="1:11" x14ac:dyDescent="0.2">
      <c r="H43" s="81" t="s">
        <v>8746</v>
      </c>
      <c r="I43" s="82">
        <f>MEDIAN(Transactions[Sales Amount])</f>
        <v>263.435</v>
      </c>
      <c r="J43" s="96">
        <f>MEDIAN(Transactions[Quantity Sold])</f>
        <v>25</v>
      </c>
    </row>
    <row r="44" spans="1:11" ht="12" x14ac:dyDescent="0.25">
      <c r="A44" s="91" t="s">
        <v>80</v>
      </c>
      <c r="B44" s="91" t="s">
        <v>8710</v>
      </c>
      <c r="C44" s="91" t="s">
        <v>8711</v>
      </c>
      <c r="D44" s="91" t="s">
        <v>8712</v>
      </c>
      <c r="E44" s="91" t="s">
        <v>8713</v>
      </c>
      <c r="F44" s="91" t="s">
        <v>8683</v>
      </c>
      <c r="H44" s="81" t="s">
        <v>8747</v>
      </c>
      <c r="I44" s="82">
        <f>QUARTILE(Transactions[Sales Amount],3)</f>
        <v>374.24250000000001</v>
      </c>
      <c r="J44" s="96">
        <f>QUARTILE(Transactions[Quantity Sold],3)</f>
        <v>37</v>
      </c>
    </row>
    <row r="45" spans="1:11" x14ac:dyDescent="0.2">
      <c r="A45" s="81" t="s">
        <v>87</v>
      </c>
      <c r="B45" s="82">
        <f>SUMIF(Transactions[Store Name],"*​Liberty's*",Transactions[Sales Amount])</f>
        <v>69119.609999999942</v>
      </c>
      <c r="C45" s="83">
        <f>SUMIF(Transactions[Store Name],"*​Liberty's*",Transactions[Quantity Sold])</f>
        <v>6578</v>
      </c>
      <c r="D45" s="82">
        <f>IFERROR(AVERAGEIF(Transactions[Store Name],"*​Liberty's*",Transactions[Sales Amount]),0)</f>
        <v>260.82871698113183</v>
      </c>
      <c r="E45" s="85">
        <f>IFERROR(B45/SUM(Transactions[Sales Amount]),0)</f>
        <v>0.17836063050838627</v>
      </c>
      <c r="F45" s="81">
        <f>COUNTIF(Transactions[Store Name],"*​Liberty's*")</f>
        <v>265</v>
      </c>
      <c r="H45" s="81" t="s">
        <v>8748</v>
      </c>
      <c r="I45" s="82">
        <f>MAX(Transactions[Sales Amount])</f>
        <v>499.73</v>
      </c>
      <c r="J45" s="96">
        <f>MAX(Transactions[Quantity Sold])</f>
        <v>50</v>
      </c>
    </row>
    <row r="46" spans="1:11" x14ac:dyDescent="0.2">
      <c r="A46" s="81" t="s">
        <v>8718</v>
      </c>
      <c r="B46" s="82">
        <f>SUMIF(Transactions[Store Name],"*Northwind *",Transactions[Sales Amount])</f>
        <v>65112.680000000051</v>
      </c>
      <c r="C46" s="83">
        <f>SUMIF(Transactions[Store Name],"*Northwind *",Transactions[Quantity Sold])</f>
        <v>6638</v>
      </c>
      <c r="D46" s="82">
        <f>IFERROR(AVERAGEIF(Transactions[Store Name],"*Northwind *",Transactions[Sales Amount]),0)</f>
        <v>254.3464062500002</v>
      </c>
      <c r="E46" s="85">
        <f>IFERROR(B46/SUM(Transactions[Sales Amount]),0)</f>
        <v>0.16802089390971406</v>
      </c>
      <c r="F46" s="81">
        <f>COUNTIF(Transactions[Store Name],"*Northwind *")</f>
        <v>256</v>
      </c>
      <c r="H46" s="81" t="s">
        <v>8749</v>
      </c>
      <c r="I46" s="82">
        <f>STDEV(Transactions[Sales Amount])</f>
        <v>139.82905768618039</v>
      </c>
      <c r="J46" s="96">
        <f>STDEV(Transactions[Quantity Sold])</f>
        <v>14.238067516343484</v>
      </c>
    </row>
    <row r="47" spans="1:11" x14ac:dyDescent="0.2">
      <c r="A47" s="81" t="s">
        <v>77</v>
      </c>
      <c r="B47" s="82">
        <f>SUMIF(Transactions[Store Name],"*​VanArsdel*",Transactions[Sales Amount])</f>
        <v>58457.520000000004</v>
      </c>
      <c r="C47" s="83">
        <f>SUMIF(Transactions[Store Name],"*​VanArsdel*",Transactions[Quantity Sold])</f>
        <v>5729</v>
      </c>
      <c r="D47" s="82">
        <f>IFERROR(AVERAGEIF(Transactions[Store Name],"*​VanArsdel*",Transactions[Sales Amount]),0)</f>
        <v>258.661592920354</v>
      </c>
      <c r="E47" s="85">
        <f>IFERROR(B47/SUM(Transactions[Sales Amount]),0)</f>
        <v>0.15084749646528112</v>
      </c>
      <c r="F47" s="81">
        <f>COUNTIF(Transactions[Store Name],"*​VanArsdel*")</f>
        <v>226</v>
      </c>
    </row>
    <row r="48" spans="1:11" x14ac:dyDescent="0.2">
      <c r="A48" s="81" t="s">
        <v>8719</v>
      </c>
      <c r="B48" s="82">
        <f>SUMIF(Transactions[Store Name],"*Wide World*",Transactions[Sales Amount])</f>
        <v>64960.980000000018</v>
      </c>
      <c r="C48" s="83">
        <f>SUMIF(Transactions[Store Name],"*Wide World*",Transactions[Quantity Sold])</f>
        <v>6222</v>
      </c>
      <c r="D48" s="82">
        <f>IFERROR(AVERAGEIF(Transactions[Store Name],"*Wide World*",Transactions[Sales Amount]),0)</f>
        <v>266.233524590164</v>
      </c>
      <c r="E48" s="85">
        <f>IFERROR(B48/SUM(Transactions[Sales Amount]),0)</f>
        <v>0.16762943759727064</v>
      </c>
      <c r="F48" s="81">
        <f>COUNTIF(Transactions[Store Name],"*Wide World*")</f>
        <v>244</v>
      </c>
    </row>
    <row r="49" spans="1:6" x14ac:dyDescent="0.2">
      <c r="A49" s="81" t="s">
        <v>8720</v>
      </c>
      <c r="B49" s="82">
        <f>SUMIF(Transactions[Store Name],"*Proseware,*",Transactions[Sales Amount])</f>
        <v>68620.210000000006</v>
      </c>
      <c r="C49" s="83">
        <f>SUMIF(Transactions[Store Name],"*Proseware,*",Transactions[Quantity Sold])</f>
        <v>6351</v>
      </c>
      <c r="D49" s="82">
        <f>IFERROR(AVERAGEIF(Transactions[Store Name],"*Proseware,*",Transactions[Sales Amount]),0)</f>
        <v>264.94289575289577</v>
      </c>
      <c r="E49" s="85">
        <f>IFERROR(B49/SUM(Transactions[Sales Amount]),0)</f>
        <v>0.17707194703815435</v>
      </c>
      <c r="F49" s="81">
        <f>COUNTIF(Transactions[Store Name],"*Proseware,*")</f>
        <v>259</v>
      </c>
    </row>
    <row r="50" spans="1:6" x14ac:dyDescent="0.2">
      <c r="A50" s="81" t="s">
        <v>76</v>
      </c>
      <c r="B50" s="82">
        <f>SUMIF(Transactions[Store Name],"*​Relecloud*",Transactions[Sales Amount])</f>
        <v>61256.280000000013</v>
      </c>
      <c r="C50" s="83">
        <f>SUMIF(Transactions[Store Name],"*​Relecloud*",Transactions[Quantity Sold])</f>
        <v>6179</v>
      </c>
      <c r="D50" s="82">
        <f>IFERROR(AVERAGEIF(Transactions[Store Name],"*​Relecloud*",Transactions[Sales Amount]),0)</f>
        <v>245.02512000000004</v>
      </c>
      <c r="E50" s="85">
        <f>IFERROR(B50/SUM(Transactions[Sales Amount]),0)</f>
        <v>0.15806959448119373</v>
      </c>
      <c r="F50" s="81">
        <f>COUNTIF(Transactions[Store Name],"*​Relecloud*")</f>
        <v>250</v>
      </c>
    </row>
    <row r="51" spans="1:6" ht="12" x14ac:dyDescent="0.25">
      <c r="A51" s="86" t="s">
        <v>8714</v>
      </c>
      <c r="B51" s="87">
        <f>SUM(B45:B50)</f>
        <v>387527.28</v>
      </c>
      <c r="C51" s="88">
        <f>SUM(C45:C50)</f>
        <v>37697</v>
      </c>
      <c r="D51" s="87">
        <f>AVERAGE(D45:D50)</f>
        <v>258.33970941575762</v>
      </c>
      <c r="E51" s="89">
        <f>SUM(E45:E50)</f>
        <v>1</v>
      </c>
      <c r="F51" s="86">
        <f>SUM(F45:F50)</f>
        <v>1500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690AC-15C9-4046-AA96-43A2C6053C91}">
  <dimension ref="A1:L56"/>
  <sheetViews>
    <sheetView topLeftCell="A10" workbookViewId="0">
      <selection activeCell="C30" sqref="C30"/>
    </sheetView>
  </sheetViews>
  <sheetFormatPr defaultRowHeight="11.4" x14ac:dyDescent="0.2"/>
  <cols>
    <col min="1" max="1" width="25" customWidth="1"/>
    <col min="2" max="2" width="20.875" customWidth="1"/>
    <col min="3" max="3" width="18.75" customWidth="1"/>
    <col min="4" max="5" width="17.75" customWidth="1"/>
    <col min="6" max="6" width="9.375" bestFit="1" customWidth="1"/>
    <col min="7" max="7" width="31.25" customWidth="1"/>
    <col min="8" max="9" width="20.875" customWidth="1"/>
    <col min="10" max="12" width="18.75" customWidth="1"/>
  </cols>
  <sheetData>
    <row r="1" spans="1:12" ht="22.8" x14ac:dyDescent="0.4">
      <c r="A1" s="98" t="s">
        <v>8750</v>
      </c>
    </row>
    <row r="2" spans="1:12" x14ac:dyDescent="0.2">
      <c r="A2" s="75" t="s">
        <v>8751</v>
      </c>
    </row>
    <row r="4" spans="1:12" ht="12" x14ac:dyDescent="0.25">
      <c r="A4" s="99" t="s">
        <v>8752</v>
      </c>
      <c r="B4" s="99"/>
      <c r="C4" s="99"/>
      <c r="D4" s="99"/>
      <c r="E4" s="99"/>
      <c r="G4" s="103" t="s">
        <v>8779</v>
      </c>
      <c r="H4" s="103"/>
      <c r="I4" s="103"/>
      <c r="J4" s="103"/>
      <c r="K4" s="103"/>
    </row>
    <row r="6" spans="1:12" ht="12" x14ac:dyDescent="0.25">
      <c r="A6" s="100" t="s">
        <v>8753</v>
      </c>
      <c r="B6" s="100" t="s">
        <v>8710</v>
      </c>
      <c r="C6" s="100" t="s">
        <v>8612</v>
      </c>
      <c r="D6" s="100" t="s">
        <v>8712</v>
      </c>
      <c r="E6" s="100" t="s">
        <v>8754</v>
      </c>
      <c r="G6" s="104" t="s">
        <v>8697</v>
      </c>
      <c r="H6" s="104">
        <v>2022</v>
      </c>
      <c r="I6" s="104">
        <v>2023</v>
      </c>
      <c r="J6" s="104">
        <v>2024</v>
      </c>
      <c r="K6" s="104" t="s">
        <v>8780</v>
      </c>
      <c r="L6" s="104" t="s">
        <v>8781</v>
      </c>
    </row>
    <row r="7" spans="1:12" x14ac:dyDescent="0.2">
      <c r="A7" t="s">
        <v>8755</v>
      </c>
      <c r="B7" s="67">
        <f>SUMIFS(Transactions[Sales Amount],Transactions[Transaction Date],"&gt;=1/1/2022",Transactions[Transaction Date],"&lt;4/1/2022")</f>
        <v>33426.729999999996</v>
      </c>
      <c r="C7">
        <f>COUNTIFS(Transactions[Transaction Date],"&gt;=1/1/2022",Transactions[Transaction Date],"&lt;4/1/2022")</f>
        <v>129</v>
      </c>
      <c r="D7" s="67">
        <f>B7/C7</f>
        <v>259.12193798449607</v>
      </c>
      <c r="E7" t="s">
        <v>8756</v>
      </c>
      <c r="G7" t="s">
        <v>8782</v>
      </c>
      <c r="H7" s="101">
        <f>SUMIFS(Transactions[Sales Amount],Transactions[Transaction Date],"&gt;=1/1/2022",Transactions[Transaction Date],"&lt;1/1/2023")</f>
        <v>134864.42999999993</v>
      </c>
      <c r="I7" s="101">
        <f>SUMIFS(Transactions[Sales Amount],Transactions[Transaction Date],"&gt;=1/1/2023",Transactions[Transaction Date],"&lt;1/1/2024")</f>
        <v>117062.21000000002</v>
      </c>
      <c r="J7" s="101">
        <f>SUMIFS(Transactions[Sales Amount],Transactions[Transaction Date],"&gt;=1/1/2024",Transactions[Transaction Date],"&lt;1/1/2025")</f>
        <v>135600.64000000001</v>
      </c>
      <c r="K7" s="69">
        <f>(I7-H7)/H7</f>
        <v>-0.13200085448772461</v>
      </c>
      <c r="L7" s="69">
        <f>(J7-I7)/I7</f>
        <v>0.15836391607505096</v>
      </c>
    </row>
    <row r="8" spans="1:12" x14ac:dyDescent="0.2">
      <c r="A8" t="s">
        <v>8757</v>
      </c>
      <c r="B8" s="67">
        <f>SUMIFS(Transactions[Sales Amount],Transactions[Transaction Date],"&gt;=4/1/2022",Transactions[Transaction Date],"&lt;7/1/2022")</f>
        <v>30141.410000000003</v>
      </c>
      <c r="C8">
        <f>COUNTIFS(Transactions[Transaction Date],"&gt;=4/1/2022",Transactions[Transaction Date],"&lt;7/1/2022")</f>
        <v>125</v>
      </c>
      <c r="D8" s="67">
        <f>B8/C8</f>
        <v>241.13128000000003</v>
      </c>
      <c r="E8" s="69">
        <f>(B8-B7)/B7</f>
        <v>-9.8284217451123479E-2</v>
      </c>
      <c r="G8" t="s">
        <v>8612</v>
      </c>
      <c r="H8">
        <f>COUNTIFS(Transactions[Transaction Date],"&gt;=1/1/2022",Transactions[Transaction Date],"&lt;1/1/2023")</f>
        <v>523</v>
      </c>
      <c r="I8">
        <f>COUNTIFS(Transactions[Transaction Date],"&gt;=1/1/2023",Transactions[Transaction Date],"&lt;1/1/2024")</f>
        <v>455</v>
      </c>
      <c r="J8">
        <f>COUNTIFS(Transactions[Transaction Date],"&gt;=1/1/2024",Transactions[Transaction Date],"&lt;1/1/2025")</f>
        <v>522</v>
      </c>
      <c r="K8" s="69">
        <f>(I8-H8)/H8</f>
        <v>-0.13001912045889102</v>
      </c>
      <c r="L8" s="69">
        <f>(J8-I8)/I8</f>
        <v>0.14725274725274726</v>
      </c>
    </row>
    <row r="9" spans="1:12" x14ac:dyDescent="0.2">
      <c r="A9" t="s">
        <v>8758</v>
      </c>
      <c r="B9" s="67">
        <f>SUMIFS(Transactions[Sales Amount],Transactions[Transaction Date],"&gt;=7/1/2022",Transactions[Transaction Date],"&lt;10/1/2022")</f>
        <v>35642.28</v>
      </c>
      <c r="C9">
        <f>COUNTIFS(Transactions[Transaction Date],"&gt;=7/1/2022",Transactions[Transaction Date],"&lt;10/1/2022")</f>
        <v>136</v>
      </c>
      <c r="D9" s="67">
        <f>B9/C9</f>
        <v>262.07558823529411</v>
      </c>
      <c r="E9" s="69">
        <f>(B9-B8)/B8</f>
        <v>0.18250207936523191</v>
      </c>
      <c r="G9" t="s">
        <v>8783</v>
      </c>
      <c r="H9" s="67">
        <f>H7/H8</f>
        <v>257.86697896749507</v>
      </c>
      <c r="I9" s="67">
        <f>I7/I8</f>
        <v>257.27958241758245</v>
      </c>
      <c r="J9" s="67">
        <f>J7/J8</f>
        <v>259.77134099616859</v>
      </c>
      <c r="K9" s="69">
        <f>(I9-H9)/H9</f>
        <v>-2.2779052683076137E-3</v>
      </c>
      <c r="L9" s="69">
        <f>(J9-I9)/I9</f>
        <v>9.6850226324677723E-3</v>
      </c>
    </row>
    <row r="10" spans="1:12" x14ac:dyDescent="0.2">
      <c r="A10" t="s">
        <v>8759</v>
      </c>
      <c r="B10" s="67">
        <f>SUMIFS(Transactions[Sales Amount],Transactions[Transaction Date],"&gt;=10/1/2022",Transactions[Transaction Date],"&lt;1/1/2023")</f>
        <v>35654.010000000017</v>
      </c>
      <c r="C10">
        <f>COUNTIFS(Transactions[Transaction Date],"&gt;=10/1/2022",Transactions[Transaction Date],"&lt;1/1/2023")</f>
        <v>133</v>
      </c>
      <c r="D10" s="67">
        <f>B10/C10</f>
        <v>268.07526315789488</v>
      </c>
      <c r="E10" s="69">
        <f>(B10-B9)/B9</f>
        <v>3.2910352536419537E-4</v>
      </c>
      <c r="G10" t="s">
        <v>8784</v>
      </c>
      <c r="H10">
        <f>SUMIFS(Transactions[Quantity Sold],Transactions[Transaction Date],"&gt;=1/1/2022",Transactions[Transaction Date],"&lt;1/1/2023")</f>
        <v>13146</v>
      </c>
      <c r="I10">
        <f>SUMIFS(Transactions[Quantity Sold],Transactions[Transaction Date],"&gt;=1/1/2023",Transactions[Transaction Date],"&lt;1/1/2024")</f>
        <v>11115</v>
      </c>
      <c r="J10">
        <f>SUMIFS(Transactions[Quantity Sold],Transactions[Transaction Date],"&gt;=1/1/2024",Transactions[Transaction Date],"&lt;1/1/2025")</f>
        <v>13436</v>
      </c>
      <c r="K10" s="69">
        <f>(I10-H10)/H10</f>
        <v>-0.15449566408032861</v>
      </c>
      <c r="L10" s="69">
        <f>(J10-I10)/I10</f>
        <v>0.20881691408007197</v>
      </c>
    </row>
    <row r="11" spans="1:12" x14ac:dyDescent="0.2">
      <c r="A11" t="s">
        <v>8760</v>
      </c>
      <c r="B11" s="67">
        <f>SUMIFS(Transactions[Sales Amount],Transactions[Transaction Date],"&gt;=1/1/2023",Transactions[Transaction Date],"&lt;4/1/2023")</f>
        <v>28398.650000000012</v>
      </c>
      <c r="C11">
        <f>COUNTIFS(Transactions[Transaction Date],"&gt;=1/1/2023",Transactions[Transaction Date],"&lt;4/1/2023")</f>
        <v>103</v>
      </c>
      <c r="D11" s="67">
        <f>B11/C11</f>
        <v>275.71504854368942</v>
      </c>
      <c r="E11" s="69">
        <f>(B11-B10)/B10</f>
        <v>-0.20349352008371571</v>
      </c>
    </row>
    <row r="12" spans="1:12" ht="12" x14ac:dyDescent="0.25">
      <c r="A12" t="s">
        <v>8761</v>
      </c>
      <c r="B12" s="67">
        <f>SUMIFS(Transactions[Sales Amount],Transactions[Transaction Date],"&gt;=4/1/2023",Transactions[Transaction Date],"&lt;7/1/2023")</f>
        <v>29598.289999999994</v>
      </c>
      <c r="C12">
        <f>COUNTIFS(Transactions[Transaction Date],"&gt;=4/1/2023",Transactions[Transaction Date],"&lt;7/1/2023")</f>
        <v>119</v>
      </c>
      <c r="D12" s="67">
        <f>B12/C12</f>
        <v>248.7251260504201</v>
      </c>
      <c r="E12" s="69">
        <f>(B12-B11)/B11</f>
        <v>4.2242853093368199E-2</v>
      </c>
      <c r="G12" s="103" t="s">
        <v>8785</v>
      </c>
      <c r="H12" s="103"/>
      <c r="I12" s="103"/>
      <c r="J12" s="103"/>
      <c r="K12" s="103"/>
    </row>
    <row r="13" spans="1:12" x14ac:dyDescent="0.2">
      <c r="A13" t="s">
        <v>8762</v>
      </c>
      <c r="B13" s="67">
        <f>SUMIFS(Transactions[Sales Amount],Transactions[Transaction Date],"&gt;=7/1/2023",Transactions[Transaction Date],"&lt;10/1/2023")</f>
        <v>29101.389999999996</v>
      </c>
      <c r="C13">
        <f>COUNTIFS(Transactions[Transaction Date],"&gt;=7/1/2023",Transactions[Transaction Date],"&lt;10/1/2023")</f>
        <v>115</v>
      </c>
      <c r="D13" s="67">
        <f>B13/C13</f>
        <v>253.05556521739126</v>
      </c>
      <c r="E13" s="69">
        <f>(B13-B12)/B12</f>
        <v>-1.6788132017086052E-2</v>
      </c>
    </row>
    <row r="14" spans="1:12" ht="12" x14ac:dyDescent="0.25">
      <c r="A14" t="s">
        <v>8763</v>
      </c>
      <c r="B14" s="67">
        <f>SUMIFS(Transactions[Sales Amount],Transactions[Transaction Date],"&gt;=10/1/2023",Transactions[Transaction Date],"&lt;1/1/2024")</f>
        <v>29963.88</v>
      </c>
      <c r="C14">
        <f>COUNTIFS(Transactions[Transaction Date],"&gt;=10/1/2023",Transactions[Transaction Date],"&lt;1/1/2024")</f>
        <v>118</v>
      </c>
      <c r="D14" s="67">
        <f>B14/C14</f>
        <v>253.93118644067798</v>
      </c>
      <c r="E14" s="69">
        <f>(B14-B13)/B13</f>
        <v>2.9637415944736845E-2</v>
      </c>
      <c r="G14" s="104" t="s">
        <v>8786</v>
      </c>
      <c r="H14" s="104" t="s">
        <v>83</v>
      </c>
      <c r="I14" s="104" t="s">
        <v>8787</v>
      </c>
      <c r="J14" s="104" t="s">
        <v>39</v>
      </c>
      <c r="K14" s="104" t="s">
        <v>8788</v>
      </c>
    </row>
    <row r="15" spans="1:12" x14ac:dyDescent="0.2">
      <c r="A15" t="s">
        <v>8764</v>
      </c>
      <c r="B15" s="67">
        <f>SUMIFS(Transactions[Sales Amount],Transactions[Transaction Date],"&gt;=1/1/2024",Transactions[Transaction Date],"&lt;4/1/2024")</f>
        <v>32538.21000000001</v>
      </c>
      <c r="C15">
        <f>COUNTIFS(Transactions[Transaction Date],"&gt;=1/1/2024",Transactions[Transaction Date],"&lt;4/1/2024")</f>
        <v>125</v>
      </c>
      <c r="D15" s="67">
        <f>B15/C15</f>
        <v>260.30568000000005</v>
      </c>
      <c r="E15" s="69">
        <f>(B15-B14)/B14</f>
        <v>8.5914440986948587E-2</v>
      </c>
      <c r="G15">
        <v>1</v>
      </c>
      <c r="H15" t="s">
        <v>109</v>
      </c>
      <c r="I15" s="101">
        <f>SUMIF(Transactions[Product],"chips",Transactions[Sales Amount])</f>
        <v>71511.459999999963</v>
      </c>
      <c r="J15" s="68">
        <f>SUMIF(Transactions[Product],"chips",Transactions[Quantity Sold])</f>
        <v>6734</v>
      </c>
      <c r="K15" s="67">
        <f>I15/J15</f>
        <v>10.619462429462423</v>
      </c>
    </row>
    <row r="16" spans="1:12" x14ac:dyDescent="0.2">
      <c r="A16" t="s">
        <v>8765</v>
      </c>
      <c r="B16" s="67">
        <f>SUMIFS(Transactions[Sales Amount],Transactions[Transaction Date],"&gt;=4/1/2024",Transactions[Transaction Date],"&lt;7/1/2024")</f>
        <v>32938.920000000006</v>
      </c>
      <c r="C16">
        <f>COUNTIFS(Transactions[Transaction Date],"&gt;=4/1/2024",Transactions[Transaction Date],"&lt;7/1/2024")</f>
        <v>127</v>
      </c>
      <c r="D16" s="67">
        <f>B16/C16</f>
        <v>259.36157480314967</v>
      </c>
      <c r="E16" s="69">
        <f>(B16-B15)/B15</f>
        <v>1.2315059740532604E-2</v>
      </c>
      <c r="G16">
        <v>2</v>
      </c>
      <c r="H16" t="s">
        <v>102</v>
      </c>
      <c r="I16" s="101">
        <f>SUMIF(Transactions[Product],"spread",Transactions[Sales Amount])</f>
        <v>70460.540000000008</v>
      </c>
      <c r="J16" s="68">
        <f>SUMIF(Transactions[Product],"spread",Transactions[Quantity Sold])</f>
        <v>6513</v>
      </c>
      <c r="K16" s="67">
        <f>I16/J16</f>
        <v>10.81844618455397</v>
      </c>
    </row>
    <row r="17" spans="1:11" x14ac:dyDescent="0.2">
      <c r="A17" t="s">
        <v>8766</v>
      </c>
      <c r="B17" s="67">
        <f>SUMIFS(Transactions[Sales Amount],Transactions[Transaction Date],"&gt;=7/1/2024",Transactions[Transaction Date],"&lt;10/1/2024")</f>
        <v>37815.679999999993</v>
      </c>
      <c r="C17">
        <f>COUNTIFS(Transactions[Transaction Date],"&gt;=7/1/2024",Transactions[Transaction Date],"&lt;10/1/2024")</f>
        <v>145</v>
      </c>
      <c r="D17" s="67">
        <f>B17/C17</f>
        <v>260.79779310344821</v>
      </c>
      <c r="E17" s="69">
        <f>(B17-B16)/B16</f>
        <v>0.14805464174295899</v>
      </c>
      <c r="G17">
        <v>3</v>
      </c>
      <c r="H17" t="s">
        <v>89</v>
      </c>
      <c r="I17" s="101">
        <f>SUMIF(Transactions[Product],"cookies",Transactions[Sales Amount])</f>
        <v>64848.05</v>
      </c>
      <c r="J17" s="68">
        <f>SUMIF(Transactions[Product],"cookies",Transactions[Quantity Sold])</f>
        <v>5792</v>
      </c>
      <c r="K17" s="67">
        <f>I17/J17</f>
        <v>11.196141229281768</v>
      </c>
    </row>
    <row r="18" spans="1:11" x14ac:dyDescent="0.2">
      <c r="A18" t="s">
        <v>8767</v>
      </c>
      <c r="B18" s="67">
        <f>SUMIFS(Transactions[Sales Amount],Transactions[Transaction Date],"&gt;=10/1/2024",Transactions[Transaction Date],"&lt;1/1/2025")</f>
        <v>32307.83</v>
      </c>
      <c r="C18">
        <f>COUNTIFS(Transactions[Transaction Date],"&gt;=10/1/2024",Transactions[Transaction Date],"&lt;1/1/2025")</f>
        <v>125</v>
      </c>
      <c r="D18" s="67">
        <f>B18/C18</f>
        <v>258.46264000000002</v>
      </c>
      <c r="E18" s="69">
        <f>(B18-B17)/B17</f>
        <v>-0.14564989972413539</v>
      </c>
      <c r="G18">
        <v>4</v>
      </c>
      <c r="H18" t="s">
        <v>97</v>
      </c>
      <c r="I18" s="101">
        <f>SUMIF(Transactions[Product],"chocolate cake",Transactions[Sales Amount])</f>
        <v>62022.42000000002</v>
      </c>
      <c r="J18" s="68">
        <f>SUMIF(Transactions[Product],"chocolate cake",Transactions[Quantity Sold])</f>
        <v>6244</v>
      </c>
      <c r="K18" s="67">
        <f>I18/J18</f>
        <v>9.9331229980781579</v>
      </c>
    </row>
    <row r="19" spans="1:11" x14ac:dyDescent="0.2">
      <c r="G19">
        <v>5</v>
      </c>
      <c r="H19" t="s">
        <v>92</v>
      </c>
      <c r="I19" s="101">
        <f>SUMIF(Transactions[Product],"ice cream",Transactions[Sales Amount])</f>
        <v>60060.349999999955</v>
      </c>
      <c r="J19" s="68">
        <f>SUMIF(Transactions[Product],"ice cream",Transactions[Quantity Sold])</f>
        <v>6074</v>
      </c>
      <c r="K19" s="67">
        <f>I19/J19</f>
        <v>9.8881050378663087</v>
      </c>
    </row>
    <row r="20" spans="1:11" ht="12" x14ac:dyDescent="0.25">
      <c r="A20" s="99" t="s">
        <v>8768</v>
      </c>
      <c r="B20" s="99"/>
      <c r="C20" s="99"/>
      <c r="D20" s="99"/>
      <c r="E20" s="99"/>
      <c r="F20" s="99"/>
      <c r="G20" s="99"/>
      <c r="H20" s="99"/>
      <c r="I20" s="105"/>
      <c r="J20" s="68">
        <f>SUMIF(Transactions[Product],"bagels",Transactions[Quantity Sold])</f>
        <v>6340</v>
      </c>
      <c r="K20" s="67">
        <f>I20/J20</f>
        <v>0</v>
      </c>
    </row>
    <row r="22" spans="1:11" ht="12" x14ac:dyDescent="0.25">
      <c r="A22" s="100" t="s">
        <v>83</v>
      </c>
      <c r="B22" s="100" t="s">
        <v>108</v>
      </c>
      <c r="C22" s="100" t="s">
        <v>91</v>
      </c>
      <c r="D22" s="100" t="s">
        <v>94</v>
      </c>
      <c r="E22" s="100" t="s">
        <v>96</v>
      </c>
      <c r="F22" s="100" t="s">
        <v>88</v>
      </c>
      <c r="G22" s="103" t="s">
        <v>8789</v>
      </c>
      <c r="H22" s="103"/>
      <c r="I22" s="103"/>
      <c r="J22" s="103"/>
      <c r="K22" s="103"/>
    </row>
    <row r="23" spans="1:11" x14ac:dyDescent="0.2">
      <c r="A23" t="s">
        <v>124</v>
      </c>
      <c r="B23" s="101">
        <f>SUMIFS(Transactions[Sales Amount],Transactions[Product],"bagels",Transactions[City],"Boston")</f>
        <v>8530.32</v>
      </c>
      <c r="C23" s="101">
        <f>SUMIFS(Transactions[Sales Amount],Transactions[Product],"bagels",Transactions[City],"Chicago")</f>
        <v>5574.84</v>
      </c>
      <c r="D23" s="101">
        <f>SUMIFS(Transactions[Sales Amount],Transactions[Product],"bagels",Transactions[City],"Los Angeles")</f>
        <v>4988.92</v>
      </c>
      <c r="E23" s="101">
        <f>SUMIFS(Transactions[Sales Amount],Transactions[Product],"bagels",Transactions[City],"New Orleans")</f>
        <v>5069.45</v>
      </c>
      <c r="F23" s="101">
        <f>SUMIFS(Transactions[Sales Amount],Transactions[Product],"bagels",Transactions[City],"New York")</f>
        <v>9092.8199999999979</v>
      </c>
      <c r="G23" s="101">
        <f>SUMIFS(Transactions[Sales Amount],Transactions[Product],"bagels",Transactions[City],"San Francisco")</f>
        <v>5403.579999999999</v>
      </c>
      <c r="H23" s="101">
        <f>SUMIFS(Transactions[Sales Amount],Transactions[Product],"bagels",Transactions[City],"Seattle")</f>
        <v>12295.020000000004</v>
      </c>
      <c r="I23" s="101">
        <f>SUMIFS(Transactions[Sales Amount],Transactions[Product],"bagels",Transactions[City],"Tacoma")</f>
        <v>7669.5099999999993</v>
      </c>
    </row>
    <row r="24" spans="1:11" ht="12" x14ac:dyDescent="0.25">
      <c r="A24" t="s">
        <v>109</v>
      </c>
      <c r="B24" s="101">
        <f>SUMIFS(Transactions[Sales Amount],Transactions[Product],"chips",Transactions[City],"Boston")</f>
        <v>7296.2899999999991</v>
      </c>
      <c r="C24" s="101">
        <f>SUMIFS(Transactions[Sales Amount],Transactions[Product],"chips",Transactions[City],"Chicago")</f>
        <v>8276.0199999999986</v>
      </c>
      <c r="D24" s="101">
        <f>SUMIFS(Transactions[Sales Amount],Transactions[Product],"chips",Transactions[City],"Los Angeles")</f>
        <v>8744.84</v>
      </c>
      <c r="E24" s="101">
        <f>SUMIFS(Transactions[Sales Amount],Transactions[Product],"chips",Transactions[City],"New Orleans")</f>
        <v>11572.559999999996</v>
      </c>
      <c r="F24" s="101">
        <f>SUMIFS(Transactions[Sales Amount],Transactions[Product],"chips",Transactions[City],"New York")</f>
        <v>11661.070000000003</v>
      </c>
      <c r="G24" s="107" t="s">
        <v>8790</v>
      </c>
      <c r="H24" s="107" t="s">
        <v>8787</v>
      </c>
      <c r="I24" s="107" t="s">
        <v>8791</v>
      </c>
      <c r="J24" s="104" t="s">
        <v>8792</v>
      </c>
      <c r="K24" s="104" t="s">
        <v>8793</v>
      </c>
    </row>
    <row r="25" spans="1:11" x14ac:dyDescent="0.2">
      <c r="A25" t="s">
        <v>97</v>
      </c>
      <c r="B25" s="101">
        <f>SUMIFS(Transactions[Sales Amount],Transactions[Product],"chocolate cake",Transactions[City],"Boston")</f>
        <v>6598.3300000000008</v>
      </c>
      <c r="C25" s="101">
        <f>SUMIFS(Transactions[Sales Amount],Transactions[Product],"chocolate cake",Transactions[City],"Chicago")</f>
        <v>6467.54</v>
      </c>
      <c r="D25" s="101">
        <f>SUMIFS(Transactions[Sales Amount],Transactions[Product],"chocolate cake",Transactions[City],"Los Angeles")</f>
        <v>6035.9</v>
      </c>
      <c r="E25" s="101">
        <f>SUMIFS(Transactions[Sales Amount],Transactions[Product],"chocolate cake",Transactions[City],"New Orleans")</f>
        <v>10913.319999999998</v>
      </c>
      <c r="F25" s="101">
        <f>SUMIFS(Transactions[Sales Amount],Transactions[Product],"chocolate cake",Transactions[City],"New York")</f>
        <v>7989.9</v>
      </c>
      <c r="G25" s="101" t="s">
        <v>8794</v>
      </c>
      <c r="H25" s="101">
        <f>SUMIF(Transactions[Store Name],"*Liberty*",Transactions[Sales Amount])</f>
        <v>69119.609999999942</v>
      </c>
      <c r="I25" s="69">
        <f>H25/H$31</f>
        <v>0.17836063050838624</v>
      </c>
      <c r="J25" s="67">
        <f>H25/COUNTIF(Transactions[Store Name],"*Liberty*")</f>
        <v>260.82871698113183</v>
      </c>
      <c r="K25" t="s">
        <v>8756</v>
      </c>
    </row>
    <row r="26" spans="1:11" x14ac:dyDescent="0.2">
      <c r="A26" t="s">
        <v>89</v>
      </c>
      <c r="B26" s="101">
        <f>SUMIFS(Transactions[Sales Amount],Transactions[Product],"cookies",Transactions[City],"Boston")</f>
        <v>7383.3400000000011</v>
      </c>
      <c r="C26" s="101">
        <f>SUMIFS(Transactions[Sales Amount],Transactions[Product],"cookies",Transactions[City],"Chicago")</f>
        <v>10331.129999999999</v>
      </c>
      <c r="D26" s="101">
        <f>SUMIFS(Transactions[Sales Amount],Transactions[Product],"cookies",Transactions[City],"Los Angeles")</f>
        <v>6906.0700000000006</v>
      </c>
      <c r="E26" s="101">
        <f>SUMIFS(Transactions[Sales Amount],Transactions[Product],"cookies",Transactions[City],"New Orleans")</f>
        <v>6139.5800000000008</v>
      </c>
      <c r="F26" s="101">
        <f>SUMIFS(Transactions[Sales Amount],Transactions[Product],"cookies",Transactions[City],"New York")</f>
        <v>9427.7499999999982</v>
      </c>
      <c r="G26" s="101" t="s">
        <v>8718</v>
      </c>
      <c r="H26" s="101">
        <f>SUMIF(Transactions[Store Name],"*Northwind*",Transactions[Sales Amount])</f>
        <v>65112.680000000051</v>
      </c>
      <c r="I26" s="69">
        <f>H26/H$31</f>
        <v>0.16802089390971403</v>
      </c>
      <c r="J26" s="67">
        <f>H26/COUNTIF(Transactions[Store Name],"*Northwind*")</f>
        <v>254.3464062500002</v>
      </c>
      <c r="K26" t="s">
        <v>8756</v>
      </c>
    </row>
    <row r="27" spans="1:11" x14ac:dyDescent="0.2">
      <c r="A27" t="s">
        <v>92</v>
      </c>
      <c r="B27" s="101">
        <f>SUMIFS(Transactions[Sales Amount],Transactions[Product],"ice cream",Transactions[City],"Boston")</f>
        <v>7193.4899999999989</v>
      </c>
      <c r="C27" s="101">
        <f>SUMIFS(Transactions[Sales Amount],Transactions[Product],"ice cream",Transactions[City],"Chicago")</f>
        <v>5143.7000000000007</v>
      </c>
      <c r="D27" s="101">
        <f>SUMIFS(Transactions[Sales Amount],Transactions[Product],"ice cream",Transactions[City],"Los Angeles")</f>
        <v>6324.62</v>
      </c>
      <c r="E27" s="101">
        <f>SUMIFS(Transactions[Sales Amount],Transactions[Product],"ice cream",Transactions[City],"New Orleans")</f>
        <v>5322.2500000000009</v>
      </c>
      <c r="F27" s="101">
        <f>SUMIFS(Transactions[Sales Amount],Transactions[Product],"ice cream",Transactions[City],"New York")</f>
        <v>10490.829999999998</v>
      </c>
      <c r="G27" s="101" t="s">
        <v>8795</v>
      </c>
      <c r="H27" s="101">
        <f>SUMIF(Transactions[Store Name],"*VanArsdel*",Transactions[Sales Amount])</f>
        <v>58457.520000000004</v>
      </c>
      <c r="I27" s="69">
        <f>H27/H$31</f>
        <v>0.15084749646528109</v>
      </c>
      <c r="J27" s="67">
        <f>H27/COUNTIF(Transactions[Store Name],"*VanArsdel*")</f>
        <v>258.661592920354</v>
      </c>
      <c r="K27" t="s">
        <v>8756</v>
      </c>
    </row>
    <row r="28" spans="1:11" x14ac:dyDescent="0.2">
      <c r="A28" t="s">
        <v>102</v>
      </c>
      <c r="B28" s="101">
        <f>SUMIFS(Transactions[Sales Amount],Transactions[Product],"spread",Transactions[City],"Boston")</f>
        <v>10137.960000000001</v>
      </c>
      <c r="C28" s="101">
        <f>SUMIFS(Transactions[Sales Amount],Transactions[Product],"spread",Transactions[City],"Chicago")</f>
        <v>10231.189999999999</v>
      </c>
      <c r="D28" s="101">
        <f>SUMIFS(Transactions[Sales Amount],Transactions[Product],"spread",Transactions[City],"Los Angeles")</f>
        <v>11984.070000000003</v>
      </c>
      <c r="E28" s="101">
        <f>SUMIFS(Transactions[Sales Amount],Transactions[Product],"spread",Transactions[City],"New Orleans")</f>
        <v>5846.1500000000005</v>
      </c>
      <c r="F28" s="101">
        <f>SUMIFS(Transactions[Sales Amount],Transactions[Product],"spread",Transactions[City],"New York")</f>
        <v>8765.130000000001</v>
      </c>
      <c r="G28" s="101" t="s">
        <v>8719</v>
      </c>
      <c r="H28" s="101">
        <f>SUMIF(Transactions[Store Name],"*Wide World*",Transactions[Sales Amount])</f>
        <v>64960.980000000018</v>
      </c>
      <c r="I28" s="69">
        <f>H28/H$31</f>
        <v>0.16762943759727061</v>
      </c>
      <c r="J28" s="67">
        <f>H28/COUNTIF(Transactions[Store Name],"*Wide World*")</f>
        <v>266.233524590164</v>
      </c>
      <c r="K28" t="s">
        <v>8756</v>
      </c>
    </row>
    <row r="29" spans="1:11" ht="12" x14ac:dyDescent="0.25">
      <c r="A29" s="64" t="s">
        <v>8714</v>
      </c>
      <c r="B29" s="101">
        <f>SUM(B23:B28)</f>
        <v>47139.729999999996</v>
      </c>
      <c r="C29" s="101">
        <f>SUM(C23:C28)</f>
        <v>46024.42</v>
      </c>
      <c r="D29" s="101">
        <f>SUM(D23:D28)</f>
        <v>44984.42</v>
      </c>
      <c r="E29" s="101">
        <f>SUM(E23:E28)</f>
        <v>44863.31</v>
      </c>
      <c r="F29" s="101">
        <f>SUM(F23:F28)</f>
        <v>57427.5</v>
      </c>
      <c r="G29" s="101" t="s">
        <v>8720</v>
      </c>
      <c r="H29" s="101">
        <f>SUMIF(Transactions[Store Name],"*Proseware*",Transactions[Sales Amount])</f>
        <v>68620.210000000006</v>
      </c>
      <c r="I29" s="69">
        <f>H29/H$31</f>
        <v>0.17707194703815432</v>
      </c>
      <c r="J29" s="67">
        <f>H29/COUNTIF(Transactions[Store Name],"*Proseware*")</f>
        <v>264.94289575289577</v>
      </c>
      <c r="K29" t="s">
        <v>8756</v>
      </c>
    </row>
    <row r="30" spans="1:11" x14ac:dyDescent="0.2">
      <c r="G30" t="s">
        <v>8796</v>
      </c>
      <c r="H30" s="101">
        <f>SUMIF(Transactions[Store Name],"*Relecloud*",Transactions[Sales Amount])</f>
        <v>61256.280000000013</v>
      </c>
      <c r="I30" s="69">
        <f>H30/H$31</f>
        <v>0.1580695944811937</v>
      </c>
      <c r="J30" s="67">
        <f>H30/COUNTIF(Transactions[Store Name],"*Relecloud*")</f>
        <v>245.02512000000004</v>
      </c>
      <c r="K30" t="s">
        <v>8756</v>
      </c>
    </row>
    <row r="31" spans="1:11" ht="12" x14ac:dyDescent="0.25">
      <c r="A31" s="99" t="s">
        <v>8769</v>
      </c>
      <c r="B31" s="99"/>
      <c r="C31" s="99"/>
      <c r="D31" s="99"/>
      <c r="E31" s="99"/>
      <c r="G31" s="106" t="s">
        <v>8714</v>
      </c>
      <c r="H31" s="106">
        <f>SUM(H25:H30)</f>
        <v>387527.28</v>
      </c>
      <c r="I31" s="102">
        <v>1</v>
      </c>
      <c r="J31" s="64"/>
      <c r="K31" s="64"/>
    </row>
    <row r="33" spans="1:12" ht="12" x14ac:dyDescent="0.25">
      <c r="A33" s="100" t="s">
        <v>8770</v>
      </c>
      <c r="B33" s="100" t="s">
        <v>8710</v>
      </c>
      <c r="C33" s="100" t="s">
        <v>8612</v>
      </c>
      <c r="D33" s="100" t="s">
        <v>8712</v>
      </c>
      <c r="E33" s="100" t="s">
        <v>8771</v>
      </c>
      <c r="G33" s="108" t="s">
        <v>8810</v>
      </c>
      <c r="H33" s="108"/>
      <c r="I33" s="108"/>
      <c r="J33" s="108"/>
      <c r="K33" s="108"/>
      <c r="L33" s="108"/>
    </row>
    <row r="34" spans="1:12" x14ac:dyDescent="0.2">
      <c r="A34" t="s">
        <v>8772</v>
      </c>
      <c r="B34" s="67" cm="1">
        <f t="array" ref="B34">SUMPRODUCT((WEEKDAY(Transactions[Transaction Date])=1)*Transactions[Sales Amount])</f>
        <v>58973.760000000009</v>
      </c>
      <c r="C34" cm="1">
        <f t="array" ref="C34">SUMPRODUCT((WEEKDAY(Transactions[Transaction Date])=1)*1)</f>
        <v>220</v>
      </c>
      <c r="D34" s="67">
        <f>B34/C34</f>
        <v>268.0625454545455</v>
      </c>
      <c r="E34" s="69">
        <f>B34/B$41</f>
        <v>0.15217963494079698</v>
      </c>
    </row>
    <row r="35" spans="1:12" ht="12" x14ac:dyDescent="0.25">
      <c r="A35" t="s">
        <v>8773</v>
      </c>
      <c r="B35" s="67" cm="1">
        <f t="array" ref="B35">SUMPRODUCT((WEEKDAY(Transactions[Transaction Date])=2)*Transactions[Sales Amount])</f>
        <v>58137.679999999986</v>
      </c>
      <c r="C35" cm="1">
        <f t="array" ref="C35">SUMPRODUCT((WEEKDAY(Transactions[Transaction Date])=2)*1)</f>
        <v>233</v>
      </c>
      <c r="D35" s="67">
        <f>B35/C35</f>
        <v>249.51793991416304</v>
      </c>
      <c r="E35" s="69">
        <f>B35/B$41</f>
        <v>0.1500221610205093</v>
      </c>
      <c r="G35" s="109" t="s">
        <v>8722</v>
      </c>
      <c r="H35" s="109" t="s">
        <v>8698</v>
      </c>
    </row>
    <row r="36" spans="1:12" x14ac:dyDescent="0.2">
      <c r="A36" t="s">
        <v>8774</v>
      </c>
      <c r="B36" s="67" cm="1">
        <f t="array" ref="B36">SUMPRODUCT((WEEKDAY(Transactions[Transaction Date])=3)*Transactions[Sales Amount])</f>
        <v>53134.37</v>
      </c>
      <c r="C36" cm="1">
        <f t="array" ref="C36">SUMPRODUCT((WEEKDAY(Transactions[Transaction Date])=3)*1)</f>
        <v>210</v>
      </c>
      <c r="D36" s="67">
        <f>B36/C36</f>
        <v>253.02080952380953</v>
      </c>
      <c r="E36" s="69">
        <f>B36/B$41</f>
        <v>0.13711130220303461</v>
      </c>
      <c r="G36" t="s">
        <v>8811</v>
      </c>
      <c r="H36" t="str">
        <f>TEXT(INDEX(Transactions[Transaction Date],MATCH(MAX(Transactions[Sales Amount]),Transactions[Sales Amount],0)),"MMMM YYYY")</f>
        <v>August 2023</v>
      </c>
    </row>
    <row r="37" spans="1:12" x14ac:dyDescent="0.2">
      <c r="A37" t="s">
        <v>8775</v>
      </c>
      <c r="B37" s="67" cm="1">
        <f t="array" ref="B37">SUMPRODUCT((WEEKDAY(Transactions[Transaction Date])=4)*Transactions[Sales Amount])</f>
        <v>49295.539999999994</v>
      </c>
      <c r="C37" cm="1">
        <f t="array" ref="C37">SUMPRODUCT((WEEKDAY(Transactions[Transaction Date])=4)*1)</f>
        <v>186</v>
      </c>
      <c r="D37" s="67">
        <f>B37/C37</f>
        <v>265.02978494623653</v>
      </c>
      <c r="E37" s="69">
        <f>B37/B$41</f>
        <v>0.12720534151815066</v>
      </c>
      <c r="G37" t="s">
        <v>8812</v>
      </c>
      <c r="H37" s="67">
        <f>MAX(Transactions[Sales Amount])</f>
        <v>499.73</v>
      </c>
    </row>
    <row r="38" spans="1:12" x14ac:dyDescent="0.2">
      <c r="A38" t="s">
        <v>8776</v>
      </c>
      <c r="B38" s="67" cm="1">
        <f t="array" ref="B38">SUMPRODUCT((WEEKDAY(Transactions[Transaction Date])=5)*Transactions[Sales Amount])</f>
        <v>58057.120000000024</v>
      </c>
      <c r="C38" cm="1">
        <f t="array" ref="C38">SUMPRODUCT((WEEKDAY(Transactions[Transaction Date])=5)*1)</f>
        <v>228</v>
      </c>
      <c r="D38" s="67">
        <f>B38/C38</f>
        <v>254.63649122807027</v>
      </c>
      <c r="E38" s="69">
        <f>B38/B$41</f>
        <v>0.14981427888121845</v>
      </c>
      <c r="G38" t="s">
        <v>8813</v>
      </c>
      <c r="H38" t="str">
        <f>INDEX(Transactions[Product],MATCH(MAX(Transactions[Quantity Sold]),Transactions[Quantity Sold],0))</f>
        <v>chocolate cake</v>
      </c>
    </row>
    <row r="39" spans="1:12" x14ac:dyDescent="0.2">
      <c r="A39" t="s">
        <v>8777</v>
      </c>
      <c r="B39" s="67" cm="1">
        <f t="array" ref="B39">SUMPRODUCT((WEEKDAY(Transactions[Transaction Date])=6)*Transactions[Sales Amount])</f>
        <v>57279.27999999997</v>
      </c>
      <c r="C39" cm="1">
        <f t="array" ref="C39">SUMPRODUCT((WEEKDAY(Transactions[Transaction Date])=6)*1)</f>
        <v>210</v>
      </c>
      <c r="D39" s="67">
        <f>B39/C39</f>
        <v>272.75847619047607</v>
      </c>
      <c r="E39" s="69">
        <f>B39/B$41</f>
        <v>0.14780709115497617</v>
      </c>
      <c r="G39" t="s">
        <v>8814</v>
      </c>
      <c r="H39" t="str" cm="1">
        <f t="array" ref="H39">INDEX(Transactions[Store Name],MODE(MATCH(Transactions[Store Name],Transactions[Store Name],0)))</f>
        <v>​Liberty's Delightful Bakery &amp; Café</v>
      </c>
    </row>
    <row r="40" spans="1:12" x14ac:dyDescent="0.2">
      <c r="A40" t="s">
        <v>8778</v>
      </c>
      <c r="B40" s="67" cm="1">
        <f t="array" ref="B40">SUMPRODUCT((WEEKDAY(Transactions[Transaction Date])=7)*Transactions[Sales Amount])</f>
        <v>52649.530000000021</v>
      </c>
      <c r="C40" cm="1">
        <f t="array" ref="C40">SUMPRODUCT((WEEKDAY(Transactions[Transaction Date])=7)*1)</f>
        <v>213</v>
      </c>
      <c r="D40" s="67">
        <f>B40/C40</f>
        <v>247.18089201877945</v>
      </c>
      <c r="E40" s="69">
        <f>B40/B$41</f>
        <v>0.13586019028131394</v>
      </c>
      <c r="G40" t="s">
        <v>8815</v>
      </c>
      <c r="H40" s="68">
        <f>AVERAGE(Transactions[Area m2])</f>
        <v>200.75266666666667</v>
      </c>
    </row>
    <row r="41" spans="1:12" ht="12" x14ac:dyDescent="0.25">
      <c r="A41" s="64" t="s">
        <v>8714</v>
      </c>
      <c r="B41" s="70">
        <f>SUM(B34:B40)</f>
        <v>387527.27999999997</v>
      </c>
      <c r="C41" s="64">
        <f>SUM(C34:C40)</f>
        <v>1500</v>
      </c>
      <c r="D41" s="70">
        <f>B41/C41</f>
        <v>258.35151999999999</v>
      </c>
      <c r="E41" s="72">
        <v>1</v>
      </c>
      <c r="G41" t="s">
        <v>8816</v>
      </c>
      <c r="H41" s="101" cm="1">
        <f t="array" ref="H41">SUMPRODUCT(Transactions[Area m2]*Transactions[Rental/month/m2])</f>
        <v>15832331.250000004</v>
      </c>
    </row>
    <row r="42" spans="1:12" x14ac:dyDescent="0.2">
      <c r="G42" t="s">
        <v>8817</v>
      </c>
      <c r="H42" s="67">
        <f>SUM(Transactions[Sales Amount])/SUM(Transactions[Area m2])</f>
        <v>1.2869145117208902</v>
      </c>
    </row>
    <row r="43" spans="1:12" ht="12" x14ac:dyDescent="0.25">
      <c r="A43" s="108" t="s">
        <v>8797</v>
      </c>
      <c r="B43" s="108"/>
      <c r="C43" s="108"/>
      <c r="D43" s="108"/>
      <c r="E43" s="108"/>
      <c r="G43" t="s">
        <v>8818</v>
      </c>
      <c r="H43" s="110">
        <f>AVERAGE(Transactions[Quantity Sold])</f>
        <v>25.131333333333334</v>
      </c>
    </row>
    <row r="45" spans="1:12" ht="12" x14ac:dyDescent="0.25">
      <c r="A45" s="109" t="s">
        <v>8798</v>
      </c>
      <c r="B45" s="109" t="s">
        <v>8710</v>
      </c>
      <c r="C45" s="109" t="s">
        <v>8612</v>
      </c>
      <c r="D45" s="109" t="s">
        <v>8712</v>
      </c>
      <c r="E45" s="109" t="s">
        <v>8799</v>
      </c>
    </row>
    <row r="46" spans="1:12" x14ac:dyDescent="0.2">
      <c r="A46" t="s">
        <v>8800</v>
      </c>
      <c r="B46" s="67">
        <f>SUMIF(Transactions[Analysis Priority],1,Transactions[Sales Amount])</f>
        <v>44049.229999999989</v>
      </c>
      <c r="C46">
        <f>COUNTIF(Transactions[Analysis Priority],1)</f>
        <v>159</v>
      </c>
      <c r="D46" s="67">
        <f>IF(C46&gt;0,B46/C46,0)</f>
        <v>277.03918238993703</v>
      </c>
      <c r="E46" s="69">
        <f>B46/B$56</f>
        <v>0.11366743007098748</v>
      </c>
    </row>
    <row r="47" spans="1:12" x14ac:dyDescent="0.2">
      <c r="A47" t="s">
        <v>8801</v>
      </c>
      <c r="B47" s="67">
        <f>SUMIF(Transactions[Analysis Priority],2,Transactions[Sales Amount])</f>
        <v>40705.89999999998</v>
      </c>
      <c r="C47">
        <f>COUNTIF(Transactions[Analysis Priority],2)</f>
        <v>154</v>
      </c>
      <c r="D47" s="67">
        <f>IF(C47&gt;0,B47/C47,0)</f>
        <v>264.32402597402586</v>
      </c>
      <c r="E47" s="69">
        <f>B47/B$56</f>
        <v>0.10504008904869866</v>
      </c>
    </row>
    <row r="48" spans="1:12" x14ac:dyDescent="0.2">
      <c r="A48" t="s">
        <v>8802</v>
      </c>
      <c r="B48" s="67">
        <f>SUMIF(Transactions[Analysis Priority],3,Transactions[Sales Amount])</f>
        <v>38564.699999999961</v>
      </c>
      <c r="C48">
        <f>COUNTIF(Transactions[Analysis Priority],3)</f>
        <v>152</v>
      </c>
      <c r="D48" s="67">
        <f>IF(C48&gt;0,B48/C48,0)</f>
        <v>253.71513157894711</v>
      </c>
      <c r="E48" s="69">
        <f>B48/B$56</f>
        <v>9.9514800609649873E-2</v>
      </c>
    </row>
    <row r="49" spans="1:5" x14ac:dyDescent="0.2">
      <c r="A49" t="s">
        <v>8803</v>
      </c>
      <c r="B49" s="67">
        <f>SUMIF(Transactions[Analysis Priority],4,Transactions[Sales Amount])</f>
        <v>36780.189999999995</v>
      </c>
      <c r="C49">
        <f>COUNTIF(Transactions[Analysis Priority],4)</f>
        <v>146</v>
      </c>
      <c r="D49" s="67">
        <f>IF(C49&gt;0,B49/C49,0)</f>
        <v>251.91910958904106</v>
      </c>
      <c r="E49" s="69">
        <f>B49/B$56</f>
        <v>9.4909937695224947E-2</v>
      </c>
    </row>
    <row r="50" spans="1:5" x14ac:dyDescent="0.2">
      <c r="A50" t="s">
        <v>8804</v>
      </c>
      <c r="B50" s="67">
        <f>SUMIF(Transactions[Analysis Priority],5,Transactions[Sales Amount])</f>
        <v>38483.040000000037</v>
      </c>
      <c r="C50">
        <f>COUNTIF(Transactions[Analysis Priority],5)</f>
        <v>144</v>
      </c>
      <c r="D50" s="67">
        <f>IF(C50&gt;0,B50/C50,0)</f>
        <v>267.24333333333357</v>
      </c>
      <c r="E50" s="69">
        <f>B50/B$56</f>
        <v>9.9304079960512798E-2</v>
      </c>
    </row>
    <row r="51" spans="1:5" x14ac:dyDescent="0.2">
      <c r="A51" t="s">
        <v>8805</v>
      </c>
      <c r="B51" s="67">
        <f>SUMIF(Transactions[Analysis Priority],6,Transactions[Sales Amount])</f>
        <v>38303.780000000006</v>
      </c>
      <c r="C51">
        <f>COUNTIF(Transactions[Analysis Priority],6)</f>
        <v>151</v>
      </c>
      <c r="D51" s="67">
        <f>IF(C51&gt;0,B51/C51,0)</f>
        <v>253.66741721854308</v>
      </c>
      <c r="E51" s="69">
        <f>B51/B$56</f>
        <v>9.8841506074101429E-2</v>
      </c>
    </row>
    <row r="52" spans="1:5" x14ac:dyDescent="0.2">
      <c r="A52" t="s">
        <v>8806</v>
      </c>
      <c r="B52" s="67">
        <f>SUMIF(Transactions[Analysis Priority],7,Transactions[Sales Amount])</f>
        <v>38388.990000000027</v>
      </c>
      <c r="C52">
        <f>COUNTIF(Transactions[Analysis Priority],7)</f>
        <v>150</v>
      </c>
      <c r="D52" s="67">
        <f>IF(C52&gt;0,B52/C52,0)</f>
        <v>255.92660000000018</v>
      </c>
      <c r="E52" s="69">
        <f>B52/B$56</f>
        <v>9.9061387368651888E-2</v>
      </c>
    </row>
    <row r="53" spans="1:5" x14ac:dyDescent="0.2">
      <c r="A53" t="s">
        <v>8807</v>
      </c>
      <c r="B53" s="67">
        <f>SUMIF(Transactions[Analysis Priority],8,Transactions[Sales Amount])</f>
        <v>38243.310000000005</v>
      </c>
      <c r="C53">
        <f>COUNTIF(Transactions[Analysis Priority],8)</f>
        <v>157</v>
      </c>
      <c r="D53" s="67">
        <f>IF(C53&gt;0,B53/C53,0)</f>
        <v>243.58796178343951</v>
      </c>
      <c r="E53" s="69">
        <f>B53/B$56</f>
        <v>9.8685465446458384E-2</v>
      </c>
    </row>
    <row r="54" spans="1:5" x14ac:dyDescent="0.2">
      <c r="A54" t="s">
        <v>8808</v>
      </c>
      <c r="B54" s="67">
        <f>SUMIF(Transactions[Analysis Priority],9,Transactions[Sales Amount])</f>
        <v>35327.010000000017</v>
      </c>
      <c r="C54">
        <f>COUNTIF(Transactions[Analysis Priority],9)</f>
        <v>137</v>
      </c>
      <c r="D54" s="67">
        <f>IF(C54&gt;0,B54/C54,0)</f>
        <v>257.86138686131397</v>
      </c>
      <c r="E54" s="69">
        <f>B54/B$56</f>
        <v>9.1160059751148395E-2</v>
      </c>
    </row>
    <row r="55" spans="1:5" x14ac:dyDescent="0.2">
      <c r="A55" t="s">
        <v>8809</v>
      </c>
      <c r="B55" s="67">
        <f>SUMIF(Transactions[Analysis Priority],10,Transactions[Sales Amount])</f>
        <v>38681.12999999999</v>
      </c>
      <c r="C55">
        <f>COUNTIF(Transactions[Analysis Priority],10)</f>
        <v>150</v>
      </c>
      <c r="D55" s="67">
        <f>IF(C55&gt;0,B55/C55,0)</f>
        <v>257.87419999999992</v>
      </c>
      <c r="E55" s="69">
        <f>B55/B$56</f>
        <v>9.9815243974566092E-2</v>
      </c>
    </row>
    <row r="56" spans="1:5" ht="12" x14ac:dyDescent="0.25">
      <c r="A56" s="64" t="s">
        <v>8714</v>
      </c>
      <c r="B56" s="70">
        <f>SUM(B46:B55)</f>
        <v>387527.28</v>
      </c>
      <c r="C56" s="64">
        <f>SUM(C46:C55)</f>
        <v>1500</v>
      </c>
      <c r="D56" s="70">
        <f>B56/C56</f>
        <v>258.35151999999999</v>
      </c>
      <c r="E56" s="102">
        <v>1</v>
      </c>
    </row>
  </sheetData>
  <mergeCells count="8">
    <mergeCell ref="A43:E43"/>
    <mergeCell ref="G33:L33"/>
    <mergeCell ref="A4:E4"/>
    <mergeCell ref="A20:I20"/>
    <mergeCell ref="A31:E31"/>
    <mergeCell ref="G4:K4"/>
    <mergeCell ref="G12:K12"/>
    <mergeCell ref="G22:K2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1951-AC96-44FD-819F-7CA9DC2E7026}">
  <dimension ref="A1:M48"/>
  <sheetViews>
    <sheetView topLeftCell="E15" workbookViewId="0">
      <selection activeCell="I32" sqref="I32"/>
    </sheetView>
  </sheetViews>
  <sheetFormatPr defaultRowHeight="11.4" x14ac:dyDescent="0.2"/>
  <cols>
    <col min="1" max="1" width="65.5" bestFit="1" customWidth="1"/>
    <col min="2" max="2" width="15.75" bestFit="1" customWidth="1"/>
    <col min="3" max="3" width="16.75" bestFit="1" customWidth="1"/>
    <col min="4" max="4" width="16.25" bestFit="1" customWidth="1"/>
    <col min="5" max="6" width="16.375" bestFit="1" customWidth="1"/>
    <col min="7" max="7" width="12.375" bestFit="1" customWidth="1"/>
    <col min="9" max="9" width="42.75" bestFit="1" customWidth="1"/>
    <col min="10" max="10" width="15.75" bestFit="1" customWidth="1"/>
    <col min="11" max="11" width="15.875" bestFit="1" customWidth="1"/>
    <col min="12" max="12" width="16.25" bestFit="1" customWidth="1"/>
    <col min="13" max="13" width="12.375" bestFit="1" customWidth="1"/>
  </cols>
  <sheetData>
    <row r="1" spans="1:13" ht="21" x14ac:dyDescent="0.4">
      <c r="A1" s="65" t="s">
        <v>8827</v>
      </c>
    </row>
    <row r="2" spans="1:13" x14ac:dyDescent="0.2">
      <c r="A2" s="75" t="s">
        <v>8828</v>
      </c>
    </row>
    <row r="4" spans="1:13" ht="12" x14ac:dyDescent="0.25">
      <c r="A4" s="64" t="s">
        <v>8829</v>
      </c>
      <c r="I4" s="64" t="s">
        <v>8847</v>
      </c>
    </row>
    <row r="6" spans="1:13" ht="12" x14ac:dyDescent="0.25">
      <c r="A6" s="66" t="s">
        <v>8697</v>
      </c>
      <c r="B6" s="66" t="s">
        <v>8830</v>
      </c>
      <c r="C6" s="66" t="s">
        <v>8831</v>
      </c>
      <c r="D6" s="66" t="s">
        <v>8832</v>
      </c>
      <c r="E6" s="66" t="s">
        <v>8833</v>
      </c>
      <c r="I6" s="77" t="s">
        <v>83</v>
      </c>
      <c r="J6" s="77" t="s">
        <v>8837</v>
      </c>
      <c r="K6" s="77" t="s">
        <v>8838</v>
      </c>
      <c r="L6" s="77" t="s">
        <v>8839</v>
      </c>
      <c r="M6" s="77" t="s">
        <v>8848</v>
      </c>
    </row>
    <row r="7" spans="1:13" x14ac:dyDescent="0.2">
      <c r="A7" t="s">
        <v>8683</v>
      </c>
      <c r="B7">
        <f>COUNTIF(Transactions[Underperforming Flag],"Below Average")</f>
        <v>734</v>
      </c>
      <c r="C7">
        <f>COUNTIF(Transactions[Underperforming Flag],"At/Above Average")</f>
        <v>766</v>
      </c>
      <c r="D7">
        <f>C7-B7</f>
        <v>32</v>
      </c>
      <c r="E7" s="69">
        <f>D7/B7</f>
        <v>4.3596730245231606E-2</v>
      </c>
      <c r="I7" t="s">
        <v>124</v>
      </c>
      <c r="J7" s="67">
        <f>SUMIFS(Transactions[Sales Amount],Transactions[Product],"bagels",Transactions[Underperforming Flag],"Below Average")</f>
        <v>17591.739999999994</v>
      </c>
      <c r="K7" s="67">
        <f>SUMIFS(Transactions[Sales Amount],Transactions[Product],"bagels",Transactions[Underperforming Flag],"At/Above Average")</f>
        <v>41032.720000000023</v>
      </c>
      <c r="L7">
        <f>COUNTIFS(Transactions[Product],"bagels",Transactions[Underperforming Flag],"Below Average")</f>
        <v>120</v>
      </c>
      <c r="M7" s="67">
        <f>K7-J7</f>
        <v>23440.980000000029</v>
      </c>
    </row>
    <row r="8" spans="1:13" x14ac:dyDescent="0.2">
      <c r="A8" t="s">
        <v>8681</v>
      </c>
      <c r="B8" s="67">
        <f>SUMIF(Transactions[Underperforming Flag],"Below Average",Transactions[Sales Amount])</f>
        <v>99189.62</v>
      </c>
      <c r="C8" s="67">
        <f>SUMIF(Transactions[Underperforming Flag],"At/Above Average",Transactions[Sales Amount])</f>
        <v>288337.66000000021</v>
      </c>
      <c r="D8" s="67">
        <f>C8-B8</f>
        <v>189148.04000000021</v>
      </c>
      <c r="E8" s="69">
        <f>D8/B8</f>
        <v>1.9069338102111917</v>
      </c>
      <c r="I8" t="s">
        <v>109</v>
      </c>
      <c r="J8" s="67">
        <f>SUMIFS(Transactions[Sales Amount],Transactions[Product],"chips",Transactions[Underperforming Flag],"Below Average")</f>
        <v>16959.189999999995</v>
      </c>
      <c r="K8" s="67">
        <f>SUMIFS(Transactions[Sales Amount],Transactions[Product],"chips",Transactions[Underperforming Flag],"At/Above Average")</f>
        <v>54552.270000000004</v>
      </c>
      <c r="L8">
        <f>COUNTIFS(Transactions[Product],"chips",Transactions[Underperforming Flag],"Below Average")</f>
        <v>120</v>
      </c>
      <c r="M8" s="67">
        <f>K8-J8</f>
        <v>37593.080000000009</v>
      </c>
    </row>
    <row r="9" spans="1:13" x14ac:dyDescent="0.2">
      <c r="A9" t="s">
        <v>8834</v>
      </c>
      <c r="B9" s="67">
        <f>AVERAGEIF(Transactions[Underperforming Flag],"Below Average",Transactions[Sales Amount])</f>
        <v>135.13572207084468</v>
      </c>
      <c r="C9" s="67">
        <f>AVERAGEIF(Transactions[Underperforming Flag],"At/Above Average",Transactions[Sales Amount])</f>
        <v>376.41992167101853</v>
      </c>
      <c r="D9" s="67">
        <f>C9-B9</f>
        <v>241.28419960017385</v>
      </c>
      <c r="E9" s="69">
        <f>D9/B9</f>
        <v>1.7854953220561549</v>
      </c>
      <c r="I9" t="s">
        <v>97</v>
      </c>
      <c r="J9" s="67">
        <f>SUMIFS(Transactions[Sales Amount],Transactions[Product],"chocolate cake",Transactions[Underperforming Flag],"Below Average")</f>
        <v>16553.190000000013</v>
      </c>
      <c r="K9" s="67">
        <f>SUMIFS(Transactions[Sales Amount],Transactions[Product],"chocolate cake",Transactions[Underperforming Flag],"At/Above Average")</f>
        <v>45469.229999999989</v>
      </c>
      <c r="L9">
        <f>COUNTIFS(Transactions[Product],"chocolate cake",Transactions[Underperforming Flag],"Below Average")</f>
        <v>130</v>
      </c>
      <c r="M9" s="67">
        <f>K9-J9</f>
        <v>28916.039999999975</v>
      </c>
    </row>
    <row r="10" spans="1:13" x14ac:dyDescent="0.2">
      <c r="A10" t="s">
        <v>8682</v>
      </c>
      <c r="B10" s="68">
        <f>SUMIF(Transactions[Underperforming Flag],"Below Average",Transactions[Quantity Sold])</f>
        <v>18486</v>
      </c>
      <c r="C10" s="68">
        <f>SUMIF(Transactions[Underperforming Flag],"At/Above Average",Transactions[Quantity Sold])</f>
        <v>19211</v>
      </c>
      <c r="D10" s="68">
        <f>C10-B10</f>
        <v>725</v>
      </c>
      <c r="E10" s="69">
        <f>D10/B10</f>
        <v>3.9218868332792381E-2</v>
      </c>
      <c r="I10" t="s">
        <v>89</v>
      </c>
      <c r="J10" s="67">
        <f>SUMIFS(Transactions[Sales Amount],Transactions[Product],"cookies",Transactions[Underperforming Flag],"Below Average")</f>
        <v>14493.159999999991</v>
      </c>
      <c r="K10" s="67">
        <f>SUMIFS(Transactions[Sales Amount],Transactions[Product],"cookies",Transactions[Underperforming Flag],"At/Above Average")</f>
        <v>50354.889999999956</v>
      </c>
      <c r="L10">
        <f>COUNTIFS(Transactions[Product],"cookies",Transactions[Underperforming Flag],"Below Average")</f>
        <v>112</v>
      </c>
      <c r="M10" s="67">
        <f>K10-J10</f>
        <v>35861.729999999967</v>
      </c>
    </row>
    <row r="11" spans="1:13" x14ac:dyDescent="0.2">
      <c r="A11" t="s">
        <v>8835</v>
      </c>
      <c r="B11">
        <f>B10/B7</f>
        <v>25.185286103542236</v>
      </c>
      <c r="C11">
        <f>C10/C7</f>
        <v>25.079634464751958</v>
      </c>
      <c r="D11">
        <f>C11-B11</f>
        <v>-0.1056516387902775</v>
      </c>
      <c r="E11" s="69">
        <f>D11/B11</f>
        <v>-4.1949747307185809E-3</v>
      </c>
      <c r="I11" t="s">
        <v>92</v>
      </c>
      <c r="J11" s="67">
        <f>SUMIFS(Transactions[Sales Amount],Transactions[Product],"ice cream",Transactions[Underperforming Flag],"Below Average")</f>
        <v>18393.399999999998</v>
      </c>
      <c r="K11" s="67">
        <f>SUMIFS(Transactions[Sales Amount],Transactions[Product],"ice cream",Transactions[Underperforming Flag],"At/Above Average")</f>
        <v>41666.94999999999</v>
      </c>
      <c r="L11">
        <f>COUNTIFS(Transactions[Product],"ice cream",Transactions[Underperforming Flag],"Below Average")</f>
        <v>135</v>
      </c>
      <c r="M11" s="67">
        <f>K11-J11</f>
        <v>23273.549999999992</v>
      </c>
    </row>
    <row r="12" spans="1:13" x14ac:dyDescent="0.2">
      <c r="I12" t="s">
        <v>102</v>
      </c>
      <c r="J12" s="67">
        <f>SUMIFS(Transactions[Sales Amount],Transactions[Product],"spread",Transactions[Underperforming Flag],"Below Average")</f>
        <v>15198.939999999999</v>
      </c>
      <c r="K12" s="67">
        <f>SUMIFS(Transactions[Sales Amount],Transactions[Product],"spread",Transactions[Underperforming Flag],"At/Above Average")</f>
        <v>55261.599999999991</v>
      </c>
      <c r="L12">
        <f>COUNTIFS(Transactions[Product],"spread",Transactions[Underperforming Flag],"Below Average")</f>
        <v>117</v>
      </c>
      <c r="M12" s="67">
        <f>K12-J12</f>
        <v>40062.659999999989</v>
      </c>
    </row>
    <row r="13" spans="1:13" ht="12" x14ac:dyDescent="0.25">
      <c r="A13" s="64" t="s">
        <v>8836</v>
      </c>
    </row>
    <row r="14" spans="1:13" ht="12" x14ac:dyDescent="0.25">
      <c r="I14" s="64" t="s">
        <v>8849</v>
      </c>
    </row>
    <row r="15" spans="1:13" ht="12" x14ac:dyDescent="0.25">
      <c r="A15" s="66" t="s">
        <v>8690</v>
      </c>
      <c r="B15" s="66" t="s">
        <v>8837</v>
      </c>
      <c r="C15" s="66" t="s">
        <v>8838</v>
      </c>
      <c r="D15" s="66" t="s">
        <v>8839</v>
      </c>
      <c r="E15" s="66" t="s">
        <v>8840</v>
      </c>
      <c r="F15" s="66" t="s">
        <v>8841</v>
      </c>
    </row>
    <row r="16" spans="1:13" ht="12" x14ac:dyDescent="0.25">
      <c r="A16">
        <v>2022</v>
      </c>
      <c r="B16" s="67">
        <f>SUMIFS(Transactions[Sales Amount],Transactions[Year],2022,Transactions[Underperforming Flag],"Below Average")</f>
        <v>33883.540000000023</v>
      </c>
      <c r="C16" s="67">
        <f>SUMIFS(Transactions[Sales Amount],Transactions[Year],2022,Transactions[Underperforming Flag],"At/Above Average")</f>
        <v>100980.88999999996</v>
      </c>
      <c r="D16">
        <f>COUNTIFS(Transactions[Year],2022,Transactions[Underperforming Flag],"Below Average")</f>
        <v>253</v>
      </c>
      <c r="E16">
        <f>COUNTIFS(Transactions[Year],2022,Transactions[Underperforming Flag],"At/Above Average")</f>
        <v>270</v>
      </c>
      <c r="F16" s="69">
        <f>D16/(D16+E16)</f>
        <v>0.4837476099426386</v>
      </c>
      <c r="I16" s="77" t="s">
        <v>81</v>
      </c>
      <c r="J16" s="77" t="s">
        <v>8837</v>
      </c>
      <c r="K16" s="77" t="s">
        <v>8838</v>
      </c>
      <c r="L16" s="77" t="s">
        <v>8839</v>
      </c>
      <c r="M16" s="77" t="s">
        <v>8841</v>
      </c>
    </row>
    <row r="17" spans="1:13" x14ac:dyDescent="0.2">
      <c r="A17">
        <v>2023</v>
      </c>
      <c r="B17" s="67">
        <f>SUMIFS(Transactions[Sales Amount],Transactions[Year],2023,Transactions[Underperforming Flag],"Below Average")</f>
        <v>30809.149999999998</v>
      </c>
      <c r="C17" s="67">
        <f>SUMIFS(Transactions[Sales Amount],Transactions[Year],2023,Transactions[Underperforming Flag],"At/Above Average")</f>
        <v>86253.059999999954</v>
      </c>
      <c r="D17">
        <f>COUNTIFS(Transactions[Year],2023,Transactions[Underperforming Flag],"Below Average")</f>
        <v>229</v>
      </c>
      <c r="E17">
        <f>COUNTIFS(Transactions[Year],2023,Transactions[Underperforming Flag],"At/Above Average")</f>
        <v>226</v>
      </c>
      <c r="F17" s="69">
        <f>D17/(D17+E17)</f>
        <v>0.50329670329670328</v>
      </c>
      <c r="I17" t="s">
        <v>108</v>
      </c>
      <c r="J17" s="67">
        <f>SUMIFS(Transactions[Sales Amount],Transactions[City],"Boston",Transactions[Underperforming Flag],"Below Average")</f>
        <v>12531.99</v>
      </c>
      <c r="K17" s="67">
        <f>SUMIFS(Transactions[Sales Amount],Transactions[City],"Boston",Transactions[Underperforming Flag],"At/Above Average")</f>
        <v>34607.739999999991</v>
      </c>
      <c r="L17">
        <f>COUNTIFS(Transactions[City],"Boston",Transactions[Underperforming Flag],"Below Average")</f>
        <v>92</v>
      </c>
      <c r="M17" s="69">
        <f>L17/(L17+COUNTIFS(Transactions[City],"Boston",Transactions[Underperforming Flag],"At/Above Average"))</f>
        <v>0.49729729729729732</v>
      </c>
    </row>
    <row r="18" spans="1:13" x14ac:dyDescent="0.2">
      <c r="A18">
        <v>2024</v>
      </c>
      <c r="B18" s="67">
        <f>SUMIFS(Transactions[Sales Amount],Transactions[Year],2024,Transactions[Underperforming Flag],"Below Average")</f>
        <v>34496.929999999993</v>
      </c>
      <c r="C18" s="67">
        <f>SUMIFS(Transactions[Sales Amount],Transactions[Year],2024,Transactions[Underperforming Flag],"At/Above Average")</f>
        <v>101103.71</v>
      </c>
      <c r="D18">
        <f>COUNTIFS(Transactions[Year],2024,Transactions[Underperforming Flag],"Below Average")</f>
        <v>252</v>
      </c>
      <c r="E18">
        <f>COUNTIFS(Transactions[Year],2024,Transactions[Underperforming Flag],"At/Above Average")</f>
        <v>270</v>
      </c>
      <c r="F18" s="69">
        <f>D18/(D18+E18)</f>
        <v>0.48275862068965519</v>
      </c>
      <c r="I18" t="s">
        <v>91</v>
      </c>
      <c r="J18" s="67">
        <f>SUMIFS(Transactions[Sales Amount],Transactions[City],"Chicago",Transactions[Underperforming Flag],"Below Average")</f>
        <v>12657.300000000001</v>
      </c>
      <c r="K18" s="67">
        <f>SUMIFS(Transactions[Sales Amount],Transactions[City],"Chicago",Transactions[Underperforming Flag],"At/Above Average")</f>
        <v>33367.120000000003</v>
      </c>
      <c r="L18">
        <f>COUNTIFS(Transactions[City],"Chicago",Transactions[Underperforming Flag],"Below Average")</f>
        <v>87</v>
      </c>
      <c r="M18" s="69">
        <f>L18/(L18+COUNTIFS(Transactions[City],"Chicago",Transactions[Underperforming Flag],"At/Above Average"))</f>
        <v>0.50289017341040465</v>
      </c>
    </row>
    <row r="19" spans="1:13" ht="12" x14ac:dyDescent="0.25">
      <c r="A19" s="64" t="s">
        <v>8687</v>
      </c>
      <c r="B19" s="67">
        <f>SUM(B16:B18)</f>
        <v>99189.62000000001</v>
      </c>
      <c r="C19" s="67">
        <f>SUM(C16:C18)</f>
        <v>288337.65999999992</v>
      </c>
      <c r="D19">
        <f>SUM(D16:D18)</f>
        <v>734</v>
      </c>
      <c r="E19">
        <f>SUM(E16:E18)</f>
        <v>766</v>
      </c>
      <c r="F19" s="69">
        <f>D19/(D19+E19)</f>
        <v>0.48933333333333334</v>
      </c>
      <c r="I19" t="s">
        <v>94</v>
      </c>
      <c r="J19" s="67">
        <f>SUMIFS(Transactions[Sales Amount],Transactions[City],"Los Angeles",Transactions[Underperforming Flag],"Below Average")</f>
        <v>9554.2999999999975</v>
      </c>
      <c r="K19" s="67">
        <f>SUMIFS(Transactions[Sales Amount],Transactions[City],"Los Angeles",Transactions[Underperforming Flag],"At/Above Average")</f>
        <v>35430.120000000017</v>
      </c>
      <c r="L19">
        <f>COUNTIFS(Transactions[City],"Los Angeles",Transactions[Underperforming Flag],"Below Average")</f>
        <v>72</v>
      </c>
      <c r="M19" s="69">
        <f>L19/(L19+COUNTIFS(Transactions[City],"Los Angeles",Transactions[Underperforming Flag],"At/Above Average"))</f>
        <v>0.44171779141104295</v>
      </c>
    </row>
    <row r="20" spans="1:13" x14ac:dyDescent="0.2">
      <c r="I20" t="s">
        <v>96</v>
      </c>
      <c r="J20" s="67">
        <f>SUMIFS(Transactions[Sales Amount],Transactions[City],"New Orleans",Transactions[Underperforming Flag],"Below Average")</f>
        <v>14133.729999999992</v>
      </c>
      <c r="K20" s="67">
        <f>SUMIFS(Transactions[Sales Amount],Transactions[City],"New Orleans",Transactions[Underperforming Flag],"At/Above Average")</f>
        <v>30729.580000000016</v>
      </c>
      <c r="L20">
        <f>COUNTIFS(Transactions[City],"New Orleans",Transactions[Underperforming Flag],"Below Average")</f>
        <v>104</v>
      </c>
      <c r="M20" s="69">
        <f>L20/(L20+COUNTIFS(Transactions[City],"New Orleans",Transactions[Underperforming Flag],"At/Above Average"))</f>
        <v>0.55319148936170215</v>
      </c>
    </row>
    <row r="21" spans="1:13" ht="12" x14ac:dyDescent="0.25">
      <c r="A21" s="64" t="s">
        <v>8842</v>
      </c>
      <c r="I21" t="s">
        <v>88</v>
      </c>
      <c r="J21" s="67">
        <f>SUMIFS(Transactions[Sales Amount],Transactions[City],"New York",Transactions[Underperforming Flag],"Below Average")</f>
        <v>14333.279999999992</v>
      </c>
      <c r="K21" s="67">
        <f>SUMIFS(Transactions[Sales Amount],Transactions[City],"New York",Transactions[Underperforming Flag],"At/Above Average")</f>
        <v>43094.219999999994</v>
      </c>
      <c r="L21">
        <f>COUNTIFS(Transactions[City],"New York",Transactions[Underperforming Flag],"Below Average")</f>
        <v>102</v>
      </c>
      <c r="M21" s="69">
        <f>L21/(L21+COUNTIFS(Transactions[City],"New York",Transactions[Underperforming Flag],"At/Above Average"))</f>
        <v>0.47441860465116281</v>
      </c>
    </row>
    <row r="22" spans="1:13" x14ac:dyDescent="0.2">
      <c r="I22" t="s">
        <v>129</v>
      </c>
      <c r="J22" s="67">
        <f>SUMIFS(Transactions[Sales Amount],Transactions[City],"San Francisco",Transactions[Underperforming Flag],"Below Average")</f>
        <v>10390.990000000002</v>
      </c>
      <c r="K22" s="67">
        <f>SUMIFS(Transactions[Sales Amount],Transactions[City],"San Francisco",Transactions[Underperforming Flag],"At/Above Average")</f>
        <v>33207.109999999993</v>
      </c>
      <c r="L22">
        <f>COUNTIFS(Transactions[City],"San Francisco",Transactions[Underperforming Flag],"Below Average")</f>
        <v>76</v>
      </c>
      <c r="M22" s="69">
        <f>L22/(L22+COUNTIFS(Transactions[City],"San Francisco",Transactions[Underperforming Flag],"At/Above Average"))</f>
        <v>0.45783132530120479</v>
      </c>
    </row>
    <row r="23" spans="1:13" ht="12" x14ac:dyDescent="0.25">
      <c r="A23" s="66" t="s">
        <v>8753</v>
      </c>
      <c r="B23" s="66" t="s">
        <v>8690</v>
      </c>
      <c r="C23" s="66" t="s">
        <v>8837</v>
      </c>
      <c r="D23" s="66" t="s">
        <v>8838</v>
      </c>
      <c r="E23" s="66" t="s">
        <v>8839</v>
      </c>
      <c r="F23" s="66" t="s">
        <v>8840</v>
      </c>
      <c r="G23" s="66" t="s">
        <v>8841</v>
      </c>
      <c r="I23" s="66" t="s">
        <v>99</v>
      </c>
      <c r="J23" s="67">
        <f>SUMIFS(Transactions[Sales Amount],Transactions[City],"Seattle",Transactions[Underperforming Flag],"Below Average")</f>
        <v>12910.740000000002</v>
      </c>
      <c r="K23" s="67">
        <f>SUMIFS(Transactions[Sales Amount],Transactions[City],"Seattle",Transactions[Underperforming Flag],"At/Above Average")</f>
        <v>42983.049999999996</v>
      </c>
      <c r="L23">
        <f>COUNTIFS(Transactions[City],"Seattle",Transactions[Underperforming Flag],"Below Average")</f>
        <v>109</v>
      </c>
      <c r="M23" s="69">
        <f>L23/(L23+COUNTIFS(Transactions[City],"Seattle",Transactions[Underperforming Flag],"At/Above Average"))</f>
        <v>0.48230088495575218</v>
      </c>
    </row>
    <row r="24" spans="1:13" x14ac:dyDescent="0.2">
      <c r="A24" t="s">
        <v>8843</v>
      </c>
      <c r="B24">
        <v>2022</v>
      </c>
      <c r="C24" s="67">
        <f>SUMIFS(Transactions[Sales Amount],Transactions[Year],2022,Transactions[Quarter],"Q1",Transactions[Underperforming Flag],"Below Average")</f>
        <v>8758.3000000000029</v>
      </c>
      <c r="D24" s="67">
        <f>SUMIFS(Transactions[Sales Amount],Transactions[Year],2022,Transactions[Quarter],"Q1",Transactions[Underperforming Flag],"At/Above Average")</f>
        <v>24668.430000000004</v>
      </c>
      <c r="E24">
        <f>COUNTIFS(Transactions[Year],2022,Transactions[Quarter],"Q1",Transactions[Underperforming Flag],"Below Average")</f>
        <v>64</v>
      </c>
      <c r="F24">
        <f>COUNTIFS(Transactions[Year],2022,Transactions[Quarter],"Q1",Transactions[Underperforming Flag],"At/Above Average")</f>
        <v>65</v>
      </c>
      <c r="G24" s="69">
        <f>IF((E24+F24)=0,0,E24/(E24+F24))</f>
        <v>0.49612403100775193</v>
      </c>
      <c r="I24" t="s">
        <v>105</v>
      </c>
      <c r="J24" s="67">
        <f>SUMIFS(Transactions[Sales Amount],Transactions[City],"Tacoma",Transactions[Underperforming Flag],"Below Average")</f>
        <v>12677.289999999995</v>
      </c>
      <c r="K24" s="67">
        <f>SUMIFS(Transactions[Sales Amount],Transactions[City],"Tacoma",Transactions[Underperforming Flag],"At/Above Average")</f>
        <v>34918.720000000008</v>
      </c>
      <c r="L24">
        <f>COUNTIFS(Transactions[City],"Tacoma",Transactions[Underperforming Flag],"Below Average")</f>
        <v>92</v>
      </c>
      <c r="M24" s="69">
        <f>L24/(L24+COUNTIFS(Transactions[City],"Tacoma",Transactions[Underperforming Flag],"At/Above Average"))</f>
        <v>0.5</v>
      </c>
    </row>
    <row r="25" spans="1:13" x14ac:dyDescent="0.2">
      <c r="A25" t="s">
        <v>8844</v>
      </c>
      <c r="B25">
        <v>2022</v>
      </c>
      <c r="C25" s="67">
        <f>SUMIFS(Transactions[Sales Amount],Transactions[Year],2022,Transactions[Quarter],"Q2",Transactions[Underperforming Flag],"Below Average")</f>
        <v>7086.8000000000011</v>
      </c>
      <c r="D25" s="67">
        <f>SUMIFS(Transactions[Sales Amount],Transactions[Year],2022,Transactions[Quarter],"Q2",Transactions[Underperforming Flag],"At/Above Average")</f>
        <v>23054.609999999997</v>
      </c>
      <c r="E25">
        <f>COUNTIFS(Transactions[Year],2022,Transactions[Quarter],"Q2",Transactions[Underperforming Flag],"Below Average")</f>
        <v>61</v>
      </c>
      <c r="F25">
        <f>COUNTIFS(Transactions[Year],2022,Transactions[Quarter],"Q2",Transactions[Underperforming Flag],"At/Above Average")</f>
        <v>64</v>
      </c>
      <c r="G25" s="69">
        <f>IF((E25+F25)=0,0,E25/(E25+F25))</f>
        <v>0.48799999999999999</v>
      </c>
    </row>
    <row r="26" spans="1:13" ht="12" x14ac:dyDescent="0.25">
      <c r="A26" t="s">
        <v>8845</v>
      </c>
      <c r="B26">
        <v>2022</v>
      </c>
      <c r="C26" s="67">
        <f>SUMIFS(Transactions[Sales Amount],Transactions[Year],2022,Transactions[Quarter],"Q3",Transactions[Underperforming Flag],"Below Average")</f>
        <v>8199.3899999999976</v>
      </c>
      <c r="D26" s="67">
        <f>SUMIFS(Transactions[Sales Amount],Transactions[Year],2022,Transactions[Quarter],"Q3",Transactions[Underperforming Flag],"At/Above Average")</f>
        <v>27442.890000000003</v>
      </c>
      <c r="E26">
        <f>COUNTIFS(Transactions[Year],2022,Transactions[Quarter],"Q3",Transactions[Underperforming Flag],"Below Average")</f>
        <v>63</v>
      </c>
      <c r="F26">
        <f>COUNTIFS(Transactions[Year],2022,Transactions[Quarter],"Q3",Transactions[Underperforming Flag],"At/Above Average")</f>
        <v>73</v>
      </c>
      <c r="G26" s="69">
        <f>IF((E26+F26)=0,0,E26/(E26+F26))</f>
        <v>0.46323529411764708</v>
      </c>
      <c r="I26" s="64" t="s">
        <v>8850</v>
      </c>
    </row>
    <row r="27" spans="1:13" x14ac:dyDescent="0.2">
      <c r="A27" t="s">
        <v>8846</v>
      </c>
      <c r="B27">
        <v>2022</v>
      </c>
      <c r="C27" s="67">
        <f>SUMIFS(Transactions[Sales Amount],Transactions[Year],2022,Transactions[Quarter],"Q4",Transactions[Underperforming Flag],"Below Average")</f>
        <v>9839.0499999999975</v>
      </c>
      <c r="D27" s="67">
        <f>SUMIFS(Transactions[Sales Amount],Transactions[Year],2022,Transactions[Quarter],"Q4",Transactions[Underperforming Flag],"At/Above Average")</f>
        <v>25814.960000000003</v>
      </c>
      <c r="E27">
        <f>COUNTIFS(Transactions[Year],2022,Transactions[Quarter],"Q4",Transactions[Underperforming Flag],"Below Average")</f>
        <v>65</v>
      </c>
      <c r="F27">
        <f>COUNTIFS(Transactions[Year],2022,Transactions[Quarter],"Q4",Transactions[Underperforming Flag],"At/Above Average")</f>
        <v>68</v>
      </c>
      <c r="G27" s="69">
        <f>IF((E27+F27)=0,0,E27/(E27+F27))</f>
        <v>0.48872180451127817</v>
      </c>
    </row>
    <row r="28" spans="1:13" ht="12" x14ac:dyDescent="0.25">
      <c r="A28" t="s">
        <v>8843</v>
      </c>
      <c r="B28">
        <v>2023</v>
      </c>
      <c r="C28" s="67">
        <f>SUMIFS(Transactions[Sales Amount],Transactions[Year],2023,Transactions[Quarter],"Q1",Transactions[Underperforming Flag],"Below Average")</f>
        <v>7236.6899999999987</v>
      </c>
      <c r="D28" s="67">
        <f>SUMIFS(Transactions[Sales Amount],Transactions[Year],2023,Transactions[Quarter],"Q1",Transactions[Underperforming Flag],"At/Above Average")</f>
        <v>21161.960000000003</v>
      </c>
      <c r="E28">
        <f>COUNTIFS(Transactions[Year],2023,Transactions[Quarter],"Q1",Transactions[Underperforming Flag],"Below Average")</f>
        <v>47</v>
      </c>
      <c r="F28">
        <f>COUNTIFS(Transactions[Year],2023,Transactions[Quarter],"Q1",Transactions[Underperforming Flag],"At/Above Average")</f>
        <v>56</v>
      </c>
      <c r="G28" s="69">
        <f>IF((E28+F28)=0,0,E28/(E28+F28))</f>
        <v>0.4563106796116505</v>
      </c>
      <c r="I28" s="77" t="s">
        <v>8790</v>
      </c>
      <c r="J28" s="77" t="s">
        <v>8837</v>
      </c>
      <c r="K28" s="77" t="s">
        <v>8838</v>
      </c>
      <c r="L28" s="77" t="s">
        <v>8839</v>
      </c>
      <c r="M28" s="77" t="s">
        <v>8841</v>
      </c>
    </row>
    <row r="29" spans="1:13" x14ac:dyDescent="0.2">
      <c r="A29" t="s">
        <v>8844</v>
      </c>
      <c r="B29">
        <v>2023</v>
      </c>
      <c r="C29" s="67">
        <f>SUMIFS(Transactions[Sales Amount],Transactions[Year],2023,Transactions[Quarter],"Q2",Transactions[Underperforming Flag],"Below Average")</f>
        <v>7133.0700000000006</v>
      </c>
      <c r="D29" s="67">
        <f>SUMIFS(Transactions[Sales Amount],Transactions[Year],2023,Transactions[Quarter],"Q2",Transactions[Underperforming Flag],"At/Above Average")</f>
        <v>22465.219999999998</v>
      </c>
      <c r="E29">
        <f>COUNTIFS(Transactions[Year],2023,Transactions[Quarter],"Q2",Transactions[Underperforming Flag],"Below Average")</f>
        <v>60</v>
      </c>
      <c r="F29">
        <f>COUNTIFS(Transactions[Year],2023,Transactions[Quarter],"Q2",Transactions[Underperforming Flag],"At/Above Average")</f>
        <v>59</v>
      </c>
      <c r="G29" s="69">
        <f>IF((E29+F29)=0,0,E29/(E29+F29))</f>
        <v>0.50420168067226889</v>
      </c>
      <c r="I29" t="s">
        <v>8851</v>
      </c>
      <c r="J29" s="67">
        <f>SUMIFS(Transactions[Sales Amount],Transactions[Store Name],"*Liberty's *",Transactions[Underperforming Flag],"Below Average")</f>
        <v>18637.03</v>
      </c>
      <c r="K29" s="67">
        <f>SUMIFS(Transactions[Sales Amount],Transactions[Store Name],"*Liberty's *",Transactions[Underperforming Flag],"At/Above Average")</f>
        <v>50482.579999999994</v>
      </c>
      <c r="L29">
        <f>COUNTIFS(Transactions[Store Name],"*Liberty's *",Transactions[Underperforming Flag],"Below Average")</f>
        <v>132</v>
      </c>
      <c r="M29" s="69">
        <f>IF((L29+COUNTIFS(Transactions[Store Name],"*Liberty's *",Transactions[Underperforming Flag],"At/Above Average"))=0,0,L29/(L29+COUNTIFS(Transactions[Store Name],"*Liberty's *",Transactions[Underperforming Flag],"At/Above Average")))</f>
        <v>0.49811320754716981</v>
      </c>
    </row>
    <row r="30" spans="1:13" x14ac:dyDescent="0.2">
      <c r="A30" t="s">
        <v>8845</v>
      </c>
      <c r="B30">
        <v>2023</v>
      </c>
      <c r="C30" s="67">
        <f>SUMIFS(Transactions[Sales Amount],Transactions[Year],2023,Transactions[Quarter],"Q3",Transactions[Underperforming Flag],"Below Average")</f>
        <v>7195.3300000000008</v>
      </c>
      <c r="D30" s="67">
        <f>SUMIFS(Transactions[Sales Amount],Transactions[Year],2023,Transactions[Quarter],"Q3",Transactions[Underperforming Flag],"At/Above Average")</f>
        <v>21906.06</v>
      </c>
      <c r="E30">
        <f>COUNTIFS(Transactions[Year],2023,Transactions[Quarter],"Q3",Transactions[Underperforming Flag],"Below Average")</f>
        <v>57</v>
      </c>
      <c r="F30">
        <f>COUNTIFS(Transactions[Year],2023,Transactions[Quarter],"Q3",Transactions[Underperforming Flag],"At/Above Average")</f>
        <v>58</v>
      </c>
      <c r="G30" s="69">
        <f>IF((E30+F30)=0,0,E30/(E30+F30))</f>
        <v>0.4956521739130435</v>
      </c>
      <c r="I30" t="s">
        <v>8718</v>
      </c>
      <c r="J30" s="67">
        <f>SUMIFS(Transactions[Sales Amount],Transactions[Store Name],"*Northwind *",Transactions[Underperforming Flag],"Below Average")</f>
        <v>16449.509999999998</v>
      </c>
      <c r="K30" s="67">
        <f>SUMIFS(Transactions[Sales Amount],Transactions[Store Name],"*Northwind *",Transactions[Underperforming Flag],"At/Above Average")</f>
        <v>48663.170000000013</v>
      </c>
      <c r="L30">
        <f>COUNTIFS(Transactions[Store Name],"*Northwind *",Transactions[Underperforming Flag],"Below Average")</f>
        <v>126</v>
      </c>
      <c r="M30" s="69">
        <f>IF((L30+COUNTIFS(Transactions[Store Name],"*Northwind *",Transactions[Underperforming Flag],"At/Above Average"))=0,0,L30/(L30+COUNTIFS(Transactions[Store Name],"*Northwind *",Transactions[Underperforming Flag],"At/Above Average")))</f>
        <v>0.4921875</v>
      </c>
    </row>
    <row r="31" spans="1:13" x14ac:dyDescent="0.2">
      <c r="A31" t="s">
        <v>8846</v>
      </c>
      <c r="B31">
        <v>2023</v>
      </c>
      <c r="C31" s="67">
        <f>SUMIFS(Transactions[Sales Amount],Transactions[Year],2023,Transactions[Quarter],"Q4",Transactions[Underperforming Flag],"Below Average")</f>
        <v>9244.0599999999977</v>
      </c>
      <c r="D31" s="67">
        <f>SUMIFS(Transactions[Sales Amount],Transactions[Year],2023,Transactions[Quarter],"Q4",Transactions[Underperforming Flag],"At/Above Average")</f>
        <v>20719.820000000003</v>
      </c>
      <c r="E31">
        <f>COUNTIFS(Transactions[Year],2023,Transactions[Quarter],"Q4",Transactions[Underperforming Flag],"Below Average")</f>
        <v>65</v>
      </c>
      <c r="F31">
        <f>COUNTIFS(Transactions[Year],2023,Transactions[Quarter],"Q4",Transactions[Underperforming Flag],"At/Above Average")</f>
        <v>53</v>
      </c>
      <c r="G31" s="69">
        <f>IF((E31+F31)=0,0,E31/(E31+F31))</f>
        <v>0.55084745762711862</v>
      </c>
      <c r="I31" t="s">
        <v>8795</v>
      </c>
      <c r="J31" s="67">
        <f>SUMIFS(Transactions[Sales Amount],Transactions[Store Name],"*VanArsdel,*",Transactions[Underperforming Flag],"Below Average")</f>
        <v>14530.629999999997</v>
      </c>
      <c r="K31" s="67">
        <f>SUMIFS(Transactions[Sales Amount],Transactions[Store Name],"*VanArsdel,*",Transactions[Underperforming Flag],"At/Above Average")</f>
        <v>43926.89</v>
      </c>
      <c r="L31">
        <f>COUNTIFS(Transactions[Store Name],"*VanArsdel,*",Transactions[Underperforming Flag],"Below Average")</f>
        <v>109</v>
      </c>
      <c r="M31" s="69">
        <f>IF((L31+COUNTIFS(Transactions[Store Name],"*VanArsdel,*",Transactions[Underperforming Flag],"At/Above Average"))=0,0,L31/(L31+COUNTIFS(Transactions[Store Name],"*VanArsdel,*",Transactions[Underperforming Flag],"At/Above Average")))</f>
        <v>0.48230088495575218</v>
      </c>
    </row>
    <row r="32" spans="1:13" x14ac:dyDescent="0.2">
      <c r="A32" t="s">
        <v>8843</v>
      </c>
      <c r="B32">
        <v>2024</v>
      </c>
      <c r="C32" s="67">
        <f>SUMIFS(Transactions[Sales Amount],Transactions[Year],2024,Transactions[Quarter],"Q1",Transactions[Underperforming Flag],"Below Average")</f>
        <v>8474.9399999999987</v>
      </c>
      <c r="D32" s="67">
        <f>SUMIFS(Transactions[Sales Amount],Transactions[Year],2024,Transactions[Quarter],"Q1",Transactions[Underperforming Flag],"At/Above Average")</f>
        <v>24063.270000000004</v>
      </c>
      <c r="E32">
        <f>COUNTIFS(Transactions[Year],2024,Transactions[Quarter],"Q1",Transactions[Underperforming Flag],"Below Average")</f>
        <v>62</v>
      </c>
      <c r="F32">
        <f>COUNTIFS(Transactions[Year],2024,Transactions[Quarter],"Q1",Transactions[Underperforming Flag],"At/Above Average")</f>
        <v>63</v>
      </c>
      <c r="G32" s="69">
        <f>IF((E32+F32)=0,0,E32/(E32+F32))</f>
        <v>0.496</v>
      </c>
      <c r="I32" t="s">
        <v>8719</v>
      </c>
      <c r="J32" s="67">
        <f>SUMIFS(Transactions[Sales Amount],Transactions[Store Name],"*Wide World*",Transactions[Underperforming Flag],"Below Average")</f>
        <v>14883.039999999995</v>
      </c>
      <c r="K32" s="67">
        <f>SUMIFS(Transactions[Sales Amount],Transactions[Store Name],"*Wide World*",Transactions[Underperforming Flag],"At/Above Average")</f>
        <v>50077.939999999988</v>
      </c>
      <c r="L32">
        <f>COUNTIFS(Transactions[Store Name],"*Wide World*",Transactions[Underperforming Flag],"Below Average")</f>
        <v>112</v>
      </c>
      <c r="M32" s="69">
        <f>IF((L32+COUNTIFS(Transactions[Store Name],"*Wide World*",Transactions[Underperforming Flag],"At/Above Average"))=0,0,L32/(L32+COUNTIFS(Transactions[Store Name],"*Wide World*",Transactions[Underperforming Flag],"At/Above Average")))</f>
        <v>0.45901639344262296</v>
      </c>
    </row>
    <row r="33" spans="1:13" x14ac:dyDescent="0.2">
      <c r="A33" t="s">
        <v>8844</v>
      </c>
      <c r="B33">
        <v>2024</v>
      </c>
      <c r="C33" s="67">
        <f>SUMIFS(Transactions[Sales Amount],Transactions[Year],2024,Transactions[Quarter],"Q2",Transactions[Underperforming Flag],"Below Average")</f>
        <v>8728.7000000000025</v>
      </c>
      <c r="D33" s="67">
        <f>SUMIFS(Transactions[Sales Amount],Transactions[Year],2024,Transactions[Quarter],"Q2",Transactions[Underperforming Flag],"At/Above Average")</f>
        <v>24210.220000000005</v>
      </c>
      <c r="E33">
        <f>COUNTIFS(Transactions[Year],2024,Transactions[Quarter],"Q2",Transactions[Underperforming Flag],"Below Average")</f>
        <v>61</v>
      </c>
      <c r="F33">
        <f>COUNTIFS(Transactions[Year],2024,Transactions[Quarter],"Q2",Transactions[Underperforming Flag],"At/Above Average")</f>
        <v>66</v>
      </c>
      <c r="G33" s="69">
        <f>IF((E33+F33)=0,0,E33/(E33+F33))</f>
        <v>0.48031496062992124</v>
      </c>
      <c r="I33" t="s">
        <v>8720</v>
      </c>
      <c r="J33" s="67">
        <f>SUMIFS(Transactions[Sales Amount],Transactions[Store Name],"*Proseware,*",Transactions[Underperforming Flag],"Below Average")</f>
        <v>17197.84</v>
      </c>
      <c r="K33" s="67">
        <f>SUMIFS(Transactions[Sales Amount],Transactions[Store Name],"*Proseware,*",Transactions[Underperforming Flag],"At/Above Average")</f>
        <v>51422.369999999974</v>
      </c>
      <c r="L33">
        <f>COUNTIFS(Transactions[Store Name],"*Proseware,*",Transactions[Underperforming Flag],"Below Average")</f>
        <v>122</v>
      </c>
      <c r="M33" s="69">
        <f>IF((L33+COUNTIFS(Transactions[Store Name],"*Proseware,*",Transactions[Underperforming Flag],"At/Above Average"))=0,0,L33/(L33+COUNTIFS(Transactions[Store Name],"*Proseware,*",Transactions[Underperforming Flag],"At/Above Average")))</f>
        <v>0.47104247104247104</v>
      </c>
    </row>
    <row r="34" spans="1:13" x14ac:dyDescent="0.2">
      <c r="A34" t="s">
        <v>8845</v>
      </c>
      <c r="B34">
        <v>2024</v>
      </c>
      <c r="C34" s="67">
        <f>SUMIFS(Transactions[Sales Amount],Transactions[Year],2024,Transactions[Quarter],"Q3",Transactions[Underperforming Flag],"Below Average")</f>
        <v>9516.5300000000007</v>
      </c>
      <c r="D34" s="67">
        <f>SUMIFS(Transactions[Sales Amount],Transactions[Year],2024,Transactions[Quarter],"Q3",Transactions[Underperforming Flag],"At/Above Average")</f>
        <v>28299.149999999991</v>
      </c>
      <c r="E34">
        <f>COUNTIFS(Transactions[Year],2024,Transactions[Quarter],"Q3",Transactions[Underperforming Flag],"Below Average")</f>
        <v>70</v>
      </c>
      <c r="F34">
        <f>COUNTIFS(Transactions[Year],2024,Transactions[Quarter],"Q3",Transactions[Underperforming Flag],"At/Above Average")</f>
        <v>75</v>
      </c>
      <c r="G34" s="69">
        <f>IF((E34+F34)=0,0,E34/(E34+F34))</f>
        <v>0.48275862068965519</v>
      </c>
      <c r="I34" t="s">
        <v>8796</v>
      </c>
      <c r="J34" s="67">
        <f>SUMIFS(Transactions[Sales Amount],Transactions[Store Name],"*Relecloud*",Transactions[Underperforming Flag],"Below Average")</f>
        <v>17491.569999999992</v>
      </c>
      <c r="K34" s="67">
        <f>SUMIFS(Transactions[Sales Amount],Transactions[Store Name],"*Relecloud*",Transactions[Underperforming Flag],"At/Above Average")</f>
        <v>43764.710000000006</v>
      </c>
      <c r="L34">
        <f>COUNTIFS(Transactions[Store Name],"*Relecloud*",Transactions[Underperforming Flag],"Below Average")</f>
        <v>133</v>
      </c>
      <c r="M34" s="69">
        <f>IF((L34+COUNTIFS(Transactions[Store Name],"*Relecloud*",Transactions[Underperforming Flag],"At/Above Average"))=0,0,L34/(L34+COUNTIFS(Transactions[Store Name],"*Relecloud*",Transactions[Underperforming Flag],"At/Above Average")))</f>
        <v>0.53200000000000003</v>
      </c>
    </row>
    <row r="35" spans="1:13" x14ac:dyDescent="0.2">
      <c r="A35" t="s">
        <v>8846</v>
      </c>
      <c r="B35">
        <v>2024</v>
      </c>
      <c r="C35" s="67">
        <f>SUMIFS(Transactions[Sales Amount],Transactions[Year],2024,Transactions[Quarter],"Q4",Transactions[Underperforming Flag],"Below Average")</f>
        <v>7776.76</v>
      </c>
      <c r="D35" s="67">
        <f>SUMIFS(Transactions[Sales Amount],Transactions[Year],2024,Transactions[Quarter],"Q4",Transactions[Underperforming Flag],"At/Above Average")</f>
        <v>24531.070000000003</v>
      </c>
      <c r="E35">
        <f>COUNTIFS(Transactions[Year],2024,Transactions[Quarter],"Q4",Transactions[Underperforming Flag],"Below Average")</f>
        <v>59</v>
      </c>
      <c r="F35">
        <f>COUNTIFS(Transactions[Year],2024,Transactions[Quarter],"Q4",Transactions[Underperforming Flag],"At/Above Average")</f>
        <v>66</v>
      </c>
      <c r="G35" s="69">
        <f>IF((E35+F35)=0,0,E35/(E35+F35))</f>
        <v>0.47199999999999998</v>
      </c>
    </row>
    <row r="37" spans="1:13" ht="12" x14ac:dyDescent="0.25">
      <c r="A37" s="64" t="s">
        <v>8852</v>
      </c>
    </row>
    <row r="39" spans="1:13" ht="12" x14ac:dyDescent="0.25">
      <c r="A39" s="78" t="s">
        <v>8722</v>
      </c>
      <c r="B39" s="78" t="s">
        <v>8698</v>
      </c>
    </row>
    <row r="40" spans="1:13" x14ac:dyDescent="0.2">
      <c r="A40" t="s">
        <v>8853</v>
      </c>
      <c r="B40" s="67">
        <f>AVERAGE(Transactions[Sales Amount])</f>
        <v>258.35151999999999</v>
      </c>
    </row>
    <row r="41" spans="1:13" x14ac:dyDescent="0.2">
      <c r="A41" t="s">
        <v>8854</v>
      </c>
      <c r="B41" s="69">
        <f>B7/(B7+C7)</f>
        <v>0.48933333333333334</v>
      </c>
    </row>
    <row r="42" spans="1:13" x14ac:dyDescent="0.2">
      <c r="A42" t="s">
        <v>8855</v>
      </c>
      <c r="B42" s="67">
        <f>B7*B40-B8</f>
        <v>90440.395679999987</v>
      </c>
    </row>
    <row r="43" spans="1:13" x14ac:dyDescent="0.2">
      <c r="A43" t="s">
        <v>8856</v>
      </c>
      <c r="B43" s="67">
        <f>B9</f>
        <v>135.13572207084468</v>
      </c>
    </row>
    <row r="44" spans="1:13" x14ac:dyDescent="0.2">
      <c r="A44" t="s">
        <v>8857</v>
      </c>
      <c r="B44" s="67">
        <f>C9</f>
        <v>376.41992167101853</v>
      </c>
    </row>
    <row r="45" spans="1:13" x14ac:dyDescent="0.2">
      <c r="A45" t="s">
        <v>8858</v>
      </c>
      <c r="B45" s="67">
        <f>C9-B9</f>
        <v>241.28419960017385</v>
      </c>
    </row>
    <row r="46" spans="1:13" x14ac:dyDescent="0.2">
      <c r="A46" t="s">
        <v>8859</v>
      </c>
      <c r="B46">
        <f>INDEX(A16:A18,MATCH(MAX(F16:F18),F16:F18,0))</f>
        <v>2023</v>
      </c>
    </row>
    <row r="47" spans="1:13" x14ac:dyDescent="0.2">
      <c r="A47" t="s">
        <v>8860</v>
      </c>
      <c r="B47" t="str">
        <f>INDEX(I7:I12,MATCH(MAX(L7:L12),L7:L12,0))</f>
        <v>ice cream</v>
      </c>
    </row>
    <row r="48" spans="1:13" x14ac:dyDescent="0.2">
      <c r="A48" t="s">
        <v>8861</v>
      </c>
      <c r="B48" t="str">
        <f>INDEX(I17:I24,MATCH(MAX(M17:M24),M17:M24,0))</f>
        <v>New Orleans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FF93-B880-4B30-B48A-1401EF71D0FD}">
  <dimension ref="A1:M107"/>
  <sheetViews>
    <sheetView topLeftCell="A86" workbookViewId="0">
      <selection activeCell="A111" sqref="A111"/>
    </sheetView>
  </sheetViews>
  <sheetFormatPr defaultRowHeight="11.4" x14ac:dyDescent="0.2"/>
  <cols>
    <col min="1" max="1" width="41.625" customWidth="1"/>
    <col min="2" max="5" width="22.875" customWidth="1"/>
    <col min="6" max="6" width="20.875" customWidth="1"/>
    <col min="7" max="7" width="18.75" customWidth="1"/>
    <col min="9" max="12" width="22.875" customWidth="1"/>
    <col min="13" max="13" width="20.875" customWidth="1"/>
  </cols>
  <sheetData>
    <row r="1" spans="1:13" ht="17.399999999999999" x14ac:dyDescent="0.3">
      <c r="A1" s="54" t="s">
        <v>8864</v>
      </c>
    </row>
    <row r="2" spans="1:13" x14ac:dyDescent="0.2">
      <c r="A2" t="s">
        <v>8865</v>
      </c>
    </row>
    <row r="4" spans="1:13" ht="12" x14ac:dyDescent="0.25">
      <c r="A4" s="64" t="s">
        <v>8866</v>
      </c>
      <c r="D4" s="64" t="s">
        <v>8870</v>
      </c>
      <c r="I4" s="64" t="s">
        <v>8873</v>
      </c>
    </row>
    <row r="6" spans="1:13" ht="12" x14ac:dyDescent="0.25">
      <c r="A6" s="64" t="s">
        <v>8697</v>
      </c>
      <c r="B6" s="64" t="s">
        <v>8698</v>
      </c>
      <c r="D6" s="64" t="s">
        <v>8690</v>
      </c>
      <c r="E6" s="64" t="s">
        <v>8837</v>
      </c>
      <c r="F6" s="64" t="s">
        <v>8838</v>
      </c>
      <c r="G6" s="64" t="s">
        <v>8839</v>
      </c>
      <c r="H6" s="64" t="s">
        <v>8841</v>
      </c>
      <c r="I6" s="64" t="s">
        <v>83</v>
      </c>
      <c r="J6" s="64" t="s">
        <v>8837</v>
      </c>
      <c r="K6" s="64" t="s">
        <v>8838</v>
      </c>
      <c r="L6" s="64" t="s">
        <v>8839</v>
      </c>
      <c r="M6" s="64" t="s">
        <v>8848</v>
      </c>
    </row>
    <row r="7" spans="1:13" x14ac:dyDescent="0.2">
      <c r="A7" t="s">
        <v>8699</v>
      </c>
      <c r="B7">
        <f>COUNTIF(Transactions[Store Name],"*Wide World Importers*")</f>
        <v>244</v>
      </c>
      <c r="D7">
        <v>2022</v>
      </c>
      <c r="E7" s="67">
        <f>SUMIFS(Transactions[Sales Amount],Transactions[Store Name],"*Wide World Importers*",Transactions[Year],2022,Transactions[Underperforming Flag],"Below Average")</f>
        <v>3795.8300000000004</v>
      </c>
      <c r="F7" s="67">
        <f>SUMIFS(Transactions[Sales Amount],Transactions[Store Name],"*Wide World Importers*",Transactions[Year],2022,Transactions[Underperforming Flag],"At/Above Average")</f>
        <v>14583.77</v>
      </c>
      <c r="G7">
        <f>COUNTIFS(Transactions[Store Name],"*Wide World Importers*",Transactions[Year],2022,Transactions[Underperforming Flag],"Below Average")</f>
        <v>30</v>
      </c>
      <c r="H7" s="69">
        <f>G7/COUNTIFS(Transactions[Store Name],"*Wide World Importers*",Transactions[Year],2022)</f>
        <v>0.44117647058823528</v>
      </c>
      <c r="I7" t="s">
        <v>124</v>
      </c>
      <c r="J7" s="67">
        <f>SUMIFS(Transactions[Sales Amount],Transactions[Store Name],"*Wide World Importers*",Transactions[Product],"bagels",Transactions[Underperforming Flag],"Below Average")</f>
        <v>2934.2799999999997</v>
      </c>
      <c r="K7" s="67">
        <f>SUMIFS(Transactions[Sales Amount],Transactions[Store Name],"*Wide World Importers*",Transactions[Product],"bagels",Transactions[Underperforming Flag],"At/Above Average")</f>
        <v>7638.5</v>
      </c>
      <c r="L7">
        <f>COUNTIFS(Transactions[Store Name],"*Wide World Importers*",Transactions[Product],"bagels",Transactions[Underperforming Flag],"Below Average")</f>
        <v>22</v>
      </c>
      <c r="M7" s="67">
        <f>K7-J7</f>
        <v>4704.22</v>
      </c>
    </row>
    <row r="8" spans="1:13" x14ac:dyDescent="0.2">
      <c r="A8" t="s">
        <v>8700</v>
      </c>
      <c r="B8" s="67">
        <f>SUMIF(Transactions[Store Name],"*Wide World Importers*",Transactions[Sales Amount])</f>
        <v>64960.980000000018</v>
      </c>
      <c r="D8">
        <v>2023</v>
      </c>
      <c r="E8" s="67">
        <f>SUMIFS(Transactions[Sales Amount],Transactions[Store Name],"*Wide World Importers*",Transactions[Year],2023,Transactions[Underperforming Flag],"Below Average")</f>
        <v>5635.47</v>
      </c>
      <c r="F8" s="67">
        <f>SUMIFS(Transactions[Sales Amount],Transactions[Store Name],"*Wide World Importers*",Transactions[Year],2023,Transactions[Underperforming Flag],"At/Above Average")</f>
        <v>14816.28</v>
      </c>
      <c r="G8">
        <f>COUNTIFS(Transactions[Store Name],"*Wide World Importers*",Transactions[Year],2023,Transactions[Underperforming Flag],"Below Average")</f>
        <v>43</v>
      </c>
      <c r="H8" s="69">
        <f>G8/COUNTIFS(Transactions[Store Name],"*Wide World Importers*",Transactions[Year],2023)</f>
        <v>0.53086419753086422</v>
      </c>
      <c r="I8" t="s">
        <v>109</v>
      </c>
      <c r="J8" s="67">
        <f>SUMIFS(Transactions[Sales Amount],Transactions[Store Name],"*Wide World Importers*",Transactions[Product],"chips",Transactions[Underperforming Flag],"Below Average")</f>
        <v>1971.9</v>
      </c>
      <c r="K8" s="67">
        <f>SUMIFS(Transactions[Sales Amount],Transactions[Store Name],"*Wide World Importers*",Transactions[Product],"chips",Transactions[Underperforming Flag],"At/Above Average")</f>
        <v>11437.79</v>
      </c>
      <c r="L8">
        <f>COUNTIFS(Transactions[Store Name],"*Wide World Importers*",Transactions[Product],"chips",Transactions[Underperforming Flag],"Below Average")</f>
        <v>13</v>
      </c>
      <c r="M8" s="67">
        <f>K8-J8</f>
        <v>9465.8900000000012</v>
      </c>
    </row>
    <row r="9" spans="1:13" x14ac:dyDescent="0.2">
      <c r="A9" t="s">
        <v>8702</v>
      </c>
      <c r="B9" s="67">
        <f>AVERAGEIF(Transactions[Store Name],"*Wide World Importers*",Transactions[Sales Amount])</f>
        <v>266.233524590164</v>
      </c>
      <c r="D9">
        <v>2024</v>
      </c>
      <c r="E9" s="67">
        <f>SUMIFS(Transactions[Sales Amount],Transactions[Store Name],"*Wide World Importers*",Transactions[Year],2024,Transactions[Underperforming Flag],"Below Average")</f>
        <v>5451.7400000000007</v>
      </c>
      <c r="F9" s="67">
        <f>SUMIFS(Transactions[Sales Amount],Transactions[Store Name],"*Wide World Importers*",Transactions[Year],2024,Transactions[Underperforming Flag],"At/Above Average")</f>
        <v>20677.890000000007</v>
      </c>
      <c r="G9">
        <f>COUNTIFS(Transactions[Store Name],"*Wide World Importers*",Transactions[Year],2024,Transactions[Underperforming Flag],"Below Average")</f>
        <v>39</v>
      </c>
      <c r="H9" s="69">
        <f>G9/COUNTIFS(Transactions[Store Name],"*Wide World Importers*",Transactions[Year],2024)</f>
        <v>0.41052631578947368</v>
      </c>
      <c r="I9" t="s">
        <v>97</v>
      </c>
      <c r="J9" s="67">
        <f>SUMIFS(Transactions[Sales Amount],Transactions[Store Name],"*Wide World Importers*",Transactions[Product],"chocolate cake",Transactions[Underperforming Flag],"Below Average")</f>
        <v>2455.7600000000002</v>
      </c>
      <c r="K9" s="67">
        <f>SUMIFS(Transactions[Sales Amount],Transactions[Store Name],"*Wide World Importers*",Transactions[Product],"chocolate cake",Transactions[Underperforming Flag],"At/Above Average")</f>
        <v>7946.28</v>
      </c>
      <c r="L9">
        <f>COUNTIFS(Transactions[Store Name],"*Wide World Importers*",Transactions[Product],"chocolate cake",Transactions[Underperforming Flag],"Below Average")</f>
        <v>18</v>
      </c>
      <c r="M9" s="67">
        <f>K9-J9</f>
        <v>5490.5199999999995</v>
      </c>
    </row>
    <row r="10" spans="1:13" x14ac:dyDescent="0.2">
      <c r="A10" t="s">
        <v>8701</v>
      </c>
      <c r="B10" s="68">
        <f>SUMIF(Transactions[Store Name],"*Wide World Importers*",Transactions[Quantity Sold])</f>
        <v>6222</v>
      </c>
      <c r="D10" t="s">
        <v>8687</v>
      </c>
      <c r="E10" s="67">
        <f>SUM(E7:E9)</f>
        <v>14883.04</v>
      </c>
      <c r="F10" s="67">
        <f>SUM(F7:F9)</f>
        <v>50077.94000000001</v>
      </c>
      <c r="G10">
        <f>SUM(G7:G9)</f>
        <v>112</v>
      </c>
      <c r="H10" s="69">
        <f>G10/(G10+COUNTIFS(Transactions[Store Name],"*Wide World Importers*",Transactions[Underperforming Flag],"At/Above Average"))</f>
        <v>0.45901639344262296</v>
      </c>
      <c r="I10" t="s">
        <v>89</v>
      </c>
      <c r="J10" s="67">
        <f>SUMIFS(Transactions[Sales Amount],Transactions[Store Name],"*Wide World Importers*",Transactions[Product],"cookies",Transactions[Underperforming Flag],"Below Average")</f>
        <v>1631.2700000000002</v>
      </c>
      <c r="K10" s="67">
        <f>SUMIFS(Transactions[Sales Amount],Transactions[Store Name],"*Wide World Importers*",Transactions[Product],"cookies",Transactions[Underperforming Flag],"At/Above Average")</f>
        <v>7066.5</v>
      </c>
      <c r="L10">
        <f>COUNTIFS(Transactions[Store Name],"*Wide World Importers*",Transactions[Product],"cookies",Transactions[Underperforming Flag],"Below Average")</f>
        <v>13</v>
      </c>
      <c r="M10" s="67">
        <f>K10-J10</f>
        <v>5435.23</v>
      </c>
    </row>
    <row r="11" spans="1:13" x14ac:dyDescent="0.2">
      <c r="A11" t="s">
        <v>8867</v>
      </c>
      <c r="B11">
        <f>COUNTIFS(Transactions[Store Name],"*Wide World Importers*",Transactions[Underperforming Flag],"Below Average")</f>
        <v>112</v>
      </c>
      <c r="I11" t="s">
        <v>92</v>
      </c>
      <c r="J11" s="67">
        <f>SUMIFS(Transactions[Sales Amount],Transactions[Store Name],"*Wide World Importers*",Transactions[Product],"ice cream",Transactions[Underperforming Flag],"Below Average")</f>
        <v>3535.4700000000003</v>
      </c>
      <c r="K11" s="67">
        <f>SUMIFS(Transactions[Sales Amount],Transactions[Store Name],"*Wide World Importers*",Transactions[Product],"ice cream",Transactions[Underperforming Flag],"At/Above Average")</f>
        <v>7968.4400000000005</v>
      </c>
      <c r="L11">
        <f>COUNTIFS(Transactions[Store Name],"*Wide World Importers*",Transactions[Product],"ice cream",Transactions[Underperforming Flag],"Below Average")</f>
        <v>26</v>
      </c>
      <c r="M11" s="67">
        <f>K11-J11</f>
        <v>4432.97</v>
      </c>
    </row>
    <row r="12" spans="1:13" x14ac:dyDescent="0.2">
      <c r="A12" t="s">
        <v>8837</v>
      </c>
      <c r="B12" s="67">
        <f>SUMIFS(Transactions[Sales Amount],Transactions[Store Name],"*Wide World Importers*",Transactions[Underperforming Flag],"Below Average")</f>
        <v>14883.039999999995</v>
      </c>
      <c r="I12" t="s">
        <v>102</v>
      </c>
      <c r="J12" s="67">
        <f>SUMIFS(Transactions[Sales Amount],Transactions[Store Name],"*Wide World Importers*",Transactions[Product],"spread",Transactions[Underperforming Flag],"Below Average")</f>
        <v>2354.36</v>
      </c>
      <c r="K12" s="67">
        <f>SUMIFS(Transactions[Sales Amount],Transactions[Store Name],"*Wide World Importers*",Transactions[Product],"spread",Transactions[Underperforming Flag],"At/Above Average")</f>
        <v>8020.4300000000012</v>
      </c>
      <c r="L12">
        <f>COUNTIFS(Transactions[Store Name],"*Wide World Importers*",Transactions[Product],"spread",Transactions[Underperforming Flag],"Below Average")</f>
        <v>20</v>
      </c>
      <c r="M12" s="67">
        <f>K12-J12</f>
        <v>5666.0700000000015</v>
      </c>
    </row>
    <row r="13" spans="1:13" x14ac:dyDescent="0.2">
      <c r="A13" t="s">
        <v>8841</v>
      </c>
      <c r="B13" s="69">
        <f>B11/B7</f>
        <v>0.45901639344262296</v>
      </c>
    </row>
    <row r="14" spans="1:13" ht="12" x14ac:dyDescent="0.25">
      <c r="A14" t="s">
        <v>8868</v>
      </c>
      <c r="B14">
        <f>COUNTIFS(Transactions[Store Name],"*Wide World Importers*",Transactions[Underperforming Flag],"At/Above Average")</f>
        <v>132</v>
      </c>
      <c r="I14" s="64" t="s">
        <v>8874</v>
      </c>
    </row>
    <row r="15" spans="1:13" x14ac:dyDescent="0.2">
      <c r="A15" t="s">
        <v>8838</v>
      </c>
      <c r="B15" s="67">
        <f>SUMIFS(Transactions[Sales Amount],Transactions[Store Name],"*Wide World Importers*",Transactions[Underperforming Flag],"At/Above Average")</f>
        <v>50077.939999999988</v>
      </c>
    </row>
    <row r="16" spans="1:13" ht="12" x14ac:dyDescent="0.25">
      <c r="A16" t="s">
        <v>8869</v>
      </c>
      <c r="B16" s="67">
        <f>B11*AVERAGE(Transactions[Sales Amount])-B12</f>
        <v>14052.330240000005</v>
      </c>
      <c r="I16" s="64" t="s">
        <v>81</v>
      </c>
      <c r="J16" s="64" t="s">
        <v>8837</v>
      </c>
      <c r="K16" s="64" t="s">
        <v>8838</v>
      </c>
      <c r="L16" s="64" t="s">
        <v>8839</v>
      </c>
      <c r="M16" s="64" t="s">
        <v>8841</v>
      </c>
    </row>
    <row r="17" spans="1:13" x14ac:dyDescent="0.2">
      <c r="I17" t="s">
        <v>108</v>
      </c>
      <c r="J17" s="67">
        <f>SUMIFS(Transactions[Sales Amount],Transactions[Store Name],"*Wide World Importers*",Transactions[City],"Boston",Transactions[Underperforming Flag],"Below Average")</f>
        <v>1761.8100000000002</v>
      </c>
      <c r="K17" s="67">
        <f>SUMIFS(Transactions[Sales Amount],Transactions[Store Name],"*Wide World Importers*",Transactions[City],"Boston",Transactions[Underperforming Flag],"At/Above Average")</f>
        <v>4705.8799999999992</v>
      </c>
      <c r="L17">
        <f>COUNTIFS(Transactions[Store Name],"*Wide World Importers*",Transactions[City],"Boston",Transactions[Underperforming Flag],"Below Average")</f>
        <v>12</v>
      </c>
      <c r="M17" s="69">
        <f>IF(COUNTIFS(Transactions[Store Name],"*Wide World Importers*",Transactions[City],"Boston")=0,0,L17/COUNTIFS(Transactions[Store Name],"*Wide World Importers*",Transactions[City],"Boston"))</f>
        <v>0.5</v>
      </c>
    </row>
    <row r="18" spans="1:13" ht="12" x14ac:dyDescent="0.25">
      <c r="A18" s="64" t="s">
        <v>8871</v>
      </c>
      <c r="I18" t="s">
        <v>91</v>
      </c>
      <c r="J18" s="67">
        <f>SUMIFS(Transactions[Sales Amount],Transactions[Store Name],"*Wide World Importers*",Transactions[City],"Chicago",Transactions[Underperforming Flag],"Below Average")</f>
        <v>2018.16</v>
      </c>
      <c r="K18" s="67">
        <f>SUMIFS(Transactions[Sales Amount],Transactions[Store Name],"*Wide World Importers*",Transactions[City],"Chicago",Transactions[Underperforming Flag],"At/Above Average")</f>
        <v>5476.4500000000016</v>
      </c>
      <c r="L18">
        <f>COUNTIFS(Transactions[Store Name],"*Wide World Importers*",Transactions[City],"Chicago",Transactions[Underperforming Flag],"Below Average")</f>
        <v>15</v>
      </c>
      <c r="M18" s="69">
        <f>IF(COUNTIFS(Transactions[Store Name],"*Wide World Importers*",Transactions[City],"Chicago")=0,0,L18/COUNTIFS(Transactions[Store Name],"*Wide World Importers*",Transactions[City],"Chicago"))</f>
        <v>0.51724137931034486</v>
      </c>
    </row>
    <row r="19" spans="1:13" x14ac:dyDescent="0.2">
      <c r="I19" t="s">
        <v>94</v>
      </c>
      <c r="J19" s="67">
        <f>SUMIFS(Transactions[Sales Amount],Transactions[Store Name],"*Wide World Importers*",Transactions[City],"Los Angeles",Transactions[Underperforming Flag],"Below Average")</f>
        <v>1208.83</v>
      </c>
      <c r="K19" s="67">
        <f>SUMIFS(Transactions[Sales Amount],Transactions[Store Name],"*Wide World Importers*",Transactions[City],"Los Angeles",Transactions[Underperforming Flag],"At/Above Average")</f>
        <v>5179.3100000000004</v>
      </c>
      <c r="L19">
        <f>COUNTIFS(Transactions[Store Name],"*Wide World Importers*",Transactions[City],"Los Angeles",Transactions[Underperforming Flag],"Below Average")</f>
        <v>8</v>
      </c>
      <c r="M19" s="69">
        <f>IF(COUNTIFS(Transactions[Store Name],"*Wide World Importers*",Transactions[City],"Los Angeles")=0,0,L19/COUNTIFS(Transactions[Store Name],"*Wide World Importers*",Transactions[City],"Los Angeles"))</f>
        <v>0.4</v>
      </c>
    </row>
    <row r="20" spans="1:13" ht="12" x14ac:dyDescent="0.25">
      <c r="A20" s="64" t="s">
        <v>8753</v>
      </c>
      <c r="B20" s="64" t="s">
        <v>8690</v>
      </c>
      <c r="C20" s="64" t="s">
        <v>8837</v>
      </c>
      <c r="D20" s="64" t="s">
        <v>8838</v>
      </c>
      <c r="E20" s="64" t="s">
        <v>8839</v>
      </c>
      <c r="F20" s="64" t="s">
        <v>8872</v>
      </c>
      <c r="G20" s="64" t="s">
        <v>8841</v>
      </c>
      <c r="I20" t="s">
        <v>96</v>
      </c>
      <c r="J20" s="67">
        <f>SUMIFS(Transactions[Sales Amount],Transactions[Store Name],"*Wide World Importers*",Transactions[City],"New Orleans",Transactions[Underperforming Flag],"Below Average")</f>
        <v>1780.68</v>
      </c>
      <c r="K20" s="67">
        <f>SUMIFS(Transactions[Sales Amount],Transactions[Store Name],"*Wide World Importers*",Transactions[City],"New Orleans",Transactions[Underperforming Flag],"At/Above Average")</f>
        <v>4724.6899999999987</v>
      </c>
      <c r="L20">
        <f>COUNTIFS(Transactions[Store Name],"*Wide World Importers*",Transactions[City],"New Orleans",Transactions[Underperforming Flag],"Below Average")</f>
        <v>14</v>
      </c>
      <c r="M20" s="69">
        <f>IF(COUNTIFS(Transactions[Store Name],"*Wide World Importers*",Transactions[City],"New Orleans")=0,0,L20/COUNTIFS(Transactions[Store Name],"*Wide World Importers*",Transactions[City],"New Orleans"))</f>
        <v>0.51851851851851849</v>
      </c>
    </row>
    <row r="21" spans="1:13" x14ac:dyDescent="0.2">
      <c r="A21" t="s">
        <v>8843</v>
      </c>
      <c r="B21">
        <v>2022</v>
      </c>
      <c r="C21" s="67">
        <f>SUMIFS(Transactions[Sales Amount],Transactions[Store Name],"*Wide World Importers*",Transactions[Year],2022,Transactions[Quarter],"Q1",Transactions[Underperforming Flag],"Below Average")</f>
        <v>1218.53</v>
      </c>
      <c r="D21" s="67">
        <f>SUMIFS(Transactions[Sales Amount],Transactions[Store Name],"*Wide World Importers*",Transactions[Year],2022,Transactions[Quarter],"Q1",Transactions[Underperforming Flag],"At/Above Average")</f>
        <v>4052.86</v>
      </c>
      <c r="E21">
        <f>COUNTIFS(Transactions[Store Name],"*Wide World Importers*",Transactions[Year],2022,Transactions[Quarter],"Q1",Transactions[Underperforming Flag],"Below Average")</f>
        <v>8</v>
      </c>
      <c r="F21">
        <f>COUNTIFS(Transactions[Store Name],"*Wide World Importers*",Transactions[Year],2022,Transactions[Quarter],"Q1")</f>
        <v>19</v>
      </c>
      <c r="G21" s="69">
        <f>IF(F21=0,0,E21/F21)</f>
        <v>0.42105263157894735</v>
      </c>
      <c r="I21" t="s">
        <v>88</v>
      </c>
      <c r="J21" s="67">
        <f>SUMIFS(Transactions[Sales Amount],Transactions[Store Name],"*Wide World Importers*",Transactions[City],"New York",Transactions[Underperforming Flag],"Below Average")</f>
        <v>2777.1800000000003</v>
      </c>
      <c r="K21" s="67">
        <f>SUMIFS(Transactions[Sales Amount],Transactions[Store Name],"*Wide World Importers*",Transactions[City],"New York",Transactions[Underperforming Flag],"At/Above Average")</f>
        <v>9032.010000000002</v>
      </c>
      <c r="L21">
        <f>COUNTIFS(Transactions[Store Name],"*Wide World Importers*",Transactions[City],"New York",Transactions[Underperforming Flag],"Below Average")</f>
        <v>19</v>
      </c>
      <c r="M21" s="69">
        <f>IF(COUNTIFS(Transactions[Store Name],"*Wide World Importers*",Transactions[City],"New York")=0,0,L21/COUNTIFS(Transactions[Store Name],"*Wide World Importers*",Transactions[City],"New York"))</f>
        <v>0.43181818181818182</v>
      </c>
    </row>
    <row r="22" spans="1:13" x14ac:dyDescent="0.2">
      <c r="A22" t="s">
        <v>8844</v>
      </c>
      <c r="B22">
        <v>2022</v>
      </c>
      <c r="C22" s="67">
        <f>SUMIFS(Transactions[Sales Amount],Transactions[Store Name],"*Wide World Importers*",Transactions[Year],2022,Transactions[Quarter],"Q2",Transactions[Underperforming Flag],"Below Average")</f>
        <v>703.72</v>
      </c>
      <c r="D22" s="67">
        <f>SUMIFS(Transactions[Sales Amount],Transactions[Store Name],"*Wide World Importers*",Transactions[Year],2022,Transactions[Quarter],"Q2",Transactions[Underperforming Flag],"At/Above Average")</f>
        <v>3656</v>
      </c>
      <c r="E22">
        <f>COUNTIFS(Transactions[Store Name],"*Wide World Importers*",Transactions[Year],2022,Transactions[Quarter],"Q2",Transactions[Underperforming Flag],"Below Average")</f>
        <v>8</v>
      </c>
      <c r="F22">
        <f>COUNTIFS(Transactions[Store Name],"*Wide World Importers*",Transactions[Year],2022,Transactions[Quarter],"Q2")</f>
        <v>18</v>
      </c>
      <c r="G22" s="69">
        <f>IF(F22=0,0,E22/F22)</f>
        <v>0.44444444444444442</v>
      </c>
      <c r="I22" t="s">
        <v>129</v>
      </c>
      <c r="J22" s="67">
        <f>SUMIFS(Transactions[Sales Amount],Transactions[Store Name],"*Wide World Importers*",Transactions[City],"San Francisco",Transactions[Underperforming Flag],"Below Average")</f>
        <v>2125.2199999999998</v>
      </c>
      <c r="K22" s="67">
        <f>SUMIFS(Transactions[Sales Amount],Transactions[Store Name],"*Wide World Importers*",Transactions[City],"San Francisco",Transactions[Underperforming Flag],"At/Above Average")</f>
        <v>5341.41</v>
      </c>
      <c r="L22">
        <f>COUNTIFS(Transactions[Store Name],"*Wide World Importers*",Transactions[City],"San Francisco",Transactions[Underperforming Flag],"Below Average")</f>
        <v>14</v>
      </c>
      <c r="M22" s="69">
        <f>IF(COUNTIFS(Transactions[Store Name],"*Wide World Importers*",Transactions[City],"San Francisco")=0,0,L22/COUNTIFS(Transactions[Store Name],"*Wide World Importers*",Transactions[City],"San Francisco"))</f>
        <v>0.5</v>
      </c>
    </row>
    <row r="23" spans="1:13" x14ac:dyDescent="0.2">
      <c r="A23" t="s">
        <v>8845</v>
      </c>
      <c r="B23">
        <v>2022</v>
      </c>
      <c r="C23" s="67">
        <f>SUMIFS(Transactions[Sales Amount],Transactions[Store Name],"*Wide World Importers*",Transactions[Year],2022,Transactions[Quarter],"Q3",Transactions[Underperforming Flag],"Below Average")</f>
        <v>1133.21</v>
      </c>
      <c r="D23" s="67">
        <f>SUMIFS(Transactions[Sales Amount],Transactions[Store Name],"*Wide World Importers*",Transactions[Year],2022,Transactions[Quarter],"Q3",Transactions[Underperforming Flag],"At/Above Average")</f>
        <v>2579.79</v>
      </c>
      <c r="E23">
        <f>COUNTIFS(Transactions[Store Name],"*Wide World Importers*",Transactions[Year],2022,Transactions[Quarter],"Q3",Transactions[Underperforming Flag],"Below Average")</f>
        <v>7</v>
      </c>
      <c r="F23">
        <f>COUNTIFS(Transactions[Store Name],"*Wide World Importers*",Transactions[Year],2022,Transactions[Quarter],"Q3")</f>
        <v>14</v>
      </c>
      <c r="G23" s="69">
        <f>IF(F23=0,0,E23/F23)</f>
        <v>0.5</v>
      </c>
      <c r="I23" t="s">
        <v>99</v>
      </c>
      <c r="J23" s="67">
        <f>SUMIFS(Transactions[Sales Amount],Transactions[Store Name],"*Wide World Importers*",Transactions[City],"Seattle",Transactions[Underperforming Flag],"Below Average")</f>
        <v>1589.4399999999998</v>
      </c>
      <c r="K23" s="67">
        <f>SUMIFS(Transactions[Sales Amount],Transactions[Store Name],"*Wide World Importers*",Transactions[City],"Seattle",Transactions[Underperforming Flag],"At/Above Average")</f>
        <v>8855.26</v>
      </c>
      <c r="L23">
        <f>COUNTIFS(Transactions[Store Name],"*Wide World Importers*",Transactions[City],"Seattle",Transactions[Underperforming Flag],"Below Average")</f>
        <v>16</v>
      </c>
      <c r="M23" s="69">
        <f>IF(COUNTIFS(Transactions[Store Name],"*Wide World Importers*",Transactions[City],"Seattle")=0,0,L23/COUNTIFS(Transactions[Store Name],"*Wide World Importers*",Transactions[City],"Seattle"))</f>
        <v>0.4</v>
      </c>
    </row>
    <row r="24" spans="1:13" x14ac:dyDescent="0.2">
      <c r="A24" t="s">
        <v>8846</v>
      </c>
      <c r="B24">
        <v>2022</v>
      </c>
      <c r="C24" s="67">
        <f>SUMIFS(Transactions[Sales Amount],Transactions[Store Name],"*Wide World Importers*",Transactions[Year],2022,Transactions[Quarter],"Q4",Transactions[Underperforming Flag],"Below Average")</f>
        <v>740.36999999999989</v>
      </c>
      <c r="D24" s="67">
        <f>SUMIFS(Transactions[Sales Amount],Transactions[Store Name],"*Wide World Importers*",Transactions[Year],2022,Transactions[Quarter],"Q4",Transactions[Underperforming Flag],"At/Above Average")</f>
        <v>4295.12</v>
      </c>
      <c r="E24">
        <f>COUNTIFS(Transactions[Store Name],"*Wide World Importers*",Transactions[Year],2022,Transactions[Quarter],"Q4",Transactions[Underperforming Flag],"Below Average")</f>
        <v>7</v>
      </c>
      <c r="F24">
        <f>COUNTIFS(Transactions[Store Name],"*Wide World Importers*",Transactions[Year],2022,Transactions[Quarter],"Q4")</f>
        <v>17</v>
      </c>
      <c r="G24" s="69">
        <f>IF(F24=0,0,E24/F24)</f>
        <v>0.41176470588235292</v>
      </c>
      <c r="I24" t="s">
        <v>105</v>
      </c>
      <c r="J24" s="67">
        <f>SUMIFS(Transactions[Sales Amount],Transactions[Store Name],"*Wide World Importers*",Transactions[City],"Tacoma",Transactions[Underperforming Flag],"Below Average")</f>
        <v>1621.72</v>
      </c>
      <c r="K24" s="67">
        <f>SUMIFS(Transactions[Sales Amount],Transactions[Store Name],"*Wide World Importers*",Transactions[City],"Tacoma",Transactions[Underperforming Flag],"At/Above Average")</f>
        <v>6762.93</v>
      </c>
      <c r="L24">
        <f>COUNTIFS(Transactions[Store Name],"*Wide World Importers*",Transactions[City],"Tacoma",Transactions[Underperforming Flag],"Below Average")</f>
        <v>14</v>
      </c>
      <c r="M24" s="69">
        <f>IF(COUNTIFS(Transactions[Store Name],"*Wide World Importers*",Transactions[City],"Tacoma")=0,0,L24/COUNTIFS(Transactions[Store Name],"*Wide World Importers*",Transactions[City],"Tacoma"))</f>
        <v>0.4375</v>
      </c>
    </row>
    <row r="25" spans="1:13" x14ac:dyDescent="0.2">
      <c r="A25" t="s">
        <v>8843</v>
      </c>
      <c r="B25">
        <v>2023</v>
      </c>
      <c r="C25" s="67">
        <f>SUMIFS(Transactions[Sales Amount],Transactions[Store Name],"*Wide World Importers*",Transactions[Year],2023,Transactions[Quarter],"Q1",Transactions[Underperforming Flag],"Below Average")</f>
        <v>1612.05</v>
      </c>
      <c r="D25" s="67">
        <f>SUMIFS(Transactions[Sales Amount],Transactions[Store Name],"*Wide World Importers*",Transactions[Year],2023,Transactions[Quarter],"Q1",Transactions[Underperforming Flag],"At/Above Average")</f>
        <v>2654.38</v>
      </c>
      <c r="E25">
        <f>COUNTIFS(Transactions[Store Name],"*Wide World Importers*",Transactions[Year],2023,Transactions[Quarter],"Q1",Transactions[Underperforming Flag],"Below Average")</f>
        <v>10</v>
      </c>
      <c r="F25">
        <f>COUNTIFS(Transactions[Store Name],"*Wide World Importers*",Transactions[Year],2023,Transactions[Quarter],"Q1")</f>
        <v>17</v>
      </c>
      <c r="G25" s="69">
        <f>IF(F25=0,0,E25/F25)</f>
        <v>0.58823529411764708</v>
      </c>
    </row>
    <row r="26" spans="1:13" x14ac:dyDescent="0.2">
      <c r="A26" t="s">
        <v>8844</v>
      </c>
      <c r="B26">
        <v>2023</v>
      </c>
      <c r="C26" s="67">
        <f>SUMIFS(Transactions[Sales Amount],Transactions[Store Name],"*Wide World Importers*",Transactions[Year],2023,Transactions[Quarter],"Q2",Transactions[Underperforming Flag],"Below Average")</f>
        <v>1027.2900000000002</v>
      </c>
      <c r="D26" s="67">
        <f>SUMIFS(Transactions[Sales Amount],Transactions[Store Name],"*Wide World Importers*",Transactions[Year],2023,Transactions[Quarter],"Q2",Transactions[Underperforming Flag],"At/Above Average")</f>
        <v>4006.9700000000003</v>
      </c>
      <c r="E26">
        <f>COUNTIFS(Transactions[Store Name],"*Wide World Importers*",Transactions[Year],2023,Transactions[Quarter],"Q2",Transactions[Underperforming Flag],"Below Average")</f>
        <v>11</v>
      </c>
      <c r="F26">
        <f>COUNTIFS(Transactions[Store Name],"*Wide World Importers*",Transactions[Year],2023,Transactions[Quarter],"Q2")</f>
        <v>21</v>
      </c>
      <c r="G26" s="69">
        <f>IF(F26=0,0,E26/F26)</f>
        <v>0.52380952380952384</v>
      </c>
    </row>
    <row r="27" spans="1:13" x14ac:dyDescent="0.2">
      <c r="A27" t="s">
        <v>8845</v>
      </c>
      <c r="B27">
        <v>2023</v>
      </c>
      <c r="C27" s="67">
        <f>SUMIFS(Transactions[Sales Amount],Transactions[Store Name],"*Wide World Importers*",Transactions[Year],2023,Transactions[Quarter],"Q3",Transactions[Underperforming Flag],"Below Average")</f>
        <v>688.31999999999994</v>
      </c>
      <c r="D27" s="67">
        <f>SUMIFS(Transactions[Sales Amount],Transactions[Store Name],"*Wide World Importers*",Transactions[Year],2023,Transactions[Quarter],"Q3",Transactions[Underperforming Flag],"At/Above Average")</f>
        <v>3968.1699999999992</v>
      </c>
      <c r="E27">
        <f>COUNTIFS(Transactions[Store Name],"*Wide World Importers*",Transactions[Year],2023,Transactions[Quarter],"Q3",Transactions[Underperforming Flag],"Below Average")</f>
        <v>6</v>
      </c>
      <c r="F27">
        <f>COUNTIFS(Transactions[Store Name],"*Wide World Importers*",Transactions[Year],2023,Transactions[Quarter],"Q3")</f>
        <v>17</v>
      </c>
      <c r="G27" s="69">
        <f>IF(F27=0,0,E27/F27)</f>
        <v>0.35294117647058826</v>
      </c>
    </row>
    <row r="28" spans="1:13" x14ac:dyDescent="0.2">
      <c r="A28" t="s">
        <v>8846</v>
      </c>
      <c r="B28">
        <v>2023</v>
      </c>
      <c r="C28" s="67">
        <f>SUMIFS(Transactions[Sales Amount],Transactions[Store Name],"*Wide World Importers*",Transactions[Year],2023,Transactions[Quarter],"Q4",Transactions[Underperforming Flag],"Below Average")</f>
        <v>2307.8100000000004</v>
      </c>
      <c r="D28" s="67">
        <f>SUMIFS(Transactions[Sales Amount],Transactions[Store Name],"*Wide World Importers*",Transactions[Year],2023,Transactions[Quarter],"Q4",Transactions[Underperforming Flag],"At/Above Average")</f>
        <v>4186.76</v>
      </c>
      <c r="E28">
        <f>COUNTIFS(Transactions[Store Name],"*Wide World Importers*",Transactions[Year],2023,Transactions[Quarter],"Q4",Transactions[Underperforming Flag],"Below Average")</f>
        <v>16</v>
      </c>
      <c r="F28">
        <f>COUNTIFS(Transactions[Store Name],"*Wide World Importers*",Transactions[Year],2023,Transactions[Quarter],"Q4")</f>
        <v>26</v>
      </c>
      <c r="G28" s="69">
        <f>IF(F28=0,0,E28/F28)</f>
        <v>0.61538461538461542</v>
      </c>
    </row>
    <row r="29" spans="1:13" x14ac:dyDescent="0.2">
      <c r="A29" t="s">
        <v>8843</v>
      </c>
      <c r="B29">
        <v>2024</v>
      </c>
      <c r="C29" s="67">
        <f>SUMIFS(Transactions[Sales Amount],Transactions[Store Name],"*Wide World Importers*",Transactions[Year],2024,Transactions[Quarter],"Q1",Transactions[Underperforming Flag],"Below Average")</f>
        <v>1451.3</v>
      </c>
      <c r="D29" s="67">
        <f>SUMIFS(Transactions[Sales Amount],Transactions[Store Name],"*Wide World Importers*",Transactions[Year],2024,Transactions[Quarter],"Q1",Transactions[Underperforming Flag],"At/Above Average")</f>
        <v>3353.08</v>
      </c>
      <c r="E29">
        <f>COUNTIFS(Transactions[Store Name],"*Wide World Importers*",Transactions[Year],2024,Transactions[Quarter],"Q1",Transactions[Underperforming Flag],"Below Average")</f>
        <v>11</v>
      </c>
      <c r="F29">
        <f>COUNTIFS(Transactions[Store Name],"*Wide World Importers*",Transactions[Year],2024,Transactions[Quarter],"Q1")</f>
        <v>20</v>
      </c>
      <c r="G29" s="69">
        <f>IF(F29=0,0,E29/F29)</f>
        <v>0.55000000000000004</v>
      </c>
    </row>
    <row r="30" spans="1:13" x14ac:dyDescent="0.2">
      <c r="A30" t="s">
        <v>8844</v>
      </c>
      <c r="B30">
        <v>2024</v>
      </c>
      <c r="C30" s="67">
        <f>SUMIFS(Transactions[Sales Amount],Transactions[Store Name],"*Wide World Importers*",Transactions[Year],2024,Transactions[Quarter],"Q2",Transactions[Underperforming Flag],"Below Average")</f>
        <v>1818.62</v>
      </c>
      <c r="D30" s="67">
        <f>SUMIFS(Transactions[Sales Amount],Transactions[Store Name],"*Wide World Importers*",Transactions[Year],2024,Transactions[Quarter],"Q2",Transactions[Underperforming Flag],"At/Above Average")</f>
        <v>6253.41</v>
      </c>
      <c r="E30">
        <f>COUNTIFS(Transactions[Store Name],"*Wide World Importers*",Transactions[Year],2024,Transactions[Quarter],"Q2",Transactions[Underperforming Flag],"Below Average")</f>
        <v>12</v>
      </c>
      <c r="F30">
        <f>COUNTIFS(Transactions[Store Name],"*Wide World Importers*",Transactions[Year],2024,Transactions[Quarter],"Q2")</f>
        <v>29</v>
      </c>
      <c r="G30" s="69">
        <f>IF(F30=0,0,E30/F30)</f>
        <v>0.41379310344827586</v>
      </c>
    </row>
    <row r="31" spans="1:13" x14ac:dyDescent="0.2">
      <c r="A31" t="s">
        <v>8845</v>
      </c>
      <c r="B31">
        <v>2024</v>
      </c>
      <c r="C31" s="67">
        <f>SUMIFS(Transactions[Sales Amount],Transactions[Store Name],"*Wide World Importers*",Transactions[Year],2024,Transactions[Quarter],"Q3",Transactions[Underperforming Flag],"Below Average")</f>
        <v>1502.3300000000002</v>
      </c>
      <c r="D31" s="67">
        <f>SUMIFS(Transactions[Sales Amount],Transactions[Store Name],"*Wide World Importers*",Transactions[Year],2024,Transactions[Quarter],"Q3",Transactions[Underperforming Flag],"At/Above Average")</f>
        <v>5637.2599999999993</v>
      </c>
      <c r="E31">
        <f>COUNTIFS(Transactions[Store Name],"*Wide World Importers*",Transactions[Year],2024,Transactions[Quarter],"Q3",Transactions[Underperforming Flag],"Below Average")</f>
        <v>12</v>
      </c>
      <c r="F31">
        <f>COUNTIFS(Transactions[Store Name],"*Wide World Importers*",Transactions[Year],2024,Transactions[Quarter],"Q3")</f>
        <v>26</v>
      </c>
      <c r="G31" s="69">
        <f>IF(F31=0,0,E31/F31)</f>
        <v>0.46153846153846156</v>
      </c>
    </row>
    <row r="32" spans="1:13" x14ac:dyDescent="0.2">
      <c r="A32" t="s">
        <v>8846</v>
      </c>
      <c r="B32">
        <v>2024</v>
      </c>
      <c r="C32" s="67">
        <f>SUMIFS(Transactions[Sales Amount],Transactions[Store Name],"*Wide World Importers*",Transactions[Year],2024,Transactions[Quarter],"Q4",Transactions[Underperforming Flag],"Below Average")</f>
        <v>679.49</v>
      </c>
      <c r="D32" s="67">
        <f>SUMIFS(Transactions[Sales Amount],Transactions[Store Name],"*Wide World Importers*",Transactions[Year],2024,Transactions[Quarter],"Q4",Transactions[Underperforming Flag],"At/Above Average")</f>
        <v>5434.14</v>
      </c>
      <c r="E32">
        <f>COUNTIFS(Transactions[Store Name],"*Wide World Importers*",Transactions[Year],2024,Transactions[Quarter],"Q4",Transactions[Underperforming Flag],"Below Average")</f>
        <v>4</v>
      </c>
      <c r="F32">
        <f>COUNTIFS(Transactions[Store Name],"*Wide World Importers*",Transactions[Year],2024,Transactions[Quarter],"Q4")</f>
        <v>20</v>
      </c>
      <c r="G32" s="69">
        <f>IF(F32=0,0,E32/F32)</f>
        <v>0.2</v>
      </c>
    </row>
    <row r="35" spans="1:6" ht="12" x14ac:dyDescent="0.25">
      <c r="A35" s="64" t="s">
        <v>8875</v>
      </c>
    </row>
    <row r="37" spans="1:6" ht="12" x14ac:dyDescent="0.25">
      <c r="A37" s="64" t="s">
        <v>8790</v>
      </c>
      <c r="B37" s="64" t="s">
        <v>8710</v>
      </c>
      <c r="C37" s="64" t="s">
        <v>8837</v>
      </c>
      <c r="D37" s="64" t="s">
        <v>8841</v>
      </c>
      <c r="E37" s="64" t="s">
        <v>8792</v>
      </c>
      <c r="F37" s="64" t="s">
        <v>8786</v>
      </c>
    </row>
    <row r="38" spans="1:6" x14ac:dyDescent="0.2">
      <c r="A38" t="s">
        <v>8851</v>
      </c>
      <c r="B38" s="67">
        <f>SUMIF(Transactions[Store Name],"*Liberty's Delightful Bakery &amp; Café*",Transactions[Sales Amount])</f>
        <v>69119.609999999942</v>
      </c>
      <c r="C38" s="67">
        <f>SUMIFS(Transactions[Sales Amount],Transactions[Store Name],"*Liberty's Delightful Bakery &amp; Café*",Transactions[Underperforming Flag],"Below Average")</f>
        <v>18637.03</v>
      </c>
      <c r="D38" s="69">
        <f>C38/B38</f>
        <v>0.26963447855102213</v>
      </c>
      <c r="E38" s="67">
        <f>AVERAGEIF(Transactions[Store Name],"*Liberty's Delightful Bakery &amp; Café*",Transactions[Sales Amount])</f>
        <v>260.82871698113183</v>
      </c>
      <c r="F38">
        <f>RANK(D38,D$38:D$43,1)</f>
        <v>5</v>
      </c>
    </row>
    <row r="39" spans="1:6" x14ac:dyDescent="0.2">
      <c r="A39" t="s">
        <v>8718</v>
      </c>
      <c r="B39" s="67">
        <f>SUMIF(Transactions[Store Name],"*Northwind Traders*",Transactions[Sales Amount])</f>
        <v>65112.680000000051</v>
      </c>
      <c r="C39" s="67">
        <f>SUMIFS(Transactions[Sales Amount],Transactions[Store Name],"*Northwind Traders*",Transactions[Underperforming Flag],"Below Average")</f>
        <v>16449.509999999998</v>
      </c>
      <c r="D39" s="69">
        <f>C39/B39</f>
        <v>0.25263143830049672</v>
      </c>
      <c r="E39" s="67">
        <f>AVERAGEIF(Transactions[Store Name],"*Northwind Traders*",Transactions[Sales Amount])</f>
        <v>254.3464062500002</v>
      </c>
      <c r="F39">
        <f>RANK(D39,D$38:D$43,1)</f>
        <v>4</v>
      </c>
    </row>
    <row r="40" spans="1:6" x14ac:dyDescent="0.2">
      <c r="A40" t="s">
        <v>8795</v>
      </c>
      <c r="B40" s="67">
        <f>SUMIF(Transactions[Store Name],"*VanArsdel, Ltd.*",Transactions[Sales Amount])</f>
        <v>58457.520000000004</v>
      </c>
      <c r="C40" s="67">
        <f>SUMIFS(Transactions[Sales Amount],Transactions[Store Name],"*VanArsdel, Ltd.*",Transactions[Underperforming Flag],"Below Average")</f>
        <v>14530.629999999997</v>
      </c>
      <c r="D40" s="69">
        <f>C40/B40</f>
        <v>0.24856733573370879</v>
      </c>
      <c r="E40" s="67">
        <f>AVERAGEIF(Transactions[Store Name],"*VanArsdel, Ltd.*",Transactions[Sales Amount])</f>
        <v>258.661592920354</v>
      </c>
      <c r="F40">
        <f>RANK(D40,D$38:D$43,1)</f>
        <v>2</v>
      </c>
    </row>
    <row r="41" spans="1:6" x14ac:dyDescent="0.2">
      <c r="A41" s="112" t="s">
        <v>8719</v>
      </c>
      <c r="B41" s="113">
        <f>SUMIF(Transactions[Store Name],"*Wide World Importers*",Transactions[Sales Amount])</f>
        <v>64960.980000000018</v>
      </c>
      <c r="C41" s="113">
        <f>SUMIFS(Transactions[Sales Amount],Transactions[Store Name],"*Wide World Importers*",Transactions[Underperforming Flag],"Below Average")</f>
        <v>14883.039999999995</v>
      </c>
      <c r="D41" s="114">
        <f>C41/B41</f>
        <v>0.22910738107707104</v>
      </c>
      <c r="E41" s="113">
        <f>AVERAGEIF(Transactions[Store Name],"*Wide World Importers*",Transactions[Sales Amount])</f>
        <v>266.233524590164</v>
      </c>
      <c r="F41" s="112">
        <f>RANK(D41,D$38:D$43,1)</f>
        <v>1</v>
      </c>
    </row>
    <row r="42" spans="1:6" x14ac:dyDescent="0.2">
      <c r="A42" t="s">
        <v>8720</v>
      </c>
      <c r="B42" s="67">
        <f>SUMIF(Transactions[Store Name],"*Proseware, Inc.*",Transactions[Sales Amount])</f>
        <v>68620.210000000006</v>
      </c>
      <c r="C42" s="67">
        <f>SUMIFS(Transactions[Sales Amount],Transactions[Store Name],"*Proseware, Inc.*",Transactions[Underperforming Flag],"Below Average")</f>
        <v>17197.84</v>
      </c>
      <c r="D42" s="69">
        <f>C42/B42</f>
        <v>0.25062354079067956</v>
      </c>
      <c r="E42" s="67">
        <f>AVERAGEIF(Transactions[Store Name],"*Proseware, Inc.*",Transactions[Sales Amount])</f>
        <v>264.94289575289577</v>
      </c>
      <c r="F42">
        <f>RANK(D42,D$38:D$43,1)</f>
        <v>3</v>
      </c>
    </row>
    <row r="43" spans="1:6" x14ac:dyDescent="0.2">
      <c r="A43" t="s">
        <v>8796</v>
      </c>
      <c r="B43" s="67">
        <f>SUMIF(Transactions[Store Name],"*Relecloud*",Transactions[Sales Amount])</f>
        <v>61256.280000000013</v>
      </c>
      <c r="C43" s="67">
        <f>SUMIFS(Transactions[Sales Amount],Transactions[Store Name],"*Relecloud*",Transactions[Underperforming Flag],"Below Average")</f>
        <v>17491.569999999992</v>
      </c>
      <c r="D43" s="69">
        <f>C43/B43</f>
        <v>0.28554737571396743</v>
      </c>
      <c r="E43" s="67">
        <f>AVERAGEIF(Transactions[Store Name],"*Relecloud*",Transactions[Sales Amount])</f>
        <v>245.02512000000004</v>
      </c>
      <c r="F43">
        <f>RANK(D43,D$38:D$43,1)</f>
        <v>6</v>
      </c>
    </row>
    <row r="45" spans="1:6" ht="12" x14ac:dyDescent="0.25">
      <c r="A45" s="64" t="s">
        <v>8876</v>
      </c>
    </row>
    <row r="47" spans="1:6" ht="12" x14ac:dyDescent="0.25">
      <c r="A47" s="64" t="s">
        <v>8722</v>
      </c>
      <c r="B47" s="64" t="s">
        <v>8698</v>
      </c>
      <c r="C47" s="64" t="s">
        <v>8877</v>
      </c>
    </row>
    <row r="48" spans="1:6" x14ac:dyDescent="0.2">
      <c r="A48" t="s">
        <v>8878</v>
      </c>
      <c r="B48" s="69">
        <f>B13</f>
        <v>0.45901639344262296</v>
      </c>
      <c r="C48" t="s">
        <v>8885</v>
      </c>
    </row>
    <row r="49" spans="1:3" x14ac:dyDescent="0.2">
      <c r="A49" t="s">
        <v>8879</v>
      </c>
      <c r="B49" s="67">
        <f>B12</f>
        <v>14883.039999999995</v>
      </c>
      <c r="C49" t="s">
        <v>8886</v>
      </c>
    </row>
    <row r="50" spans="1:3" x14ac:dyDescent="0.2">
      <c r="A50" t="s">
        <v>8856</v>
      </c>
      <c r="B50" s="67">
        <f>AVERAGEIFS(Transactions[Sales Amount],Transactions[Store Name],"*Wide World Importers*",Transactions[Underperforming Flag],"Below Average")</f>
        <v>132.88428571428568</v>
      </c>
      <c r="C50" t="s">
        <v>8887</v>
      </c>
    </row>
    <row r="51" spans="1:3" x14ac:dyDescent="0.2">
      <c r="A51" t="s">
        <v>8857</v>
      </c>
      <c r="B51" s="67">
        <f>AVERAGEIFS(Transactions[Sales Amount],Transactions[Store Name],"*Wide World Importers*",Transactions[Underperforming Flag],"At/Above Average")</f>
        <v>379.37833333333322</v>
      </c>
      <c r="C51" t="s">
        <v>8888</v>
      </c>
    </row>
    <row r="52" spans="1:3" x14ac:dyDescent="0.2">
      <c r="A52" t="s">
        <v>8880</v>
      </c>
      <c r="B52" s="67">
        <f>B51-B50</f>
        <v>246.49404761904754</v>
      </c>
      <c r="C52" t="s">
        <v>8889</v>
      </c>
    </row>
    <row r="53" spans="1:3" x14ac:dyDescent="0.2">
      <c r="A53" t="s">
        <v>8881</v>
      </c>
      <c r="B53" t="str">
        <f>INDEX(A21:B32,MATCH(MIN(G21:G32),G21:G32,0),1)&amp;" "&amp;INDEX(A21:B32,MATCH(MIN(G21:G32),G21:G32,0),2)</f>
        <v>Q4 2024</v>
      </c>
      <c r="C53" t="s">
        <v>8890</v>
      </c>
    </row>
    <row r="54" spans="1:3" x14ac:dyDescent="0.2">
      <c r="A54" t="s">
        <v>8882</v>
      </c>
      <c r="B54" t="str">
        <f>INDEX(I7:I12,MATCH(MAX(L7:L12),L7:L12,0))</f>
        <v>ice cream</v>
      </c>
      <c r="C54" t="s">
        <v>8891</v>
      </c>
    </row>
    <row r="55" spans="1:3" x14ac:dyDescent="0.2">
      <c r="A55" t="s">
        <v>8883</v>
      </c>
      <c r="B55" t="str">
        <f>INDEX(I17:I24,MATCH(MAX(M17:M24),M17:M24,0))</f>
        <v>New Orleans</v>
      </c>
      <c r="C55" t="s">
        <v>8892</v>
      </c>
    </row>
    <row r="56" spans="1:3" x14ac:dyDescent="0.2">
      <c r="A56" t="s">
        <v>8884</v>
      </c>
      <c r="B56">
        <f>VLOOKUP("Wide World Importers",A38:F43,6,FALSE)</f>
        <v>1</v>
      </c>
      <c r="C56" t="s">
        <v>8893</v>
      </c>
    </row>
    <row r="101" spans="1:1" ht="12" x14ac:dyDescent="0.25">
      <c r="A101" s="64" t="s">
        <v>8894</v>
      </c>
    </row>
    <row r="103" spans="1:1" x14ac:dyDescent="0.2">
      <c r="A103" t="s">
        <v>8895</v>
      </c>
    </row>
    <row r="104" spans="1:1" x14ac:dyDescent="0.2">
      <c r="A104" t="s">
        <v>8896</v>
      </c>
    </row>
    <row r="105" spans="1:1" x14ac:dyDescent="0.2">
      <c r="A105" t="s">
        <v>8897</v>
      </c>
    </row>
    <row r="106" spans="1:1" x14ac:dyDescent="0.2">
      <c r="A106" t="s">
        <v>8898</v>
      </c>
    </row>
    <row r="107" spans="1:1" x14ac:dyDescent="0.2">
      <c r="A107" t="s">
        <v>8899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8" ma:contentTypeDescription="Create a new document." ma:contentTypeScope="" ma:versionID="2065a112f9ac8af0572f0fe5183967ae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0af206870a95402b1da570ef0bccdd5c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Props1.xml><?xml version="1.0" encoding="utf-8"?>
<ds:datastoreItem xmlns:ds="http://schemas.openxmlformats.org/officeDocument/2006/customXml" ds:itemID="{36C8B711-BAF6-47A2-B864-71F94FDFDAFF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EECBEBB-D65A-431A-99BD-68DEECEAEE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296B77-767E-4405-A8C0-063FC5E94C9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1C49CD1-C924-4188-A85C-82CA20713BD8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33</vt:i4>
      </vt:variant>
    </vt:vector>
  </HeadingPairs>
  <TitlesOfParts>
    <vt:vector size="48" baseType="lpstr">
      <vt:lpstr>Cover</vt:lpstr>
      <vt:lpstr>How to be More Productive Prmpt</vt:lpstr>
      <vt:lpstr>Navigator</vt:lpstr>
      <vt:lpstr>Model Parameters</vt:lpstr>
      <vt:lpstr>Style Guide</vt:lpstr>
      <vt:lpstr>Project</vt:lpstr>
      <vt:lpstr>Transactions</vt:lpstr>
      <vt:lpstr>Prompts</vt:lpstr>
      <vt:lpstr>Financial</vt:lpstr>
      <vt:lpstr>Error Checks</vt:lpstr>
      <vt:lpstr>Transaction Summary</vt:lpstr>
      <vt:lpstr>Data Insights</vt:lpstr>
      <vt:lpstr>Advanced Insights</vt:lpstr>
      <vt:lpstr>Underperforming Analysis</vt:lpstr>
      <vt:lpstr>Wide World Importers Analysis</vt:lpstr>
      <vt:lpstr>Client_Name</vt:lpstr>
      <vt:lpstr>Days_in_Year</vt:lpstr>
      <vt:lpstr>Days_in_Yr</vt:lpstr>
      <vt:lpstr>HL_1</vt:lpstr>
      <vt:lpstr>HL_10</vt:lpstr>
      <vt:lpstr>HL_2</vt:lpstr>
      <vt:lpstr>HL_3</vt:lpstr>
      <vt:lpstr>Financial!HL_4</vt:lpstr>
      <vt:lpstr>Project!HL_4</vt:lpstr>
      <vt:lpstr>Transactions!HL_4</vt:lpstr>
      <vt:lpstr>HL_4</vt:lpstr>
      <vt:lpstr>Financial!HL_5</vt:lpstr>
      <vt:lpstr>Project!HL_5</vt:lpstr>
      <vt:lpstr>HL_5</vt:lpstr>
      <vt:lpstr>Financial!HL_6</vt:lpstr>
      <vt:lpstr>Project!HL_6</vt:lpstr>
      <vt:lpstr>Transactions!HL_6</vt:lpstr>
      <vt:lpstr>HL_6</vt:lpstr>
      <vt:lpstr>HL_7</vt:lpstr>
      <vt:lpstr>HL_8</vt:lpstr>
      <vt:lpstr>HL_Model_Parameters</vt:lpstr>
      <vt:lpstr>HL_Navigator</vt:lpstr>
      <vt:lpstr>Months_in_Half_Yr</vt:lpstr>
      <vt:lpstr>Months_in_Month</vt:lpstr>
      <vt:lpstr>Months_in_Qtr</vt:lpstr>
      <vt:lpstr>Months_in_Quarter</vt:lpstr>
      <vt:lpstr>Months_in_Year</vt:lpstr>
      <vt:lpstr>Overall_Error_Check</vt:lpstr>
      <vt:lpstr>Quarters_in_Year</vt:lpstr>
      <vt:lpstr>Rounding_Accuracy</vt:lpstr>
      <vt:lpstr>Thousand</vt:lpstr>
      <vt:lpstr>Very_Large_Number</vt:lpstr>
      <vt:lpstr>Very_Small_Number</vt:lpstr>
    </vt:vector>
  </TitlesOfParts>
  <Manager/>
  <Company>SumProduct Pty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Liam</dc:creator>
  <cp:keywords/>
  <dc:description/>
  <cp:lastModifiedBy>Tim Ryder</cp:lastModifiedBy>
  <cp:revision/>
  <dcterms:created xsi:type="dcterms:W3CDTF">2012-10-20T20:39:47Z</dcterms:created>
  <dcterms:modified xsi:type="dcterms:W3CDTF">2026-03-18T05:52:54Z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